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PaulScarinci\Box\101032-1001 Ansonia Valuation Study &amp; Report\ScottMadden Excel Valuation\"/>
    </mc:Choice>
  </mc:AlternateContent>
  <xr:revisionPtr revIDLastSave="0" documentId="13_ncr:1_{05D81C71-4A73-4ED2-8C55-AC9655E73E60}" xr6:coauthVersionLast="47" xr6:coauthVersionMax="47" xr10:uidLastSave="{00000000-0000-0000-0000-000000000000}"/>
  <bookViews>
    <workbookView xWindow="-103" yWindow="-103" windowWidth="33120" windowHeight="18120" tabRatio="717" xr2:uid="{F2813314-C0AA-4C04-AA4B-BE9187109B70}"/>
  </bookViews>
  <sheets>
    <sheet name="Summary" sheetId="2" r:id="rId1"/>
    <sheet name="1.1 Cost Approach Summary" sheetId="3" r:id="rId2"/>
    <sheet name="1.2 Cost Asset List" sheetId="36" r:id="rId3"/>
    <sheet name="2.1 Market" sheetId="10" r:id="rId4"/>
    <sheet name="2.2 MVIC to Net Plant Ratio" sheetId="11" r:id="rId5"/>
    <sheet name="2.3 MVIC to NP Applied to NP" sheetId="12" r:id="rId6"/>
    <sheet name="2.4-2.6 Market Comparison" sheetId="13" r:id="rId7"/>
    <sheet name="3.1 Income Approach" sheetId="14" r:id="rId8"/>
    <sheet name="WP WPCA Budget Report" sheetId="71" r:id="rId9"/>
    <sheet name="WP Income Common Size" sheetId="37" r:id="rId10"/>
    <sheet name="WP Cost HW and Useful Life" sheetId="4" r:id="rId11"/>
    <sheet name="WP Cost HW W1" sheetId="7" r:id="rId12"/>
    <sheet name="WP Cost HW M" sheetId="22" r:id="rId13"/>
    <sheet name="WP Population Growth" sheetId="16" r:id="rId14"/>
    <sheet name="WP PPI-Electrical" sheetId="8" r:id="rId15"/>
    <sheet name="WP PPI-Vehicles" sheetId="9" r:id="rId16"/>
    <sheet name="1.1 Recommended Cap Structure" sheetId="38" r:id="rId17"/>
    <sheet name="1.2 LTD Cost" sheetId="39" r:id="rId18"/>
    <sheet name="1.3 Summary of CE Models" sheetId="40" r:id="rId19"/>
    <sheet name="1.4 Capital Str. (Perm Cap)" sheetId="41" r:id="rId20"/>
    <sheet name="1.5 DCF Summary" sheetId="42" r:id="rId21"/>
    <sheet name="1.12 Risk Premium Summary" sheetId="43" r:id="rId22"/>
    <sheet name="1.13 Moody's Bond Yields" sheetId="44" r:id="rId23"/>
    <sheet name="1.14 Bond Ratings" sheetId="45" r:id="rId24"/>
    <sheet name="1.15 MOODY_S&amp;P numbericl" sheetId="46" r:id="rId25"/>
    <sheet name="1.16 ERP Determination" sheetId="47" r:id="rId26"/>
    <sheet name="1.17 Beta Adjusted ERP" sheetId="48" r:id="rId27"/>
    <sheet name="1.20 S&amp;P RPM Study Returns" sheetId="49" r:id="rId28"/>
    <sheet name="1.21 CAPM" sheetId="50" r:id="rId29"/>
    <sheet name="1.22 CAPM Notes" sheetId="51" r:id="rId30"/>
    <sheet name="1.23 Risk Adjustment" sheetId="52" r:id="rId31"/>
    <sheet name="1.24 Market Cap" sheetId="53" r:id="rId32"/>
    <sheet name="Input" sheetId="54" r:id="rId33"/>
    <sheet name="Market Data" sheetId="55" r:id="rId34"/>
    <sheet name="Proxy Data Lookup" sheetId="56" r:id="rId35"/>
    <sheet name="Proxy Price Data" sheetId="57" r:id="rId36"/>
    <sheet name="Proxy Prices" sheetId="58" r:id="rId37"/>
    <sheet name="MRP WP1" sheetId="59" r:id="rId38"/>
    <sheet name="MRP WP2" sheetId="60" r:id="rId39"/>
    <sheet name="MRP WP3" sheetId="61" r:id="rId40"/>
    <sheet name="ERP WP1" sheetId="62" r:id="rId41"/>
    <sheet name="ERP WP2" sheetId="63" r:id="rId42"/>
    <sheet name="MRP ERP WP" sheetId="64" r:id="rId43"/>
    <sheet name="3. AWR" sheetId="65" r:id="rId44"/>
    <sheet name="3. AWK" sheetId="66" r:id="rId45"/>
    <sheet name="3. CWT" sheetId="67" r:id="rId46"/>
    <sheet name="3. WTRG" sheetId="68" r:id="rId47"/>
    <sheet name="3. MSEX" sheetId="69" r:id="rId48"/>
    <sheet name="3. SJW" sheetId="70" r:id="rId49"/>
  </sheets>
  <definedNames>
    <definedName name="\22" localSheetId="7">#REF!</definedName>
    <definedName name="\22" localSheetId="12">#REF!</definedName>
    <definedName name="\22">#REF!</definedName>
    <definedName name="\A" localSheetId="7">#REF!</definedName>
    <definedName name="\A">#REF!</definedName>
    <definedName name="\D" localSheetId="7">#REF!</definedName>
    <definedName name="\D" localSheetId="10">#REF!</definedName>
    <definedName name="\D">#REF!</definedName>
    <definedName name="\G" localSheetId="10">#REF!</definedName>
    <definedName name="\G">#REF!</definedName>
    <definedName name="\I" localSheetId="7">#REF!</definedName>
    <definedName name="\I">#REF!</definedName>
    <definedName name="\P" localSheetId="1">#REF!</definedName>
    <definedName name="\P" localSheetId="7">#REF!</definedName>
    <definedName name="\P" localSheetId="0">#REF!</definedName>
    <definedName name="\P" localSheetId="10">#REF!</definedName>
    <definedName name="\P">#REF!</definedName>
    <definedName name="\Q" localSheetId="7">#REF!</definedName>
    <definedName name="\Q">#REF!</definedName>
    <definedName name="\R">#REF!</definedName>
    <definedName name="\S" localSheetId="1">#REF!</definedName>
    <definedName name="\S" localSheetId="7">#REF!</definedName>
    <definedName name="\S" localSheetId="0">#REF!</definedName>
    <definedName name="\S" localSheetId="10">#REF!</definedName>
    <definedName name="\S">#REF!</definedName>
    <definedName name="\T">#REF!</definedName>
    <definedName name="\U">#REF!</definedName>
    <definedName name="__________bb" localSheetId="30" hidden="1">#REF!</definedName>
    <definedName name="__________bb" localSheetId="31" hidden="1">#REF!</definedName>
    <definedName name="__________bb" localSheetId="9" hidden="1">#REF!</definedName>
    <definedName name="__________bb" hidden="1">#REF!</definedName>
    <definedName name="__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__sort" localSheetId="31" hidden="1">#REF!</definedName>
    <definedName name="__________sort" localSheetId="7" hidden="1">#REF!</definedName>
    <definedName name="__________sort" localSheetId="9" hidden="1">#REF!</definedName>
    <definedName name="__________sort" hidden="1">#REF!</definedName>
    <definedName name="__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__bb" localSheetId="31" hidden="1">#REF!</definedName>
    <definedName name="_________bb" localSheetId="7" hidden="1">#REF!</definedName>
    <definedName name="_________bb" localSheetId="9" hidden="1">#REF!</definedName>
    <definedName name="_________bb" hidden="1">#REF!</definedName>
    <definedName name="_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_IS2" localSheetId="7" hidden="1">{#N/A,#N/A,FALSE,"OUT  AREC"}</definedName>
    <definedName name="_________IS2" localSheetId="10" hidden="1">{#N/A,#N/A,FALSE,"OUT  AREC"}</definedName>
    <definedName name="_________IS2" localSheetId="12" hidden="1">{#N/A,#N/A,FALSE,"OUT  AREC"}</definedName>
    <definedName name="_________IS2" hidden="1">{#N/A,#N/A,FALSE,"OUT  AREC"}</definedName>
    <definedName name="_________Sort" localSheetId="31" hidden="1">#REF!</definedName>
    <definedName name="_________Sort" localSheetId="7" hidden="1">#REF!</definedName>
    <definedName name="_________Sort" localSheetId="9" hidden="1">#REF!</definedName>
    <definedName name="_________Sort" hidden="1">#REF!</definedName>
    <definedName name="_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_IS2" localSheetId="7" hidden="1">{#N/A,#N/A,FALSE,"OUT  AREC"}</definedName>
    <definedName name="________IS2" localSheetId="10" hidden="1">{#N/A,#N/A,FALSE,"OUT  AREC"}</definedName>
    <definedName name="________IS2" localSheetId="12" hidden="1">{#N/A,#N/A,FALSE,"OUT  AREC"}</definedName>
    <definedName name="________IS2" hidden="1">{#N/A,#N/A,FALSE,"OUT  AREC"}</definedName>
    <definedName name="_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_IS2" localSheetId="7" hidden="1">{#N/A,#N/A,FALSE,"OUT  AREC"}</definedName>
    <definedName name="_______IS2" localSheetId="10" hidden="1">{#N/A,#N/A,FALSE,"OUT  AREC"}</definedName>
    <definedName name="_______IS2" localSheetId="12" hidden="1">{#N/A,#N/A,FALSE,"OUT  AREC"}</definedName>
    <definedName name="_______IS2" hidden="1">{#N/A,#N/A,FALSE,"OUT  AREC"}</definedName>
    <definedName name="_______kay1" localSheetId="31" hidden="1">#REF!</definedName>
    <definedName name="_______kay1" localSheetId="7" hidden="1">#REF!</definedName>
    <definedName name="_______kay1" localSheetId="9" hidden="1">#REF!</definedName>
    <definedName name="_______kay1" hidden="1">#REF!</definedName>
    <definedName name="_______ke1" localSheetId="31" hidden="1">#REF!</definedName>
    <definedName name="_______ke1" localSheetId="7" hidden="1">#REF!</definedName>
    <definedName name="_______ke1" hidden="1">#REF!</definedName>
    <definedName name="_______key1" localSheetId="31" hidden="1">#REF!</definedName>
    <definedName name="_______key1" localSheetId="7" hidden="1">#REF!</definedName>
    <definedName name="_______key1" hidden="1">#REF!</definedName>
    <definedName name="_______sort" localSheetId="31" hidden="1">#REF!</definedName>
    <definedName name="_______sort" localSheetId="7" hidden="1">#REF!</definedName>
    <definedName name="_______sort" hidden="1">#REF!</definedName>
    <definedName name="_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_IS2" localSheetId="7" hidden="1">{#N/A,#N/A,FALSE,"OUT  AREC"}</definedName>
    <definedName name="______IS2" localSheetId="10" hidden="1">{#N/A,#N/A,FALSE,"OUT  AREC"}</definedName>
    <definedName name="______IS2" localSheetId="12" hidden="1">{#N/A,#N/A,FALSE,"OUT  AREC"}</definedName>
    <definedName name="______IS2" hidden="1">{#N/A,#N/A,FALSE,"OUT  AREC"}</definedName>
    <definedName name="______key1" localSheetId="31" hidden="1">#REF!</definedName>
    <definedName name="______key1" localSheetId="7" hidden="1">#REF!</definedName>
    <definedName name="______key1" localSheetId="9" hidden="1">#REF!</definedName>
    <definedName name="______key1" hidden="1">#REF!</definedName>
    <definedName name="______sort1" localSheetId="31" hidden="1">#REF!</definedName>
    <definedName name="______sort1" localSheetId="7" hidden="1">#REF!</definedName>
    <definedName name="______sort1" hidden="1">#REF!</definedName>
    <definedName name="_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_Z05" hidden="1">{#N/A,#N/A,FALSE,"Australia";#N/A,#N/A,FALSE,"Austria";#N/A,#N/A,FALSE,"Belgium";#N/A,#N/A,FALSE,"Canada";#N/A,#N/A,FALSE,"France";#N/A,#N/A,FALSE,"Germany";#N/A,#N/A,FALSE,"Hong Kong";#N/A,#N/A,FALSE,"Italy";#N/A,#N/A,FALSE,"Japan";#N/A,#N/A,FALSE,"Korea";#N/A,#N/A,FALSE,"Mexico";#N/A,#N/A,FALSE,"Poland";#N/A,#N/A,FALSE,"Spain";#N/A,#N/A,FALSE,"Switzerland";#N/A,#N/A,FALSE,"UK"}</definedName>
    <definedName name="_____BB" localSheetId="31" hidden="1">#REF!</definedName>
    <definedName name="_____BB" localSheetId="7" hidden="1">#REF!</definedName>
    <definedName name="_____BB" localSheetId="9" hidden="1">#REF!</definedName>
    <definedName name="_____BB" hidden="1">#REF!</definedName>
    <definedName name="_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f18" hidden="1">{#N/A,#N/A,FALSE,"Australia";#N/A,#N/A,FALSE,"Austria";#N/A,#N/A,FALSE,"Belgium";#N/A,#N/A,FALSE,"Canada";#N/A,#N/A,FALSE,"France";#N/A,#N/A,FALSE,"Germany";#N/A,#N/A,FALSE,"Hong Kong";#N/A,#N/A,FALSE,"Italy";#N/A,#N/A,FALSE,"Japan";#N/A,#N/A,FALSE,"Korea";#N/A,#N/A,FALSE,"Mexico";#N/A,#N/A,FALSE,"Poland";#N/A,#N/A,FALSE,"Spain";#N/A,#N/A,FALSE,"Switzerland";#N/A,#N/A,FALSE,"UK"}</definedName>
    <definedName name="_____IS2" localSheetId="7" hidden="1">{#N/A,#N/A,FALSE,"OUT  AREC"}</definedName>
    <definedName name="_____IS2" localSheetId="10" hidden="1">{#N/A,#N/A,FALSE,"OUT  AREC"}</definedName>
    <definedName name="_____IS2" localSheetId="12" hidden="1">{#N/A,#N/A,FALSE,"OUT  AREC"}</definedName>
    <definedName name="_____IS2" hidden="1">{#N/A,#N/A,FALSE,"OUT  AREC"}</definedName>
    <definedName name="_____Sort" localSheetId="31" hidden="1">#REF!</definedName>
    <definedName name="_____Sort" localSheetId="7" hidden="1">#REF!</definedName>
    <definedName name="_____Sort" localSheetId="9" hidden="1">#REF!</definedName>
    <definedName name="_____Sort" hidden="1">#REF!</definedName>
    <definedName name="_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Z04"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_Z05" hidden="1">{#N/A,#N/A,FALSE,"Australia";#N/A,#N/A,FALSE,"Austria";#N/A,#N/A,FALSE,"Belgium";#N/A,#N/A,FALSE,"Canada";#N/A,#N/A,FALSE,"France";#N/A,#N/A,FALSE,"Germany";#N/A,#N/A,FALSE,"Hong Kong";#N/A,#N/A,FALSE,"Italy";#N/A,#N/A,FALSE,"Japan";#N/A,#N/A,FALSE,"Korea";#N/A,#N/A,FALSE,"Mexico";#N/A,#N/A,FALSE,"Poland";#N/A,#N/A,FALSE,"Spain";#N/A,#N/A,FALSE,"Switzerland";#N/A,#N/A,FALSE,"UK"}</definedName>
    <definedName name="____AUG99" localSheetId="7" hidden="1">{"SEP",#N/A,FALSE,"SEP"}</definedName>
    <definedName name="____AUG99" localSheetId="10" hidden="1">{"SEP",#N/A,FALSE,"SEP"}</definedName>
    <definedName name="____AUG99" localSheetId="12" hidden="1">{"SEP",#N/A,FALSE,"SEP"}</definedName>
    <definedName name="____AUG99" hidden="1">{"SEP",#N/A,FALSE,"SEP"}</definedName>
    <definedName name="____e3" localSheetId="7" hidden="1">{"SEP",#N/A,FALSE,"SEP"}</definedName>
    <definedName name="____e3" localSheetId="10" hidden="1">{"SEP",#N/A,FALSE,"SEP"}</definedName>
    <definedName name="____e3" localSheetId="12" hidden="1">{"SEP",#N/A,FALSE,"SEP"}</definedName>
    <definedName name="____e3" hidden="1">{"SEP",#N/A,FALSE,"SEP"}</definedName>
    <definedName name="_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f18" hidden="1">{#N/A,#N/A,FALSE,"Australia";#N/A,#N/A,FALSE,"Austria";#N/A,#N/A,FALSE,"Belgium";#N/A,#N/A,FALSE,"Canada";#N/A,#N/A,FALSE,"France";#N/A,#N/A,FALSE,"Germany";#N/A,#N/A,FALSE,"Hong Kong";#N/A,#N/A,FALSE,"Italy";#N/A,#N/A,FALSE,"Japan";#N/A,#N/A,FALSE,"Korea";#N/A,#N/A,FALSE,"Mexico";#N/A,#N/A,FALSE,"Poland";#N/A,#N/A,FALSE,"Spain";#N/A,#N/A,FALSE,"Switzerland";#N/A,#N/A,FALSE,"UK"}</definedName>
    <definedName name="____IS2" localSheetId="7" hidden="1">{#N/A,#N/A,FALSE,"OUT  AREC"}</definedName>
    <definedName name="____IS2" localSheetId="10" hidden="1">{#N/A,#N/A,FALSE,"OUT  AREC"}</definedName>
    <definedName name="____IS2" localSheetId="12" hidden="1">{#N/A,#N/A,FALSE,"OUT  AREC"}</definedName>
    <definedName name="____IS2" hidden="1">{#N/A,#N/A,FALSE,"OUT  AREC"}</definedName>
    <definedName name="____JAN01" localSheetId="7" hidden="1">{"SEP",#N/A,FALSE,"SEP"}</definedName>
    <definedName name="____JAN01" localSheetId="10" hidden="1">{"SEP",#N/A,FALSE,"SEP"}</definedName>
    <definedName name="____JAN01" localSheetId="12" hidden="1">{"SEP",#N/A,FALSE,"SEP"}</definedName>
    <definedName name="____JAN01" hidden="1">{"SEP",#N/A,FALSE,"SEP"}</definedName>
    <definedName name="____sort" localSheetId="31" hidden="1">#REF!</definedName>
    <definedName name="____sort" localSheetId="7" hidden="1">#REF!</definedName>
    <definedName name="____sort" localSheetId="9" hidden="1">#REF!</definedName>
    <definedName name="____sort" hidden="1">#REF!</definedName>
    <definedName name="_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Z04"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_Z05" hidden="1">{#N/A,#N/A,FALSE,"Australia";#N/A,#N/A,FALSE,"Austria";#N/A,#N/A,FALSE,"Belgium";#N/A,#N/A,FALSE,"Canada";#N/A,#N/A,FALSE,"France";#N/A,#N/A,FALSE,"Germany";#N/A,#N/A,FALSE,"Hong Kong";#N/A,#N/A,FALSE,"Italy";#N/A,#N/A,FALSE,"Japan";#N/A,#N/A,FALSE,"Korea";#N/A,#N/A,FALSE,"Mexico";#N/A,#N/A,FALSE,"Poland";#N/A,#N/A,FALSE,"Spain";#N/A,#N/A,FALSE,"Switzerland";#N/A,#N/A,FALSE,"UK"}</definedName>
    <definedName name="___bb" localSheetId="31" hidden="1">#REF!</definedName>
    <definedName name="___bb" localSheetId="7" hidden="1">#REF!</definedName>
    <definedName name="___bb" localSheetId="9" hidden="1">#REF!</definedName>
    <definedName name="___bb" hidden="1">#REF!</definedName>
    <definedName name="_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f18" hidden="1">{#N/A,#N/A,FALSE,"Australia";#N/A,#N/A,FALSE,"Austria";#N/A,#N/A,FALSE,"Belgium";#N/A,#N/A,FALSE,"Canada";#N/A,#N/A,FALSE,"France";#N/A,#N/A,FALSE,"Germany";#N/A,#N/A,FALSE,"Hong Kong";#N/A,#N/A,FALSE,"Italy";#N/A,#N/A,FALSE,"Japan";#N/A,#N/A,FALSE,"Korea";#N/A,#N/A,FALSE,"Mexico";#N/A,#N/A,FALSE,"Poland";#N/A,#N/A,FALSE,"Spain";#N/A,#N/A,FALSE,"Switzerland";#N/A,#N/A,FALSE,"UK"}</definedName>
    <definedName name="___IS2" localSheetId="7" hidden="1">{#N/A,#N/A,FALSE,"OUT  AREC"}</definedName>
    <definedName name="___IS2" localSheetId="10" hidden="1">{#N/A,#N/A,FALSE,"OUT  AREC"}</definedName>
    <definedName name="___IS2" localSheetId="12" hidden="1">{#N/A,#N/A,FALSE,"OUT  AREC"}</definedName>
    <definedName name="___IS2" hidden="1">{#N/A,#N/A,FALSE,"OUT  AREC"}</definedName>
    <definedName name="___Key1" localSheetId="31" hidden="1">#REF!</definedName>
    <definedName name="___Key1" localSheetId="7" hidden="1">#REF!</definedName>
    <definedName name="___Key1" localSheetId="9" hidden="1">#REF!</definedName>
    <definedName name="___Key1" hidden="1">#REF!</definedName>
    <definedName name="___Sort" localSheetId="31" hidden="1">#REF!</definedName>
    <definedName name="___Sort" localSheetId="7" hidden="1">#REF!</definedName>
    <definedName name="___Sort" hidden="1">#REF!</definedName>
    <definedName name="_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23Graph_A" localSheetId="1" hidden="1">#REF!</definedName>
    <definedName name="__123Graph_A" localSheetId="17" hidden="1">#REF!</definedName>
    <definedName name="__123Graph_A" localSheetId="30" hidden="1">#REF!</definedName>
    <definedName name="__123Graph_A" localSheetId="19" hidden="1">#REF!</definedName>
    <definedName name="__123Graph_A" localSheetId="7" hidden="1">#REF!</definedName>
    <definedName name="__123Graph_A" localSheetId="0" hidden="1">#REF!</definedName>
    <definedName name="__123Graph_A" localSheetId="9" hidden="1">#REF!</definedName>
    <definedName name="__123Graph_A" hidden="1">#REF!</definedName>
    <definedName name="__123Graph_A1991" hidden="1">#REF!</definedName>
    <definedName name="__123Graph_A1992" hidden="1">#REF!</definedName>
    <definedName name="__123Graph_A1993" hidden="1">#REF!</definedName>
    <definedName name="__123Graph_A1994" hidden="1">#REF!</definedName>
    <definedName name="__123Graph_A1995" hidden="1">#REF!</definedName>
    <definedName name="__123Graph_A1996" hidden="1">#REF!</definedName>
    <definedName name="__123Graph_ABAR" hidden="1">#REF!</definedName>
    <definedName name="__123Graph_Achart" localSheetId="19" hidden="1">#REF!</definedName>
    <definedName name="__123Graph_Achart" hidden="1">#REF!</definedName>
    <definedName name="__123Graph_ACurrent" localSheetId="1" hidden="1">#REF!</definedName>
    <definedName name="__123Graph_ACurrent" localSheetId="17" hidden="1">#REF!</definedName>
    <definedName name="__123Graph_ACurrent" localSheetId="30" hidden="1">#REF!</definedName>
    <definedName name="__123Graph_ACurrent" localSheetId="31" hidden="1">#REF!</definedName>
    <definedName name="__123Graph_ACurrent" localSheetId="19" hidden="1">#REF!</definedName>
    <definedName name="__123Graph_ACurrent" localSheetId="7" hidden="1">#REF!</definedName>
    <definedName name="__123Graph_ACurrent" localSheetId="9" hidden="1">#REF!</definedName>
    <definedName name="__123Graph_ACurrent" hidden="1">#REF!</definedName>
    <definedName name="__123Graph_AHOBKEN4H" localSheetId="1" hidden="1">#REF!</definedName>
    <definedName name="__123Graph_AHOBKEN4H" localSheetId="17" hidden="1">#REF!</definedName>
    <definedName name="__123Graph_AHOBKEN4H" localSheetId="30" hidden="1">#REF!</definedName>
    <definedName name="__123Graph_AHOBKEN4H" localSheetId="31" hidden="1">#REF!</definedName>
    <definedName name="__123Graph_AHOBKEN4H" localSheetId="7" hidden="1">#REF!</definedName>
    <definedName name="__123Graph_AHOBKEN4H" localSheetId="9" hidden="1">#REF!</definedName>
    <definedName name="__123Graph_AHOBKEN4H" hidden="1">#REF!</definedName>
    <definedName name="__123Graph_AJCCASH4" localSheetId="1" hidden="1">#REF!</definedName>
    <definedName name="__123Graph_AJCCASH4" localSheetId="31" hidden="1">#REF!</definedName>
    <definedName name="__123Graph_AJCCASH4" localSheetId="7" hidden="1">#REF!</definedName>
    <definedName name="__123Graph_AJCCASH4" localSheetId="9" hidden="1">#REF!</definedName>
    <definedName name="__123Graph_AJCCASH4" hidden="1">#REF!</definedName>
    <definedName name="__123Graph_AJCCASH5" localSheetId="1" hidden="1">#REF!</definedName>
    <definedName name="__123Graph_AJCCASH5" localSheetId="31" hidden="1">#REF!</definedName>
    <definedName name="__123Graph_AJCCASH5" localSheetId="7" hidden="1">#REF!</definedName>
    <definedName name="__123Graph_AJCCASH5" localSheetId="9" hidden="1">#REF!</definedName>
    <definedName name="__123Graph_AJCCASH5" hidden="1">#REF!</definedName>
    <definedName name="__123Graph_AJCCASH6" localSheetId="31" hidden="1">#REF!</definedName>
    <definedName name="__123Graph_AJCCASH6" localSheetId="7" hidden="1">#REF!</definedName>
    <definedName name="__123Graph_AJCCASH6" hidden="1">#REF!</definedName>
    <definedName name="__123Graph_AJCCASH7" localSheetId="31" hidden="1">#REF!</definedName>
    <definedName name="__123Graph_AJCCASH7" localSheetId="7" hidden="1">#REF!</definedName>
    <definedName name="__123Graph_AJCCASH7" hidden="1">#REF!</definedName>
    <definedName name="__123Graph_B" localSheetId="1" hidden="1">#REF!</definedName>
    <definedName name="__123Graph_B" localSheetId="17" hidden="1">#REF!</definedName>
    <definedName name="__123Graph_B" localSheetId="30" hidden="1">#REF!</definedName>
    <definedName name="__123Graph_B" localSheetId="19" hidden="1">#REF!</definedName>
    <definedName name="__123Graph_B" localSheetId="7" hidden="1">#REF!</definedName>
    <definedName name="__123Graph_B" localSheetId="0" hidden="1">#REF!</definedName>
    <definedName name="__123Graph_B" localSheetId="10" hidden="1">#REF!</definedName>
    <definedName name="__123Graph_B" localSheetId="9" hidden="1">#REF!</definedName>
    <definedName name="__123Graph_B" hidden="1">#REF!</definedName>
    <definedName name="__123Graph_B1991" hidden="1">#REF!</definedName>
    <definedName name="__123Graph_B1992" hidden="1">#REF!</definedName>
    <definedName name="__123Graph_B1993" hidden="1">#REF!</definedName>
    <definedName name="__123Graph_B1994" hidden="1">#REF!</definedName>
    <definedName name="__123Graph_B1995" hidden="1">#REF!</definedName>
    <definedName name="__123Graph_B1996" hidden="1">#REF!</definedName>
    <definedName name="__123Graph_BBAR" hidden="1">#REF!</definedName>
    <definedName name="__123Graph_BCurrent" localSheetId="1" hidden="1">#REF!</definedName>
    <definedName name="__123Graph_BCurrent" localSheetId="30" hidden="1">#REF!</definedName>
    <definedName name="__123Graph_BCurrent" localSheetId="19" hidden="1">#REF!</definedName>
    <definedName name="__123Graph_BCurrent" localSheetId="9" hidden="1">#REF!</definedName>
    <definedName name="__123Graph_BCurrent" hidden="1">#REF!</definedName>
    <definedName name="__123Graph_BHOBKEN4H" localSheetId="1" hidden="1">#REF!</definedName>
    <definedName name="__123Graph_BHOBKEN4H" localSheetId="17" hidden="1">#REF!</definedName>
    <definedName name="__123Graph_BHOBKEN4H" localSheetId="30" hidden="1">#REF!</definedName>
    <definedName name="__123Graph_BHOBKEN4H" localSheetId="31" hidden="1">#REF!</definedName>
    <definedName name="__123Graph_BHOBKEN4H" localSheetId="7" hidden="1">#REF!</definedName>
    <definedName name="__123Graph_BHOBKEN4H" localSheetId="9" hidden="1">#REF!</definedName>
    <definedName name="__123Graph_BHOBKEN4H" hidden="1">#REF!</definedName>
    <definedName name="__123Graph_BHOBOKEN" localSheetId="1" hidden="1">#REF!</definedName>
    <definedName name="__123Graph_BHOBOKEN" localSheetId="31" hidden="1">#REF!</definedName>
    <definedName name="__123Graph_BHOBOKEN" localSheetId="7" hidden="1">#REF!</definedName>
    <definedName name="__123Graph_BHOBOKEN" localSheetId="9" hidden="1">#REF!</definedName>
    <definedName name="__123Graph_BHOBOKEN" hidden="1">#REF!</definedName>
    <definedName name="__123Graph_BJCCASH4" localSheetId="1" hidden="1">#REF!</definedName>
    <definedName name="__123Graph_BJCCASH4" localSheetId="31" hidden="1">#REF!</definedName>
    <definedName name="__123Graph_BJCCASH4" localSheetId="7" hidden="1">#REF!</definedName>
    <definedName name="__123Graph_BJCCASH4" localSheetId="9" hidden="1">#REF!</definedName>
    <definedName name="__123Graph_BJCCASH4" hidden="1">#REF!</definedName>
    <definedName name="__123Graph_BJCCASH5" localSheetId="31" hidden="1">#REF!</definedName>
    <definedName name="__123Graph_BJCCASH5" localSheetId="7" hidden="1">#REF!</definedName>
    <definedName name="__123Graph_BJCCASH5" hidden="1">#REF!</definedName>
    <definedName name="__123Graph_BJCCASH6" localSheetId="31" hidden="1">#REF!</definedName>
    <definedName name="__123Graph_BJCCASH6" localSheetId="7" hidden="1">#REF!</definedName>
    <definedName name="__123Graph_BJCCASH6" hidden="1">#REF!</definedName>
    <definedName name="__123Graph_BJCCASH7" localSheetId="31" hidden="1">#REF!</definedName>
    <definedName name="__123Graph_BJCCASH7" localSheetId="7" hidden="1">#REF!</definedName>
    <definedName name="__123Graph_BJCCASH7" hidden="1">#REF!</definedName>
    <definedName name="__123Graph_C" localSheetId="1" hidden="1">#REF!</definedName>
    <definedName name="__123Graph_C" localSheetId="31" hidden="1">#REF!</definedName>
    <definedName name="__123Graph_C" localSheetId="7" hidden="1">#REF!</definedName>
    <definedName name="__123Graph_C" localSheetId="0" hidden="1">#REF!</definedName>
    <definedName name="__123Graph_C" localSheetId="10" hidden="1">#REF!</definedName>
    <definedName name="__123Graph_C" hidden="1">#REF!</definedName>
    <definedName name="__123Graph_CBAR" localSheetId="10" hidden="1">#REF!</definedName>
    <definedName name="__123Graph_CBAR" hidden="1">#REF!</definedName>
    <definedName name="__123Graph_D" localSheetId="1" hidden="1">#REF!</definedName>
    <definedName name="__123Graph_D" localSheetId="17" hidden="1">#REF!</definedName>
    <definedName name="__123Graph_D" localSheetId="30" hidden="1">#REF!</definedName>
    <definedName name="__123Graph_D" localSheetId="19" hidden="1">#REF!</definedName>
    <definedName name="__123Graph_D" localSheetId="7" hidden="1">#REF!</definedName>
    <definedName name="__123Graph_D" localSheetId="0" hidden="1">#REF!</definedName>
    <definedName name="__123Graph_D" localSheetId="9" hidden="1">#REF!</definedName>
    <definedName name="__123Graph_D" hidden="1">#REF!</definedName>
    <definedName name="__123Graph_DBAR" hidden="1">#REF!</definedName>
    <definedName name="__123Graph_E" localSheetId="1" hidden="1">#REF!</definedName>
    <definedName name="__123Graph_E" localSheetId="30" hidden="1">#REF!</definedName>
    <definedName name="__123Graph_E" localSheetId="19" hidden="1">#REF!</definedName>
    <definedName name="__123Graph_E" localSheetId="7" hidden="1">#REF!</definedName>
    <definedName name="__123Graph_E" localSheetId="0" hidden="1">#REF!</definedName>
    <definedName name="__123Graph_E" localSheetId="9" hidden="1">#REF!</definedName>
    <definedName name="__123Graph_E" hidden="1">#REF!</definedName>
    <definedName name="__123Graph_EBAR" hidden="1">#REF!</definedName>
    <definedName name="__123Graph_ECURRENT" localSheetId="19" hidden="1">#REF!</definedName>
    <definedName name="__123Graph_ECURRENT" localSheetId="9" hidden="1">#REF!</definedName>
    <definedName name="__123Graph_ECURRENT" hidden="1">#REF!</definedName>
    <definedName name="__123Graph_F" localSheetId="1" hidden="1">#REF!</definedName>
    <definedName name="__123Graph_F" localSheetId="19" hidden="1">#REF!</definedName>
    <definedName name="__123Graph_F" localSheetId="7" hidden="1">#REF!</definedName>
    <definedName name="__123Graph_F" localSheetId="0" hidden="1">#REF!</definedName>
    <definedName name="__123Graph_F" localSheetId="9" hidden="1">#REF!</definedName>
    <definedName name="__123Graph_F" hidden="1">#REF!</definedName>
    <definedName name="__123Graph_FBAR" hidden="1">#REF!</definedName>
    <definedName name="__123Graph_LBL_A" localSheetId="1" hidden="1">#REF!</definedName>
    <definedName name="__123Graph_LBL_A" localSheetId="19" hidden="1">#REF!</definedName>
    <definedName name="__123Graph_LBL_A" hidden="1">#REF!</definedName>
    <definedName name="__123Graph_X" localSheetId="1" hidden="1">#REF!</definedName>
    <definedName name="__123Graph_X" localSheetId="17" hidden="1">#REF!</definedName>
    <definedName name="__123Graph_X" localSheetId="30" hidden="1">#REF!</definedName>
    <definedName name="__123Graph_X" localSheetId="31" hidden="1">#REF!</definedName>
    <definedName name="__123Graph_X" localSheetId="7" hidden="1">#REF!</definedName>
    <definedName name="__123Graph_X" localSheetId="0" hidden="1">#REF!</definedName>
    <definedName name="__123Graph_X" localSheetId="10" hidden="1">#REF!</definedName>
    <definedName name="__123Graph_X" localSheetId="9" hidden="1">#REF!</definedName>
    <definedName name="__123Graph_X" hidden="1">#REF!</definedName>
    <definedName name="__123Graph_X1991" localSheetId="7" hidden="1">#REF!</definedName>
    <definedName name="__123Graph_X1991" localSheetId="10" hidden="1">#REF!</definedName>
    <definedName name="__123Graph_X1991" hidden="1">#REF!</definedName>
    <definedName name="__123Graph_X1992" localSheetId="10" hidden="1">#REF!</definedName>
    <definedName name="__123Graph_X1992" hidden="1">#REF!</definedName>
    <definedName name="__123Graph_X1993" localSheetId="10" hidden="1">#REF!</definedName>
    <definedName name="__123Graph_X1993" hidden="1">#REF!</definedName>
    <definedName name="__123Graph_X1994" hidden="1">#REF!</definedName>
    <definedName name="__123Graph_X1995" hidden="1">#REF!</definedName>
    <definedName name="__123Graph_X1996" hidden="1">#REF!</definedName>
    <definedName name="__123Graph_XCHART" localSheetId="19" hidden="1">#REF!</definedName>
    <definedName name="__123Graph_XCHART" hidden="1">#REF!</definedName>
    <definedName name="__123Graph_XCurrent" localSheetId="1" hidden="1">#REF!</definedName>
    <definedName name="__123Graph_XCurrent" localSheetId="17" hidden="1">#REF!</definedName>
    <definedName name="__123Graph_XCurrent" localSheetId="30" hidden="1">#REF!</definedName>
    <definedName name="__123Graph_XCurrent" localSheetId="31" hidden="1">#REF!</definedName>
    <definedName name="__123Graph_XCurrent" localSheetId="19" hidden="1">#REF!</definedName>
    <definedName name="__123Graph_XCurrent" localSheetId="7" hidden="1">#REF!</definedName>
    <definedName name="__123Graph_XCurrent" localSheetId="9" hidden="1">#REF!</definedName>
    <definedName name="__123Graph_XCurrent" hidden="1">#REF!</definedName>
    <definedName name="__123Graph_XJCCASH4" localSheetId="1" hidden="1">#REF!</definedName>
    <definedName name="__123Graph_XJCCASH4" localSheetId="17" hidden="1">#REF!</definedName>
    <definedName name="__123Graph_XJCCASH4" localSheetId="30" hidden="1">#REF!</definedName>
    <definedName name="__123Graph_XJCCASH4" localSheetId="31" hidden="1">#REF!</definedName>
    <definedName name="__123Graph_XJCCASH4" localSheetId="7" hidden="1">#REF!</definedName>
    <definedName name="__123Graph_XJCCASH4" localSheetId="9" hidden="1">#REF!</definedName>
    <definedName name="__123Graph_XJCCASH4" hidden="1">#REF!</definedName>
    <definedName name="__123Graph_XJCCASH5" localSheetId="1" hidden="1">#REF!</definedName>
    <definedName name="__123Graph_XJCCASH5" localSheetId="31" hidden="1">#REF!</definedName>
    <definedName name="__123Graph_XJCCASH5" localSheetId="7" hidden="1">#REF!</definedName>
    <definedName name="__123Graph_XJCCASH5" localSheetId="9" hidden="1">#REF!</definedName>
    <definedName name="__123Graph_XJCCASH5" hidden="1">#REF!</definedName>
    <definedName name="__123Graph_XJCCASH6" localSheetId="1" hidden="1">#REF!</definedName>
    <definedName name="__123Graph_XJCCASH6" localSheetId="31" hidden="1">#REF!</definedName>
    <definedName name="__123Graph_XJCCASH6" localSheetId="7" hidden="1">#REF!</definedName>
    <definedName name="__123Graph_XJCCASH6" localSheetId="9" hidden="1">#REF!</definedName>
    <definedName name="__123Graph_XJCCASH6" hidden="1">#REF!</definedName>
    <definedName name="__123Graph_XJCCASH7" localSheetId="31" hidden="1">#REF!</definedName>
    <definedName name="__123Graph_XJCCASH7" localSheetId="7" hidden="1">#REF!</definedName>
    <definedName name="__123Graph_XJCCASH7" hidden="1">#REF!</definedName>
    <definedName name="__APW_RESTORE_DATA1__" localSheetId="10" hidden="1">#REF!</definedName>
    <definedName name="__APW_RESTORE_DATA1__" hidden="1">#REF!</definedName>
    <definedName name="__AUG99" localSheetId="7" hidden="1">{"SEP",#N/A,FALSE,"SEP"}</definedName>
    <definedName name="__AUG99" localSheetId="10" hidden="1">{"SEP",#N/A,FALSE,"SEP"}</definedName>
    <definedName name="__AUG99" localSheetId="12" hidden="1">{"SEP",#N/A,FALSE,"SEP"}</definedName>
    <definedName name="__AUG99" hidden="1">{"SEP",#N/A,FALSE,"SEP"}</definedName>
    <definedName name="__BB" localSheetId="31" hidden="1">#REF!</definedName>
    <definedName name="__BB" localSheetId="7" hidden="1">#REF!</definedName>
    <definedName name="__BB" localSheetId="9" hidden="1">#REF!</definedName>
    <definedName name="__BB" hidden="1">#REF!</definedName>
    <definedName name="__CNC2.CE2" localSheetId="7">#REF!</definedName>
    <definedName name="__CNC2.CE2" localSheetId="10">#REF!</definedName>
    <definedName name="__CNC2.CE2">#REF!</definedName>
    <definedName name="__d2" localSheetId="7" hidden="1">{"Income Statement",#N/A,FALSE,"CFMODEL";"Balance Sheet",#N/A,FALSE,"CFMODEL"}</definedName>
    <definedName name="__d2" localSheetId="10" hidden="1">{"Income Statement",#N/A,FALSE,"CFMODEL";"Balance Sheet",#N/A,FALSE,"CFMODEL"}</definedName>
    <definedName name="__d2" localSheetId="12" hidden="1">{"Income Statement",#N/A,FALSE,"CFMODEL";"Balance Sheet",#N/A,FALSE,"CFMODEL"}</definedName>
    <definedName name="__d2" hidden="1">{"Income Statement",#N/A,FALSE,"CFMODEL";"Balance Sheet",#N/A,FALSE,"CFMODEL"}</definedName>
    <definedName name="__Div02">#REF!</definedName>
    <definedName name="__div10" localSheetId="12">#REF!</definedName>
    <definedName name="__div10">#REF!</definedName>
    <definedName name="__DIV12" localSheetId="12">#REF!</definedName>
    <definedName name="__DIV12">#REF!</definedName>
    <definedName name="__div21">#REF!</definedName>
    <definedName name="__e3" localSheetId="7" hidden="1">{"SEP",#N/A,FALSE,"SEP"}</definedName>
    <definedName name="__e3" localSheetId="10" hidden="1">{"SEP",#N/A,FALSE,"SEP"}</definedName>
    <definedName name="__e3" localSheetId="12" hidden="1">{"SEP",#N/A,FALSE,"SEP"}</definedName>
    <definedName name="__e3" hidden="1">{"SEP",#N/A,FALSE,"SEP"}</definedName>
    <definedName name="__EXH1" localSheetId="12">#REF!</definedName>
    <definedName name="__EXH1">#REF!</definedName>
    <definedName name="__EXH6" localSheetId="12">#REF!</definedName>
    <definedName name="__EXH6">#REF!</definedName>
    <definedName name="_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f18" hidden="1">{#N/A,#N/A,FALSE,"Australia";#N/A,#N/A,FALSE,"Austria";#N/A,#N/A,FALSE,"Belgium";#N/A,#N/A,FALSE,"Canada";#N/A,#N/A,FALSE,"France";#N/A,#N/A,FALSE,"Germany";#N/A,#N/A,FALSE,"Hong Kong";#N/A,#N/A,FALSE,"Italy";#N/A,#N/A,FALSE,"Japan";#N/A,#N/A,FALSE,"Korea";#N/A,#N/A,FALSE,"Mexico";#N/A,#N/A,FALSE,"Poland";#N/A,#N/A,FALSE,"Spain";#N/A,#N/A,FALSE,"Switzerland";#N/A,#N/A,FALSE,"UK"}</definedName>
    <definedName name="__FDS_HYPERLINK_TOGGLE_STATE__" hidden="1">"ON"</definedName>
    <definedName name="__FDS_UNIQUE_RANGE_ID_GENERATOR_COUNTER" hidden="1">1</definedName>
    <definedName name="__Fill" hidden="1">#REF!</definedName>
    <definedName name="__IntlFixup" hidden="1">TRUE</definedName>
    <definedName name="__IS2" localSheetId="7" hidden="1">{#N/A,#N/A,FALSE,"OUT  AREC"}</definedName>
    <definedName name="__IS2" localSheetId="10" hidden="1">{#N/A,#N/A,FALSE,"OUT  AREC"}</definedName>
    <definedName name="__IS2" localSheetId="12" hidden="1">{#N/A,#N/A,FALSE,"OUT  AREC"}</definedName>
    <definedName name="__IS2" hidden="1">{#N/A,#N/A,FALSE,"OUT  AREC"}</definedName>
    <definedName name="__JAN01" localSheetId="7" hidden="1">{"SEP",#N/A,FALSE,"SEP"}</definedName>
    <definedName name="__JAN01" localSheetId="10" hidden="1">{"SEP",#N/A,FALSE,"SEP"}</definedName>
    <definedName name="__JAN01" localSheetId="12" hidden="1">{"SEP",#N/A,FALSE,"SEP"}</definedName>
    <definedName name="__JAN01" hidden="1">{"SEP",#N/A,FALSE,"SEP"}</definedName>
    <definedName name="__key1" localSheetId="1" hidden="1">#REF!</definedName>
    <definedName name="__key1" localSheetId="17" hidden="1">#REF!</definedName>
    <definedName name="__key1" localSheetId="31" hidden="1">#REF!</definedName>
    <definedName name="__key1" localSheetId="7" hidden="1">#REF!</definedName>
    <definedName name="__key1" localSheetId="9" hidden="1">#REF!</definedName>
    <definedName name="__key1" hidden="1">#REF!</definedName>
    <definedName name="__n4" localSheetId="7" hidden="1">{"EXCELHLP.HLP!1802";5;10;5;10;13;13;13;8;5;5;10;14;13;13;13;13;5;10;14;13;5;10;1;2;24}</definedName>
    <definedName name="__n4" localSheetId="10" hidden="1">{"EXCELHLP.HLP!1802";5;10;5;10;13;13;13;8;5;5;10;14;13;13;13;13;5;10;14;13;5;10;1;2;24}</definedName>
    <definedName name="__n4" localSheetId="12" hidden="1">{"EXCELHLP.HLP!1802";5;10;5;10;13;13;13;8;5;5;10;14;13;13;13;13;5;10;14;13;5;10;1;2;24}</definedName>
    <definedName name="__n4" hidden="1">{"EXCELHLP.HLP!1802";5;10;5;10;13;13;13;8;5;5;10;14;13;13;13;13;5;10;14;13;5;10;1;2;24}</definedName>
    <definedName name="__pb1" localSheetId="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1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3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3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1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1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1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2" localSheetId="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1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3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3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1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1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1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3" localSheetId="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1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3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3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1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1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1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g1" localSheetId="12">#REF!</definedName>
    <definedName name="__pg1">#REF!</definedName>
    <definedName name="__pg2" localSheetId="7">#REF!</definedName>
    <definedName name="__pg2" localSheetId="12">#REF!</definedName>
    <definedName name="__pg2">#REF!</definedName>
    <definedName name="__pri0004" localSheetId="7">#REF!</definedName>
    <definedName name="__pri0004" localSheetId="10">#REF!</definedName>
    <definedName name="__pri0004">#REF!</definedName>
    <definedName name="__pri0005" localSheetId="7">#REF!</definedName>
    <definedName name="__pri0005" localSheetId="10">#REF!</definedName>
    <definedName name="__pri0005">#REF!</definedName>
    <definedName name="__pri0006" localSheetId="10">#REF!</definedName>
    <definedName name="__pri0006">#REF!</definedName>
    <definedName name="__pri0007" localSheetId="10">#REF!</definedName>
    <definedName name="__pri0007">#REF!</definedName>
    <definedName name="__pri0008">#REF!</definedName>
    <definedName name="__pri0009">#REF!</definedName>
    <definedName name="__pri0010">#REF!</definedName>
    <definedName name="__pri0011">#REF!</definedName>
    <definedName name="__pri0012">#REF!</definedName>
    <definedName name="__pri0013">#REF!</definedName>
    <definedName name="__pri0014">#REF!</definedName>
    <definedName name="__pri0015">#REF!</definedName>
    <definedName name="__pri0016">#REF!</definedName>
    <definedName name="__pri0017">#REF!</definedName>
    <definedName name="__pri0019">#REF!</definedName>
    <definedName name="__Sort" localSheetId="1" hidden="1">#REF!</definedName>
    <definedName name="__Sort" localSheetId="31" hidden="1">#REF!</definedName>
    <definedName name="__Sort" localSheetId="7" hidden="1">#REF!</definedName>
    <definedName name="__Sort" localSheetId="9" hidden="1">#REF!</definedName>
    <definedName name="__Sort" hidden="1">#REF!</definedName>
    <definedName name="__Sort1" localSheetId="31" hidden="1">#REF!</definedName>
    <definedName name="__Sort1" localSheetId="7" hidden="1">#REF!</definedName>
    <definedName name="__Sort1" localSheetId="9" hidden="1">#REF!</definedName>
    <definedName name="__Sort1" hidden="1">#REF!</definedName>
    <definedName name="__swe80">#REF!</definedName>
    <definedName name="__tst2" localSheetId="7" hidden="1">{"SourcesUses",#N/A,TRUE,"CFMODEL";"TransOverview",#N/A,TRUE,"CFMODEL"}</definedName>
    <definedName name="__tst2" localSheetId="10" hidden="1">{"SourcesUses",#N/A,TRUE,"CFMODEL";"TransOverview",#N/A,TRUE,"CFMODEL"}</definedName>
    <definedName name="__tst2" localSheetId="12" hidden="1">{"SourcesUses",#N/A,TRUE,"CFMODEL";"TransOverview",#N/A,TRUE,"CFMODEL"}</definedName>
    <definedName name="__tst2" hidden="1">{"SourcesUses",#N/A,TRUE,"CFMODEL";"TransOverview",#N/A,TRUE,"CFMODEL"}</definedName>
    <definedName name="__tst3" localSheetId="7" hidden="1">{"SourcesUses",#N/A,TRUE,#N/A;"TransOverview",#N/A,TRUE,"CFMODEL"}</definedName>
    <definedName name="__tst3" localSheetId="10" hidden="1">{"SourcesUses",#N/A,TRUE,#N/A;"TransOverview",#N/A,TRUE,"CFMODEL"}</definedName>
    <definedName name="__tst3" localSheetId="12" hidden="1">{"SourcesUses",#N/A,TRUE,#N/A;"TransOverview",#N/A,TRUE,"CFMODEL"}</definedName>
    <definedName name="__tst3" hidden="1">{"SourcesUses",#N/A,TRUE,#N/A;"TransOverview",#N/A,TRUE,"CFMODEL"}</definedName>
    <definedName name="__tst4" localSheetId="7" hidden="1">{"SourcesUses",#N/A,TRUE,"FundsFlow";"TransOverview",#N/A,TRUE,"FundsFlow"}</definedName>
    <definedName name="__tst4" localSheetId="10" hidden="1">{"SourcesUses",#N/A,TRUE,"FundsFlow";"TransOverview",#N/A,TRUE,"FundsFlow"}</definedName>
    <definedName name="__tst4" localSheetId="12" hidden="1">{"SourcesUses",#N/A,TRUE,"FundsFlow";"TransOverview",#N/A,TRUE,"FundsFlow"}</definedName>
    <definedName name="__tst4" hidden="1">{"SourcesUses",#N/A,TRUE,"FundsFlow";"TransOverview",#N/A,TRUE,"FundsFlow"}</definedName>
    <definedName name="__ucg80">#REF!</definedName>
    <definedName name="_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1" localSheetId="1" hidden="1">{#N/A,#N/A,FALSE,"SCA";#N/A,#N/A,FALSE,"NCA";#N/A,#N/A,FALSE,"SAZ";#N/A,#N/A,FALSE,"CAZ";#N/A,#N/A,FALSE,"SNV";#N/A,#N/A,FALSE,"NNV";#N/A,#N/A,FALSE,"PP";#N/A,#N/A,FALSE,"SA"}</definedName>
    <definedName name="_1" localSheetId="17" hidden="1">{#N/A,#N/A,FALSE,"SCA";#N/A,#N/A,FALSE,"NCA";#N/A,#N/A,FALSE,"SAZ";#N/A,#N/A,FALSE,"CAZ";#N/A,#N/A,FALSE,"SNV";#N/A,#N/A,FALSE,"NNV";#N/A,#N/A,FALSE,"PP";#N/A,#N/A,FALSE,"SA"}</definedName>
    <definedName name="_1" localSheetId="30" hidden="1">{#N/A,#N/A,FALSE,"SCA";#N/A,#N/A,FALSE,"NCA";#N/A,#N/A,FALSE,"SAZ";#N/A,#N/A,FALSE,"CAZ";#N/A,#N/A,FALSE,"SNV";#N/A,#N/A,FALSE,"NNV";#N/A,#N/A,FALSE,"PP";#N/A,#N/A,FALSE,"SA"}</definedName>
    <definedName name="_1" localSheetId="31" hidden="1">{#N/A,#N/A,FALSE,"SCA";#N/A,#N/A,FALSE,"NCA";#N/A,#N/A,FALSE,"SAZ";#N/A,#N/A,FALSE,"CAZ";#N/A,#N/A,FALSE,"SNV";#N/A,#N/A,FALSE,"NNV";#N/A,#N/A,FALSE,"PP";#N/A,#N/A,FALSE,"SA"}</definedName>
    <definedName name="_1" localSheetId="19" hidden="1">{#N/A,#N/A,FALSE,"SCA";#N/A,#N/A,FALSE,"NCA";#N/A,#N/A,FALSE,"SAZ";#N/A,#N/A,FALSE,"CAZ";#N/A,#N/A,FALSE,"SNV";#N/A,#N/A,FALSE,"NNV";#N/A,#N/A,FALSE,"PP";#N/A,#N/A,FALSE,"SA"}</definedName>
    <definedName name="_1" localSheetId="7" hidden="1">{#N/A,#N/A,FALSE,"SCA";#N/A,#N/A,FALSE,"NCA";#N/A,#N/A,FALSE,"SAZ";#N/A,#N/A,FALSE,"CAZ";#N/A,#N/A,FALSE,"SNV";#N/A,#N/A,FALSE,"NNV";#N/A,#N/A,FALSE,"PP";#N/A,#N/A,FALSE,"SA"}</definedName>
    <definedName name="_1" localSheetId="0" hidden="1">{#N/A,#N/A,FALSE,"SCA";#N/A,#N/A,FALSE,"NCA";#N/A,#N/A,FALSE,"SAZ";#N/A,#N/A,FALSE,"CAZ";#N/A,#N/A,FALSE,"SNV";#N/A,#N/A,FALSE,"NNV";#N/A,#N/A,FALSE,"PP";#N/A,#N/A,FALSE,"SA"}</definedName>
    <definedName name="_1" localSheetId="10" hidden="1">{#N/A,#N/A,FALSE,"SCA";#N/A,#N/A,FALSE,"NCA";#N/A,#N/A,FALSE,"SAZ";#N/A,#N/A,FALSE,"CAZ";#N/A,#N/A,FALSE,"SNV";#N/A,#N/A,FALSE,"NNV";#N/A,#N/A,FALSE,"PP";#N/A,#N/A,FALSE,"SA"}</definedName>
    <definedName name="_1" localSheetId="12" hidden="1">{#N/A,#N/A,FALSE,"SCA";#N/A,#N/A,FALSE,"NCA";#N/A,#N/A,FALSE,"SAZ";#N/A,#N/A,FALSE,"CAZ";#N/A,#N/A,FALSE,"SNV";#N/A,#N/A,FALSE,"NNV";#N/A,#N/A,FALSE,"PP";#N/A,#N/A,FALSE,"SA"}</definedName>
    <definedName name="_1" localSheetId="9" hidden="1">{#N/A,#N/A,FALSE,"SCA";#N/A,#N/A,FALSE,"NCA";#N/A,#N/A,FALSE,"SAZ";#N/A,#N/A,FALSE,"CAZ";#N/A,#N/A,FALSE,"SNV";#N/A,#N/A,FALSE,"NNV";#N/A,#N/A,FALSE,"PP";#N/A,#N/A,FALSE,"SA"}</definedName>
    <definedName name="_1" hidden="1">{#N/A,#N/A,FALSE,"SCA";#N/A,#N/A,FALSE,"NCA";#N/A,#N/A,FALSE,"SAZ";#N/A,#N/A,FALSE,"CAZ";#N/A,#N/A,FALSE,"SNV";#N/A,#N/A,FALSE,"NNV";#N/A,#N/A,FALSE,"PP";#N/A,#N/A,FALSE,"SA"}</definedName>
    <definedName name="_1__123Graph_ACHART_1" localSheetId="19" hidden="1">#REF!</definedName>
    <definedName name="_1__123Graph_ACHART_1" hidden="1">#REF!</definedName>
    <definedName name="_1__123Graph_ACHART_10" localSheetId="19" hidden="1">#REF!</definedName>
    <definedName name="_1__123Graph_ACHART_10" hidden="1">#REF!</definedName>
    <definedName name="_1__123Graph_AYIELD_CURVES" localSheetId="1" hidden="1">#REF!</definedName>
    <definedName name="_1__123Graph_AYIELD_CURVES" localSheetId="17" hidden="1">#REF!</definedName>
    <definedName name="_1__123Graph_AYIELD_CURVES" localSheetId="30" hidden="1">#REF!</definedName>
    <definedName name="_1__123Graph_AYIELD_CURVES" localSheetId="31" hidden="1">#REF!</definedName>
    <definedName name="_1__123Graph_AYIELD_CURVES" localSheetId="19" hidden="1">#REF!</definedName>
    <definedName name="_1__123Graph_AYIELD_CURVES" localSheetId="7" hidden="1">#REF!</definedName>
    <definedName name="_1__123Graph_AYIELD_CURVES" localSheetId="9" hidden="1">#REF!</definedName>
    <definedName name="_1__123Graph_AYIELD_CURVES" hidden="1">#REF!</definedName>
    <definedName name="_1__123Graph_XCHART_2" hidden="1">#REF!</definedName>
    <definedName name="_1__FDSAUDITLINK__" localSheetId="7"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0"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localSheetId="12"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_FDSAUDITLINK__" hidden="1">{"fdsup://directions/FAT Viewer?action=UPDATE&amp;creator=factset&amp;DYN_ARGS=TRUE&amp;DOC_NAME=FAT:FQL_AUDITING_CLIENT_TEMPLATE.FAT&amp;display_string=Audit&amp;VAR:KEY=QVCBONULIR&amp;VAR:QUERY=UkdGX1BGRF9TVEsoQU5OLDAsLCwsLCxOT0FVRElUKQ==&amp;WINDOW=FIRST_POPUP&amp;HEIGHT=450&amp;WIDTH=450&amp;","START_MAXIMIZED=FALSE&amp;VAR:CALENDAR=US&amp;VAR:SYMBOL=AWK&amp;VAR:INDEX=0"}</definedName>
    <definedName name="_1_0__123Grap" localSheetId="1" hidden="1">#REF!</definedName>
    <definedName name="_1_0__123Grap" localSheetId="30" hidden="1">#REF!</definedName>
    <definedName name="_1_0__123Grap" localSheetId="19" hidden="1">#REF!</definedName>
    <definedName name="_1_0__123Grap" localSheetId="9" hidden="1">#REF!</definedName>
    <definedName name="_1_0__123Grap" hidden="1">#REF!</definedName>
    <definedName name="_10" localSheetId="1" hidden="1">{"FAC_SUMMARY",#N/A,FALSE,"Summaries"}</definedName>
    <definedName name="_10" localSheetId="17" hidden="1">{"FAC_SUMMARY",#N/A,FALSE,"Summaries"}</definedName>
    <definedName name="_10" localSheetId="30" hidden="1">{"FAC_SUMMARY",#N/A,FALSE,"Summaries"}</definedName>
    <definedName name="_10" localSheetId="31" hidden="1">{"FAC_SUMMARY",#N/A,FALSE,"Summaries"}</definedName>
    <definedName name="_10" localSheetId="19" hidden="1">{"FAC_SUMMARY",#N/A,FALSE,"Summaries"}</definedName>
    <definedName name="_10" localSheetId="7" hidden="1">{"FAC_SUMMARY",#N/A,FALSE,"Summaries"}</definedName>
    <definedName name="_10" localSheetId="0" hidden="1">{"FAC_SUMMARY",#N/A,FALSE,"Summaries"}</definedName>
    <definedName name="_10" localSheetId="10" hidden="1">{"FAC_SUMMARY",#N/A,FALSE,"Summaries"}</definedName>
    <definedName name="_10" localSheetId="12" hidden="1">{"FAC_SUMMARY",#N/A,FALSE,"Summaries"}</definedName>
    <definedName name="_10" localSheetId="9" hidden="1">{"FAC_SUMMARY",#N/A,FALSE,"Summaries"}</definedName>
    <definedName name="_10" hidden="1">{"FAC_SUMMARY",#N/A,FALSE,"Summaries"}</definedName>
    <definedName name="_10__123Graph_ACHART_5" localSheetId="19" hidden="1">#REF!</definedName>
    <definedName name="_10__123Graph_ACHART_5" hidden="1">#REF!</definedName>
    <definedName name="_10__123Graph_BCHART_17" localSheetId="19" hidden="1">#REF!</definedName>
    <definedName name="_10__123Graph_BCHART_17" hidden="1">#REF!</definedName>
    <definedName name="_10__123Graph_CCHART_6" localSheetId="1" hidden="1">#REF!</definedName>
    <definedName name="_10__123Graph_CCHART_6" localSheetId="17" hidden="1">#REF!</definedName>
    <definedName name="_10__123Graph_CCHART_6" localSheetId="30" hidden="1">#REF!</definedName>
    <definedName name="_10__123Graph_CCHART_6" localSheetId="31" hidden="1">#REF!</definedName>
    <definedName name="_10__123Graph_CCHART_6" localSheetId="19" hidden="1">#REF!</definedName>
    <definedName name="_10__123Graph_CCHART_6" localSheetId="7" hidden="1">#REF!</definedName>
    <definedName name="_10__123Graph_CCHART_6" localSheetId="9" hidden="1">#REF!</definedName>
    <definedName name="_10__123Graph_CCHART_6" hidden="1">#REF!</definedName>
    <definedName name="_100" localSheetId="1" hidden="1">{#N/A,#N/A,FALSE,"OTHERINPUTS";#N/A,#N/A,FALSE,"DITRATEINPUTS";#N/A,#N/A,FALSE,"SUPPLIEDADJINPUT";#N/A,#N/A,FALSE,"TIMINGDIFFINPUTS";#N/A,#N/A,FALSE,"BR&amp;SUPADJ."}</definedName>
    <definedName name="_100" localSheetId="17" hidden="1">{#N/A,#N/A,FALSE,"OTHERINPUTS";#N/A,#N/A,FALSE,"DITRATEINPUTS";#N/A,#N/A,FALSE,"SUPPLIEDADJINPUT";#N/A,#N/A,FALSE,"TIMINGDIFFINPUTS";#N/A,#N/A,FALSE,"BR&amp;SUPADJ."}</definedName>
    <definedName name="_100" localSheetId="30" hidden="1">{#N/A,#N/A,FALSE,"OTHERINPUTS";#N/A,#N/A,FALSE,"DITRATEINPUTS";#N/A,#N/A,FALSE,"SUPPLIEDADJINPUT";#N/A,#N/A,FALSE,"TIMINGDIFFINPUTS";#N/A,#N/A,FALSE,"BR&amp;SUPADJ."}</definedName>
    <definedName name="_100" localSheetId="31" hidden="1">{#N/A,#N/A,FALSE,"OTHERINPUTS";#N/A,#N/A,FALSE,"DITRATEINPUTS";#N/A,#N/A,FALSE,"SUPPLIEDADJINPUT";#N/A,#N/A,FALSE,"TIMINGDIFFINPUTS";#N/A,#N/A,FALSE,"BR&amp;SUPADJ."}</definedName>
    <definedName name="_100" localSheetId="19" hidden="1">{#N/A,#N/A,FALSE,"OTHERINPUTS";#N/A,#N/A,FALSE,"DITRATEINPUTS";#N/A,#N/A,FALSE,"SUPPLIEDADJINPUT";#N/A,#N/A,FALSE,"TIMINGDIFFINPUTS";#N/A,#N/A,FALSE,"BR&amp;SUPADJ."}</definedName>
    <definedName name="_100" localSheetId="7" hidden="1">{#N/A,#N/A,FALSE,"OTHERINPUTS";#N/A,#N/A,FALSE,"DITRATEINPUTS";#N/A,#N/A,FALSE,"SUPPLIEDADJINPUT";#N/A,#N/A,FALSE,"TIMINGDIFFINPUTS";#N/A,#N/A,FALSE,"BR&amp;SUPADJ."}</definedName>
    <definedName name="_100" localSheetId="0" hidden="1">{#N/A,#N/A,FALSE,"OTHERINPUTS";#N/A,#N/A,FALSE,"DITRATEINPUTS";#N/A,#N/A,FALSE,"SUPPLIEDADJINPUT";#N/A,#N/A,FALSE,"TIMINGDIFFINPUTS";#N/A,#N/A,FALSE,"BR&amp;SUPADJ."}</definedName>
    <definedName name="_100" localSheetId="10" hidden="1">{#N/A,#N/A,FALSE,"OTHERINPUTS";#N/A,#N/A,FALSE,"DITRATEINPUTS";#N/A,#N/A,FALSE,"SUPPLIEDADJINPUT";#N/A,#N/A,FALSE,"TIMINGDIFFINPUTS";#N/A,#N/A,FALSE,"BR&amp;SUPADJ."}</definedName>
    <definedName name="_100" localSheetId="12" hidden="1">{#N/A,#N/A,FALSE,"OTHERINPUTS";#N/A,#N/A,FALSE,"DITRATEINPUTS";#N/A,#N/A,FALSE,"SUPPLIEDADJINPUT";#N/A,#N/A,FALSE,"TIMINGDIFFINPUTS";#N/A,#N/A,FALSE,"BR&amp;SUPADJ."}</definedName>
    <definedName name="_100" localSheetId="9" hidden="1">{#N/A,#N/A,FALSE,"OTHERINPUTS";#N/A,#N/A,FALSE,"DITRATEINPUTS";#N/A,#N/A,FALSE,"SUPPLIEDADJINPUT";#N/A,#N/A,FALSE,"TIMINGDIFFINPUTS";#N/A,#N/A,FALSE,"BR&amp;SUPADJ."}</definedName>
    <definedName name="_100" hidden="1">{#N/A,#N/A,FALSE,"OTHERINPUTS";#N/A,#N/A,FALSE,"DITRATEINPUTS";#N/A,#N/A,FALSE,"SUPPLIEDADJINPUT";#N/A,#N/A,FALSE,"TIMINGDIFFINPUTS";#N/A,#N/A,FALSE,"BR&amp;SUPADJ."}</definedName>
    <definedName name="_101"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3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1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localSheetId="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2" localSheetId="1" hidden="1">{#N/A,#N/A,FALSE,"RORMEMO";#N/A,#N/A,FALSE,"RORSUMMARY";#N/A,#N/A,FALSE,"RORDETAIL"}</definedName>
    <definedName name="_102" localSheetId="17" hidden="1">{#N/A,#N/A,FALSE,"RORMEMO";#N/A,#N/A,FALSE,"RORSUMMARY";#N/A,#N/A,FALSE,"RORDETAIL"}</definedName>
    <definedName name="_102" localSheetId="30" hidden="1">{#N/A,#N/A,FALSE,"RORMEMO";#N/A,#N/A,FALSE,"RORSUMMARY";#N/A,#N/A,FALSE,"RORDETAIL"}</definedName>
    <definedName name="_102" localSheetId="31" hidden="1">{#N/A,#N/A,FALSE,"RORMEMO";#N/A,#N/A,FALSE,"RORSUMMARY";#N/A,#N/A,FALSE,"RORDETAIL"}</definedName>
    <definedName name="_102" localSheetId="19" hidden="1">{#N/A,#N/A,FALSE,"RORMEMO";#N/A,#N/A,FALSE,"RORSUMMARY";#N/A,#N/A,FALSE,"RORDETAIL"}</definedName>
    <definedName name="_102" localSheetId="7" hidden="1">{#N/A,#N/A,FALSE,"RORMEMO";#N/A,#N/A,FALSE,"RORSUMMARY";#N/A,#N/A,FALSE,"RORDETAIL"}</definedName>
    <definedName name="_102" localSheetId="0" hidden="1">{#N/A,#N/A,FALSE,"RORMEMO";#N/A,#N/A,FALSE,"RORSUMMARY";#N/A,#N/A,FALSE,"RORDETAIL"}</definedName>
    <definedName name="_102" localSheetId="10" hidden="1">{#N/A,#N/A,FALSE,"RORMEMO";#N/A,#N/A,FALSE,"RORSUMMARY";#N/A,#N/A,FALSE,"RORDETAIL"}</definedName>
    <definedName name="_102" localSheetId="12" hidden="1">{#N/A,#N/A,FALSE,"RORMEMO";#N/A,#N/A,FALSE,"RORSUMMARY";#N/A,#N/A,FALSE,"RORDETAIL"}</definedName>
    <definedName name="_102" localSheetId="9" hidden="1">{#N/A,#N/A,FALSE,"RORMEMO";#N/A,#N/A,FALSE,"RORSUMMARY";#N/A,#N/A,FALSE,"RORDETAIL"}</definedName>
    <definedName name="_102" hidden="1">{#N/A,#N/A,FALSE,"RORMEMO";#N/A,#N/A,FALSE,"RORSUMMARY";#N/A,#N/A,FALSE,"RORDETAIL"}</definedName>
    <definedName name="_102__123Graph_ACHART_6" localSheetId="19" hidden="1">#REF!</definedName>
    <definedName name="_102__123Graph_ACHART_6" hidden="1">#REF!</definedName>
    <definedName name="_103" localSheetId="1" hidden="1">{#N/A,#N/A,FALSE,"GLDwnLoad"}</definedName>
    <definedName name="_103" localSheetId="17" hidden="1">{#N/A,#N/A,FALSE,"GLDwnLoad"}</definedName>
    <definedName name="_103" localSheetId="30" hidden="1">{#N/A,#N/A,FALSE,"GLDwnLoad"}</definedName>
    <definedName name="_103" localSheetId="31" hidden="1">{#N/A,#N/A,FALSE,"GLDwnLoad"}</definedName>
    <definedName name="_103" localSheetId="19" hidden="1">{#N/A,#N/A,FALSE,"GLDwnLoad"}</definedName>
    <definedName name="_103" localSheetId="7" hidden="1">{#N/A,#N/A,FALSE,"GLDwnLoad"}</definedName>
    <definedName name="_103" localSheetId="0" hidden="1">{#N/A,#N/A,FALSE,"GLDwnLoad"}</definedName>
    <definedName name="_103" localSheetId="10" hidden="1">{#N/A,#N/A,FALSE,"GLDwnLoad"}</definedName>
    <definedName name="_103" localSheetId="12" hidden="1">{#N/A,#N/A,FALSE,"GLDwnLoad"}</definedName>
    <definedName name="_103" localSheetId="9" hidden="1">{#N/A,#N/A,FALSE,"GLDwnLoad"}</definedName>
    <definedName name="_103" hidden="1">{#N/A,#N/A,FALSE,"GLDwnLoad"}</definedName>
    <definedName name="_104" localSheetId="1" hidden="1">{#N/A,#N/A,FALSE,"OTHERINPUTS";#N/A,#N/A,FALSE,"SUPPLIEDADJINPUT";#N/A,#N/A,FALSE,"BR&amp;SUPADJ."}</definedName>
    <definedName name="_104" localSheetId="17" hidden="1">{#N/A,#N/A,FALSE,"OTHERINPUTS";#N/A,#N/A,FALSE,"SUPPLIEDADJINPUT";#N/A,#N/A,FALSE,"BR&amp;SUPADJ."}</definedName>
    <definedName name="_104" localSheetId="30" hidden="1">{#N/A,#N/A,FALSE,"OTHERINPUTS";#N/A,#N/A,FALSE,"SUPPLIEDADJINPUT";#N/A,#N/A,FALSE,"BR&amp;SUPADJ."}</definedName>
    <definedName name="_104" localSheetId="31" hidden="1">{#N/A,#N/A,FALSE,"OTHERINPUTS";#N/A,#N/A,FALSE,"SUPPLIEDADJINPUT";#N/A,#N/A,FALSE,"BR&amp;SUPADJ."}</definedName>
    <definedName name="_104" localSheetId="19" hidden="1">{#N/A,#N/A,FALSE,"OTHERINPUTS";#N/A,#N/A,FALSE,"SUPPLIEDADJINPUT";#N/A,#N/A,FALSE,"BR&amp;SUPADJ."}</definedName>
    <definedName name="_104" localSheetId="7" hidden="1">{#N/A,#N/A,FALSE,"OTHERINPUTS";#N/A,#N/A,FALSE,"SUPPLIEDADJINPUT";#N/A,#N/A,FALSE,"BR&amp;SUPADJ."}</definedName>
    <definedName name="_104" localSheetId="0" hidden="1">{#N/A,#N/A,FALSE,"OTHERINPUTS";#N/A,#N/A,FALSE,"SUPPLIEDADJINPUT";#N/A,#N/A,FALSE,"BR&amp;SUPADJ."}</definedName>
    <definedName name="_104" localSheetId="10" hidden="1">{#N/A,#N/A,FALSE,"OTHERINPUTS";#N/A,#N/A,FALSE,"SUPPLIEDADJINPUT";#N/A,#N/A,FALSE,"BR&amp;SUPADJ."}</definedName>
    <definedName name="_104" localSheetId="12" hidden="1">{#N/A,#N/A,FALSE,"OTHERINPUTS";#N/A,#N/A,FALSE,"SUPPLIEDADJINPUT";#N/A,#N/A,FALSE,"BR&amp;SUPADJ."}</definedName>
    <definedName name="_104" localSheetId="9" hidden="1">{#N/A,#N/A,FALSE,"OTHERINPUTS";#N/A,#N/A,FALSE,"SUPPLIEDADJINPUT";#N/A,#N/A,FALSE,"BR&amp;SUPADJ."}</definedName>
    <definedName name="_104" hidden="1">{#N/A,#N/A,FALSE,"OTHERINPUTS";#N/A,#N/A,FALSE,"SUPPLIEDADJINPUT";#N/A,#N/A,FALSE,"BR&amp;SUPADJ."}</definedName>
    <definedName name="_105"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3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1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localSheetId="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__123Graph_ACHART_5" localSheetId="19" hidden="1">#REF!</definedName>
    <definedName name="_105__123Graph_ACHART_5" hidden="1">#REF!</definedName>
    <definedName name="_106" localSheetId="1" hidden="1">{"SPA_FAC",#N/A,FALSE,"OMPA SPA FAC"}</definedName>
    <definedName name="_106" localSheetId="17" hidden="1">{"SPA_FAC",#N/A,FALSE,"OMPA SPA FAC"}</definedName>
    <definedName name="_106" localSheetId="30" hidden="1">{"SPA_FAC",#N/A,FALSE,"OMPA SPA FAC"}</definedName>
    <definedName name="_106" localSheetId="31" hidden="1">{"SPA_FAC",#N/A,FALSE,"OMPA SPA FAC"}</definedName>
    <definedName name="_106" localSheetId="19" hidden="1">{"SPA_FAC",#N/A,FALSE,"OMPA SPA FAC"}</definedName>
    <definedName name="_106" localSheetId="7" hidden="1">{"SPA_FAC",#N/A,FALSE,"OMPA SPA FAC"}</definedName>
    <definedName name="_106" localSheetId="0" hidden="1">{"SPA_FAC",#N/A,FALSE,"OMPA SPA FAC"}</definedName>
    <definedName name="_106" localSheetId="10" hidden="1">{"SPA_FAC",#N/A,FALSE,"OMPA SPA FAC"}</definedName>
    <definedName name="_106" localSheetId="12" hidden="1">{"SPA_FAC",#N/A,FALSE,"OMPA SPA FAC"}</definedName>
    <definedName name="_106" localSheetId="9" hidden="1">{"SPA_FAC",#N/A,FALSE,"OMPA SPA FAC"}</definedName>
    <definedName name="_106" hidden="1">{"SPA_FAC",#N/A,FALSE,"OMPA SPA FAC"}</definedName>
    <definedName name="_107" localSheetId="1" hidden="1">{#N/A,#N/A,FALSE,"GLDwnLoad"}</definedName>
    <definedName name="_107" localSheetId="17" hidden="1">{#N/A,#N/A,FALSE,"GLDwnLoad"}</definedName>
    <definedName name="_107" localSheetId="30" hidden="1">{#N/A,#N/A,FALSE,"GLDwnLoad"}</definedName>
    <definedName name="_107" localSheetId="31" hidden="1">{#N/A,#N/A,FALSE,"GLDwnLoad"}</definedName>
    <definedName name="_107" localSheetId="19" hidden="1">{#N/A,#N/A,FALSE,"GLDwnLoad"}</definedName>
    <definedName name="_107" localSheetId="7" hidden="1">{#N/A,#N/A,FALSE,"GLDwnLoad"}</definedName>
    <definedName name="_107" localSheetId="0" hidden="1">{#N/A,#N/A,FALSE,"GLDwnLoad"}</definedName>
    <definedName name="_107" localSheetId="10" hidden="1">{#N/A,#N/A,FALSE,"GLDwnLoad"}</definedName>
    <definedName name="_107" localSheetId="12" hidden="1">{#N/A,#N/A,FALSE,"GLDwnLoad"}</definedName>
    <definedName name="_107" localSheetId="9" hidden="1">{#N/A,#N/A,FALSE,"GLDwnLoad"}</definedName>
    <definedName name="_107" hidden="1">{#N/A,#N/A,FALSE,"GLDwnLoad"}</definedName>
    <definedName name="_108"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3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__123Graph_ACHART_6" localSheetId="19" hidden="1">#REF!</definedName>
    <definedName name="_108__123Graph_ACHART_6" hidden="1">#REF!</definedName>
    <definedName name="_1084IQ_INTEREST_INC_10" hidden="1">#N/A</definedName>
    <definedName name="_109"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3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0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1" localSheetId="1" hidden="1">{#N/A,#N/A,TRUE,"1990";#N/A,#N/A,TRUE,"1991";#N/A,#N/A,TRUE,"1992";#N/A,#N/A,TRUE,"1993"}</definedName>
    <definedName name="_11" localSheetId="17" hidden="1">{#N/A,#N/A,TRUE,"1990";#N/A,#N/A,TRUE,"1991";#N/A,#N/A,TRUE,"1992";#N/A,#N/A,TRUE,"1993"}</definedName>
    <definedName name="_11" localSheetId="30" hidden="1">{#N/A,#N/A,TRUE,"1990";#N/A,#N/A,TRUE,"1991";#N/A,#N/A,TRUE,"1992";#N/A,#N/A,TRUE,"1993"}</definedName>
    <definedName name="_11" localSheetId="31" hidden="1">{#N/A,#N/A,TRUE,"1990";#N/A,#N/A,TRUE,"1991";#N/A,#N/A,TRUE,"1992";#N/A,#N/A,TRUE,"1993"}</definedName>
    <definedName name="_11" localSheetId="19" hidden="1">{#N/A,#N/A,TRUE,"1990";#N/A,#N/A,TRUE,"1991";#N/A,#N/A,TRUE,"1992";#N/A,#N/A,TRUE,"1993"}</definedName>
    <definedName name="_11" localSheetId="7" hidden="1">{#N/A,#N/A,TRUE,"1990";#N/A,#N/A,TRUE,"1991";#N/A,#N/A,TRUE,"1992";#N/A,#N/A,TRUE,"1993"}</definedName>
    <definedName name="_11" localSheetId="0" hidden="1">{#N/A,#N/A,TRUE,"1990";#N/A,#N/A,TRUE,"1991";#N/A,#N/A,TRUE,"1992";#N/A,#N/A,TRUE,"1993"}</definedName>
    <definedName name="_11" localSheetId="10" hidden="1">{#N/A,#N/A,TRUE,"1990";#N/A,#N/A,TRUE,"1991";#N/A,#N/A,TRUE,"1992";#N/A,#N/A,TRUE,"1993"}</definedName>
    <definedName name="_11" localSheetId="12" hidden="1">{#N/A,#N/A,TRUE,"1990";#N/A,#N/A,TRUE,"1991";#N/A,#N/A,TRUE,"1992";#N/A,#N/A,TRUE,"1993"}</definedName>
    <definedName name="_11" localSheetId="9" hidden="1">{#N/A,#N/A,TRUE,"1990";#N/A,#N/A,TRUE,"1991";#N/A,#N/A,TRUE,"1992";#N/A,#N/A,TRUE,"1993"}</definedName>
    <definedName name="_11" hidden="1">{#N/A,#N/A,TRUE,"1990";#N/A,#N/A,TRUE,"1991";#N/A,#N/A,TRUE,"1992";#N/A,#N/A,TRUE,"1993"}</definedName>
    <definedName name="_11__123Graph_CCHART_10" localSheetId="19" hidden="1">#REF!</definedName>
    <definedName name="_11__123Graph_CCHART_10" hidden="1">#REF!</definedName>
    <definedName name="_11__123Graph_XCHART_1" localSheetId="19" hidden="1">#REF!</definedName>
    <definedName name="_11__123Graph_XCHART_1" hidden="1">#REF!</definedName>
    <definedName name="_110" localSheetId="1" hidden="1">{"print1",#N/A,FALSE,"D21CUSTS";"print2",#N/A,FALSE,"D21CUSTS";"print3",#N/A,FALSE,"D21CUSTS";"print4",#N/A,FALSE,"D21CUSTS"}</definedName>
    <definedName name="_110" localSheetId="17" hidden="1">{"print1",#N/A,FALSE,"D21CUSTS";"print2",#N/A,FALSE,"D21CUSTS";"print3",#N/A,FALSE,"D21CUSTS";"print4",#N/A,FALSE,"D21CUSTS"}</definedName>
    <definedName name="_110" localSheetId="30" hidden="1">{"print1",#N/A,FALSE,"D21CUSTS";"print2",#N/A,FALSE,"D21CUSTS";"print3",#N/A,FALSE,"D21CUSTS";"print4",#N/A,FALSE,"D21CUSTS"}</definedName>
    <definedName name="_110" localSheetId="31" hidden="1">{"print1",#N/A,FALSE,"D21CUSTS";"print2",#N/A,FALSE,"D21CUSTS";"print3",#N/A,FALSE,"D21CUSTS";"print4",#N/A,FALSE,"D21CUSTS"}</definedName>
    <definedName name="_110" localSheetId="19" hidden="1">{"print1",#N/A,FALSE,"D21CUSTS";"print2",#N/A,FALSE,"D21CUSTS";"print3",#N/A,FALSE,"D21CUSTS";"print4",#N/A,FALSE,"D21CUSTS"}</definedName>
    <definedName name="_110" localSheetId="7" hidden="1">{"print1",#N/A,FALSE,"D21CUSTS";"print2",#N/A,FALSE,"D21CUSTS";"print3",#N/A,FALSE,"D21CUSTS";"print4",#N/A,FALSE,"D21CUSTS"}</definedName>
    <definedName name="_110" localSheetId="0" hidden="1">{"print1",#N/A,FALSE,"D21CUSTS";"print2",#N/A,FALSE,"D21CUSTS";"print3",#N/A,FALSE,"D21CUSTS";"print4",#N/A,FALSE,"D21CUSTS"}</definedName>
    <definedName name="_110" localSheetId="10" hidden="1">{"print1",#N/A,FALSE,"D21CUSTS";"print2",#N/A,FALSE,"D21CUSTS";"print3",#N/A,FALSE,"D21CUSTS";"print4",#N/A,FALSE,"D21CUSTS"}</definedName>
    <definedName name="_110" localSheetId="12" hidden="1">{"print1",#N/A,FALSE,"D21CUSTS";"print2",#N/A,FALSE,"D21CUSTS";"print3",#N/A,FALSE,"D21CUSTS";"print4",#N/A,FALSE,"D21CUSTS"}</definedName>
    <definedName name="_110" localSheetId="9" hidden="1">{"print1",#N/A,FALSE,"D21CUSTS";"print2",#N/A,FALSE,"D21CUSTS";"print3",#N/A,FALSE,"D21CUSTS";"print4",#N/A,FALSE,"D21CUSTS"}</definedName>
    <definedName name="_110" hidden="1">{"print1",#N/A,FALSE,"D21CUSTS";"print2",#N/A,FALSE,"D21CUSTS";"print3",#N/A,FALSE,"D21CUSTS";"print4",#N/A,FALSE,"D21CUSTS"}</definedName>
    <definedName name="_111" localSheetId="1" hidden="1">{"Fuel by Type",#N/A,FALSE,"00whfuel";"Fuel by Account",#N/A,FALSE,"00whfuel";"NTEC",#N/A,FALSE,"00whfuel";"Hope",#N/A,FALSE,"00whfuel";"Net Energy Load",#N/A,FALSE,"00whfuel";"Purchased Power",#N/A,FALSE,"00whfuel"}</definedName>
    <definedName name="_111" localSheetId="17" hidden="1">{"Fuel by Type",#N/A,FALSE,"00whfuel";"Fuel by Account",#N/A,FALSE,"00whfuel";"NTEC",#N/A,FALSE,"00whfuel";"Hope",#N/A,FALSE,"00whfuel";"Net Energy Load",#N/A,FALSE,"00whfuel";"Purchased Power",#N/A,FALSE,"00whfuel"}</definedName>
    <definedName name="_111" localSheetId="30" hidden="1">{"Fuel by Type",#N/A,FALSE,"00whfuel";"Fuel by Account",#N/A,FALSE,"00whfuel";"NTEC",#N/A,FALSE,"00whfuel";"Hope",#N/A,FALSE,"00whfuel";"Net Energy Load",#N/A,FALSE,"00whfuel";"Purchased Power",#N/A,FALSE,"00whfuel"}</definedName>
    <definedName name="_111" localSheetId="31" hidden="1">{"Fuel by Type",#N/A,FALSE,"00whfuel";"Fuel by Account",#N/A,FALSE,"00whfuel";"NTEC",#N/A,FALSE,"00whfuel";"Hope",#N/A,FALSE,"00whfuel";"Net Energy Load",#N/A,FALSE,"00whfuel";"Purchased Power",#N/A,FALSE,"00whfuel"}</definedName>
    <definedName name="_111" localSheetId="19" hidden="1">{"Fuel by Type",#N/A,FALSE,"00whfuel";"Fuel by Account",#N/A,FALSE,"00whfuel";"NTEC",#N/A,FALSE,"00whfuel";"Hope",#N/A,FALSE,"00whfuel";"Net Energy Load",#N/A,FALSE,"00whfuel";"Purchased Power",#N/A,FALSE,"00whfuel"}</definedName>
    <definedName name="_111" localSheetId="7" hidden="1">{"Fuel by Type",#N/A,FALSE,"00whfuel";"Fuel by Account",#N/A,FALSE,"00whfuel";"NTEC",#N/A,FALSE,"00whfuel";"Hope",#N/A,FALSE,"00whfuel";"Net Energy Load",#N/A,FALSE,"00whfuel";"Purchased Power",#N/A,FALSE,"00whfuel"}</definedName>
    <definedName name="_111" localSheetId="0" hidden="1">{"Fuel by Type",#N/A,FALSE,"00whfuel";"Fuel by Account",#N/A,FALSE,"00whfuel";"NTEC",#N/A,FALSE,"00whfuel";"Hope",#N/A,FALSE,"00whfuel";"Net Energy Load",#N/A,FALSE,"00whfuel";"Purchased Power",#N/A,FALSE,"00whfuel"}</definedName>
    <definedName name="_111" localSheetId="10" hidden="1">{"Fuel by Type",#N/A,FALSE,"00whfuel";"Fuel by Account",#N/A,FALSE,"00whfuel";"NTEC",#N/A,FALSE,"00whfuel";"Hope",#N/A,FALSE,"00whfuel";"Net Energy Load",#N/A,FALSE,"00whfuel";"Purchased Power",#N/A,FALSE,"00whfuel"}</definedName>
    <definedName name="_111" localSheetId="12" hidden="1">{"Fuel by Type",#N/A,FALSE,"00whfuel";"Fuel by Account",#N/A,FALSE,"00whfuel";"NTEC",#N/A,FALSE,"00whfuel";"Hope",#N/A,FALSE,"00whfuel";"Net Energy Load",#N/A,FALSE,"00whfuel";"Purchased Power",#N/A,FALSE,"00whfuel"}</definedName>
    <definedName name="_111" localSheetId="9" hidden="1">{"Fuel by Type",#N/A,FALSE,"00whfuel";"Fuel by Account",#N/A,FALSE,"00whfuel";"NTEC",#N/A,FALSE,"00whfuel";"Hope",#N/A,FALSE,"00whfuel";"Net Energy Load",#N/A,FALSE,"00whfuel";"Purchased Power",#N/A,FALSE,"00whfuel"}</definedName>
    <definedName name="_111" hidden="1">{"Fuel by Type",#N/A,FALSE,"00whfuel";"Fuel by Account",#N/A,FALSE,"00whfuel";"NTEC",#N/A,FALSE,"00whfuel";"Hope",#N/A,FALSE,"00whfuel";"Net Energy Load",#N/A,FALSE,"00whfuel";"Purchased Power",#N/A,FALSE,"00whfuel"}</definedName>
    <definedName name="_112" localSheetId="1" hidden="1">{"WEATHER_CUSTOMERS",#N/A,FALSE,"Ok_Fuel&amp;Rev"}</definedName>
    <definedName name="_112" localSheetId="17" hidden="1">{"WEATHER_CUSTOMERS",#N/A,FALSE,"Ok_Fuel&amp;Rev"}</definedName>
    <definedName name="_112" localSheetId="30" hidden="1">{"WEATHER_CUSTOMERS",#N/A,FALSE,"Ok_Fuel&amp;Rev"}</definedName>
    <definedName name="_112" localSheetId="31" hidden="1">{"WEATHER_CUSTOMERS",#N/A,FALSE,"Ok_Fuel&amp;Rev"}</definedName>
    <definedName name="_112" localSheetId="19" hidden="1">{"WEATHER_CUSTOMERS",#N/A,FALSE,"Ok_Fuel&amp;Rev"}</definedName>
    <definedName name="_112" localSheetId="7" hidden="1">{"WEATHER_CUSTOMERS",#N/A,FALSE,"Ok_Fuel&amp;Rev"}</definedName>
    <definedName name="_112" localSheetId="0" hidden="1">{"WEATHER_CUSTOMERS",#N/A,FALSE,"Ok_Fuel&amp;Rev"}</definedName>
    <definedName name="_112" localSheetId="10" hidden="1">{"WEATHER_CUSTOMERS",#N/A,FALSE,"Ok_Fuel&amp;Rev"}</definedName>
    <definedName name="_112" localSheetId="12" hidden="1">{"WEATHER_CUSTOMERS",#N/A,FALSE,"Ok_Fuel&amp;Rev"}</definedName>
    <definedName name="_112" localSheetId="9" hidden="1">{"WEATHER_CUSTOMERS",#N/A,FALSE,"Ok_Fuel&amp;Rev"}</definedName>
    <definedName name="_112" hidden="1">{"WEATHER_CUSTOMERS",#N/A,FALSE,"Ok_Fuel&amp;Rev"}</definedName>
    <definedName name="_113" localSheetId="1" hidden="1">{#N/A,#N/A,FALSE,"GLDwnLoad"}</definedName>
    <definedName name="_113" localSheetId="17" hidden="1">{#N/A,#N/A,FALSE,"GLDwnLoad"}</definedName>
    <definedName name="_113" localSheetId="30" hidden="1">{#N/A,#N/A,FALSE,"GLDwnLoad"}</definedName>
    <definedName name="_113" localSheetId="31" hidden="1">{#N/A,#N/A,FALSE,"GLDwnLoad"}</definedName>
    <definedName name="_113" localSheetId="19" hidden="1">{#N/A,#N/A,FALSE,"GLDwnLoad"}</definedName>
    <definedName name="_113" localSheetId="7" hidden="1">{#N/A,#N/A,FALSE,"GLDwnLoad"}</definedName>
    <definedName name="_113" localSheetId="0" hidden="1">{#N/A,#N/A,FALSE,"GLDwnLoad"}</definedName>
    <definedName name="_113" localSheetId="10" hidden="1">{#N/A,#N/A,FALSE,"GLDwnLoad"}</definedName>
    <definedName name="_113" localSheetId="12" hidden="1">{#N/A,#N/A,FALSE,"GLDwnLoad"}</definedName>
    <definedName name="_113" localSheetId="9" hidden="1">{#N/A,#N/A,FALSE,"GLDwnLoad"}</definedName>
    <definedName name="_113" hidden="1">{#N/A,#N/A,FALSE,"GLDwnLoad"}</definedName>
    <definedName name="_114" localSheetId="1" hidden="1">{#N/A,#N/A,FALSE,"OTHERINPUTS";#N/A,#N/A,FALSE,"DITRATEINPUTS";#N/A,#N/A,FALSE,"SUPPLIEDADJINPUT";#N/A,#N/A,FALSE,"TIMINGDIFFINPUTS";#N/A,#N/A,FALSE,"BR&amp;SUPADJ."}</definedName>
    <definedName name="_114" localSheetId="17" hidden="1">{#N/A,#N/A,FALSE,"OTHERINPUTS";#N/A,#N/A,FALSE,"DITRATEINPUTS";#N/A,#N/A,FALSE,"SUPPLIEDADJINPUT";#N/A,#N/A,FALSE,"TIMINGDIFFINPUTS";#N/A,#N/A,FALSE,"BR&amp;SUPADJ."}</definedName>
    <definedName name="_114" localSheetId="30" hidden="1">{#N/A,#N/A,FALSE,"OTHERINPUTS";#N/A,#N/A,FALSE,"DITRATEINPUTS";#N/A,#N/A,FALSE,"SUPPLIEDADJINPUT";#N/A,#N/A,FALSE,"TIMINGDIFFINPUTS";#N/A,#N/A,FALSE,"BR&amp;SUPADJ."}</definedName>
    <definedName name="_114" localSheetId="31" hidden="1">{#N/A,#N/A,FALSE,"OTHERINPUTS";#N/A,#N/A,FALSE,"DITRATEINPUTS";#N/A,#N/A,FALSE,"SUPPLIEDADJINPUT";#N/A,#N/A,FALSE,"TIMINGDIFFINPUTS";#N/A,#N/A,FALSE,"BR&amp;SUPADJ."}</definedName>
    <definedName name="_114" localSheetId="19" hidden="1">{#N/A,#N/A,FALSE,"OTHERINPUTS";#N/A,#N/A,FALSE,"DITRATEINPUTS";#N/A,#N/A,FALSE,"SUPPLIEDADJINPUT";#N/A,#N/A,FALSE,"TIMINGDIFFINPUTS";#N/A,#N/A,FALSE,"BR&amp;SUPADJ."}</definedName>
    <definedName name="_114" localSheetId="7" hidden="1">{#N/A,#N/A,FALSE,"OTHERINPUTS";#N/A,#N/A,FALSE,"DITRATEINPUTS";#N/A,#N/A,FALSE,"SUPPLIEDADJINPUT";#N/A,#N/A,FALSE,"TIMINGDIFFINPUTS";#N/A,#N/A,FALSE,"BR&amp;SUPADJ."}</definedName>
    <definedName name="_114" localSheetId="0" hidden="1">{#N/A,#N/A,FALSE,"OTHERINPUTS";#N/A,#N/A,FALSE,"DITRATEINPUTS";#N/A,#N/A,FALSE,"SUPPLIEDADJINPUT";#N/A,#N/A,FALSE,"TIMINGDIFFINPUTS";#N/A,#N/A,FALSE,"BR&amp;SUPADJ."}</definedName>
    <definedName name="_114" localSheetId="10" hidden="1">{#N/A,#N/A,FALSE,"OTHERINPUTS";#N/A,#N/A,FALSE,"DITRATEINPUTS";#N/A,#N/A,FALSE,"SUPPLIEDADJINPUT";#N/A,#N/A,FALSE,"TIMINGDIFFINPUTS";#N/A,#N/A,FALSE,"BR&amp;SUPADJ."}</definedName>
    <definedName name="_114" localSheetId="12" hidden="1">{#N/A,#N/A,FALSE,"OTHERINPUTS";#N/A,#N/A,FALSE,"DITRATEINPUTS";#N/A,#N/A,FALSE,"SUPPLIEDADJINPUT";#N/A,#N/A,FALSE,"TIMINGDIFFINPUTS";#N/A,#N/A,FALSE,"BR&amp;SUPADJ."}</definedName>
    <definedName name="_114" localSheetId="9" hidden="1">{#N/A,#N/A,FALSE,"OTHERINPUTS";#N/A,#N/A,FALSE,"DITRATEINPUTS";#N/A,#N/A,FALSE,"SUPPLIEDADJINPUT";#N/A,#N/A,FALSE,"TIMINGDIFFINPUTS";#N/A,#N/A,FALSE,"BR&amp;SUPADJ."}</definedName>
    <definedName name="_114" hidden="1">{#N/A,#N/A,FALSE,"OTHERINPUTS";#N/A,#N/A,FALSE,"DITRATEINPUTS";#N/A,#N/A,FALSE,"SUPPLIEDADJINPUT";#N/A,#N/A,FALSE,"TIMINGDIFFINPUTS";#N/A,#N/A,FALSE,"BR&amp;SUPADJ."}</definedName>
    <definedName name="_115"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3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1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localSheetId="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6" localSheetId="1" hidden="1">{#N/A,#N/A,FALSE,"GLDwnLoad"}</definedName>
    <definedName name="_116" localSheetId="17" hidden="1">{#N/A,#N/A,FALSE,"GLDwnLoad"}</definedName>
    <definedName name="_116" localSheetId="30" hidden="1">{#N/A,#N/A,FALSE,"GLDwnLoad"}</definedName>
    <definedName name="_116" localSheetId="31" hidden="1">{#N/A,#N/A,FALSE,"GLDwnLoad"}</definedName>
    <definedName name="_116" localSheetId="19" hidden="1">{#N/A,#N/A,FALSE,"GLDwnLoad"}</definedName>
    <definedName name="_116" localSheetId="7" hidden="1">{#N/A,#N/A,FALSE,"GLDwnLoad"}</definedName>
    <definedName name="_116" localSheetId="0" hidden="1">{#N/A,#N/A,FALSE,"GLDwnLoad"}</definedName>
    <definedName name="_116" localSheetId="10" hidden="1">{#N/A,#N/A,FALSE,"GLDwnLoad"}</definedName>
    <definedName name="_116" localSheetId="12" hidden="1">{#N/A,#N/A,FALSE,"GLDwnLoad"}</definedName>
    <definedName name="_116" localSheetId="9" hidden="1">{#N/A,#N/A,FALSE,"GLDwnLoad"}</definedName>
    <definedName name="_116" hidden="1">{#N/A,#N/A,FALSE,"GLDwnLoad"}</definedName>
    <definedName name="_118__123Graph_BCHART_6" localSheetId="19" hidden="1">#REF!</definedName>
    <definedName name="_118__123Graph_BCHART_6" hidden="1">#REF!</definedName>
    <definedName name="_119__123Graph_BCHART_5" localSheetId="19" hidden="1">#REF!</definedName>
    <definedName name="_119__123Graph_BCHART_5" hidden="1">#REF!</definedName>
    <definedName name="_12" localSheetId="1" hidden="1">{#N/A,#N/A,TRUE,"1990";#N/A,#N/A,TRUE,"1991";#N/A,#N/A,TRUE,"1992";#N/A,#N/A,TRUE,"1993"}</definedName>
    <definedName name="_12" localSheetId="17" hidden="1">{#N/A,#N/A,TRUE,"1990";#N/A,#N/A,TRUE,"1991";#N/A,#N/A,TRUE,"1992";#N/A,#N/A,TRUE,"1993"}</definedName>
    <definedName name="_12" localSheetId="30" hidden="1">{#N/A,#N/A,TRUE,"1990";#N/A,#N/A,TRUE,"1991";#N/A,#N/A,TRUE,"1992";#N/A,#N/A,TRUE,"1993"}</definedName>
    <definedName name="_12" localSheetId="31" hidden="1">{#N/A,#N/A,TRUE,"1990";#N/A,#N/A,TRUE,"1991";#N/A,#N/A,TRUE,"1992";#N/A,#N/A,TRUE,"1993"}</definedName>
    <definedName name="_12" localSheetId="19" hidden="1">{#N/A,#N/A,TRUE,"1990";#N/A,#N/A,TRUE,"1991";#N/A,#N/A,TRUE,"1992";#N/A,#N/A,TRUE,"1993"}</definedName>
    <definedName name="_12" localSheetId="7" hidden="1">{#N/A,#N/A,TRUE,"1990";#N/A,#N/A,TRUE,"1991";#N/A,#N/A,TRUE,"1992";#N/A,#N/A,TRUE,"1993"}</definedName>
    <definedName name="_12" localSheetId="0" hidden="1">{#N/A,#N/A,TRUE,"1990";#N/A,#N/A,TRUE,"1991";#N/A,#N/A,TRUE,"1992";#N/A,#N/A,TRUE,"1993"}</definedName>
    <definedName name="_12" localSheetId="10" hidden="1">{#N/A,#N/A,TRUE,"1990";#N/A,#N/A,TRUE,"1991";#N/A,#N/A,TRUE,"1992";#N/A,#N/A,TRUE,"1993"}</definedName>
    <definedName name="_12" localSheetId="12" hidden="1">{#N/A,#N/A,TRUE,"1990";#N/A,#N/A,TRUE,"1991";#N/A,#N/A,TRUE,"1992";#N/A,#N/A,TRUE,"1993"}</definedName>
    <definedName name="_12" localSheetId="9" hidden="1">{#N/A,#N/A,TRUE,"1990";#N/A,#N/A,TRUE,"1991";#N/A,#N/A,TRUE,"1992";#N/A,#N/A,TRUE,"1993"}</definedName>
    <definedName name="_12" hidden="1">{#N/A,#N/A,TRUE,"1990";#N/A,#N/A,TRUE,"1991";#N/A,#N/A,TRUE,"1992";#N/A,#N/A,TRUE,"1993"}</definedName>
    <definedName name="_12__123Graph_ACHART_6" localSheetId="19" hidden="1">#REF!</definedName>
    <definedName name="_12__123Graph_ACHART_6" hidden="1">#REF!</definedName>
    <definedName name="_12__123Graph_CCHART_12" localSheetId="19" hidden="1">#REF!</definedName>
    <definedName name="_12__123Graph_CCHART_12" hidden="1">#REF!</definedName>
    <definedName name="_12__123Graph_XCHART_2" localSheetId="19" hidden="1">#REF!</definedName>
    <definedName name="_12__123Graph_XCHART_2" hidden="1">#REF!</definedName>
    <definedName name="_123Graph_ACHART" localSheetId="19" hidden="1">#REF!</definedName>
    <definedName name="_123Graph_ACHART" hidden="1">#REF!</definedName>
    <definedName name="_126__123Graph_ACHART_6" localSheetId="19" hidden="1">#REF!</definedName>
    <definedName name="_126__123Graph_ACHART_6" hidden="1">#REF!</definedName>
    <definedName name="_126__123Graph_BCHART_5" localSheetId="19" hidden="1">#REF!</definedName>
    <definedName name="_126__123Graph_BCHART_5" hidden="1">#REF!</definedName>
    <definedName name="_13" localSheetId="1" hidden="1">{"summary",#N/A,TRUE,"E93ADJ";"detail",#N/A,TRUE,"E93ADJ"}</definedName>
    <definedName name="_13" localSheetId="17" hidden="1">{"summary",#N/A,TRUE,"E93ADJ";"detail",#N/A,TRUE,"E93ADJ"}</definedName>
    <definedName name="_13" localSheetId="30" hidden="1">{"summary",#N/A,TRUE,"E93ADJ";"detail",#N/A,TRUE,"E93ADJ"}</definedName>
    <definedName name="_13" localSheetId="31" hidden="1">{"summary",#N/A,TRUE,"E93ADJ";"detail",#N/A,TRUE,"E93ADJ"}</definedName>
    <definedName name="_13" localSheetId="19" hidden="1">{"summary",#N/A,TRUE,"E93ADJ";"detail",#N/A,TRUE,"E93ADJ"}</definedName>
    <definedName name="_13" localSheetId="7" hidden="1">{"summary",#N/A,TRUE,"E93ADJ";"detail",#N/A,TRUE,"E93ADJ"}</definedName>
    <definedName name="_13" localSheetId="0" hidden="1">{"summary",#N/A,TRUE,"E93ADJ";"detail",#N/A,TRUE,"E93ADJ"}</definedName>
    <definedName name="_13" localSheetId="10" hidden="1">{"summary",#N/A,TRUE,"E93ADJ";"detail",#N/A,TRUE,"E93ADJ"}</definedName>
    <definedName name="_13" localSheetId="12" hidden="1">{"summary",#N/A,TRUE,"E93ADJ";"detail",#N/A,TRUE,"E93ADJ"}</definedName>
    <definedName name="_13" localSheetId="9" hidden="1">{"summary",#N/A,TRUE,"E93ADJ";"detail",#N/A,TRUE,"E93ADJ"}</definedName>
    <definedName name="_13" hidden="1">{"summary",#N/A,TRUE,"E93ADJ";"detail",#N/A,TRUE,"E93ADJ"}</definedName>
    <definedName name="_13__123Graph_CCHART_13" localSheetId="19" hidden="1">#REF!</definedName>
    <definedName name="_13__123Graph_CCHART_13" hidden="1">#REF!</definedName>
    <definedName name="_13__123Graph_XCHART_3" localSheetId="19" hidden="1">#REF!</definedName>
    <definedName name="_13__123Graph_XCHART_3" hidden="1">#REF!</definedName>
    <definedName name="_132__123Graph_CCHART_4" localSheetId="19" hidden="1">#REF!</definedName>
    <definedName name="_132__123Graph_CCHART_4" hidden="1">#REF!</definedName>
    <definedName name="_14" localSheetId="1" hidden="1">{"summary",#N/A,TRUE,"E93ADJ";"detail",#N/A,TRUE,"E93ADJ"}</definedName>
    <definedName name="_14" localSheetId="17" hidden="1">{"summary",#N/A,TRUE,"E93ADJ";"detail",#N/A,TRUE,"E93ADJ"}</definedName>
    <definedName name="_14" localSheetId="30" hidden="1">{"summary",#N/A,TRUE,"E93ADJ";"detail",#N/A,TRUE,"E93ADJ"}</definedName>
    <definedName name="_14" localSheetId="31" hidden="1">{"summary",#N/A,TRUE,"E93ADJ";"detail",#N/A,TRUE,"E93ADJ"}</definedName>
    <definedName name="_14" localSheetId="19" hidden="1">{"summary",#N/A,TRUE,"E93ADJ";"detail",#N/A,TRUE,"E93ADJ"}</definedName>
    <definedName name="_14" localSheetId="7" hidden="1">{"summary",#N/A,TRUE,"E93ADJ";"detail",#N/A,TRUE,"E93ADJ"}</definedName>
    <definedName name="_14" localSheetId="0" hidden="1">{"summary",#N/A,TRUE,"E93ADJ";"detail",#N/A,TRUE,"E93ADJ"}</definedName>
    <definedName name="_14" localSheetId="10" hidden="1">{"summary",#N/A,TRUE,"E93ADJ";"detail",#N/A,TRUE,"E93ADJ"}</definedName>
    <definedName name="_14" localSheetId="12" hidden="1">{"summary",#N/A,TRUE,"E93ADJ";"detail",#N/A,TRUE,"E93ADJ"}</definedName>
    <definedName name="_14" localSheetId="9" hidden="1">{"summary",#N/A,TRUE,"E93ADJ";"detail",#N/A,TRUE,"E93ADJ"}</definedName>
    <definedName name="_14" hidden="1">{"summary",#N/A,TRUE,"E93ADJ";"detail",#N/A,TRUE,"E93ADJ"}</definedName>
    <definedName name="_14__123Graph_ACHART_1" localSheetId="19" hidden="1">#REF!</definedName>
    <definedName name="_14__123Graph_ACHART_1" hidden="1">#REF!</definedName>
    <definedName name="_14__123Graph_BCHART_5" localSheetId="19" hidden="1">#REF!</definedName>
    <definedName name="_14__123Graph_BCHART_5" hidden="1">#REF!</definedName>
    <definedName name="_14__123Graph_CCHART_14" localSheetId="19" hidden="1">#REF!</definedName>
    <definedName name="_14__123Graph_CCHART_14" hidden="1">#REF!</definedName>
    <definedName name="_14__123Graph_XCHART_4" localSheetId="19" hidden="1">#REF!</definedName>
    <definedName name="_14__123Graph_XCHART_4" hidden="1">#REF!</definedName>
    <definedName name="_144__123Graph_BCHART_6" localSheetId="17" hidden="1">#REF!</definedName>
    <definedName name="_144__123Graph_BCHART_6" localSheetId="30" hidden="1">#REF!</definedName>
    <definedName name="_144__123Graph_BCHART_6" localSheetId="31" hidden="1">#REF!</definedName>
    <definedName name="_144__123Graph_BCHART_6" localSheetId="19" hidden="1">#REF!</definedName>
    <definedName name="_144__123Graph_BCHART_6" localSheetId="7" hidden="1">#REF!</definedName>
    <definedName name="_144__123Graph_BCHART_6" localSheetId="9" hidden="1">#REF!</definedName>
    <definedName name="_144__123Graph_BCHART_6" hidden="1">#REF!</definedName>
    <definedName name="_147__123Graph_BCHART_5" localSheetId="19" hidden="1">#REF!</definedName>
    <definedName name="_147__123Graph_BCHART_5" hidden="1">#REF!</definedName>
    <definedName name="_15" localSheetId="1" hidden="1">{#N/A,#N/A,TRUE,"1990";#N/A,#N/A,TRUE,"1991";#N/A,#N/A,TRUE,"1992";#N/A,#N/A,TRUE,"1993"}</definedName>
    <definedName name="_15" localSheetId="17" hidden="1">{#N/A,#N/A,TRUE,"1990";#N/A,#N/A,TRUE,"1991";#N/A,#N/A,TRUE,"1992";#N/A,#N/A,TRUE,"1993"}</definedName>
    <definedName name="_15" localSheetId="30" hidden="1">{#N/A,#N/A,TRUE,"1990";#N/A,#N/A,TRUE,"1991";#N/A,#N/A,TRUE,"1992";#N/A,#N/A,TRUE,"1993"}</definedName>
    <definedName name="_15" localSheetId="31" hidden="1">{#N/A,#N/A,TRUE,"1990";#N/A,#N/A,TRUE,"1991";#N/A,#N/A,TRUE,"1992";#N/A,#N/A,TRUE,"1993"}</definedName>
    <definedName name="_15" localSheetId="19" hidden="1">{#N/A,#N/A,TRUE,"1990";#N/A,#N/A,TRUE,"1991";#N/A,#N/A,TRUE,"1992";#N/A,#N/A,TRUE,"1993"}</definedName>
    <definedName name="_15" localSheetId="7" hidden="1">{#N/A,#N/A,TRUE,"1990";#N/A,#N/A,TRUE,"1991";#N/A,#N/A,TRUE,"1992";#N/A,#N/A,TRUE,"1993"}</definedName>
    <definedName name="_15" localSheetId="0" hidden="1">{#N/A,#N/A,TRUE,"1990";#N/A,#N/A,TRUE,"1991";#N/A,#N/A,TRUE,"1992";#N/A,#N/A,TRUE,"1993"}</definedName>
    <definedName name="_15" localSheetId="10" hidden="1">{#N/A,#N/A,TRUE,"1990";#N/A,#N/A,TRUE,"1991";#N/A,#N/A,TRUE,"1992";#N/A,#N/A,TRUE,"1993"}</definedName>
    <definedName name="_15" localSheetId="12" hidden="1">{#N/A,#N/A,TRUE,"1990";#N/A,#N/A,TRUE,"1991";#N/A,#N/A,TRUE,"1992";#N/A,#N/A,TRUE,"1993"}</definedName>
    <definedName name="_15" localSheetId="9" hidden="1">{#N/A,#N/A,TRUE,"1990";#N/A,#N/A,TRUE,"1991";#N/A,#N/A,TRUE,"1992";#N/A,#N/A,TRUE,"1993"}</definedName>
    <definedName name="_15" hidden="1">{#N/A,#N/A,TRUE,"1990";#N/A,#N/A,TRUE,"1991";#N/A,#N/A,TRUE,"1992";#N/A,#N/A,TRUE,"1993"}</definedName>
    <definedName name="_15__123Graph_CCHART_15" localSheetId="19" hidden="1">#REF!</definedName>
    <definedName name="_15__123Graph_CCHART_15" hidden="1">#REF!</definedName>
    <definedName name="_15__123Graph_XCHART_5" localSheetId="19" hidden="1">#REF!</definedName>
    <definedName name="_15__123Graph_XCHART_5" hidden="1">#REF!</definedName>
    <definedName name="_152__123Graph_BCHART_6" localSheetId="17" hidden="1">#REF!</definedName>
    <definedName name="_152__123Graph_BCHART_6" localSheetId="30" hidden="1">#REF!</definedName>
    <definedName name="_152__123Graph_BCHART_6" localSheetId="31" hidden="1">#REF!</definedName>
    <definedName name="_152__123Graph_BCHART_6" localSheetId="19" hidden="1">#REF!</definedName>
    <definedName name="_152__123Graph_BCHART_6" localSheetId="7" hidden="1">#REF!</definedName>
    <definedName name="_152__123Graph_BCHART_6" localSheetId="9" hidden="1">#REF!</definedName>
    <definedName name="_152__123Graph_BCHART_6" hidden="1">#REF!</definedName>
    <definedName name="_152__123Graph_CCHART_6" localSheetId="17" hidden="1">#REF!</definedName>
    <definedName name="_152__123Graph_CCHART_6" localSheetId="30" hidden="1">#REF!</definedName>
    <definedName name="_152__123Graph_CCHART_6" localSheetId="19" hidden="1">#REF!</definedName>
    <definedName name="_152__123Graph_CCHART_6" localSheetId="7" hidden="1">#REF!</definedName>
    <definedName name="_152__123Graph_CCHART_6" localSheetId="9" hidden="1">#REF!</definedName>
    <definedName name="_152__123Graph_CCHART_6" hidden="1">#REF!</definedName>
    <definedName name="_16" localSheetId="1" hidden="1">{"summary",#N/A,TRUE,"E93ADJ";"detail",#N/A,TRUE,"E93ADJ"}</definedName>
    <definedName name="_16" localSheetId="17" hidden="1">{"summary",#N/A,TRUE,"E93ADJ";"detail",#N/A,TRUE,"E93ADJ"}</definedName>
    <definedName name="_16" localSheetId="30" hidden="1">{"summary",#N/A,TRUE,"E93ADJ";"detail",#N/A,TRUE,"E93ADJ"}</definedName>
    <definedName name="_16" localSheetId="31" hidden="1">{"summary",#N/A,TRUE,"E93ADJ";"detail",#N/A,TRUE,"E93ADJ"}</definedName>
    <definedName name="_16" localSheetId="19" hidden="1">{"summary",#N/A,TRUE,"E93ADJ";"detail",#N/A,TRUE,"E93ADJ"}</definedName>
    <definedName name="_16" localSheetId="7" hidden="1">{"summary",#N/A,TRUE,"E93ADJ";"detail",#N/A,TRUE,"E93ADJ"}</definedName>
    <definedName name="_16" localSheetId="0" hidden="1">{"summary",#N/A,TRUE,"E93ADJ";"detail",#N/A,TRUE,"E93ADJ"}</definedName>
    <definedName name="_16" localSheetId="10" hidden="1">{"summary",#N/A,TRUE,"E93ADJ";"detail",#N/A,TRUE,"E93ADJ"}</definedName>
    <definedName name="_16" localSheetId="12" hidden="1">{"summary",#N/A,TRUE,"E93ADJ";"detail",#N/A,TRUE,"E93ADJ"}</definedName>
    <definedName name="_16" localSheetId="9" hidden="1">{"summary",#N/A,TRUE,"E93ADJ";"detail",#N/A,TRUE,"E93ADJ"}</definedName>
    <definedName name="_16" hidden="1">{"summary",#N/A,TRUE,"E93ADJ";"detail",#N/A,TRUE,"E93ADJ"}</definedName>
    <definedName name="_16__123Graph_BCHART_6" localSheetId="19" hidden="1">#REF!</definedName>
    <definedName name="_16__123Graph_BCHART_6" hidden="1">#REF!</definedName>
    <definedName name="_16__123Graph_CCHART_16" localSheetId="19" hidden="1">#REF!</definedName>
    <definedName name="_16__123Graph_CCHART_16" hidden="1">#REF!</definedName>
    <definedName name="_16__123Graph_XCHART_6" localSheetId="19" hidden="1">#REF!</definedName>
    <definedName name="_16__123Graph_XCHART_6" hidden="1">#REF!</definedName>
    <definedName name="_161__123Graph_CCHART_4" localSheetId="19" hidden="1">#REF!</definedName>
    <definedName name="_161__123Graph_CCHART_4" hidden="1">#REF!</definedName>
    <definedName name="_166__123Graph_XCHART_1" localSheetId="19" hidden="1">#REF!</definedName>
    <definedName name="_166__123Graph_XCHART_1" hidden="1">#REF!</definedName>
    <definedName name="_17" localSheetId="1" hidden="1">{"ARK_JURIS_FUEL",#N/A,FALSE,"Ark_Fuel&amp;Rev"}</definedName>
    <definedName name="_17" localSheetId="17" hidden="1">{"ARK_JURIS_FUEL",#N/A,FALSE,"Ark_Fuel&amp;Rev"}</definedName>
    <definedName name="_17" localSheetId="30" hidden="1">{"ARK_JURIS_FUEL",#N/A,FALSE,"Ark_Fuel&amp;Rev"}</definedName>
    <definedName name="_17" localSheetId="31" hidden="1">{"ARK_JURIS_FUEL",#N/A,FALSE,"Ark_Fuel&amp;Rev"}</definedName>
    <definedName name="_17" localSheetId="19" hidden="1">{"ARK_JURIS_FUEL",#N/A,FALSE,"Ark_Fuel&amp;Rev"}</definedName>
    <definedName name="_17" localSheetId="7" hidden="1">{"ARK_JURIS_FUEL",#N/A,FALSE,"Ark_Fuel&amp;Rev"}</definedName>
    <definedName name="_17" localSheetId="0" hidden="1">{"ARK_JURIS_FUEL",#N/A,FALSE,"Ark_Fuel&amp;Rev"}</definedName>
    <definedName name="_17" localSheetId="10" hidden="1">{"ARK_JURIS_FUEL",#N/A,FALSE,"Ark_Fuel&amp;Rev"}</definedName>
    <definedName name="_17" localSheetId="12" hidden="1">{"ARK_JURIS_FUEL",#N/A,FALSE,"Ark_Fuel&amp;Rev"}</definedName>
    <definedName name="_17" localSheetId="9" hidden="1">{"ARK_JURIS_FUEL",#N/A,FALSE,"Ark_Fuel&amp;Rev"}</definedName>
    <definedName name="_17" hidden="1">{"ARK_JURIS_FUEL",#N/A,FALSE,"Ark_Fuel&amp;Rev"}</definedName>
    <definedName name="_17__123Graph_ACHART_1" localSheetId="19" hidden="1">#REF!</definedName>
    <definedName name="_17__123Graph_ACHART_1" hidden="1">#REF!</definedName>
    <definedName name="_17__123Graph_CCHART_17" localSheetId="19" hidden="1">#REF!</definedName>
    <definedName name="_17__123Graph_CCHART_17" hidden="1">#REF!</definedName>
    <definedName name="_170__123Graph_CCHART_4" localSheetId="19" hidden="1">#REF!</definedName>
    <definedName name="_170__123Graph_CCHART_4" hidden="1">#REF!</definedName>
    <definedName name="_173__123Graph_BCHART_6" localSheetId="19" hidden="1">#REF!</definedName>
    <definedName name="_173__123Graph_BCHART_6" hidden="1">#REF!</definedName>
    <definedName name="_18" localSheetId="1" hidden="1">{#N/A,#N/A,FALSE,"SCA";#N/A,#N/A,FALSE,"NCA";#N/A,#N/A,FALSE,"SAZ";#N/A,#N/A,FALSE,"CAZ";#N/A,#N/A,FALSE,"SNV";#N/A,#N/A,FALSE,"NNV";#N/A,#N/A,FALSE,"PP";#N/A,#N/A,FALSE,"SA"}</definedName>
    <definedName name="_18" localSheetId="17" hidden="1">{#N/A,#N/A,FALSE,"SCA";#N/A,#N/A,FALSE,"NCA";#N/A,#N/A,FALSE,"SAZ";#N/A,#N/A,FALSE,"CAZ";#N/A,#N/A,FALSE,"SNV";#N/A,#N/A,FALSE,"NNV";#N/A,#N/A,FALSE,"PP";#N/A,#N/A,FALSE,"SA"}</definedName>
    <definedName name="_18" localSheetId="30" hidden="1">{#N/A,#N/A,FALSE,"SCA";#N/A,#N/A,FALSE,"NCA";#N/A,#N/A,FALSE,"SAZ";#N/A,#N/A,FALSE,"CAZ";#N/A,#N/A,FALSE,"SNV";#N/A,#N/A,FALSE,"NNV";#N/A,#N/A,FALSE,"PP";#N/A,#N/A,FALSE,"SA"}</definedName>
    <definedName name="_18" localSheetId="31" hidden="1">{#N/A,#N/A,FALSE,"SCA";#N/A,#N/A,FALSE,"NCA";#N/A,#N/A,FALSE,"SAZ";#N/A,#N/A,FALSE,"CAZ";#N/A,#N/A,FALSE,"SNV";#N/A,#N/A,FALSE,"NNV";#N/A,#N/A,FALSE,"PP";#N/A,#N/A,FALSE,"SA"}</definedName>
    <definedName name="_18" localSheetId="19" hidden="1">{#N/A,#N/A,FALSE,"SCA";#N/A,#N/A,FALSE,"NCA";#N/A,#N/A,FALSE,"SAZ";#N/A,#N/A,FALSE,"CAZ";#N/A,#N/A,FALSE,"SNV";#N/A,#N/A,FALSE,"NNV";#N/A,#N/A,FALSE,"PP";#N/A,#N/A,FALSE,"SA"}</definedName>
    <definedName name="_18" localSheetId="7" hidden="1">{#N/A,#N/A,FALSE,"SCA";#N/A,#N/A,FALSE,"NCA";#N/A,#N/A,FALSE,"SAZ";#N/A,#N/A,FALSE,"CAZ";#N/A,#N/A,FALSE,"SNV";#N/A,#N/A,FALSE,"NNV";#N/A,#N/A,FALSE,"PP";#N/A,#N/A,FALSE,"SA"}</definedName>
    <definedName name="_18" localSheetId="0" hidden="1">{#N/A,#N/A,FALSE,"SCA";#N/A,#N/A,FALSE,"NCA";#N/A,#N/A,FALSE,"SAZ";#N/A,#N/A,FALSE,"CAZ";#N/A,#N/A,FALSE,"SNV";#N/A,#N/A,FALSE,"NNV";#N/A,#N/A,FALSE,"PP";#N/A,#N/A,FALSE,"SA"}</definedName>
    <definedName name="_18" localSheetId="10" hidden="1">{#N/A,#N/A,FALSE,"SCA";#N/A,#N/A,FALSE,"NCA";#N/A,#N/A,FALSE,"SAZ";#N/A,#N/A,FALSE,"CAZ";#N/A,#N/A,FALSE,"SNV";#N/A,#N/A,FALSE,"NNV";#N/A,#N/A,FALSE,"PP";#N/A,#N/A,FALSE,"SA"}</definedName>
    <definedName name="_18" localSheetId="12" hidden="1">{#N/A,#N/A,FALSE,"SCA";#N/A,#N/A,FALSE,"NCA";#N/A,#N/A,FALSE,"SAZ";#N/A,#N/A,FALSE,"CAZ";#N/A,#N/A,FALSE,"SNV";#N/A,#N/A,FALSE,"NNV";#N/A,#N/A,FALSE,"PP";#N/A,#N/A,FALSE,"SA"}</definedName>
    <definedName name="_18" localSheetId="9" hidden="1">{#N/A,#N/A,FALSE,"SCA";#N/A,#N/A,FALSE,"NCA";#N/A,#N/A,FALSE,"SAZ";#N/A,#N/A,FALSE,"CAZ";#N/A,#N/A,FALSE,"SNV";#N/A,#N/A,FALSE,"NNV";#N/A,#N/A,FALSE,"PP";#N/A,#N/A,FALSE,"SA"}</definedName>
    <definedName name="_18" hidden="1">{#N/A,#N/A,FALSE,"SCA";#N/A,#N/A,FALSE,"NCA";#N/A,#N/A,FALSE,"SAZ";#N/A,#N/A,FALSE,"CAZ";#N/A,#N/A,FALSE,"SNV";#N/A,#N/A,FALSE,"NNV";#N/A,#N/A,FALSE,"PP";#N/A,#N/A,FALSE,"SA"}</definedName>
    <definedName name="_18__123Graph_ACHART_1" localSheetId="19" hidden="1">#REF!</definedName>
    <definedName name="_18__123Graph_ACHART_1" hidden="1">#REF!</definedName>
    <definedName name="_18__123Graph_CCHART_18" localSheetId="19" hidden="1">#REF!</definedName>
    <definedName name="_18__123Graph_CCHART_18" hidden="1">#REF!</definedName>
    <definedName name="_18__123Graph_CCHART_4" localSheetId="19" hidden="1">#REF!</definedName>
    <definedName name="_18__123Graph_CCHART_4" hidden="1">#REF!</definedName>
    <definedName name="_180__123Graph_XCHART_2" localSheetId="19" hidden="1">#REF!</definedName>
    <definedName name="_180__123Graph_XCHART_2" hidden="1">#REF!</definedName>
    <definedName name="_186__123Graph_CCHART_6" localSheetId="17" hidden="1">#REF!</definedName>
    <definedName name="_186__123Graph_CCHART_6" localSheetId="30" hidden="1">#REF!</definedName>
    <definedName name="_186__123Graph_CCHART_6" localSheetId="31" hidden="1">#REF!</definedName>
    <definedName name="_186__123Graph_CCHART_6" localSheetId="19" hidden="1">#REF!</definedName>
    <definedName name="_186__123Graph_CCHART_6" localSheetId="7" hidden="1">#REF!</definedName>
    <definedName name="_186__123Graph_CCHART_6" localSheetId="9" hidden="1">#REF!</definedName>
    <definedName name="_186__123Graph_CCHART_6" hidden="1">#REF!</definedName>
    <definedName name="_19"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3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localSheetId="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4__123Graph_CCHART_4" localSheetId="19" hidden="1">#REF!</definedName>
    <definedName name="_194__123Graph_CCHART_4" hidden="1">#REF!</definedName>
    <definedName name="_194__123Graph_XCHART_3" localSheetId="19" hidden="1">#REF!</definedName>
    <definedName name="_194__123Graph_XCHART_3" hidden="1">#REF!</definedName>
    <definedName name="_196__123Graph_CCHART_6" localSheetId="17" hidden="1">#REF!</definedName>
    <definedName name="_196__123Graph_CCHART_6" localSheetId="30" hidden="1">#REF!</definedName>
    <definedName name="_196__123Graph_CCHART_6" localSheetId="31" hidden="1">#REF!</definedName>
    <definedName name="_196__123Graph_CCHART_6" localSheetId="19" hidden="1">#REF!</definedName>
    <definedName name="_196__123Graph_CCHART_6" localSheetId="7" hidden="1">#REF!</definedName>
    <definedName name="_196__123Graph_CCHART_6" localSheetId="9" hidden="1">#REF!</definedName>
    <definedName name="_196__123Graph_CCHART_6" hidden="1">#REF!</definedName>
    <definedName name="_1CONTRACT_LABOR" localSheetId="10">#REF!</definedName>
    <definedName name="_1CONTRACT_LABOR">#REF!</definedName>
    <definedName name="_1ISSUANCE_EXPENS" localSheetId="7">#REF!</definedName>
    <definedName name="_1ISSUANCE_EXPENS">#REF!</definedName>
    <definedName name="_1Q_0_Regressio" localSheetId="1" hidden="1">#REF!</definedName>
    <definedName name="_1Q_0_Regressio" localSheetId="31" hidden="1">#REF!</definedName>
    <definedName name="_1Q_0_Regressio" localSheetId="7" hidden="1">#REF!</definedName>
    <definedName name="_1Q_0_Regressio" localSheetId="9" hidden="1">#REF!</definedName>
    <definedName name="_1Q_0_Regressio" hidden="1">#REF!</definedName>
    <definedName name="_2" localSheetId="1" hidden="1">{#N/A,#N/A,FALSE,"SCA";#N/A,#N/A,FALSE,"NCA";#N/A,#N/A,FALSE,"SAZ";#N/A,#N/A,FALSE,"CAZ";#N/A,#N/A,FALSE,"SNV";#N/A,#N/A,FALSE,"NNV";#N/A,#N/A,FALSE,"PP";#N/A,#N/A,FALSE,"SA"}</definedName>
    <definedName name="_2" localSheetId="17" hidden="1">{#N/A,#N/A,FALSE,"SCA";#N/A,#N/A,FALSE,"NCA";#N/A,#N/A,FALSE,"SAZ";#N/A,#N/A,FALSE,"CAZ";#N/A,#N/A,FALSE,"SNV";#N/A,#N/A,FALSE,"NNV";#N/A,#N/A,FALSE,"PP";#N/A,#N/A,FALSE,"SA"}</definedName>
    <definedName name="_2" localSheetId="30" hidden="1">{#N/A,#N/A,FALSE,"SCA";#N/A,#N/A,FALSE,"NCA";#N/A,#N/A,FALSE,"SAZ";#N/A,#N/A,FALSE,"CAZ";#N/A,#N/A,FALSE,"SNV";#N/A,#N/A,FALSE,"NNV";#N/A,#N/A,FALSE,"PP";#N/A,#N/A,FALSE,"SA"}</definedName>
    <definedName name="_2" localSheetId="31" hidden="1">{#N/A,#N/A,FALSE,"SCA";#N/A,#N/A,FALSE,"NCA";#N/A,#N/A,FALSE,"SAZ";#N/A,#N/A,FALSE,"CAZ";#N/A,#N/A,FALSE,"SNV";#N/A,#N/A,FALSE,"NNV";#N/A,#N/A,FALSE,"PP";#N/A,#N/A,FALSE,"SA"}</definedName>
    <definedName name="_2" localSheetId="19" hidden="1">{#N/A,#N/A,FALSE,"SCA";#N/A,#N/A,FALSE,"NCA";#N/A,#N/A,FALSE,"SAZ";#N/A,#N/A,FALSE,"CAZ";#N/A,#N/A,FALSE,"SNV";#N/A,#N/A,FALSE,"NNV";#N/A,#N/A,FALSE,"PP";#N/A,#N/A,FALSE,"SA"}</definedName>
    <definedName name="_2" localSheetId="7" hidden="1">{#N/A,#N/A,FALSE,"SCA";#N/A,#N/A,FALSE,"NCA";#N/A,#N/A,FALSE,"SAZ";#N/A,#N/A,FALSE,"CAZ";#N/A,#N/A,FALSE,"SNV";#N/A,#N/A,FALSE,"NNV";#N/A,#N/A,FALSE,"PP";#N/A,#N/A,FALSE,"SA"}</definedName>
    <definedName name="_2" localSheetId="0" hidden="1">{#N/A,#N/A,FALSE,"SCA";#N/A,#N/A,FALSE,"NCA";#N/A,#N/A,FALSE,"SAZ";#N/A,#N/A,FALSE,"CAZ";#N/A,#N/A,FALSE,"SNV";#N/A,#N/A,FALSE,"NNV";#N/A,#N/A,FALSE,"PP";#N/A,#N/A,FALSE,"SA"}</definedName>
    <definedName name="_2" localSheetId="10" hidden="1">{#N/A,#N/A,FALSE,"SCA";#N/A,#N/A,FALSE,"NCA";#N/A,#N/A,FALSE,"SAZ";#N/A,#N/A,FALSE,"CAZ";#N/A,#N/A,FALSE,"SNV";#N/A,#N/A,FALSE,"NNV";#N/A,#N/A,FALSE,"PP";#N/A,#N/A,FALSE,"SA"}</definedName>
    <definedName name="_2" localSheetId="12" hidden="1">{#N/A,#N/A,FALSE,"SCA";#N/A,#N/A,FALSE,"NCA";#N/A,#N/A,FALSE,"SAZ";#N/A,#N/A,FALSE,"CAZ";#N/A,#N/A,FALSE,"SNV";#N/A,#N/A,FALSE,"NNV";#N/A,#N/A,FALSE,"PP";#N/A,#N/A,FALSE,"SA"}</definedName>
    <definedName name="_2" localSheetId="9" hidden="1">{#N/A,#N/A,FALSE,"SCA";#N/A,#N/A,FALSE,"NCA";#N/A,#N/A,FALSE,"SAZ";#N/A,#N/A,FALSE,"CAZ";#N/A,#N/A,FALSE,"SNV";#N/A,#N/A,FALSE,"NNV";#N/A,#N/A,FALSE,"PP";#N/A,#N/A,FALSE,"SA"}</definedName>
    <definedName name="_2" hidden="1">{#N/A,#N/A,FALSE,"SCA";#N/A,#N/A,FALSE,"NCA";#N/A,#N/A,FALSE,"SAZ";#N/A,#N/A,FALSE,"CAZ";#N/A,#N/A,FALSE,"SNV";#N/A,#N/A,FALSE,"NNV";#N/A,#N/A,FALSE,"PP";#N/A,#N/A,FALSE,"SA"}</definedName>
    <definedName name="_2__123Graph_ACHART_1" localSheetId="19" hidden="1">#REF!</definedName>
    <definedName name="_2__123Graph_ACHART_1" hidden="1">#REF!</definedName>
    <definedName name="_2__123Graph_ACHART_12" localSheetId="19" hidden="1">#REF!</definedName>
    <definedName name="_2__123Graph_ACHART_12" hidden="1">#REF!</definedName>
    <definedName name="_2__123Graph_ACHART_2" localSheetId="19" hidden="1">#REF!</definedName>
    <definedName name="_2__123Graph_ACHART_2" hidden="1">#REF!</definedName>
    <definedName name="_2__123Graph_BYIELD_CURVES" localSheetId="1" hidden="1">#REF!</definedName>
    <definedName name="_2__123Graph_BYIELD_CURVES" localSheetId="17" hidden="1">#REF!</definedName>
    <definedName name="_2__123Graph_BYIELD_CURVES" localSheetId="30" hidden="1">#REF!</definedName>
    <definedName name="_2__123Graph_BYIELD_CURVES" localSheetId="31" hidden="1">#REF!</definedName>
    <definedName name="_2__123Graph_BYIELD_CURVES" localSheetId="19" hidden="1">#REF!</definedName>
    <definedName name="_2__123Graph_BYIELD_CURVES" localSheetId="7" hidden="1">#REF!</definedName>
    <definedName name="_2__123Graph_BYIELD_CURVES" localSheetId="9" hidden="1">#REF!</definedName>
    <definedName name="_2__123Graph_BYIELD_CURVES" hidden="1">#REF!</definedName>
    <definedName name="_2__FDSAUDITLINK__" localSheetId="7"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0"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localSheetId="12"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__FDSAUDITLINK__" hidden="1">{"fdsup://directions/FAT Viewer?action=UPDATE&amp;creator=factset&amp;DYN_ARGS=TRUE&amp;DOC_NAME=FAT:FQL_AUDITING_CLIENT_TEMPLATE.FAT&amp;display_string=Audit&amp;VAR:KEY=BSTQXIDEBC&amp;VAR:QUERY=UkdGX1BGRF9TVEsoQU5OLDAsLCwsLCxOT0FVRElUKQ==&amp;WINDOW=FIRST_POPUP&amp;HEIGHT=450&amp;WIDTH=450&amp;","START_MAXIMIZED=FALSE&amp;VAR:CALENDAR=US&amp;VAR:SYMBOL=CTWS&amp;VAR:INDEX=0"}</definedName>
    <definedName name="_20"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3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__123Graph_CCHART_6" localSheetId="19" hidden="1">#REF!</definedName>
    <definedName name="_20__123Graph_CCHART_6" hidden="1">#REF!</definedName>
    <definedName name="_203__123Graph_XCHART_1" localSheetId="19" hidden="1">#REF!</definedName>
    <definedName name="_203__123Graph_XCHART_1" hidden="1">#REF!</definedName>
    <definedName name="_208__123Graph_XCHART_4" localSheetId="19" hidden="1">#REF!</definedName>
    <definedName name="_208__123Graph_XCHART_4" hidden="1">#REF!</definedName>
    <definedName name="_21" localSheetId="1" hidden="1">{"wp_h4.2",#N/A,FALSE,"WP_H4.2";"wp_h4.3",#N/A,FALSE,"WP_H4.3"}</definedName>
    <definedName name="_21" localSheetId="17" hidden="1">{"wp_h4.2",#N/A,FALSE,"WP_H4.2";"wp_h4.3",#N/A,FALSE,"WP_H4.3"}</definedName>
    <definedName name="_21" localSheetId="30" hidden="1">{"wp_h4.2",#N/A,FALSE,"WP_H4.2";"wp_h4.3",#N/A,FALSE,"WP_H4.3"}</definedName>
    <definedName name="_21" localSheetId="31" hidden="1">{"wp_h4.2",#N/A,FALSE,"WP_H4.2";"wp_h4.3",#N/A,FALSE,"WP_H4.3"}</definedName>
    <definedName name="_21" localSheetId="19" hidden="1">{"wp_h4.2",#N/A,FALSE,"WP_H4.2";"wp_h4.3",#N/A,FALSE,"WP_H4.3"}</definedName>
    <definedName name="_21" localSheetId="7" hidden="1">{"wp_h4.2",#N/A,FALSE,"WP_H4.2";"wp_h4.3",#N/A,FALSE,"WP_H4.3"}</definedName>
    <definedName name="_21" localSheetId="0" hidden="1">{"wp_h4.2",#N/A,FALSE,"WP_H4.2";"wp_h4.3",#N/A,FALSE,"WP_H4.3"}</definedName>
    <definedName name="_21" localSheetId="10" hidden="1">{"wp_h4.2",#N/A,FALSE,"WP_H4.2";"wp_h4.3",#N/A,FALSE,"WP_H4.3"}</definedName>
    <definedName name="_21" localSheetId="12" hidden="1">{"wp_h4.2",#N/A,FALSE,"WP_H4.2";"wp_h4.3",#N/A,FALSE,"WP_H4.3"}</definedName>
    <definedName name="_21" localSheetId="9" hidden="1">{"wp_h4.2",#N/A,FALSE,"WP_H4.2";"wp_h4.3",#N/A,FALSE,"WP_H4.3"}</definedName>
    <definedName name="_21" hidden="1">{"wp_h4.2",#N/A,FALSE,"WP_H4.2";"wp_h4.3",#N/A,FALSE,"WP_H4.3"}</definedName>
    <definedName name="_21__123Graph_ACHART_1" localSheetId="19" hidden="1">#REF!</definedName>
    <definedName name="_21__123Graph_ACHART_1" hidden="1">#REF!</definedName>
    <definedName name="_214__123Graph_XCHART_1" localSheetId="19" hidden="1">#REF!</definedName>
    <definedName name="_214__123Graph_XCHART_1" hidden="1">#REF!</definedName>
    <definedName name="_22" localSheetId="1" hidden="1">{#N/A,#N/A,TRUE,"1990";#N/A,#N/A,TRUE,"1991";#N/A,#N/A,TRUE,"1992";#N/A,#N/A,TRUE,"1993"}</definedName>
    <definedName name="_22" localSheetId="17" hidden="1">{#N/A,#N/A,TRUE,"1990";#N/A,#N/A,TRUE,"1991";#N/A,#N/A,TRUE,"1992";#N/A,#N/A,TRUE,"1993"}</definedName>
    <definedName name="_22" localSheetId="30" hidden="1">{#N/A,#N/A,TRUE,"1990";#N/A,#N/A,TRUE,"1991";#N/A,#N/A,TRUE,"1992";#N/A,#N/A,TRUE,"1993"}</definedName>
    <definedName name="_22" localSheetId="31" hidden="1">{#N/A,#N/A,TRUE,"1990";#N/A,#N/A,TRUE,"1991";#N/A,#N/A,TRUE,"1992";#N/A,#N/A,TRUE,"1993"}</definedName>
    <definedName name="_22" localSheetId="19" hidden="1">{#N/A,#N/A,TRUE,"1990";#N/A,#N/A,TRUE,"1991";#N/A,#N/A,TRUE,"1992";#N/A,#N/A,TRUE,"1993"}</definedName>
    <definedName name="_22" localSheetId="7" hidden="1">{#N/A,#N/A,TRUE,"1990";#N/A,#N/A,TRUE,"1991";#N/A,#N/A,TRUE,"1992";#N/A,#N/A,TRUE,"1993"}</definedName>
    <definedName name="_22" localSheetId="0" hidden="1">{#N/A,#N/A,TRUE,"1990";#N/A,#N/A,TRUE,"1991";#N/A,#N/A,TRUE,"1992";#N/A,#N/A,TRUE,"1993"}</definedName>
    <definedName name="_22" localSheetId="10" hidden="1">{#N/A,#N/A,TRUE,"1990";#N/A,#N/A,TRUE,"1991";#N/A,#N/A,TRUE,"1992";#N/A,#N/A,TRUE,"1993"}</definedName>
    <definedName name="_22" localSheetId="12" hidden="1">{#N/A,#N/A,TRUE,"1990";#N/A,#N/A,TRUE,"1991";#N/A,#N/A,TRUE,"1992";#N/A,#N/A,TRUE,"1993"}</definedName>
    <definedName name="_22" localSheetId="9" hidden="1">{#N/A,#N/A,TRUE,"1990";#N/A,#N/A,TRUE,"1991";#N/A,#N/A,TRUE,"1992";#N/A,#N/A,TRUE,"1993"}</definedName>
    <definedName name="_22" hidden="1">{#N/A,#N/A,TRUE,"1990";#N/A,#N/A,TRUE,"1991";#N/A,#N/A,TRUE,"1992";#N/A,#N/A,TRUE,"1993"}</definedName>
    <definedName name="_22__123Graph_XCHART_1" localSheetId="19" hidden="1">#REF!</definedName>
    <definedName name="_22__123Graph_XCHART_1" hidden="1">#REF!</definedName>
    <definedName name="_220__123Graph_CCHART_6" localSheetId="19" hidden="1">#REF!</definedName>
    <definedName name="_220__123Graph_CCHART_6" hidden="1">#REF!</definedName>
    <definedName name="_220__123Graph_XCHART_2" localSheetId="19" hidden="1">#REF!</definedName>
    <definedName name="_220__123Graph_XCHART_2" hidden="1">#REF!</definedName>
    <definedName name="_222__123Graph_XCHART_5" localSheetId="19" hidden="1">#REF!</definedName>
    <definedName name="_222__123Graph_XCHART_5" hidden="1">#REF!</definedName>
    <definedName name="_23"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3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2__123Graph_XCHART_2" localSheetId="19" hidden="1">#REF!</definedName>
    <definedName name="_232__123Graph_XCHART_2" hidden="1">#REF!</definedName>
    <definedName name="_236__123Graph_XCHART_6" localSheetId="19" hidden="1">#REF!</definedName>
    <definedName name="_236__123Graph_XCHART_6" hidden="1">#REF!</definedName>
    <definedName name="_237__123Graph_XCHART_3" localSheetId="19" hidden="1">#REF!</definedName>
    <definedName name="_237__123Graph_XCHART_3" hidden="1">#REF!</definedName>
    <definedName name="_24"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__123Graph_XCHART_2" localSheetId="19" hidden="1">#REF!</definedName>
    <definedName name="_24__123Graph_XCHART_2" hidden="1">#REF!</definedName>
    <definedName name="_241__123Graph_XCHART_1" localSheetId="19" hidden="1">#REF!</definedName>
    <definedName name="_241__123Graph_XCHART_1" hidden="1">#REF!</definedName>
    <definedName name="_25" localSheetId="1" hidden="1">{"ARK_JURIS_FAC",#N/A,FALSE,"Ark_Fuel&amp;Rev"}</definedName>
    <definedName name="_25" localSheetId="17" hidden="1">{"ARK_JURIS_FAC",#N/A,FALSE,"Ark_Fuel&amp;Rev"}</definedName>
    <definedName name="_25" localSheetId="30" hidden="1">{"ARK_JURIS_FAC",#N/A,FALSE,"Ark_Fuel&amp;Rev"}</definedName>
    <definedName name="_25" localSheetId="31" hidden="1">{"ARK_JURIS_FAC",#N/A,FALSE,"Ark_Fuel&amp;Rev"}</definedName>
    <definedName name="_25" localSheetId="19" hidden="1">{"ARK_JURIS_FAC",#N/A,FALSE,"Ark_Fuel&amp;Rev"}</definedName>
    <definedName name="_25" localSheetId="7" hidden="1">{"ARK_JURIS_FAC",#N/A,FALSE,"Ark_Fuel&amp;Rev"}</definedName>
    <definedName name="_25" localSheetId="0" hidden="1">{"ARK_JURIS_FAC",#N/A,FALSE,"Ark_Fuel&amp;Rev"}</definedName>
    <definedName name="_25" localSheetId="10" hidden="1">{"ARK_JURIS_FAC",#N/A,FALSE,"Ark_Fuel&amp;Rev"}</definedName>
    <definedName name="_25" localSheetId="12" hidden="1">{"ARK_JURIS_FAC",#N/A,FALSE,"Ark_Fuel&amp;Rev"}</definedName>
    <definedName name="_25" localSheetId="9" hidden="1">{"ARK_JURIS_FAC",#N/A,FALSE,"Ark_Fuel&amp;Rev"}</definedName>
    <definedName name="_25" hidden="1">{"ARK_JURIS_FAC",#N/A,FALSE,"Ark_Fuel&amp;Rev"}</definedName>
    <definedName name="_250__123Graph_XCHART_3" localSheetId="19" hidden="1">#REF!</definedName>
    <definedName name="_250__123Graph_XCHART_3" hidden="1">#REF!</definedName>
    <definedName name="_254__123Graph_XCHART_4" localSheetId="19" hidden="1">#REF!</definedName>
    <definedName name="_254__123Graph_XCHART_4" hidden="1">#REF!</definedName>
    <definedName name="_26" localSheetId="1" hidden="1">{"OMPA_FAC",#N/A,FALSE,"OMPA FAC"}</definedName>
    <definedName name="_26" localSheetId="17" hidden="1">{"OMPA_FAC",#N/A,FALSE,"OMPA FAC"}</definedName>
    <definedName name="_26" localSheetId="30" hidden="1">{"OMPA_FAC",#N/A,FALSE,"OMPA FAC"}</definedName>
    <definedName name="_26" localSheetId="31" hidden="1">{"OMPA_FAC",#N/A,FALSE,"OMPA FAC"}</definedName>
    <definedName name="_26" localSheetId="19" hidden="1">{"OMPA_FAC",#N/A,FALSE,"OMPA FAC"}</definedName>
    <definedName name="_26" localSheetId="7" hidden="1">{"OMPA_FAC",#N/A,FALSE,"OMPA FAC"}</definedName>
    <definedName name="_26" localSheetId="0" hidden="1">{"OMPA_FAC",#N/A,FALSE,"OMPA FAC"}</definedName>
    <definedName name="_26" localSheetId="10" hidden="1">{"OMPA_FAC",#N/A,FALSE,"OMPA FAC"}</definedName>
    <definedName name="_26" localSheetId="12" hidden="1">{"OMPA_FAC",#N/A,FALSE,"OMPA FAC"}</definedName>
    <definedName name="_26" localSheetId="9" hidden="1">{"OMPA_FAC",#N/A,FALSE,"OMPA FAC"}</definedName>
    <definedName name="_26" hidden="1">{"OMPA_FAC",#N/A,FALSE,"OMPA FAC"}</definedName>
    <definedName name="_26__123Graph_XCHART_3" localSheetId="19" hidden="1">#REF!</definedName>
    <definedName name="_26__123Graph_XCHART_3" hidden="1">#REF!</definedName>
    <definedName name="_262__123Graph_XCHART_2" localSheetId="19" hidden="1">#REF!</definedName>
    <definedName name="_262__123Graph_XCHART_2" hidden="1">#REF!</definedName>
    <definedName name="_268__123Graph_XCHART_4" localSheetId="19" hidden="1">#REF!</definedName>
    <definedName name="_268__123Graph_XCHART_4" hidden="1">#REF!</definedName>
    <definedName name="_27"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3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localSheetId="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1__123Graph_XCHART_5" localSheetId="19" hidden="1">#REF!</definedName>
    <definedName name="_271__123Graph_XCHART_5" hidden="1">#REF!</definedName>
    <definedName name="_28" localSheetId="1" hidden="1">{#N/A,#N/A,FALSE,"SCA";#N/A,#N/A,FALSE,"NCA";#N/A,#N/A,FALSE,"SAZ";#N/A,#N/A,FALSE,"CAZ";#N/A,#N/A,FALSE,"SNV";#N/A,#N/A,FALSE,"NNV";#N/A,#N/A,FALSE,"PP";#N/A,#N/A,FALSE,"SA"}</definedName>
    <definedName name="_28" localSheetId="17" hidden="1">{#N/A,#N/A,FALSE,"SCA";#N/A,#N/A,FALSE,"NCA";#N/A,#N/A,FALSE,"SAZ";#N/A,#N/A,FALSE,"CAZ";#N/A,#N/A,FALSE,"SNV";#N/A,#N/A,FALSE,"NNV";#N/A,#N/A,FALSE,"PP";#N/A,#N/A,FALSE,"SA"}</definedName>
    <definedName name="_28" localSheetId="30" hidden="1">{#N/A,#N/A,FALSE,"SCA";#N/A,#N/A,FALSE,"NCA";#N/A,#N/A,FALSE,"SAZ";#N/A,#N/A,FALSE,"CAZ";#N/A,#N/A,FALSE,"SNV";#N/A,#N/A,FALSE,"NNV";#N/A,#N/A,FALSE,"PP";#N/A,#N/A,FALSE,"SA"}</definedName>
    <definedName name="_28" localSheetId="31" hidden="1">{#N/A,#N/A,FALSE,"SCA";#N/A,#N/A,FALSE,"NCA";#N/A,#N/A,FALSE,"SAZ";#N/A,#N/A,FALSE,"CAZ";#N/A,#N/A,FALSE,"SNV";#N/A,#N/A,FALSE,"NNV";#N/A,#N/A,FALSE,"PP";#N/A,#N/A,FALSE,"SA"}</definedName>
    <definedName name="_28" localSheetId="19" hidden="1">{#N/A,#N/A,FALSE,"SCA";#N/A,#N/A,FALSE,"NCA";#N/A,#N/A,FALSE,"SAZ";#N/A,#N/A,FALSE,"CAZ";#N/A,#N/A,FALSE,"SNV";#N/A,#N/A,FALSE,"NNV";#N/A,#N/A,FALSE,"PP";#N/A,#N/A,FALSE,"SA"}</definedName>
    <definedName name="_28" localSheetId="7" hidden="1">{#N/A,#N/A,FALSE,"SCA";#N/A,#N/A,FALSE,"NCA";#N/A,#N/A,FALSE,"SAZ";#N/A,#N/A,FALSE,"CAZ";#N/A,#N/A,FALSE,"SNV";#N/A,#N/A,FALSE,"NNV";#N/A,#N/A,FALSE,"PP";#N/A,#N/A,FALSE,"SA"}</definedName>
    <definedName name="_28" localSheetId="0" hidden="1">{#N/A,#N/A,FALSE,"SCA";#N/A,#N/A,FALSE,"NCA";#N/A,#N/A,FALSE,"SAZ";#N/A,#N/A,FALSE,"CAZ";#N/A,#N/A,FALSE,"SNV";#N/A,#N/A,FALSE,"NNV";#N/A,#N/A,FALSE,"PP";#N/A,#N/A,FALSE,"SA"}</definedName>
    <definedName name="_28" localSheetId="10" hidden="1">{#N/A,#N/A,FALSE,"SCA";#N/A,#N/A,FALSE,"NCA";#N/A,#N/A,FALSE,"SAZ";#N/A,#N/A,FALSE,"CAZ";#N/A,#N/A,FALSE,"SNV";#N/A,#N/A,FALSE,"NNV";#N/A,#N/A,FALSE,"PP";#N/A,#N/A,FALSE,"SA"}</definedName>
    <definedName name="_28" localSheetId="12" hidden="1">{#N/A,#N/A,FALSE,"SCA";#N/A,#N/A,FALSE,"NCA";#N/A,#N/A,FALSE,"SAZ";#N/A,#N/A,FALSE,"CAZ";#N/A,#N/A,FALSE,"SNV";#N/A,#N/A,FALSE,"NNV";#N/A,#N/A,FALSE,"PP";#N/A,#N/A,FALSE,"SA"}</definedName>
    <definedName name="_28" localSheetId="9" hidden="1">{#N/A,#N/A,FALSE,"SCA";#N/A,#N/A,FALSE,"NCA";#N/A,#N/A,FALSE,"SAZ";#N/A,#N/A,FALSE,"CAZ";#N/A,#N/A,FALSE,"SNV";#N/A,#N/A,FALSE,"NNV";#N/A,#N/A,FALSE,"PP";#N/A,#N/A,FALSE,"SA"}</definedName>
    <definedName name="_28" hidden="1">{#N/A,#N/A,FALSE,"SCA";#N/A,#N/A,FALSE,"NCA";#N/A,#N/A,FALSE,"SAZ";#N/A,#N/A,FALSE,"CAZ";#N/A,#N/A,FALSE,"SNV";#N/A,#N/A,FALSE,"NNV";#N/A,#N/A,FALSE,"PP";#N/A,#N/A,FALSE,"SA"}</definedName>
    <definedName name="_28__123Graph_ACHART_2" localSheetId="19" hidden="1">#REF!</definedName>
    <definedName name="_28__123Graph_ACHART_2" hidden="1">#REF!</definedName>
    <definedName name="_28__123Graph_XCHART_4" localSheetId="19" hidden="1">#REF!</definedName>
    <definedName name="_28__123Graph_XCHART_4" hidden="1">#REF!</definedName>
    <definedName name="_283__123Graph_XCHART_3" localSheetId="19" hidden="1">#REF!</definedName>
    <definedName name="_283__123Graph_XCHART_3" hidden="1">#REF!</definedName>
    <definedName name="_286__123Graph_XCHART_5" localSheetId="19" hidden="1">#REF!</definedName>
    <definedName name="_286__123Graph_XCHART_5" hidden="1">#REF!</definedName>
    <definedName name="_288__123Graph_XCHART_6" localSheetId="19" hidden="1">#REF!</definedName>
    <definedName name="_288__123Graph_XCHART_6" hidden="1">#REF!</definedName>
    <definedName name="_29"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LTD_EFFECTIVE">#REF!</definedName>
    <definedName name="_2S_0_Regressio" localSheetId="1" hidden="1">#REF!</definedName>
    <definedName name="_2S_0_Regressio" localSheetId="17" hidden="1">#REF!</definedName>
    <definedName name="_2S_0_Regressio" localSheetId="30" hidden="1">#REF!</definedName>
    <definedName name="_2S_0_Regressio" localSheetId="31" hidden="1">#REF!</definedName>
    <definedName name="_2S_0_Regressio" localSheetId="7" hidden="1">#REF!</definedName>
    <definedName name="_2S_0_Regressio" localSheetId="9" hidden="1">#REF!</definedName>
    <definedName name="_2S_0_Regressio" hidden="1">#REF!</definedName>
    <definedName name="_3" localSheetId="1" hidden="1">{#N/A,#N/A,FALSE,"SCA";#N/A,#N/A,FALSE,"NCA";#N/A,#N/A,FALSE,"SAZ";#N/A,#N/A,FALSE,"CAZ";#N/A,#N/A,FALSE,"SNV";#N/A,#N/A,FALSE,"NNV";#N/A,#N/A,FALSE,"PP";#N/A,#N/A,FALSE,"SA"}</definedName>
    <definedName name="_3" localSheetId="17" hidden="1">{#N/A,#N/A,FALSE,"SCA";#N/A,#N/A,FALSE,"NCA";#N/A,#N/A,FALSE,"SAZ";#N/A,#N/A,FALSE,"CAZ";#N/A,#N/A,FALSE,"SNV";#N/A,#N/A,FALSE,"NNV";#N/A,#N/A,FALSE,"PP";#N/A,#N/A,FALSE,"SA"}</definedName>
    <definedName name="_3" localSheetId="30" hidden="1">{#N/A,#N/A,FALSE,"SCA";#N/A,#N/A,FALSE,"NCA";#N/A,#N/A,FALSE,"SAZ";#N/A,#N/A,FALSE,"CAZ";#N/A,#N/A,FALSE,"SNV";#N/A,#N/A,FALSE,"NNV";#N/A,#N/A,FALSE,"PP";#N/A,#N/A,FALSE,"SA"}</definedName>
    <definedName name="_3" localSheetId="31" hidden="1">{#N/A,#N/A,FALSE,"SCA";#N/A,#N/A,FALSE,"NCA";#N/A,#N/A,FALSE,"SAZ";#N/A,#N/A,FALSE,"CAZ";#N/A,#N/A,FALSE,"SNV";#N/A,#N/A,FALSE,"NNV";#N/A,#N/A,FALSE,"PP";#N/A,#N/A,FALSE,"SA"}</definedName>
    <definedName name="_3" localSheetId="19" hidden="1">{#N/A,#N/A,FALSE,"SCA";#N/A,#N/A,FALSE,"NCA";#N/A,#N/A,FALSE,"SAZ";#N/A,#N/A,FALSE,"CAZ";#N/A,#N/A,FALSE,"SNV";#N/A,#N/A,FALSE,"NNV";#N/A,#N/A,FALSE,"PP";#N/A,#N/A,FALSE,"SA"}</definedName>
    <definedName name="_3" localSheetId="7" hidden="1">{#N/A,#N/A,FALSE,"SCA";#N/A,#N/A,FALSE,"NCA";#N/A,#N/A,FALSE,"SAZ";#N/A,#N/A,FALSE,"CAZ";#N/A,#N/A,FALSE,"SNV";#N/A,#N/A,FALSE,"NNV";#N/A,#N/A,FALSE,"PP";#N/A,#N/A,FALSE,"SA"}</definedName>
    <definedName name="_3" localSheetId="0" hidden="1">{#N/A,#N/A,FALSE,"SCA";#N/A,#N/A,FALSE,"NCA";#N/A,#N/A,FALSE,"SAZ";#N/A,#N/A,FALSE,"CAZ";#N/A,#N/A,FALSE,"SNV";#N/A,#N/A,FALSE,"NNV";#N/A,#N/A,FALSE,"PP";#N/A,#N/A,FALSE,"SA"}</definedName>
    <definedName name="_3" localSheetId="10" hidden="1">{#N/A,#N/A,FALSE,"SCA";#N/A,#N/A,FALSE,"NCA";#N/A,#N/A,FALSE,"SAZ";#N/A,#N/A,FALSE,"CAZ";#N/A,#N/A,FALSE,"SNV";#N/A,#N/A,FALSE,"NNV";#N/A,#N/A,FALSE,"PP";#N/A,#N/A,FALSE,"SA"}</definedName>
    <definedName name="_3" localSheetId="12" hidden="1">{#N/A,#N/A,FALSE,"SCA";#N/A,#N/A,FALSE,"NCA";#N/A,#N/A,FALSE,"SAZ";#N/A,#N/A,FALSE,"CAZ";#N/A,#N/A,FALSE,"SNV";#N/A,#N/A,FALSE,"NNV";#N/A,#N/A,FALSE,"PP";#N/A,#N/A,FALSE,"SA"}</definedName>
    <definedName name="_3" localSheetId="9" hidden="1">{#N/A,#N/A,FALSE,"SCA";#N/A,#N/A,FALSE,"NCA";#N/A,#N/A,FALSE,"SAZ";#N/A,#N/A,FALSE,"CAZ";#N/A,#N/A,FALSE,"SNV";#N/A,#N/A,FALSE,"NNV";#N/A,#N/A,FALSE,"PP";#N/A,#N/A,FALSE,"SA"}</definedName>
    <definedName name="_3" hidden="1">{#N/A,#N/A,FALSE,"SCA";#N/A,#N/A,FALSE,"NCA";#N/A,#N/A,FALSE,"SAZ";#N/A,#N/A,FALSE,"CAZ";#N/A,#N/A,FALSE,"SNV";#N/A,#N/A,FALSE,"NNV";#N/A,#N/A,FALSE,"PP";#N/A,#N/A,FALSE,"SA"}</definedName>
    <definedName name="_3__123Graph_ACHART_13" localSheetId="19" hidden="1">#REF!</definedName>
    <definedName name="_3__123Graph_ACHART_13" hidden="1">#REF!</definedName>
    <definedName name="_3__123Graph_ACHART_3" localSheetId="19" hidden="1">#REF!</definedName>
    <definedName name="_3__123Graph_ACHART_3" hidden="1">#REF!</definedName>
    <definedName name="_3__123Graph_CYIELD_CURVES" localSheetId="1" hidden="1">#REF!</definedName>
    <definedName name="_3__123Graph_CYIELD_CURVES" localSheetId="17" hidden="1">#REF!</definedName>
    <definedName name="_3__123Graph_CYIELD_CURVES" localSheetId="30" hidden="1">#REF!</definedName>
    <definedName name="_3__123Graph_CYIELD_CURVES" localSheetId="31" hidden="1">#REF!</definedName>
    <definedName name="_3__123Graph_CYIELD_CURVES" localSheetId="19" hidden="1">#REF!</definedName>
    <definedName name="_3__123Graph_CYIELD_CURVES" localSheetId="7" hidden="1">#REF!</definedName>
    <definedName name="_3__123Graph_CYIELD_CURVES" localSheetId="9" hidden="1">#REF!</definedName>
    <definedName name="_3__123Graph_CYIELD_CURVES" hidden="1">#REF!</definedName>
    <definedName name="_3__FDSAUDITLINK__" localSheetId="7"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0"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localSheetId="12"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_FDSAUDITLINK__" hidden="1">{"fdsup://directions/FAT Viewer?action=UPDATE&amp;creator=factset&amp;DYN_ARGS=TRUE&amp;DOC_NAME=FAT:FQL_AUDITING_CLIENT_TEMPLATE.FAT&amp;display_string=Audit&amp;VAR:KEY=OFCJQBGRGT&amp;VAR:QUERY=UkdGX1BGRF9TVEsoQU5OLDAsLCwsLCxOT0FVRElUKQ==&amp;WINDOW=FIRST_POPUP&amp;HEIGHT=450&amp;WIDTH=450&amp;","START_MAXIMIZED=FALSE&amp;VAR:CALENDAR=US&amp;VAR:SYMBOL=MSEX&amp;VAR:INDEX=0"}</definedName>
    <definedName name="_3_0_0_S" hidden="1">#N/A</definedName>
    <definedName name="_30" localSheetId="1" hidden="1">{"caz2",#N/A,FALSE,"Central Arizona 2";"saz2",#N/A,FALSE,"Southern Arizona 2";"snv2",#N/A,FALSE,"Southern Nevada 2";"nnv2",#N/A,FALSE,"Northern Nevada 2";"sca2",#N/A,FALSE,"Southern California 2";"nca2",#N/A,FALSE,"Northern California 2";"pai2",#N/A,FALSE,"Paiute 2"}</definedName>
    <definedName name="_30" localSheetId="17" hidden="1">{"caz2",#N/A,FALSE,"Central Arizona 2";"saz2",#N/A,FALSE,"Southern Arizona 2";"snv2",#N/A,FALSE,"Southern Nevada 2";"nnv2",#N/A,FALSE,"Northern Nevada 2";"sca2",#N/A,FALSE,"Southern California 2";"nca2",#N/A,FALSE,"Northern California 2";"pai2",#N/A,FALSE,"Paiute 2"}</definedName>
    <definedName name="_30" localSheetId="30" hidden="1">{"caz2",#N/A,FALSE,"Central Arizona 2";"saz2",#N/A,FALSE,"Southern Arizona 2";"snv2",#N/A,FALSE,"Southern Nevada 2";"nnv2",#N/A,FALSE,"Northern Nevada 2";"sca2",#N/A,FALSE,"Southern California 2";"nca2",#N/A,FALSE,"Northern California 2";"pai2",#N/A,FALSE,"Paiute 2"}</definedName>
    <definedName name="_30" localSheetId="31" hidden="1">{"caz2",#N/A,FALSE,"Central Arizona 2";"saz2",#N/A,FALSE,"Southern Arizona 2";"snv2",#N/A,FALSE,"Southern Nevada 2";"nnv2",#N/A,FALSE,"Northern Nevada 2";"sca2",#N/A,FALSE,"Southern California 2";"nca2",#N/A,FALSE,"Northern California 2";"pai2",#N/A,FALSE,"Paiute 2"}</definedName>
    <definedName name="_30" localSheetId="19" hidden="1">{"caz2",#N/A,FALSE,"Central Arizona 2";"saz2",#N/A,FALSE,"Southern Arizona 2";"snv2",#N/A,FALSE,"Southern Nevada 2";"nnv2",#N/A,FALSE,"Northern Nevada 2";"sca2",#N/A,FALSE,"Southern California 2";"nca2",#N/A,FALSE,"Northern California 2";"pai2",#N/A,FALSE,"Paiute 2"}</definedName>
    <definedName name="_30" localSheetId="7" hidden="1">{"caz2",#N/A,FALSE,"Central Arizona 2";"saz2",#N/A,FALSE,"Southern Arizona 2";"snv2",#N/A,FALSE,"Southern Nevada 2";"nnv2",#N/A,FALSE,"Northern Nevada 2";"sca2",#N/A,FALSE,"Southern California 2";"nca2",#N/A,FALSE,"Northern California 2";"pai2",#N/A,FALSE,"Paiute 2"}</definedName>
    <definedName name="_30" localSheetId="0" hidden="1">{"caz2",#N/A,FALSE,"Central Arizona 2";"saz2",#N/A,FALSE,"Southern Arizona 2";"snv2",#N/A,FALSE,"Southern Nevada 2";"nnv2",#N/A,FALSE,"Northern Nevada 2";"sca2",#N/A,FALSE,"Southern California 2";"nca2",#N/A,FALSE,"Northern California 2";"pai2",#N/A,FALSE,"Paiute 2"}</definedName>
    <definedName name="_30" localSheetId="10" hidden="1">{"caz2",#N/A,FALSE,"Central Arizona 2";"saz2",#N/A,FALSE,"Southern Arizona 2";"snv2",#N/A,FALSE,"Southern Nevada 2";"nnv2",#N/A,FALSE,"Northern Nevada 2";"sca2",#N/A,FALSE,"Southern California 2";"nca2",#N/A,FALSE,"Northern California 2";"pai2",#N/A,FALSE,"Paiute 2"}</definedName>
    <definedName name="_30" localSheetId="12" hidden="1">{"caz2",#N/A,FALSE,"Central Arizona 2";"saz2",#N/A,FALSE,"Southern Arizona 2";"snv2",#N/A,FALSE,"Southern Nevada 2";"nnv2",#N/A,FALSE,"Northern Nevada 2";"sca2",#N/A,FALSE,"Southern California 2";"nca2",#N/A,FALSE,"Northern California 2";"pai2",#N/A,FALSE,"Paiute 2"}</definedName>
    <definedName name="_30" localSheetId="9" hidden="1">{"caz2",#N/A,FALSE,"Central Arizona 2";"saz2",#N/A,FALSE,"Southern Arizona 2";"snv2",#N/A,FALSE,"Southern Nevada 2";"nnv2",#N/A,FALSE,"Northern Nevada 2";"sca2",#N/A,FALSE,"Southern California 2";"nca2",#N/A,FALSE,"Northern California 2";"pai2",#N/A,FALSE,"Paiute 2"}</definedName>
    <definedName name="_30" hidden="1">{"caz2",#N/A,FALSE,"Central Arizona 2";"saz2",#N/A,FALSE,"Southern Arizona 2";"snv2",#N/A,FALSE,"Southern Nevada 2";"nnv2",#N/A,FALSE,"Northern Nevada 2";"sca2",#N/A,FALSE,"Southern California 2";"nca2",#N/A,FALSE,"Northern California 2";"pai2",#N/A,FALSE,"Paiute 2"}</definedName>
    <definedName name="_30__123Graph_XCHART_5" localSheetId="19" hidden="1">#REF!</definedName>
    <definedName name="_30__123Graph_XCHART_5" hidden="1">#REF!</definedName>
    <definedName name="_304__123Graph_XCHART_4" localSheetId="19" hidden="1">#REF!</definedName>
    <definedName name="_304__123Graph_XCHART_4" hidden="1">#REF!</definedName>
    <definedName name="_304__123Graph_XCHART_6" localSheetId="19" hidden="1">#REF!</definedName>
    <definedName name="_304__123Graph_XCHART_6" hidden="1">#REF!</definedName>
    <definedName name="_31" localSheetId="1" hidden="1">{#N/A,#N/A,FALSE,"SCA";#N/A,#N/A,FALSE,"NCA";#N/A,#N/A,FALSE,"SAZ";#N/A,#N/A,FALSE,"CAZ";#N/A,#N/A,FALSE,"SNV";#N/A,#N/A,FALSE,"NNV";#N/A,#N/A,FALSE,"PP";#N/A,#N/A,FALSE,"SA"}</definedName>
    <definedName name="_31" localSheetId="17" hidden="1">{#N/A,#N/A,FALSE,"SCA";#N/A,#N/A,FALSE,"NCA";#N/A,#N/A,FALSE,"SAZ";#N/A,#N/A,FALSE,"CAZ";#N/A,#N/A,FALSE,"SNV";#N/A,#N/A,FALSE,"NNV";#N/A,#N/A,FALSE,"PP";#N/A,#N/A,FALSE,"SA"}</definedName>
    <definedName name="_31" localSheetId="30" hidden="1">{#N/A,#N/A,FALSE,"SCA";#N/A,#N/A,FALSE,"NCA";#N/A,#N/A,FALSE,"SAZ";#N/A,#N/A,FALSE,"CAZ";#N/A,#N/A,FALSE,"SNV";#N/A,#N/A,FALSE,"NNV";#N/A,#N/A,FALSE,"PP";#N/A,#N/A,FALSE,"SA"}</definedName>
    <definedName name="_31" localSheetId="31" hidden="1">{#N/A,#N/A,FALSE,"SCA";#N/A,#N/A,FALSE,"NCA";#N/A,#N/A,FALSE,"SAZ";#N/A,#N/A,FALSE,"CAZ";#N/A,#N/A,FALSE,"SNV";#N/A,#N/A,FALSE,"NNV";#N/A,#N/A,FALSE,"PP";#N/A,#N/A,FALSE,"SA"}</definedName>
    <definedName name="_31" localSheetId="19" hidden="1">{#N/A,#N/A,FALSE,"SCA";#N/A,#N/A,FALSE,"NCA";#N/A,#N/A,FALSE,"SAZ";#N/A,#N/A,FALSE,"CAZ";#N/A,#N/A,FALSE,"SNV";#N/A,#N/A,FALSE,"NNV";#N/A,#N/A,FALSE,"PP";#N/A,#N/A,FALSE,"SA"}</definedName>
    <definedName name="_31" localSheetId="7" hidden="1">{#N/A,#N/A,FALSE,"SCA";#N/A,#N/A,FALSE,"NCA";#N/A,#N/A,FALSE,"SAZ";#N/A,#N/A,FALSE,"CAZ";#N/A,#N/A,FALSE,"SNV";#N/A,#N/A,FALSE,"NNV";#N/A,#N/A,FALSE,"PP";#N/A,#N/A,FALSE,"SA"}</definedName>
    <definedName name="_31" localSheetId="0" hidden="1">{#N/A,#N/A,FALSE,"SCA";#N/A,#N/A,FALSE,"NCA";#N/A,#N/A,FALSE,"SAZ";#N/A,#N/A,FALSE,"CAZ";#N/A,#N/A,FALSE,"SNV";#N/A,#N/A,FALSE,"NNV";#N/A,#N/A,FALSE,"PP";#N/A,#N/A,FALSE,"SA"}</definedName>
    <definedName name="_31" localSheetId="10" hidden="1">{#N/A,#N/A,FALSE,"SCA";#N/A,#N/A,FALSE,"NCA";#N/A,#N/A,FALSE,"SAZ";#N/A,#N/A,FALSE,"CAZ";#N/A,#N/A,FALSE,"SNV";#N/A,#N/A,FALSE,"NNV";#N/A,#N/A,FALSE,"PP";#N/A,#N/A,FALSE,"SA"}</definedName>
    <definedName name="_31" localSheetId="12" hidden="1">{#N/A,#N/A,FALSE,"SCA";#N/A,#N/A,FALSE,"NCA";#N/A,#N/A,FALSE,"SAZ";#N/A,#N/A,FALSE,"CAZ";#N/A,#N/A,FALSE,"SNV";#N/A,#N/A,FALSE,"NNV";#N/A,#N/A,FALSE,"PP";#N/A,#N/A,FALSE,"SA"}</definedName>
    <definedName name="_31" localSheetId="9" hidden="1">{#N/A,#N/A,FALSE,"SCA";#N/A,#N/A,FALSE,"NCA";#N/A,#N/A,FALSE,"SAZ";#N/A,#N/A,FALSE,"CAZ";#N/A,#N/A,FALSE,"SNV";#N/A,#N/A,FALSE,"NNV";#N/A,#N/A,FALSE,"PP";#N/A,#N/A,FALSE,"SA"}</definedName>
    <definedName name="_31" hidden="1">{#N/A,#N/A,FALSE,"SCA";#N/A,#N/A,FALSE,"NCA";#N/A,#N/A,FALSE,"SAZ";#N/A,#N/A,FALSE,"CAZ";#N/A,#N/A,FALSE,"SNV";#N/A,#N/A,FALSE,"NNV";#N/A,#N/A,FALSE,"PP";#N/A,#N/A,FALSE,"SA"}</definedName>
    <definedName name="_32" localSheetId="1" hidden="1">{#N/A,#N/A,FALSE,"SCA";#N/A,#N/A,FALSE,"NCA";#N/A,#N/A,FALSE,"SAZ";#N/A,#N/A,FALSE,"CAZ";#N/A,#N/A,FALSE,"SNV";#N/A,#N/A,FALSE,"NNV";#N/A,#N/A,FALSE,"PP";#N/A,#N/A,FALSE,"SA"}</definedName>
    <definedName name="_32" localSheetId="17" hidden="1">{#N/A,#N/A,FALSE,"SCA";#N/A,#N/A,FALSE,"NCA";#N/A,#N/A,FALSE,"SAZ";#N/A,#N/A,FALSE,"CAZ";#N/A,#N/A,FALSE,"SNV";#N/A,#N/A,FALSE,"NNV";#N/A,#N/A,FALSE,"PP";#N/A,#N/A,FALSE,"SA"}</definedName>
    <definedName name="_32" localSheetId="30" hidden="1">{#N/A,#N/A,FALSE,"SCA";#N/A,#N/A,FALSE,"NCA";#N/A,#N/A,FALSE,"SAZ";#N/A,#N/A,FALSE,"CAZ";#N/A,#N/A,FALSE,"SNV";#N/A,#N/A,FALSE,"NNV";#N/A,#N/A,FALSE,"PP";#N/A,#N/A,FALSE,"SA"}</definedName>
    <definedName name="_32" localSheetId="31" hidden="1">{#N/A,#N/A,FALSE,"SCA";#N/A,#N/A,FALSE,"NCA";#N/A,#N/A,FALSE,"SAZ";#N/A,#N/A,FALSE,"CAZ";#N/A,#N/A,FALSE,"SNV";#N/A,#N/A,FALSE,"NNV";#N/A,#N/A,FALSE,"PP";#N/A,#N/A,FALSE,"SA"}</definedName>
    <definedName name="_32" localSheetId="19" hidden="1">{#N/A,#N/A,FALSE,"SCA";#N/A,#N/A,FALSE,"NCA";#N/A,#N/A,FALSE,"SAZ";#N/A,#N/A,FALSE,"CAZ";#N/A,#N/A,FALSE,"SNV";#N/A,#N/A,FALSE,"NNV";#N/A,#N/A,FALSE,"PP";#N/A,#N/A,FALSE,"SA"}</definedName>
    <definedName name="_32" localSheetId="7" hidden="1">{#N/A,#N/A,FALSE,"SCA";#N/A,#N/A,FALSE,"NCA";#N/A,#N/A,FALSE,"SAZ";#N/A,#N/A,FALSE,"CAZ";#N/A,#N/A,FALSE,"SNV";#N/A,#N/A,FALSE,"NNV";#N/A,#N/A,FALSE,"PP";#N/A,#N/A,FALSE,"SA"}</definedName>
    <definedName name="_32" localSheetId="0" hidden="1">{#N/A,#N/A,FALSE,"SCA";#N/A,#N/A,FALSE,"NCA";#N/A,#N/A,FALSE,"SAZ";#N/A,#N/A,FALSE,"CAZ";#N/A,#N/A,FALSE,"SNV";#N/A,#N/A,FALSE,"NNV";#N/A,#N/A,FALSE,"PP";#N/A,#N/A,FALSE,"SA"}</definedName>
    <definedName name="_32" localSheetId="10" hidden="1">{#N/A,#N/A,FALSE,"SCA";#N/A,#N/A,FALSE,"NCA";#N/A,#N/A,FALSE,"SAZ";#N/A,#N/A,FALSE,"CAZ";#N/A,#N/A,FALSE,"SNV";#N/A,#N/A,FALSE,"NNV";#N/A,#N/A,FALSE,"PP";#N/A,#N/A,FALSE,"SA"}</definedName>
    <definedName name="_32" localSheetId="12" hidden="1">{#N/A,#N/A,FALSE,"SCA";#N/A,#N/A,FALSE,"NCA";#N/A,#N/A,FALSE,"SAZ";#N/A,#N/A,FALSE,"CAZ";#N/A,#N/A,FALSE,"SNV";#N/A,#N/A,FALSE,"NNV";#N/A,#N/A,FALSE,"PP";#N/A,#N/A,FALSE,"SA"}</definedName>
    <definedName name="_32" localSheetId="9" hidden="1">{#N/A,#N/A,FALSE,"SCA";#N/A,#N/A,FALSE,"NCA";#N/A,#N/A,FALSE,"SAZ";#N/A,#N/A,FALSE,"CAZ";#N/A,#N/A,FALSE,"SNV";#N/A,#N/A,FALSE,"NNV";#N/A,#N/A,FALSE,"PP";#N/A,#N/A,FALSE,"SA"}</definedName>
    <definedName name="_32" hidden="1">{#N/A,#N/A,FALSE,"SCA";#N/A,#N/A,FALSE,"NCA";#N/A,#N/A,FALSE,"SAZ";#N/A,#N/A,FALSE,"CAZ";#N/A,#N/A,FALSE,"SNV";#N/A,#N/A,FALSE,"NNV";#N/A,#N/A,FALSE,"PP";#N/A,#N/A,FALSE,"SA"}</definedName>
    <definedName name="_32__123Graph_XCHART_6" localSheetId="19" hidden="1">#REF!</definedName>
    <definedName name="_32__123Graph_XCHART_6" hidden="1">#REF!</definedName>
    <definedName name="_325__123Graph_XCHART_5" localSheetId="19" hidden="1">#REF!</definedName>
    <definedName name="_325__123Graph_XCHART_5" hidden="1">#REF!</definedName>
    <definedName name="_33" localSheetId="1" hidden="1">{"ARK_JURIS_FUEL",#N/A,FALSE,"Ark_Fuel&amp;Rev"}</definedName>
    <definedName name="_33" localSheetId="17" hidden="1">{"ARK_JURIS_FUEL",#N/A,FALSE,"Ark_Fuel&amp;Rev"}</definedName>
    <definedName name="_33" localSheetId="30" hidden="1">{"ARK_JURIS_FUEL",#N/A,FALSE,"Ark_Fuel&amp;Rev"}</definedName>
    <definedName name="_33" localSheetId="31" hidden="1">{"ARK_JURIS_FUEL",#N/A,FALSE,"Ark_Fuel&amp;Rev"}</definedName>
    <definedName name="_33" localSheetId="19" hidden="1">{"ARK_JURIS_FUEL",#N/A,FALSE,"Ark_Fuel&amp;Rev"}</definedName>
    <definedName name="_33" localSheetId="7" hidden="1">{"ARK_JURIS_FUEL",#N/A,FALSE,"Ark_Fuel&amp;Rev"}</definedName>
    <definedName name="_33" localSheetId="0" hidden="1">{"ARK_JURIS_FUEL",#N/A,FALSE,"Ark_Fuel&amp;Rev"}</definedName>
    <definedName name="_33" localSheetId="10" hidden="1">{"ARK_JURIS_FUEL",#N/A,FALSE,"Ark_Fuel&amp;Rev"}</definedName>
    <definedName name="_33" localSheetId="12" hidden="1">{"ARK_JURIS_FUEL",#N/A,FALSE,"Ark_Fuel&amp;Rev"}</definedName>
    <definedName name="_33" localSheetId="9" hidden="1">{"ARK_JURIS_FUEL",#N/A,FALSE,"Ark_Fuel&amp;Rev"}</definedName>
    <definedName name="_33" hidden="1">{"ARK_JURIS_FUEL",#N/A,FALSE,"Ark_Fuel&amp;Rev"}</definedName>
    <definedName name="_33__123Graph_BCHART_6" localSheetId="19" hidden="1">#REF!</definedName>
    <definedName name="_33__123Graph_BCHART_6" hidden="1">#REF!</definedName>
    <definedName name="_34" localSheetId="1" hidden="1">{#N/A,#N/A,FALSE,"SCA";#N/A,#N/A,FALSE,"NCA";#N/A,#N/A,FALSE,"SAZ";#N/A,#N/A,FALSE,"CAZ";#N/A,#N/A,FALSE,"SNV";#N/A,#N/A,FALSE,"NNV";#N/A,#N/A,FALSE,"PP";#N/A,#N/A,FALSE,"SA"}</definedName>
    <definedName name="_34" localSheetId="17" hidden="1">{#N/A,#N/A,FALSE,"SCA";#N/A,#N/A,FALSE,"NCA";#N/A,#N/A,FALSE,"SAZ";#N/A,#N/A,FALSE,"CAZ";#N/A,#N/A,FALSE,"SNV";#N/A,#N/A,FALSE,"NNV";#N/A,#N/A,FALSE,"PP";#N/A,#N/A,FALSE,"SA"}</definedName>
    <definedName name="_34" localSheetId="30" hidden="1">{#N/A,#N/A,FALSE,"SCA";#N/A,#N/A,FALSE,"NCA";#N/A,#N/A,FALSE,"SAZ";#N/A,#N/A,FALSE,"CAZ";#N/A,#N/A,FALSE,"SNV";#N/A,#N/A,FALSE,"NNV";#N/A,#N/A,FALSE,"PP";#N/A,#N/A,FALSE,"SA"}</definedName>
    <definedName name="_34" localSheetId="31" hidden="1">{#N/A,#N/A,FALSE,"SCA";#N/A,#N/A,FALSE,"NCA";#N/A,#N/A,FALSE,"SAZ";#N/A,#N/A,FALSE,"CAZ";#N/A,#N/A,FALSE,"SNV";#N/A,#N/A,FALSE,"NNV";#N/A,#N/A,FALSE,"PP";#N/A,#N/A,FALSE,"SA"}</definedName>
    <definedName name="_34" localSheetId="19" hidden="1">{#N/A,#N/A,FALSE,"SCA";#N/A,#N/A,FALSE,"NCA";#N/A,#N/A,FALSE,"SAZ";#N/A,#N/A,FALSE,"CAZ";#N/A,#N/A,FALSE,"SNV";#N/A,#N/A,FALSE,"NNV";#N/A,#N/A,FALSE,"PP";#N/A,#N/A,FALSE,"SA"}</definedName>
    <definedName name="_34" localSheetId="7" hidden="1">{#N/A,#N/A,FALSE,"SCA";#N/A,#N/A,FALSE,"NCA";#N/A,#N/A,FALSE,"SAZ";#N/A,#N/A,FALSE,"CAZ";#N/A,#N/A,FALSE,"SNV";#N/A,#N/A,FALSE,"NNV";#N/A,#N/A,FALSE,"PP";#N/A,#N/A,FALSE,"SA"}</definedName>
    <definedName name="_34" localSheetId="0" hidden="1">{#N/A,#N/A,FALSE,"SCA";#N/A,#N/A,FALSE,"NCA";#N/A,#N/A,FALSE,"SAZ";#N/A,#N/A,FALSE,"CAZ";#N/A,#N/A,FALSE,"SNV";#N/A,#N/A,FALSE,"NNV";#N/A,#N/A,FALSE,"PP";#N/A,#N/A,FALSE,"SA"}</definedName>
    <definedName name="_34" localSheetId="10" hidden="1">{#N/A,#N/A,FALSE,"SCA";#N/A,#N/A,FALSE,"NCA";#N/A,#N/A,FALSE,"SAZ";#N/A,#N/A,FALSE,"CAZ";#N/A,#N/A,FALSE,"SNV";#N/A,#N/A,FALSE,"NNV";#N/A,#N/A,FALSE,"PP";#N/A,#N/A,FALSE,"SA"}</definedName>
    <definedName name="_34" localSheetId="12" hidden="1">{#N/A,#N/A,FALSE,"SCA";#N/A,#N/A,FALSE,"NCA";#N/A,#N/A,FALSE,"SAZ";#N/A,#N/A,FALSE,"CAZ";#N/A,#N/A,FALSE,"SNV";#N/A,#N/A,FALSE,"NNV";#N/A,#N/A,FALSE,"PP";#N/A,#N/A,FALSE,"SA"}</definedName>
    <definedName name="_34" localSheetId="9" hidden="1">{#N/A,#N/A,FALSE,"SCA";#N/A,#N/A,FALSE,"NCA";#N/A,#N/A,FALSE,"SAZ";#N/A,#N/A,FALSE,"CAZ";#N/A,#N/A,FALSE,"SNV";#N/A,#N/A,FALSE,"NNV";#N/A,#N/A,FALSE,"PP";#N/A,#N/A,FALSE,"SA"}</definedName>
    <definedName name="_34" hidden="1">{#N/A,#N/A,FALSE,"SCA";#N/A,#N/A,FALSE,"NCA";#N/A,#N/A,FALSE,"SAZ";#N/A,#N/A,FALSE,"CAZ";#N/A,#N/A,FALSE,"SNV";#N/A,#N/A,FALSE,"NNV";#N/A,#N/A,FALSE,"PP";#N/A,#N/A,FALSE,"SA"}</definedName>
    <definedName name="_34__123Graph_ACHART_2" localSheetId="19" hidden="1">#REF!</definedName>
    <definedName name="_34__123Graph_ACHART_2" hidden="1">#REF!</definedName>
    <definedName name="_346__123Graph_XCHART_6" localSheetId="19" hidden="1">#REF!</definedName>
    <definedName name="_346__123Graph_XCHART_6" hidden="1">#REF!</definedName>
    <definedName name="_35" localSheetId="1" hidden="1">{#N/A,#N/A,TRUE,"1990";#N/A,#N/A,TRUE,"1991";#N/A,#N/A,TRUE,"1992";#N/A,#N/A,TRUE,"1993"}</definedName>
    <definedName name="_35" localSheetId="17" hidden="1">{#N/A,#N/A,TRUE,"1990";#N/A,#N/A,TRUE,"1991";#N/A,#N/A,TRUE,"1992";#N/A,#N/A,TRUE,"1993"}</definedName>
    <definedName name="_35" localSheetId="30" hidden="1">{#N/A,#N/A,TRUE,"1990";#N/A,#N/A,TRUE,"1991";#N/A,#N/A,TRUE,"1992";#N/A,#N/A,TRUE,"1993"}</definedName>
    <definedName name="_35" localSheetId="31" hidden="1">{#N/A,#N/A,TRUE,"1990";#N/A,#N/A,TRUE,"1991";#N/A,#N/A,TRUE,"1992";#N/A,#N/A,TRUE,"1993"}</definedName>
    <definedName name="_35" localSheetId="19" hidden="1">{#N/A,#N/A,TRUE,"1990";#N/A,#N/A,TRUE,"1991";#N/A,#N/A,TRUE,"1992";#N/A,#N/A,TRUE,"1993"}</definedName>
    <definedName name="_35" localSheetId="7" hidden="1">{#N/A,#N/A,TRUE,"1990";#N/A,#N/A,TRUE,"1991";#N/A,#N/A,TRUE,"1992";#N/A,#N/A,TRUE,"1993"}</definedName>
    <definedName name="_35" localSheetId="0" hidden="1">{#N/A,#N/A,TRUE,"1990";#N/A,#N/A,TRUE,"1991";#N/A,#N/A,TRUE,"1992";#N/A,#N/A,TRUE,"1993"}</definedName>
    <definedName name="_35" localSheetId="10" hidden="1">{#N/A,#N/A,TRUE,"1990";#N/A,#N/A,TRUE,"1991";#N/A,#N/A,TRUE,"1992";#N/A,#N/A,TRUE,"1993"}</definedName>
    <definedName name="_35" localSheetId="12" hidden="1">{#N/A,#N/A,TRUE,"1990";#N/A,#N/A,TRUE,"1991";#N/A,#N/A,TRUE,"1992";#N/A,#N/A,TRUE,"1993"}</definedName>
    <definedName name="_35" localSheetId="9" hidden="1">{#N/A,#N/A,TRUE,"1990";#N/A,#N/A,TRUE,"1991";#N/A,#N/A,TRUE,"1992";#N/A,#N/A,TRUE,"1993"}</definedName>
    <definedName name="_35" hidden="1">{#N/A,#N/A,TRUE,"1990";#N/A,#N/A,TRUE,"1991";#N/A,#N/A,TRUE,"1992";#N/A,#N/A,TRUE,"1993"}</definedName>
    <definedName name="_36" localSheetId="1" hidden="1">{"summary",#N/A,TRUE,"E93ADJ";"detail",#N/A,TRUE,"E93ADJ"}</definedName>
    <definedName name="_36" localSheetId="17" hidden="1">{"summary",#N/A,TRUE,"E93ADJ";"detail",#N/A,TRUE,"E93ADJ"}</definedName>
    <definedName name="_36" localSheetId="30" hidden="1">{"summary",#N/A,TRUE,"E93ADJ";"detail",#N/A,TRUE,"E93ADJ"}</definedName>
    <definedName name="_36" localSheetId="31" hidden="1">{"summary",#N/A,TRUE,"E93ADJ";"detail",#N/A,TRUE,"E93ADJ"}</definedName>
    <definedName name="_36" localSheetId="19" hidden="1">{"summary",#N/A,TRUE,"E93ADJ";"detail",#N/A,TRUE,"E93ADJ"}</definedName>
    <definedName name="_36" localSheetId="7" hidden="1">{"summary",#N/A,TRUE,"E93ADJ";"detail",#N/A,TRUE,"E93ADJ"}</definedName>
    <definedName name="_36" localSheetId="0" hidden="1">{"summary",#N/A,TRUE,"E93ADJ";"detail",#N/A,TRUE,"E93ADJ"}</definedName>
    <definedName name="_36" localSheetId="10" hidden="1">{"summary",#N/A,TRUE,"E93ADJ";"detail",#N/A,TRUE,"E93ADJ"}</definedName>
    <definedName name="_36" localSheetId="12" hidden="1">{"summary",#N/A,TRUE,"E93ADJ";"detail",#N/A,TRUE,"E93ADJ"}</definedName>
    <definedName name="_36" localSheetId="9" hidden="1">{"summary",#N/A,TRUE,"E93ADJ";"detail",#N/A,TRUE,"E93ADJ"}</definedName>
    <definedName name="_36" hidden="1">{"summary",#N/A,TRUE,"E93ADJ";"detail",#N/A,TRUE,"E93ADJ"}</definedName>
    <definedName name="_36__123Graph_ACHART_2" localSheetId="19" hidden="1">#REF!</definedName>
    <definedName name="_36__123Graph_ACHART_2" hidden="1">#REF!</definedName>
    <definedName name="_3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8"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3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localSheetId="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9" localSheetId="1" hidden="1">{"summary",#N/A,TRUE,"E93ADJ";"detail",#N/A,TRUE,"E93ADJ"}</definedName>
    <definedName name="_39" localSheetId="17" hidden="1">{"summary",#N/A,TRUE,"E93ADJ";"detail",#N/A,TRUE,"E93ADJ"}</definedName>
    <definedName name="_39" localSheetId="30" hidden="1">{"summary",#N/A,TRUE,"E93ADJ";"detail",#N/A,TRUE,"E93ADJ"}</definedName>
    <definedName name="_39" localSheetId="31" hidden="1">{"summary",#N/A,TRUE,"E93ADJ";"detail",#N/A,TRUE,"E93ADJ"}</definedName>
    <definedName name="_39" localSheetId="19" hidden="1">{"summary",#N/A,TRUE,"E93ADJ";"detail",#N/A,TRUE,"E93ADJ"}</definedName>
    <definedName name="_39" localSheetId="7" hidden="1">{"summary",#N/A,TRUE,"E93ADJ";"detail",#N/A,TRUE,"E93ADJ"}</definedName>
    <definedName name="_39" localSheetId="0" hidden="1">{"summary",#N/A,TRUE,"E93ADJ";"detail",#N/A,TRUE,"E93ADJ"}</definedName>
    <definedName name="_39" localSheetId="10" hidden="1">{"summary",#N/A,TRUE,"E93ADJ";"detail",#N/A,TRUE,"E93ADJ"}</definedName>
    <definedName name="_39" localSheetId="12" hidden="1">{"summary",#N/A,TRUE,"E93ADJ";"detail",#N/A,TRUE,"E93ADJ"}</definedName>
    <definedName name="_39" localSheetId="9" hidden="1">{"summary",#N/A,TRUE,"E93ADJ";"detail",#N/A,TRUE,"E93ADJ"}</definedName>
    <definedName name="_39" hidden="1">{"summary",#N/A,TRUE,"E93ADJ";"detail",#N/A,TRUE,"E93ADJ"}</definedName>
    <definedName name="_3SERIES_R" localSheetId="12">#REF!</definedName>
    <definedName name="_3SERIES_R">#REF!</definedName>
    <definedName name="_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__123Graph_ACHART_14" localSheetId="19" hidden="1">#REF!</definedName>
    <definedName name="_4__123Graph_ACHART_14" hidden="1">#REF!</definedName>
    <definedName name="_4__123Graph_ACHART_2" localSheetId="19" hidden="1">#REF!</definedName>
    <definedName name="_4__123Graph_ACHART_2" hidden="1">#REF!</definedName>
    <definedName name="_4__123Graph_ACHART_4" localSheetId="19" hidden="1">#REF!</definedName>
    <definedName name="_4__123Graph_ACHART_4" hidden="1">#REF!</definedName>
    <definedName name="_4__123Graph_DYIELD_CURVES" localSheetId="1" hidden="1">#REF!</definedName>
    <definedName name="_4__123Graph_DYIELD_CURVES" localSheetId="17" hidden="1">#REF!</definedName>
    <definedName name="_4__123Graph_DYIELD_CURVES" localSheetId="30" hidden="1">#REF!</definedName>
    <definedName name="_4__123Graph_DYIELD_CURVES" localSheetId="31" hidden="1">#REF!</definedName>
    <definedName name="_4__123Graph_DYIELD_CURVES" localSheetId="19" hidden="1">#REF!</definedName>
    <definedName name="_4__123Graph_DYIELD_CURVES" localSheetId="7" hidden="1">#REF!</definedName>
    <definedName name="_4__123Graph_DYIELD_CURVES" localSheetId="9" hidden="1">#REF!</definedName>
    <definedName name="_4__123Graph_DYIELD_CURVES" hidden="1">#REF!</definedName>
    <definedName name="_4_0__123Grap" localSheetId="1" hidden="1">#REF!</definedName>
    <definedName name="_4_0__123Grap" localSheetId="30" hidden="1">#REF!</definedName>
    <definedName name="_4_0__123Grap" localSheetId="19" hidden="1">#REF!</definedName>
    <definedName name="_4_0__123Grap" localSheetId="7" hidden="1">#REF!</definedName>
    <definedName name="_4_0__123Grap" localSheetId="9" hidden="1">#REF!</definedName>
    <definedName name="_4_0__123Grap" hidden="1">#REF!</definedName>
    <definedName name="_40" localSheetId="1" hidden="1">{"ARK_JURIS_FUEL",#N/A,FALSE,"Ark_Fuel&amp;Rev"}</definedName>
    <definedName name="_40" localSheetId="17" hidden="1">{"ARK_JURIS_FUEL",#N/A,FALSE,"Ark_Fuel&amp;Rev"}</definedName>
    <definedName name="_40" localSheetId="30" hidden="1">{"ARK_JURIS_FUEL",#N/A,FALSE,"Ark_Fuel&amp;Rev"}</definedName>
    <definedName name="_40" localSheetId="31" hidden="1">{"ARK_JURIS_FUEL",#N/A,FALSE,"Ark_Fuel&amp;Rev"}</definedName>
    <definedName name="_40" localSheetId="19" hidden="1">{"ARK_JURIS_FUEL",#N/A,FALSE,"Ark_Fuel&amp;Rev"}</definedName>
    <definedName name="_40" localSheetId="7" hidden="1">{"ARK_JURIS_FUEL",#N/A,FALSE,"Ark_Fuel&amp;Rev"}</definedName>
    <definedName name="_40" localSheetId="0" hidden="1">{"ARK_JURIS_FUEL",#N/A,FALSE,"Ark_Fuel&amp;Rev"}</definedName>
    <definedName name="_40" localSheetId="10" hidden="1">{"ARK_JURIS_FUEL",#N/A,FALSE,"Ark_Fuel&amp;Rev"}</definedName>
    <definedName name="_40" localSheetId="12" hidden="1">{"ARK_JURIS_FUEL",#N/A,FALSE,"Ark_Fuel&amp;Rev"}</definedName>
    <definedName name="_40" localSheetId="9" hidden="1">{"ARK_JURIS_FUEL",#N/A,FALSE,"Ark_Fuel&amp;Rev"}</definedName>
    <definedName name="_40" hidden="1">{"ARK_JURIS_FUEL",#N/A,FALSE,"Ark_Fuel&amp;Rev"}</definedName>
    <definedName name="_41"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3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localSheetId="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2" localSheetId="1" hidden="1">{#N/A,#N/A,TRUE,"1990";#N/A,#N/A,TRUE,"1991";#N/A,#N/A,TRUE,"1992";#N/A,#N/A,TRUE,"1993"}</definedName>
    <definedName name="_42" localSheetId="17" hidden="1">{#N/A,#N/A,TRUE,"1990";#N/A,#N/A,TRUE,"1991";#N/A,#N/A,TRUE,"1992";#N/A,#N/A,TRUE,"1993"}</definedName>
    <definedName name="_42" localSheetId="30" hidden="1">{#N/A,#N/A,TRUE,"1990";#N/A,#N/A,TRUE,"1991";#N/A,#N/A,TRUE,"1992";#N/A,#N/A,TRUE,"1993"}</definedName>
    <definedName name="_42" localSheetId="31" hidden="1">{#N/A,#N/A,TRUE,"1990";#N/A,#N/A,TRUE,"1991";#N/A,#N/A,TRUE,"1992";#N/A,#N/A,TRUE,"1993"}</definedName>
    <definedName name="_42" localSheetId="19" hidden="1">{#N/A,#N/A,TRUE,"1990";#N/A,#N/A,TRUE,"1991";#N/A,#N/A,TRUE,"1992";#N/A,#N/A,TRUE,"1993"}</definedName>
    <definedName name="_42" localSheetId="7" hidden="1">{#N/A,#N/A,TRUE,"1990";#N/A,#N/A,TRUE,"1991";#N/A,#N/A,TRUE,"1992";#N/A,#N/A,TRUE,"1993"}</definedName>
    <definedName name="_42" localSheetId="0" hidden="1">{#N/A,#N/A,TRUE,"1990";#N/A,#N/A,TRUE,"1991";#N/A,#N/A,TRUE,"1992";#N/A,#N/A,TRUE,"1993"}</definedName>
    <definedName name="_42" localSheetId="10" hidden="1">{#N/A,#N/A,TRUE,"1990";#N/A,#N/A,TRUE,"1991";#N/A,#N/A,TRUE,"1992";#N/A,#N/A,TRUE,"1993"}</definedName>
    <definedName name="_42" localSheetId="12" hidden="1">{#N/A,#N/A,TRUE,"1990";#N/A,#N/A,TRUE,"1991";#N/A,#N/A,TRUE,"1992";#N/A,#N/A,TRUE,"1993"}</definedName>
    <definedName name="_42" localSheetId="9" hidden="1">{#N/A,#N/A,TRUE,"1990";#N/A,#N/A,TRUE,"1991";#N/A,#N/A,TRUE,"1992";#N/A,#N/A,TRUE,"1993"}</definedName>
    <definedName name="_42" hidden="1">{#N/A,#N/A,TRUE,"1990";#N/A,#N/A,TRUE,"1991";#N/A,#N/A,TRUE,"1992";#N/A,#N/A,TRUE,"1993"}</definedName>
    <definedName name="_42__123Graph_ACHART_2" localSheetId="19" hidden="1">#REF!</definedName>
    <definedName name="_42__123Graph_ACHART_2" hidden="1">#REF!</definedName>
    <definedName name="_42__123Graph_ACHART_3" localSheetId="19" hidden="1">#REF!</definedName>
    <definedName name="_42__123Graph_ACHART_3" hidden="1">#REF!</definedName>
    <definedName name="_42__123Graph_CCHART_6" localSheetId="17" hidden="1">#REF!</definedName>
    <definedName name="_42__123Graph_CCHART_6" localSheetId="30" hidden="1">#REF!</definedName>
    <definedName name="_42__123Graph_CCHART_6" localSheetId="31" hidden="1">#REF!</definedName>
    <definedName name="_42__123Graph_CCHART_6" localSheetId="19" hidden="1">#REF!</definedName>
    <definedName name="_42__123Graph_CCHART_6" localSheetId="7" hidden="1">#REF!</definedName>
    <definedName name="_42__123Graph_CCHART_6" localSheetId="9" hidden="1">#REF!</definedName>
    <definedName name="_42__123Graph_CCHART_6" hidden="1">#REF!</definedName>
    <definedName name="_43" localSheetId="1" hidden="1">{#N/A,#N/A,TRUE,"1990";#N/A,#N/A,TRUE,"1991";#N/A,#N/A,TRUE,"1992";#N/A,#N/A,TRUE,"1993"}</definedName>
    <definedName name="_43" localSheetId="17" hidden="1">{#N/A,#N/A,TRUE,"1990";#N/A,#N/A,TRUE,"1991";#N/A,#N/A,TRUE,"1992";#N/A,#N/A,TRUE,"1993"}</definedName>
    <definedName name="_43" localSheetId="30" hidden="1">{#N/A,#N/A,TRUE,"1990";#N/A,#N/A,TRUE,"1991";#N/A,#N/A,TRUE,"1992";#N/A,#N/A,TRUE,"1993"}</definedName>
    <definedName name="_43" localSheetId="31" hidden="1">{#N/A,#N/A,TRUE,"1990";#N/A,#N/A,TRUE,"1991";#N/A,#N/A,TRUE,"1992";#N/A,#N/A,TRUE,"1993"}</definedName>
    <definedName name="_43" localSheetId="19" hidden="1">{#N/A,#N/A,TRUE,"1990";#N/A,#N/A,TRUE,"1991";#N/A,#N/A,TRUE,"1992";#N/A,#N/A,TRUE,"1993"}</definedName>
    <definedName name="_43" localSheetId="7" hidden="1">{#N/A,#N/A,TRUE,"1990";#N/A,#N/A,TRUE,"1991";#N/A,#N/A,TRUE,"1992";#N/A,#N/A,TRUE,"1993"}</definedName>
    <definedName name="_43" localSheetId="0" hidden="1">{#N/A,#N/A,TRUE,"1990";#N/A,#N/A,TRUE,"1991";#N/A,#N/A,TRUE,"1992";#N/A,#N/A,TRUE,"1993"}</definedName>
    <definedName name="_43" localSheetId="10" hidden="1">{#N/A,#N/A,TRUE,"1990";#N/A,#N/A,TRUE,"1991";#N/A,#N/A,TRUE,"1992";#N/A,#N/A,TRUE,"1993"}</definedName>
    <definedName name="_43" localSheetId="12" hidden="1">{#N/A,#N/A,TRUE,"1990";#N/A,#N/A,TRUE,"1991";#N/A,#N/A,TRUE,"1992";#N/A,#N/A,TRUE,"1993"}</definedName>
    <definedName name="_43" localSheetId="9" hidden="1">{#N/A,#N/A,TRUE,"1990";#N/A,#N/A,TRUE,"1991";#N/A,#N/A,TRUE,"1992";#N/A,#N/A,TRUE,"1993"}</definedName>
    <definedName name="_43" hidden="1">{#N/A,#N/A,TRUE,"1990";#N/A,#N/A,TRUE,"1991";#N/A,#N/A,TRUE,"1992";#N/A,#N/A,TRUE,"1993"}</definedName>
    <definedName name="_44" localSheetId="1" hidden="1">{"summary",#N/A,TRUE,"E93ADJ";"detail",#N/A,TRUE,"E93ADJ"}</definedName>
    <definedName name="_44" localSheetId="17" hidden="1">{"summary",#N/A,TRUE,"E93ADJ";"detail",#N/A,TRUE,"E93ADJ"}</definedName>
    <definedName name="_44" localSheetId="30" hidden="1">{"summary",#N/A,TRUE,"E93ADJ";"detail",#N/A,TRUE,"E93ADJ"}</definedName>
    <definedName name="_44" localSheetId="31" hidden="1">{"summary",#N/A,TRUE,"E93ADJ";"detail",#N/A,TRUE,"E93ADJ"}</definedName>
    <definedName name="_44" localSheetId="19" hidden="1">{"summary",#N/A,TRUE,"E93ADJ";"detail",#N/A,TRUE,"E93ADJ"}</definedName>
    <definedName name="_44" localSheetId="7" hidden="1">{"summary",#N/A,TRUE,"E93ADJ";"detail",#N/A,TRUE,"E93ADJ"}</definedName>
    <definedName name="_44" localSheetId="0" hidden="1">{"summary",#N/A,TRUE,"E93ADJ";"detail",#N/A,TRUE,"E93ADJ"}</definedName>
    <definedName name="_44" localSheetId="10" hidden="1">{"summary",#N/A,TRUE,"E93ADJ";"detail",#N/A,TRUE,"E93ADJ"}</definedName>
    <definedName name="_44" localSheetId="12" hidden="1">{"summary",#N/A,TRUE,"E93ADJ";"detail",#N/A,TRUE,"E93ADJ"}</definedName>
    <definedName name="_44" localSheetId="9" hidden="1">{"summary",#N/A,TRUE,"E93ADJ";"detail",#N/A,TRUE,"E93ADJ"}</definedName>
    <definedName name="_44" hidden="1">{"summary",#N/A,TRUE,"E93ADJ";"detail",#N/A,TRUE,"E93ADJ"}</definedName>
    <definedName name="_45" localSheetId="1" hidden="1">{"summary",#N/A,TRUE,"E93ADJ";"detail",#N/A,TRUE,"E93ADJ"}</definedName>
    <definedName name="_45" localSheetId="17" hidden="1">{"summary",#N/A,TRUE,"E93ADJ";"detail",#N/A,TRUE,"E93ADJ"}</definedName>
    <definedName name="_45" localSheetId="30" hidden="1">{"summary",#N/A,TRUE,"E93ADJ";"detail",#N/A,TRUE,"E93ADJ"}</definedName>
    <definedName name="_45" localSheetId="31" hidden="1">{"summary",#N/A,TRUE,"E93ADJ";"detail",#N/A,TRUE,"E93ADJ"}</definedName>
    <definedName name="_45" localSheetId="19" hidden="1">{"summary",#N/A,TRUE,"E93ADJ";"detail",#N/A,TRUE,"E93ADJ"}</definedName>
    <definedName name="_45" localSheetId="7" hidden="1">{"summary",#N/A,TRUE,"E93ADJ";"detail",#N/A,TRUE,"E93ADJ"}</definedName>
    <definedName name="_45" localSheetId="0" hidden="1">{"summary",#N/A,TRUE,"E93ADJ";"detail",#N/A,TRUE,"E93ADJ"}</definedName>
    <definedName name="_45" localSheetId="10" hidden="1">{"summary",#N/A,TRUE,"E93ADJ";"detail",#N/A,TRUE,"E93ADJ"}</definedName>
    <definedName name="_45" localSheetId="12" hidden="1">{"summary",#N/A,TRUE,"E93ADJ";"detail",#N/A,TRUE,"E93ADJ"}</definedName>
    <definedName name="_45" localSheetId="9" hidden="1">{"summary",#N/A,TRUE,"E93ADJ";"detail",#N/A,TRUE,"E93ADJ"}</definedName>
    <definedName name="_45" hidden="1">{"summary",#N/A,TRUE,"E93ADJ";"detail",#N/A,TRUE,"E93ADJ"}</definedName>
    <definedName name="_46" localSheetId="1" hidden="1">{#N/A,#N/A,TRUE,"1990";#N/A,#N/A,TRUE,"1991";#N/A,#N/A,TRUE,"1992";#N/A,#N/A,TRUE,"1993"}</definedName>
    <definedName name="_46" localSheetId="17" hidden="1">{#N/A,#N/A,TRUE,"1990";#N/A,#N/A,TRUE,"1991";#N/A,#N/A,TRUE,"1992";#N/A,#N/A,TRUE,"1993"}</definedName>
    <definedName name="_46" localSheetId="30" hidden="1">{#N/A,#N/A,TRUE,"1990";#N/A,#N/A,TRUE,"1991";#N/A,#N/A,TRUE,"1992";#N/A,#N/A,TRUE,"1993"}</definedName>
    <definedName name="_46" localSheetId="31" hidden="1">{#N/A,#N/A,TRUE,"1990";#N/A,#N/A,TRUE,"1991";#N/A,#N/A,TRUE,"1992";#N/A,#N/A,TRUE,"1993"}</definedName>
    <definedName name="_46" localSheetId="19" hidden="1">{#N/A,#N/A,TRUE,"1990";#N/A,#N/A,TRUE,"1991";#N/A,#N/A,TRUE,"1992";#N/A,#N/A,TRUE,"1993"}</definedName>
    <definedName name="_46" localSheetId="7" hidden="1">{#N/A,#N/A,TRUE,"1990";#N/A,#N/A,TRUE,"1991";#N/A,#N/A,TRUE,"1992";#N/A,#N/A,TRUE,"1993"}</definedName>
    <definedName name="_46" localSheetId="0" hidden="1">{#N/A,#N/A,TRUE,"1990";#N/A,#N/A,TRUE,"1991";#N/A,#N/A,TRUE,"1992";#N/A,#N/A,TRUE,"1993"}</definedName>
    <definedName name="_46" localSheetId="10" hidden="1">{#N/A,#N/A,TRUE,"1990";#N/A,#N/A,TRUE,"1991";#N/A,#N/A,TRUE,"1992";#N/A,#N/A,TRUE,"1993"}</definedName>
    <definedName name="_46" localSheetId="12" hidden="1">{#N/A,#N/A,TRUE,"1990";#N/A,#N/A,TRUE,"1991";#N/A,#N/A,TRUE,"1992";#N/A,#N/A,TRUE,"1993"}</definedName>
    <definedName name="_46" localSheetId="9" hidden="1">{#N/A,#N/A,TRUE,"1990";#N/A,#N/A,TRUE,"1991";#N/A,#N/A,TRUE,"1992";#N/A,#N/A,TRUE,"1993"}</definedName>
    <definedName name="_46" hidden="1">{#N/A,#N/A,TRUE,"1990";#N/A,#N/A,TRUE,"1991";#N/A,#N/A,TRUE,"1992";#N/A,#N/A,TRUE,"1993"}</definedName>
    <definedName name="_47" localSheetId="1" hidden="1">{"summary",#N/A,TRUE,"E93ADJ";"detail",#N/A,TRUE,"E93ADJ"}</definedName>
    <definedName name="_47" localSheetId="17" hidden="1">{"summary",#N/A,TRUE,"E93ADJ";"detail",#N/A,TRUE,"E93ADJ"}</definedName>
    <definedName name="_47" localSheetId="30" hidden="1">{"summary",#N/A,TRUE,"E93ADJ";"detail",#N/A,TRUE,"E93ADJ"}</definedName>
    <definedName name="_47" localSheetId="31" hidden="1">{"summary",#N/A,TRUE,"E93ADJ";"detail",#N/A,TRUE,"E93ADJ"}</definedName>
    <definedName name="_47" localSheetId="19" hidden="1">{"summary",#N/A,TRUE,"E93ADJ";"detail",#N/A,TRUE,"E93ADJ"}</definedName>
    <definedName name="_47" localSheetId="7" hidden="1">{"summary",#N/A,TRUE,"E93ADJ";"detail",#N/A,TRUE,"E93ADJ"}</definedName>
    <definedName name="_47" localSheetId="0" hidden="1">{"summary",#N/A,TRUE,"E93ADJ";"detail",#N/A,TRUE,"E93ADJ"}</definedName>
    <definedName name="_47" localSheetId="10" hidden="1">{"summary",#N/A,TRUE,"E93ADJ";"detail",#N/A,TRUE,"E93ADJ"}</definedName>
    <definedName name="_47" localSheetId="12" hidden="1">{"summary",#N/A,TRUE,"E93ADJ";"detail",#N/A,TRUE,"E93ADJ"}</definedName>
    <definedName name="_47" localSheetId="9" hidden="1">{"summary",#N/A,TRUE,"E93ADJ";"detail",#N/A,TRUE,"E93ADJ"}</definedName>
    <definedName name="_47" hidden="1">{"summary",#N/A,TRUE,"E93ADJ";"detail",#N/A,TRUE,"E93ADJ"}</definedName>
    <definedName name="_48" localSheetId="1" hidden="1">{#N/A,#N/A,TRUE,"1990";#N/A,#N/A,TRUE,"1991";#N/A,#N/A,TRUE,"1992";#N/A,#N/A,TRUE,"1993"}</definedName>
    <definedName name="_48" localSheetId="17" hidden="1">{#N/A,#N/A,TRUE,"1990";#N/A,#N/A,TRUE,"1991";#N/A,#N/A,TRUE,"1992";#N/A,#N/A,TRUE,"1993"}</definedName>
    <definedName name="_48" localSheetId="30" hidden="1">{#N/A,#N/A,TRUE,"1990";#N/A,#N/A,TRUE,"1991";#N/A,#N/A,TRUE,"1992";#N/A,#N/A,TRUE,"1993"}</definedName>
    <definedName name="_48" localSheetId="31" hidden="1">{#N/A,#N/A,TRUE,"1990";#N/A,#N/A,TRUE,"1991";#N/A,#N/A,TRUE,"1992";#N/A,#N/A,TRUE,"1993"}</definedName>
    <definedName name="_48" localSheetId="19" hidden="1">{#N/A,#N/A,TRUE,"1990";#N/A,#N/A,TRUE,"1991";#N/A,#N/A,TRUE,"1992";#N/A,#N/A,TRUE,"1993"}</definedName>
    <definedName name="_48" localSheetId="7" hidden="1">{#N/A,#N/A,TRUE,"1990";#N/A,#N/A,TRUE,"1991";#N/A,#N/A,TRUE,"1992";#N/A,#N/A,TRUE,"1993"}</definedName>
    <definedName name="_48" localSheetId="0" hidden="1">{#N/A,#N/A,TRUE,"1990";#N/A,#N/A,TRUE,"1991";#N/A,#N/A,TRUE,"1992";#N/A,#N/A,TRUE,"1993"}</definedName>
    <definedName name="_48" localSheetId="10" hidden="1">{#N/A,#N/A,TRUE,"1990";#N/A,#N/A,TRUE,"1991";#N/A,#N/A,TRUE,"1992";#N/A,#N/A,TRUE,"1993"}</definedName>
    <definedName name="_48" localSheetId="12" hidden="1">{#N/A,#N/A,TRUE,"1990";#N/A,#N/A,TRUE,"1991";#N/A,#N/A,TRUE,"1992";#N/A,#N/A,TRUE,"1993"}</definedName>
    <definedName name="_48" localSheetId="9" hidden="1">{#N/A,#N/A,TRUE,"1990";#N/A,#N/A,TRUE,"1991";#N/A,#N/A,TRUE,"1992";#N/A,#N/A,TRUE,"1993"}</definedName>
    <definedName name="_48" hidden="1">{#N/A,#N/A,TRUE,"1990";#N/A,#N/A,TRUE,"1991";#N/A,#N/A,TRUE,"1992";#N/A,#N/A,TRUE,"1993"}</definedName>
    <definedName name="_49" localSheetId="1" hidden="1">{#N/A,#N/A,TRUE,"1990";#N/A,#N/A,TRUE,"1991";#N/A,#N/A,TRUE,"1992";#N/A,#N/A,TRUE,"1993"}</definedName>
    <definedName name="_49" localSheetId="17" hidden="1">{#N/A,#N/A,TRUE,"1990";#N/A,#N/A,TRUE,"1991";#N/A,#N/A,TRUE,"1992";#N/A,#N/A,TRUE,"1993"}</definedName>
    <definedName name="_49" localSheetId="30" hidden="1">{#N/A,#N/A,TRUE,"1990";#N/A,#N/A,TRUE,"1991";#N/A,#N/A,TRUE,"1992";#N/A,#N/A,TRUE,"1993"}</definedName>
    <definedName name="_49" localSheetId="31" hidden="1">{#N/A,#N/A,TRUE,"1990";#N/A,#N/A,TRUE,"1991";#N/A,#N/A,TRUE,"1992";#N/A,#N/A,TRUE,"1993"}</definedName>
    <definedName name="_49" localSheetId="19" hidden="1">{#N/A,#N/A,TRUE,"1990";#N/A,#N/A,TRUE,"1991";#N/A,#N/A,TRUE,"1992";#N/A,#N/A,TRUE,"1993"}</definedName>
    <definedName name="_49" localSheetId="7" hidden="1">{#N/A,#N/A,TRUE,"1990";#N/A,#N/A,TRUE,"1991";#N/A,#N/A,TRUE,"1992";#N/A,#N/A,TRUE,"1993"}</definedName>
    <definedName name="_49" localSheetId="0" hidden="1">{#N/A,#N/A,TRUE,"1990";#N/A,#N/A,TRUE,"1991";#N/A,#N/A,TRUE,"1992";#N/A,#N/A,TRUE,"1993"}</definedName>
    <definedName name="_49" localSheetId="10" hidden="1">{#N/A,#N/A,TRUE,"1990";#N/A,#N/A,TRUE,"1991";#N/A,#N/A,TRUE,"1992";#N/A,#N/A,TRUE,"1993"}</definedName>
    <definedName name="_49" localSheetId="12" hidden="1">{#N/A,#N/A,TRUE,"1990";#N/A,#N/A,TRUE,"1991";#N/A,#N/A,TRUE,"1992";#N/A,#N/A,TRUE,"1993"}</definedName>
    <definedName name="_49" localSheetId="9" hidden="1">{#N/A,#N/A,TRUE,"1990";#N/A,#N/A,TRUE,"1991";#N/A,#N/A,TRUE,"1992";#N/A,#N/A,TRUE,"1993"}</definedName>
    <definedName name="_49" hidden="1">{#N/A,#N/A,TRUE,"1990";#N/A,#N/A,TRUE,"1991";#N/A,#N/A,TRUE,"1992";#N/A,#N/A,TRUE,"1993"}</definedName>
    <definedName name="_4SERIES_T" localSheetId="12">#REF!</definedName>
    <definedName name="_4SERIES_T">#REF!</definedName>
    <definedName name="_5" localSheetId="1" hidden="1">{#N/A,#N/A,FALSE,"SCA";#N/A,#N/A,FALSE,"NCA";#N/A,#N/A,FALSE,"SAZ";#N/A,#N/A,FALSE,"CAZ";#N/A,#N/A,FALSE,"SNV";#N/A,#N/A,FALSE,"NNV";#N/A,#N/A,FALSE,"PP";#N/A,#N/A,FALSE,"SA"}</definedName>
    <definedName name="_5" localSheetId="17" hidden="1">{#N/A,#N/A,FALSE,"SCA";#N/A,#N/A,FALSE,"NCA";#N/A,#N/A,FALSE,"SAZ";#N/A,#N/A,FALSE,"CAZ";#N/A,#N/A,FALSE,"SNV";#N/A,#N/A,FALSE,"NNV";#N/A,#N/A,FALSE,"PP";#N/A,#N/A,FALSE,"SA"}</definedName>
    <definedName name="_5" localSheetId="30" hidden="1">{#N/A,#N/A,FALSE,"SCA";#N/A,#N/A,FALSE,"NCA";#N/A,#N/A,FALSE,"SAZ";#N/A,#N/A,FALSE,"CAZ";#N/A,#N/A,FALSE,"SNV";#N/A,#N/A,FALSE,"NNV";#N/A,#N/A,FALSE,"PP";#N/A,#N/A,FALSE,"SA"}</definedName>
    <definedName name="_5" localSheetId="31" hidden="1">{#N/A,#N/A,FALSE,"SCA";#N/A,#N/A,FALSE,"NCA";#N/A,#N/A,FALSE,"SAZ";#N/A,#N/A,FALSE,"CAZ";#N/A,#N/A,FALSE,"SNV";#N/A,#N/A,FALSE,"NNV";#N/A,#N/A,FALSE,"PP";#N/A,#N/A,FALSE,"SA"}</definedName>
    <definedName name="_5" localSheetId="19" hidden="1">{#N/A,#N/A,FALSE,"SCA";#N/A,#N/A,FALSE,"NCA";#N/A,#N/A,FALSE,"SAZ";#N/A,#N/A,FALSE,"CAZ";#N/A,#N/A,FALSE,"SNV";#N/A,#N/A,FALSE,"NNV";#N/A,#N/A,FALSE,"PP";#N/A,#N/A,FALSE,"SA"}</definedName>
    <definedName name="_5" localSheetId="7" hidden="1">{#N/A,#N/A,FALSE,"SCA";#N/A,#N/A,FALSE,"NCA";#N/A,#N/A,FALSE,"SAZ";#N/A,#N/A,FALSE,"CAZ";#N/A,#N/A,FALSE,"SNV";#N/A,#N/A,FALSE,"NNV";#N/A,#N/A,FALSE,"PP";#N/A,#N/A,FALSE,"SA"}</definedName>
    <definedName name="_5" localSheetId="0" hidden="1">{#N/A,#N/A,FALSE,"SCA";#N/A,#N/A,FALSE,"NCA";#N/A,#N/A,FALSE,"SAZ";#N/A,#N/A,FALSE,"CAZ";#N/A,#N/A,FALSE,"SNV";#N/A,#N/A,FALSE,"NNV";#N/A,#N/A,FALSE,"PP";#N/A,#N/A,FALSE,"SA"}</definedName>
    <definedName name="_5" localSheetId="10" hidden="1">{#N/A,#N/A,FALSE,"SCA";#N/A,#N/A,FALSE,"NCA";#N/A,#N/A,FALSE,"SAZ";#N/A,#N/A,FALSE,"CAZ";#N/A,#N/A,FALSE,"SNV";#N/A,#N/A,FALSE,"NNV";#N/A,#N/A,FALSE,"PP";#N/A,#N/A,FALSE,"SA"}</definedName>
    <definedName name="_5" localSheetId="12" hidden="1">{#N/A,#N/A,FALSE,"SCA";#N/A,#N/A,FALSE,"NCA";#N/A,#N/A,FALSE,"SAZ";#N/A,#N/A,FALSE,"CAZ";#N/A,#N/A,FALSE,"SNV";#N/A,#N/A,FALSE,"NNV";#N/A,#N/A,FALSE,"PP";#N/A,#N/A,FALSE,"SA"}</definedName>
    <definedName name="_5" localSheetId="9" hidden="1">{#N/A,#N/A,FALSE,"SCA";#N/A,#N/A,FALSE,"NCA";#N/A,#N/A,FALSE,"SAZ";#N/A,#N/A,FALSE,"CAZ";#N/A,#N/A,FALSE,"SNV";#N/A,#N/A,FALSE,"NNV";#N/A,#N/A,FALSE,"PP";#N/A,#N/A,FALSE,"SA"}</definedName>
    <definedName name="_5" hidden="1">{#N/A,#N/A,FALSE,"SCA";#N/A,#N/A,FALSE,"NCA";#N/A,#N/A,FALSE,"SAZ";#N/A,#N/A,FALSE,"CAZ";#N/A,#N/A,FALSE,"SNV";#N/A,#N/A,FALSE,"NNV";#N/A,#N/A,FALSE,"PP";#N/A,#N/A,FALSE,"SA"}</definedName>
    <definedName name="_5__123Graph_ACHART_15" localSheetId="19" hidden="1">#REF!</definedName>
    <definedName name="_5__123Graph_ACHART_15" hidden="1">#REF!</definedName>
    <definedName name="_5__123Graph_ACHART_5" localSheetId="19" hidden="1">#REF!</definedName>
    <definedName name="_5__123Graph_ACHART_5" hidden="1">#REF!</definedName>
    <definedName name="_50" localSheetId="1" hidden="1">{"summary",#N/A,TRUE,"E93ADJ";"detail",#N/A,TRUE,"E93ADJ"}</definedName>
    <definedName name="_50" localSheetId="17" hidden="1">{"summary",#N/A,TRUE,"E93ADJ";"detail",#N/A,TRUE,"E93ADJ"}</definedName>
    <definedName name="_50" localSheetId="30" hidden="1">{"summary",#N/A,TRUE,"E93ADJ";"detail",#N/A,TRUE,"E93ADJ"}</definedName>
    <definedName name="_50" localSheetId="31" hidden="1">{"summary",#N/A,TRUE,"E93ADJ";"detail",#N/A,TRUE,"E93ADJ"}</definedName>
    <definedName name="_50" localSheetId="19" hidden="1">{"summary",#N/A,TRUE,"E93ADJ";"detail",#N/A,TRUE,"E93ADJ"}</definedName>
    <definedName name="_50" localSheetId="7" hidden="1">{"summary",#N/A,TRUE,"E93ADJ";"detail",#N/A,TRUE,"E93ADJ"}</definedName>
    <definedName name="_50" localSheetId="0" hidden="1">{"summary",#N/A,TRUE,"E93ADJ";"detail",#N/A,TRUE,"E93ADJ"}</definedName>
    <definedName name="_50" localSheetId="10" hidden="1">{"summary",#N/A,TRUE,"E93ADJ";"detail",#N/A,TRUE,"E93ADJ"}</definedName>
    <definedName name="_50" localSheetId="12" hidden="1">{"summary",#N/A,TRUE,"E93ADJ";"detail",#N/A,TRUE,"E93ADJ"}</definedName>
    <definedName name="_50" localSheetId="9" hidden="1">{"summary",#N/A,TRUE,"E93ADJ";"detail",#N/A,TRUE,"E93ADJ"}</definedName>
    <definedName name="_50" hidden="1">{"summary",#N/A,TRUE,"E93ADJ";"detail",#N/A,TRUE,"E93ADJ"}</definedName>
    <definedName name="_51" localSheetId="1" hidden="1">{"summary",#N/A,TRUE,"E93ADJ";"detail",#N/A,TRUE,"E93ADJ"}</definedName>
    <definedName name="_51" localSheetId="17" hidden="1">{"summary",#N/A,TRUE,"E93ADJ";"detail",#N/A,TRUE,"E93ADJ"}</definedName>
    <definedName name="_51" localSheetId="30" hidden="1">{"summary",#N/A,TRUE,"E93ADJ";"detail",#N/A,TRUE,"E93ADJ"}</definedName>
    <definedName name="_51" localSheetId="31" hidden="1">{"summary",#N/A,TRUE,"E93ADJ";"detail",#N/A,TRUE,"E93ADJ"}</definedName>
    <definedName name="_51" localSheetId="19" hidden="1">{"summary",#N/A,TRUE,"E93ADJ";"detail",#N/A,TRUE,"E93ADJ"}</definedName>
    <definedName name="_51" localSheetId="7" hidden="1">{"summary",#N/A,TRUE,"E93ADJ";"detail",#N/A,TRUE,"E93ADJ"}</definedName>
    <definedName name="_51" localSheetId="0" hidden="1">{"summary",#N/A,TRUE,"E93ADJ";"detail",#N/A,TRUE,"E93ADJ"}</definedName>
    <definedName name="_51" localSheetId="10" hidden="1">{"summary",#N/A,TRUE,"E93ADJ";"detail",#N/A,TRUE,"E93ADJ"}</definedName>
    <definedName name="_51" localSheetId="12" hidden="1">{"summary",#N/A,TRUE,"E93ADJ";"detail",#N/A,TRUE,"E93ADJ"}</definedName>
    <definedName name="_51" localSheetId="9" hidden="1">{"summary",#N/A,TRUE,"E93ADJ";"detail",#N/A,TRUE,"E93ADJ"}</definedName>
    <definedName name="_51" hidden="1">{"summary",#N/A,TRUE,"E93ADJ";"detail",#N/A,TRUE,"E93ADJ"}</definedName>
    <definedName name="_51__123Graph_ACHART_3" localSheetId="19" hidden="1">#REF!</definedName>
    <definedName name="_51__123Graph_ACHART_3" hidden="1">#REF!</definedName>
    <definedName name="_52" localSheetId="1" hidden="1">{#N/A,#N/A,TRUE,"1990";#N/A,#N/A,TRUE,"1991";#N/A,#N/A,TRUE,"1992";#N/A,#N/A,TRUE,"1993"}</definedName>
    <definedName name="_52" localSheetId="17" hidden="1">{#N/A,#N/A,TRUE,"1990";#N/A,#N/A,TRUE,"1991";#N/A,#N/A,TRUE,"1992";#N/A,#N/A,TRUE,"1993"}</definedName>
    <definedName name="_52" localSheetId="30" hidden="1">{#N/A,#N/A,TRUE,"1990";#N/A,#N/A,TRUE,"1991";#N/A,#N/A,TRUE,"1992";#N/A,#N/A,TRUE,"1993"}</definedName>
    <definedName name="_52" localSheetId="31" hidden="1">{#N/A,#N/A,TRUE,"1990";#N/A,#N/A,TRUE,"1991";#N/A,#N/A,TRUE,"1992";#N/A,#N/A,TRUE,"1993"}</definedName>
    <definedName name="_52" localSheetId="19" hidden="1">{#N/A,#N/A,TRUE,"1990";#N/A,#N/A,TRUE,"1991";#N/A,#N/A,TRUE,"1992";#N/A,#N/A,TRUE,"1993"}</definedName>
    <definedName name="_52" localSheetId="7" hidden="1">{#N/A,#N/A,TRUE,"1990";#N/A,#N/A,TRUE,"1991";#N/A,#N/A,TRUE,"1992";#N/A,#N/A,TRUE,"1993"}</definedName>
    <definedName name="_52" localSheetId="0" hidden="1">{#N/A,#N/A,TRUE,"1990";#N/A,#N/A,TRUE,"1991";#N/A,#N/A,TRUE,"1992";#N/A,#N/A,TRUE,"1993"}</definedName>
    <definedName name="_52" localSheetId="10" hidden="1">{#N/A,#N/A,TRUE,"1990";#N/A,#N/A,TRUE,"1991";#N/A,#N/A,TRUE,"1992";#N/A,#N/A,TRUE,"1993"}</definedName>
    <definedName name="_52" localSheetId="12" hidden="1">{#N/A,#N/A,TRUE,"1990";#N/A,#N/A,TRUE,"1991";#N/A,#N/A,TRUE,"1992";#N/A,#N/A,TRUE,"1993"}</definedName>
    <definedName name="_52" localSheetId="9" hidden="1">{#N/A,#N/A,TRUE,"1990";#N/A,#N/A,TRUE,"1991";#N/A,#N/A,TRUE,"1992";#N/A,#N/A,TRUE,"1993"}</definedName>
    <definedName name="_52" hidden="1">{#N/A,#N/A,TRUE,"1990";#N/A,#N/A,TRUE,"1991";#N/A,#N/A,TRUE,"1992";#N/A,#N/A,TRUE,"1993"}</definedName>
    <definedName name="_53" localSheetId="1" hidden="1">{"summary",#N/A,TRUE,"E93ADJ";"detail",#N/A,TRUE,"E93ADJ"}</definedName>
    <definedName name="_53" localSheetId="17" hidden="1">{"summary",#N/A,TRUE,"E93ADJ";"detail",#N/A,TRUE,"E93ADJ"}</definedName>
    <definedName name="_53" localSheetId="30" hidden="1">{"summary",#N/A,TRUE,"E93ADJ";"detail",#N/A,TRUE,"E93ADJ"}</definedName>
    <definedName name="_53" localSheetId="31" hidden="1">{"summary",#N/A,TRUE,"E93ADJ";"detail",#N/A,TRUE,"E93ADJ"}</definedName>
    <definedName name="_53" localSheetId="19" hidden="1">{"summary",#N/A,TRUE,"E93ADJ";"detail",#N/A,TRUE,"E93ADJ"}</definedName>
    <definedName name="_53" localSheetId="7" hidden="1">{"summary",#N/A,TRUE,"E93ADJ";"detail",#N/A,TRUE,"E93ADJ"}</definedName>
    <definedName name="_53" localSheetId="0" hidden="1">{"summary",#N/A,TRUE,"E93ADJ";"detail",#N/A,TRUE,"E93ADJ"}</definedName>
    <definedName name="_53" localSheetId="10" hidden="1">{"summary",#N/A,TRUE,"E93ADJ";"detail",#N/A,TRUE,"E93ADJ"}</definedName>
    <definedName name="_53" localSheetId="12" hidden="1">{"summary",#N/A,TRUE,"E93ADJ";"detail",#N/A,TRUE,"E93ADJ"}</definedName>
    <definedName name="_53" localSheetId="9" hidden="1">{"summary",#N/A,TRUE,"E93ADJ";"detail",#N/A,TRUE,"E93ADJ"}</definedName>
    <definedName name="_53" hidden="1">{"summary",#N/A,TRUE,"E93ADJ";"detail",#N/A,TRUE,"E93ADJ"}</definedName>
    <definedName name="_54" localSheetId="1" hidden="1">{#N/A,#N/A,FALSE,"COMPAPER";#N/A,#N/A,FALSE,"AFUDC";#N/A,#N/A,FALSE,"JE"}</definedName>
    <definedName name="_54" localSheetId="17" hidden="1">{#N/A,#N/A,FALSE,"COMPAPER";#N/A,#N/A,FALSE,"AFUDC";#N/A,#N/A,FALSE,"JE"}</definedName>
    <definedName name="_54" localSheetId="30" hidden="1">{#N/A,#N/A,FALSE,"COMPAPER";#N/A,#N/A,FALSE,"AFUDC";#N/A,#N/A,FALSE,"JE"}</definedName>
    <definedName name="_54" localSheetId="31" hidden="1">{#N/A,#N/A,FALSE,"COMPAPER";#N/A,#N/A,FALSE,"AFUDC";#N/A,#N/A,FALSE,"JE"}</definedName>
    <definedName name="_54" localSheetId="19" hidden="1">{#N/A,#N/A,FALSE,"COMPAPER";#N/A,#N/A,FALSE,"AFUDC";#N/A,#N/A,FALSE,"JE"}</definedName>
    <definedName name="_54" localSheetId="7" hidden="1">{#N/A,#N/A,FALSE,"COMPAPER";#N/A,#N/A,FALSE,"AFUDC";#N/A,#N/A,FALSE,"JE"}</definedName>
    <definedName name="_54" localSheetId="0" hidden="1">{#N/A,#N/A,FALSE,"COMPAPER";#N/A,#N/A,FALSE,"AFUDC";#N/A,#N/A,FALSE,"JE"}</definedName>
    <definedName name="_54" localSheetId="10" hidden="1">{#N/A,#N/A,FALSE,"COMPAPER";#N/A,#N/A,FALSE,"AFUDC";#N/A,#N/A,FALSE,"JE"}</definedName>
    <definedName name="_54" localSheetId="12" hidden="1">{#N/A,#N/A,FALSE,"COMPAPER";#N/A,#N/A,FALSE,"AFUDC";#N/A,#N/A,FALSE,"JE"}</definedName>
    <definedName name="_54" localSheetId="9" hidden="1">{#N/A,#N/A,FALSE,"COMPAPER";#N/A,#N/A,FALSE,"AFUDC";#N/A,#N/A,FALSE,"JE"}</definedName>
    <definedName name="_54" hidden="1">{#N/A,#N/A,FALSE,"COMPAPER";#N/A,#N/A,FALSE,"AFUDC";#N/A,#N/A,FALSE,"JE"}</definedName>
    <definedName name="_54__123Graph_ACHART_3" localSheetId="19" hidden="1">#REF!</definedName>
    <definedName name="_54__123Graph_ACHART_3" hidden="1">#REF!</definedName>
    <definedName name="_55" localSheetId="1" hidden="1">{"pb",#N/A,FALSE,"Sheet3";"pd",#N/A,FALSE,"Sheet3";"pe",#N/A,FALSE,"Sheet3"}</definedName>
    <definedName name="_55" localSheetId="17" hidden="1">{"pb",#N/A,FALSE,"Sheet3";"pd",#N/A,FALSE,"Sheet3";"pe",#N/A,FALSE,"Sheet3"}</definedName>
    <definedName name="_55" localSheetId="30" hidden="1">{"pb",#N/A,FALSE,"Sheet3";"pd",#N/A,FALSE,"Sheet3";"pe",#N/A,FALSE,"Sheet3"}</definedName>
    <definedName name="_55" localSheetId="31" hidden="1">{"pb",#N/A,FALSE,"Sheet3";"pd",#N/A,FALSE,"Sheet3";"pe",#N/A,FALSE,"Sheet3"}</definedName>
    <definedName name="_55" localSheetId="19" hidden="1">{"pb",#N/A,FALSE,"Sheet3";"pd",#N/A,FALSE,"Sheet3";"pe",#N/A,FALSE,"Sheet3"}</definedName>
    <definedName name="_55" localSheetId="7" hidden="1">{"pb",#N/A,FALSE,"Sheet3";"pd",#N/A,FALSE,"Sheet3";"pe",#N/A,FALSE,"Sheet3"}</definedName>
    <definedName name="_55" localSheetId="0" hidden="1">{"pb",#N/A,FALSE,"Sheet3";"pd",#N/A,FALSE,"Sheet3";"pe",#N/A,FALSE,"Sheet3"}</definedName>
    <definedName name="_55" localSheetId="10" hidden="1">{"pb",#N/A,FALSE,"Sheet3";"pd",#N/A,FALSE,"Sheet3";"pe",#N/A,FALSE,"Sheet3"}</definedName>
    <definedName name="_55" localSheetId="12" hidden="1">{"pb",#N/A,FALSE,"Sheet3";"pd",#N/A,FALSE,"Sheet3";"pe",#N/A,FALSE,"Sheet3"}</definedName>
    <definedName name="_55" localSheetId="9" hidden="1">{"pb",#N/A,FALSE,"Sheet3";"pd",#N/A,FALSE,"Sheet3";"pe",#N/A,FALSE,"Sheet3"}</definedName>
    <definedName name="_55" hidden="1">{"pb",#N/A,FALSE,"Sheet3";"pd",#N/A,FALSE,"Sheet3";"pe",#N/A,FALSE,"Sheet3"}</definedName>
    <definedName name="_56" localSheetId="1" hidden="1">{#N/A,#N/A,TRUE,"1990";#N/A,#N/A,TRUE,"1991";#N/A,#N/A,TRUE,"1992";#N/A,#N/A,TRUE,"1993"}</definedName>
    <definedName name="_56" localSheetId="17" hidden="1">{#N/A,#N/A,TRUE,"1990";#N/A,#N/A,TRUE,"1991";#N/A,#N/A,TRUE,"1992";#N/A,#N/A,TRUE,"1993"}</definedName>
    <definedName name="_56" localSheetId="30" hidden="1">{#N/A,#N/A,TRUE,"1990";#N/A,#N/A,TRUE,"1991";#N/A,#N/A,TRUE,"1992";#N/A,#N/A,TRUE,"1993"}</definedName>
    <definedName name="_56" localSheetId="31" hidden="1">{#N/A,#N/A,TRUE,"1990";#N/A,#N/A,TRUE,"1991";#N/A,#N/A,TRUE,"1992";#N/A,#N/A,TRUE,"1993"}</definedName>
    <definedName name="_56" localSheetId="19" hidden="1">{#N/A,#N/A,TRUE,"1990";#N/A,#N/A,TRUE,"1991";#N/A,#N/A,TRUE,"1992";#N/A,#N/A,TRUE,"1993"}</definedName>
    <definedName name="_56" localSheetId="7" hidden="1">{#N/A,#N/A,TRUE,"1990";#N/A,#N/A,TRUE,"1991";#N/A,#N/A,TRUE,"1992";#N/A,#N/A,TRUE,"1993"}</definedName>
    <definedName name="_56" localSheetId="0" hidden="1">{#N/A,#N/A,TRUE,"1990";#N/A,#N/A,TRUE,"1991";#N/A,#N/A,TRUE,"1992";#N/A,#N/A,TRUE,"1993"}</definedName>
    <definedName name="_56" localSheetId="10" hidden="1">{#N/A,#N/A,TRUE,"1990";#N/A,#N/A,TRUE,"1991";#N/A,#N/A,TRUE,"1992";#N/A,#N/A,TRUE,"1993"}</definedName>
    <definedName name="_56" localSheetId="12" hidden="1">{#N/A,#N/A,TRUE,"1990";#N/A,#N/A,TRUE,"1991";#N/A,#N/A,TRUE,"1992";#N/A,#N/A,TRUE,"1993"}</definedName>
    <definedName name="_56" localSheetId="9" hidden="1">{#N/A,#N/A,TRUE,"1990";#N/A,#N/A,TRUE,"1991";#N/A,#N/A,TRUE,"1992";#N/A,#N/A,TRUE,"1993"}</definedName>
    <definedName name="_56" hidden="1">{#N/A,#N/A,TRUE,"1990";#N/A,#N/A,TRUE,"1991";#N/A,#N/A,TRUE,"1992";#N/A,#N/A,TRUE,"1993"}</definedName>
    <definedName name="_56__123Graph_ACHART_4" localSheetId="19" hidden="1">#REF!</definedName>
    <definedName name="_56__123Graph_ACHART_4" hidden="1">#REF!</definedName>
    <definedName name="_57" localSheetId="1" hidden="1">{#N/A,#N/A,FALSE,"SCA";#N/A,#N/A,FALSE,"NCA";#N/A,#N/A,FALSE,"SAZ";#N/A,#N/A,FALSE,"CAZ";#N/A,#N/A,FALSE,"SNV";#N/A,#N/A,FALSE,"NNV";#N/A,#N/A,FALSE,"PP";#N/A,#N/A,FALSE,"SA"}</definedName>
    <definedName name="_57" localSheetId="17" hidden="1">{#N/A,#N/A,FALSE,"SCA";#N/A,#N/A,FALSE,"NCA";#N/A,#N/A,FALSE,"SAZ";#N/A,#N/A,FALSE,"CAZ";#N/A,#N/A,FALSE,"SNV";#N/A,#N/A,FALSE,"NNV";#N/A,#N/A,FALSE,"PP";#N/A,#N/A,FALSE,"SA"}</definedName>
    <definedName name="_57" localSheetId="30" hidden="1">{#N/A,#N/A,FALSE,"SCA";#N/A,#N/A,FALSE,"NCA";#N/A,#N/A,FALSE,"SAZ";#N/A,#N/A,FALSE,"CAZ";#N/A,#N/A,FALSE,"SNV";#N/A,#N/A,FALSE,"NNV";#N/A,#N/A,FALSE,"PP";#N/A,#N/A,FALSE,"SA"}</definedName>
    <definedName name="_57" localSheetId="31" hidden="1">{#N/A,#N/A,FALSE,"SCA";#N/A,#N/A,FALSE,"NCA";#N/A,#N/A,FALSE,"SAZ";#N/A,#N/A,FALSE,"CAZ";#N/A,#N/A,FALSE,"SNV";#N/A,#N/A,FALSE,"NNV";#N/A,#N/A,FALSE,"PP";#N/A,#N/A,FALSE,"SA"}</definedName>
    <definedName name="_57" localSheetId="19" hidden="1">{#N/A,#N/A,FALSE,"SCA";#N/A,#N/A,FALSE,"NCA";#N/A,#N/A,FALSE,"SAZ";#N/A,#N/A,FALSE,"CAZ";#N/A,#N/A,FALSE,"SNV";#N/A,#N/A,FALSE,"NNV";#N/A,#N/A,FALSE,"PP";#N/A,#N/A,FALSE,"SA"}</definedName>
    <definedName name="_57" localSheetId="7" hidden="1">{#N/A,#N/A,FALSE,"SCA";#N/A,#N/A,FALSE,"NCA";#N/A,#N/A,FALSE,"SAZ";#N/A,#N/A,FALSE,"CAZ";#N/A,#N/A,FALSE,"SNV";#N/A,#N/A,FALSE,"NNV";#N/A,#N/A,FALSE,"PP";#N/A,#N/A,FALSE,"SA"}</definedName>
    <definedName name="_57" localSheetId="0" hidden="1">{#N/A,#N/A,FALSE,"SCA";#N/A,#N/A,FALSE,"NCA";#N/A,#N/A,FALSE,"SAZ";#N/A,#N/A,FALSE,"CAZ";#N/A,#N/A,FALSE,"SNV";#N/A,#N/A,FALSE,"NNV";#N/A,#N/A,FALSE,"PP";#N/A,#N/A,FALSE,"SA"}</definedName>
    <definedName name="_57" localSheetId="10" hidden="1">{#N/A,#N/A,FALSE,"SCA";#N/A,#N/A,FALSE,"NCA";#N/A,#N/A,FALSE,"SAZ";#N/A,#N/A,FALSE,"CAZ";#N/A,#N/A,FALSE,"SNV";#N/A,#N/A,FALSE,"NNV";#N/A,#N/A,FALSE,"PP";#N/A,#N/A,FALSE,"SA"}</definedName>
    <definedName name="_57" localSheetId="12" hidden="1">{#N/A,#N/A,FALSE,"SCA";#N/A,#N/A,FALSE,"NCA";#N/A,#N/A,FALSE,"SAZ";#N/A,#N/A,FALSE,"CAZ";#N/A,#N/A,FALSE,"SNV";#N/A,#N/A,FALSE,"NNV";#N/A,#N/A,FALSE,"PP";#N/A,#N/A,FALSE,"SA"}</definedName>
    <definedName name="_57" localSheetId="9" hidden="1">{#N/A,#N/A,FALSE,"SCA";#N/A,#N/A,FALSE,"NCA";#N/A,#N/A,FALSE,"SAZ";#N/A,#N/A,FALSE,"CAZ";#N/A,#N/A,FALSE,"SNV";#N/A,#N/A,FALSE,"NNV";#N/A,#N/A,FALSE,"PP";#N/A,#N/A,FALSE,"SA"}</definedName>
    <definedName name="_57" hidden="1">{#N/A,#N/A,FALSE,"SCA";#N/A,#N/A,FALSE,"NCA";#N/A,#N/A,FALSE,"SAZ";#N/A,#N/A,FALSE,"CAZ";#N/A,#N/A,FALSE,"SNV";#N/A,#N/A,FALSE,"NNV";#N/A,#N/A,FALSE,"PP";#N/A,#N/A,FALSE,"SA"}</definedName>
    <definedName name="_58" localSheetId="1" hidden="1">{#N/A,#N/A,FALSE,"SCA";#N/A,#N/A,FALSE,"NCA";#N/A,#N/A,FALSE,"SAZ";#N/A,#N/A,FALSE,"CAZ";#N/A,#N/A,FALSE,"SNV";#N/A,#N/A,FALSE,"NNV";#N/A,#N/A,FALSE,"PP";#N/A,#N/A,FALSE,"SA"}</definedName>
    <definedName name="_58" localSheetId="17" hidden="1">{#N/A,#N/A,FALSE,"SCA";#N/A,#N/A,FALSE,"NCA";#N/A,#N/A,FALSE,"SAZ";#N/A,#N/A,FALSE,"CAZ";#N/A,#N/A,FALSE,"SNV";#N/A,#N/A,FALSE,"NNV";#N/A,#N/A,FALSE,"PP";#N/A,#N/A,FALSE,"SA"}</definedName>
    <definedName name="_58" localSheetId="30" hidden="1">{#N/A,#N/A,FALSE,"SCA";#N/A,#N/A,FALSE,"NCA";#N/A,#N/A,FALSE,"SAZ";#N/A,#N/A,FALSE,"CAZ";#N/A,#N/A,FALSE,"SNV";#N/A,#N/A,FALSE,"NNV";#N/A,#N/A,FALSE,"PP";#N/A,#N/A,FALSE,"SA"}</definedName>
    <definedName name="_58" localSheetId="31" hidden="1">{#N/A,#N/A,FALSE,"SCA";#N/A,#N/A,FALSE,"NCA";#N/A,#N/A,FALSE,"SAZ";#N/A,#N/A,FALSE,"CAZ";#N/A,#N/A,FALSE,"SNV";#N/A,#N/A,FALSE,"NNV";#N/A,#N/A,FALSE,"PP";#N/A,#N/A,FALSE,"SA"}</definedName>
    <definedName name="_58" localSheetId="19" hidden="1">{#N/A,#N/A,FALSE,"SCA";#N/A,#N/A,FALSE,"NCA";#N/A,#N/A,FALSE,"SAZ";#N/A,#N/A,FALSE,"CAZ";#N/A,#N/A,FALSE,"SNV";#N/A,#N/A,FALSE,"NNV";#N/A,#N/A,FALSE,"PP";#N/A,#N/A,FALSE,"SA"}</definedName>
    <definedName name="_58" localSheetId="7" hidden="1">{#N/A,#N/A,FALSE,"SCA";#N/A,#N/A,FALSE,"NCA";#N/A,#N/A,FALSE,"SAZ";#N/A,#N/A,FALSE,"CAZ";#N/A,#N/A,FALSE,"SNV";#N/A,#N/A,FALSE,"NNV";#N/A,#N/A,FALSE,"PP";#N/A,#N/A,FALSE,"SA"}</definedName>
    <definedName name="_58" localSheetId="0" hidden="1">{#N/A,#N/A,FALSE,"SCA";#N/A,#N/A,FALSE,"NCA";#N/A,#N/A,FALSE,"SAZ";#N/A,#N/A,FALSE,"CAZ";#N/A,#N/A,FALSE,"SNV";#N/A,#N/A,FALSE,"NNV";#N/A,#N/A,FALSE,"PP";#N/A,#N/A,FALSE,"SA"}</definedName>
    <definedName name="_58" localSheetId="10" hidden="1">{#N/A,#N/A,FALSE,"SCA";#N/A,#N/A,FALSE,"NCA";#N/A,#N/A,FALSE,"SAZ";#N/A,#N/A,FALSE,"CAZ";#N/A,#N/A,FALSE,"SNV";#N/A,#N/A,FALSE,"NNV";#N/A,#N/A,FALSE,"PP";#N/A,#N/A,FALSE,"SA"}</definedName>
    <definedName name="_58" localSheetId="12" hidden="1">{#N/A,#N/A,FALSE,"SCA";#N/A,#N/A,FALSE,"NCA";#N/A,#N/A,FALSE,"SAZ";#N/A,#N/A,FALSE,"CAZ";#N/A,#N/A,FALSE,"SNV";#N/A,#N/A,FALSE,"NNV";#N/A,#N/A,FALSE,"PP";#N/A,#N/A,FALSE,"SA"}</definedName>
    <definedName name="_58" localSheetId="9" hidden="1">{#N/A,#N/A,FALSE,"SCA";#N/A,#N/A,FALSE,"NCA";#N/A,#N/A,FALSE,"SAZ";#N/A,#N/A,FALSE,"CAZ";#N/A,#N/A,FALSE,"SNV";#N/A,#N/A,FALSE,"NNV";#N/A,#N/A,FALSE,"PP";#N/A,#N/A,FALSE,"SA"}</definedName>
    <definedName name="_58" hidden="1">{#N/A,#N/A,FALSE,"SCA";#N/A,#N/A,FALSE,"NCA";#N/A,#N/A,FALSE,"SAZ";#N/A,#N/A,FALSE,"CAZ";#N/A,#N/A,FALSE,"SNV";#N/A,#N/A,FALSE,"NNV";#N/A,#N/A,FALSE,"PP";#N/A,#N/A,FALSE,"SA"}</definedName>
    <definedName name="_59" localSheetId="1" hidden="1">{"ARK_JURIS_FAC",#N/A,FALSE,"Ark_Fuel&amp;Rev"}</definedName>
    <definedName name="_59" localSheetId="17" hidden="1">{"ARK_JURIS_FAC",#N/A,FALSE,"Ark_Fuel&amp;Rev"}</definedName>
    <definedName name="_59" localSheetId="30" hidden="1">{"ARK_JURIS_FAC",#N/A,FALSE,"Ark_Fuel&amp;Rev"}</definedName>
    <definedName name="_59" localSheetId="31" hidden="1">{"ARK_JURIS_FAC",#N/A,FALSE,"Ark_Fuel&amp;Rev"}</definedName>
    <definedName name="_59" localSheetId="19" hidden="1">{"ARK_JURIS_FAC",#N/A,FALSE,"Ark_Fuel&amp;Rev"}</definedName>
    <definedName name="_59" localSheetId="7" hidden="1">{"ARK_JURIS_FAC",#N/A,FALSE,"Ark_Fuel&amp;Rev"}</definedName>
    <definedName name="_59" localSheetId="0" hidden="1">{"ARK_JURIS_FAC",#N/A,FALSE,"Ark_Fuel&amp;Rev"}</definedName>
    <definedName name="_59" localSheetId="10" hidden="1">{"ARK_JURIS_FAC",#N/A,FALSE,"Ark_Fuel&amp;Rev"}</definedName>
    <definedName name="_59" localSheetId="12" hidden="1">{"ARK_JURIS_FAC",#N/A,FALSE,"Ark_Fuel&amp;Rev"}</definedName>
    <definedName name="_59" localSheetId="9" hidden="1">{"ARK_JURIS_FAC",#N/A,FALSE,"Ark_Fuel&amp;Rev"}</definedName>
    <definedName name="_59" hidden="1">{"ARK_JURIS_FAC",#N/A,FALSE,"Ark_Fuel&amp;Rev"}</definedName>
    <definedName name="_6" localSheetId="1" hidden="1">{#N/A,#N/A,FALSE,"SCA";#N/A,#N/A,FALSE,"NCA";#N/A,#N/A,FALSE,"SAZ";#N/A,#N/A,FALSE,"CAZ";#N/A,#N/A,FALSE,"SNV";#N/A,#N/A,FALSE,"NNV";#N/A,#N/A,FALSE,"PP";#N/A,#N/A,FALSE,"SA"}</definedName>
    <definedName name="_6" localSheetId="17" hidden="1">{#N/A,#N/A,FALSE,"SCA";#N/A,#N/A,FALSE,"NCA";#N/A,#N/A,FALSE,"SAZ";#N/A,#N/A,FALSE,"CAZ";#N/A,#N/A,FALSE,"SNV";#N/A,#N/A,FALSE,"NNV";#N/A,#N/A,FALSE,"PP";#N/A,#N/A,FALSE,"SA"}</definedName>
    <definedName name="_6" localSheetId="30" hidden="1">{#N/A,#N/A,FALSE,"SCA";#N/A,#N/A,FALSE,"NCA";#N/A,#N/A,FALSE,"SAZ";#N/A,#N/A,FALSE,"CAZ";#N/A,#N/A,FALSE,"SNV";#N/A,#N/A,FALSE,"NNV";#N/A,#N/A,FALSE,"PP";#N/A,#N/A,FALSE,"SA"}</definedName>
    <definedName name="_6" localSheetId="31" hidden="1">{#N/A,#N/A,FALSE,"SCA";#N/A,#N/A,FALSE,"NCA";#N/A,#N/A,FALSE,"SAZ";#N/A,#N/A,FALSE,"CAZ";#N/A,#N/A,FALSE,"SNV";#N/A,#N/A,FALSE,"NNV";#N/A,#N/A,FALSE,"PP";#N/A,#N/A,FALSE,"SA"}</definedName>
    <definedName name="_6" localSheetId="19" hidden="1">{#N/A,#N/A,FALSE,"SCA";#N/A,#N/A,FALSE,"NCA";#N/A,#N/A,FALSE,"SAZ";#N/A,#N/A,FALSE,"CAZ";#N/A,#N/A,FALSE,"SNV";#N/A,#N/A,FALSE,"NNV";#N/A,#N/A,FALSE,"PP";#N/A,#N/A,FALSE,"SA"}</definedName>
    <definedName name="_6" localSheetId="7" hidden="1">{#N/A,#N/A,FALSE,"SCA";#N/A,#N/A,FALSE,"NCA";#N/A,#N/A,FALSE,"SAZ";#N/A,#N/A,FALSE,"CAZ";#N/A,#N/A,FALSE,"SNV";#N/A,#N/A,FALSE,"NNV";#N/A,#N/A,FALSE,"PP";#N/A,#N/A,FALSE,"SA"}</definedName>
    <definedName name="_6" localSheetId="0" hidden="1">{#N/A,#N/A,FALSE,"SCA";#N/A,#N/A,FALSE,"NCA";#N/A,#N/A,FALSE,"SAZ";#N/A,#N/A,FALSE,"CAZ";#N/A,#N/A,FALSE,"SNV";#N/A,#N/A,FALSE,"NNV";#N/A,#N/A,FALSE,"PP";#N/A,#N/A,FALSE,"SA"}</definedName>
    <definedName name="_6" localSheetId="10" hidden="1">{#N/A,#N/A,FALSE,"SCA";#N/A,#N/A,FALSE,"NCA";#N/A,#N/A,FALSE,"SAZ";#N/A,#N/A,FALSE,"CAZ";#N/A,#N/A,FALSE,"SNV";#N/A,#N/A,FALSE,"NNV";#N/A,#N/A,FALSE,"PP";#N/A,#N/A,FALSE,"SA"}</definedName>
    <definedName name="_6" localSheetId="12" hidden="1">{#N/A,#N/A,FALSE,"SCA";#N/A,#N/A,FALSE,"NCA";#N/A,#N/A,FALSE,"SAZ";#N/A,#N/A,FALSE,"CAZ";#N/A,#N/A,FALSE,"SNV";#N/A,#N/A,FALSE,"NNV";#N/A,#N/A,FALSE,"PP";#N/A,#N/A,FALSE,"SA"}</definedName>
    <definedName name="_6" localSheetId="9" hidden="1">{#N/A,#N/A,FALSE,"SCA";#N/A,#N/A,FALSE,"NCA";#N/A,#N/A,FALSE,"SAZ";#N/A,#N/A,FALSE,"CAZ";#N/A,#N/A,FALSE,"SNV";#N/A,#N/A,FALSE,"NNV";#N/A,#N/A,FALSE,"PP";#N/A,#N/A,FALSE,"SA"}</definedName>
    <definedName name="_6" hidden="1">{#N/A,#N/A,FALSE,"SCA";#N/A,#N/A,FALSE,"NCA";#N/A,#N/A,FALSE,"SAZ";#N/A,#N/A,FALSE,"CAZ";#N/A,#N/A,FALSE,"SNV";#N/A,#N/A,FALSE,"NNV";#N/A,#N/A,FALSE,"PP";#N/A,#N/A,FALSE,"SA"}</definedName>
    <definedName name="_6__123Graph_ACHART_16" localSheetId="19" hidden="1">#REF!</definedName>
    <definedName name="_6__123Graph_ACHART_16" hidden="1">#REF!</definedName>
    <definedName name="_6__123Graph_ACHART_3" localSheetId="19" hidden="1">#REF!</definedName>
    <definedName name="_6__123Graph_ACHART_3" hidden="1">#REF!</definedName>
    <definedName name="_6__123Graph_ACHART_6" localSheetId="19" hidden="1">#REF!</definedName>
    <definedName name="_6__123Graph_ACHART_6" hidden="1">#REF!</definedName>
    <definedName name="_60" localSheetId="1" hidden="1">{"ARK_JURIS_FUEL",#N/A,FALSE,"Ark_Fuel&amp;Rev"}</definedName>
    <definedName name="_60" localSheetId="17" hidden="1">{"ARK_JURIS_FUEL",#N/A,FALSE,"Ark_Fuel&amp;Rev"}</definedName>
    <definedName name="_60" localSheetId="30" hidden="1">{"ARK_JURIS_FUEL",#N/A,FALSE,"Ark_Fuel&amp;Rev"}</definedName>
    <definedName name="_60" localSheetId="31" hidden="1">{"ARK_JURIS_FUEL",#N/A,FALSE,"Ark_Fuel&amp;Rev"}</definedName>
    <definedName name="_60" localSheetId="19" hidden="1">{"ARK_JURIS_FUEL",#N/A,FALSE,"Ark_Fuel&amp;Rev"}</definedName>
    <definedName name="_60" localSheetId="7" hidden="1">{"ARK_JURIS_FUEL",#N/A,FALSE,"Ark_Fuel&amp;Rev"}</definedName>
    <definedName name="_60" localSheetId="0" hidden="1">{"ARK_JURIS_FUEL",#N/A,FALSE,"Ark_Fuel&amp;Rev"}</definedName>
    <definedName name="_60" localSheetId="10" hidden="1">{"ARK_JURIS_FUEL",#N/A,FALSE,"Ark_Fuel&amp;Rev"}</definedName>
    <definedName name="_60" localSheetId="12" hidden="1">{"ARK_JURIS_FUEL",#N/A,FALSE,"Ark_Fuel&amp;Rev"}</definedName>
    <definedName name="_60" localSheetId="9" hidden="1">{"ARK_JURIS_FUEL",#N/A,FALSE,"Ark_Fuel&amp;Rev"}</definedName>
    <definedName name="_60" hidden="1">{"ARK_JURIS_FUEL",#N/A,FALSE,"Ark_Fuel&amp;Rev"}</definedName>
    <definedName name="_61" localSheetId="1" hidden="1">{"ATOKA_FAC",#N/A,FALSE,"Atoka"}</definedName>
    <definedName name="_61" localSheetId="17" hidden="1">{"ATOKA_FAC",#N/A,FALSE,"Atoka"}</definedName>
    <definedName name="_61" localSheetId="30" hidden="1">{"ATOKA_FAC",#N/A,FALSE,"Atoka"}</definedName>
    <definedName name="_61" localSheetId="31" hidden="1">{"ATOKA_FAC",#N/A,FALSE,"Atoka"}</definedName>
    <definedName name="_61" localSheetId="19" hidden="1">{"ATOKA_FAC",#N/A,FALSE,"Atoka"}</definedName>
    <definedName name="_61" localSheetId="7" hidden="1">{"ATOKA_FAC",#N/A,FALSE,"Atoka"}</definedName>
    <definedName name="_61" localSheetId="0" hidden="1">{"ATOKA_FAC",#N/A,FALSE,"Atoka"}</definedName>
    <definedName name="_61" localSheetId="10" hidden="1">{"ATOKA_FAC",#N/A,FALSE,"Atoka"}</definedName>
    <definedName name="_61" localSheetId="12" hidden="1">{"ATOKA_FAC",#N/A,FALSE,"Atoka"}</definedName>
    <definedName name="_61" localSheetId="9" hidden="1">{"ATOKA_FAC",#N/A,FALSE,"Atoka"}</definedName>
    <definedName name="_61" hidden="1">{"ATOKA_FAC",#N/A,FALSE,"Atoka"}</definedName>
    <definedName name="_62" localSheetId="1" hidden="1">{"Benefits Summary",#N/A,FALSE,"Benefits Info without WC Amount";"Medical and Dental Costs",#N/A,FALSE,"Benefits Info without WC Amount";"Workers' Compensation",#N/A,FALSE,"Benefits Info without WC Amount"}</definedName>
    <definedName name="_62" localSheetId="17" hidden="1">{"Benefits Summary",#N/A,FALSE,"Benefits Info without WC Amount";"Medical and Dental Costs",#N/A,FALSE,"Benefits Info without WC Amount";"Workers' Compensation",#N/A,FALSE,"Benefits Info without WC Amount"}</definedName>
    <definedName name="_62" localSheetId="30" hidden="1">{"Benefits Summary",#N/A,FALSE,"Benefits Info without WC Amount";"Medical and Dental Costs",#N/A,FALSE,"Benefits Info without WC Amount";"Workers' Compensation",#N/A,FALSE,"Benefits Info without WC Amount"}</definedName>
    <definedName name="_62" localSheetId="31" hidden="1">{"Benefits Summary",#N/A,FALSE,"Benefits Info without WC Amount";"Medical and Dental Costs",#N/A,FALSE,"Benefits Info without WC Amount";"Workers' Compensation",#N/A,FALSE,"Benefits Info without WC Amount"}</definedName>
    <definedName name="_62" localSheetId="19" hidden="1">{"Benefits Summary",#N/A,FALSE,"Benefits Info without WC Amount";"Medical and Dental Costs",#N/A,FALSE,"Benefits Info without WC Amount";"Workers' Compensation",#N/A,FALSE,"Benefits Info without WC Amount"}</definedName>
    <definedName name="_62" localSheetId="7" hidden="1">{"Benefits Summary",#N/A,FALSE,"Benefits Info without WC Amount";"Medical and Dental Costs",#N/A,FALSE,"Benefits Info without WC Amount";"Workers' Compensation",#N/A,FALSE,"Benefits Info without WC Amount"}</definedName>
    <definedName name="_62" localSheetId="0" hidden="1">{"Benefits Summary",#N/A,FALSE,"Benefits Info without WC Amount";"Medical and Dental Costs",#N/A,FALSE,"Benefits Info without WC Amount";"Workers' Compensation",#N/A,FALSE,"Benefits Info without WC Amount"}</definedName>
    <definedName name="_62" localSheetId="10" hidden="1">{"Benefits Summary",#N/A,FALSE,"Benefits Info without WC Amount";"Medical and Dental Costs",#N/A,FALSE,"Benefits Info without WC Amount";"Workers' Compensation",#N/A,FALSE,"Benefits Info without WC Amount"}</definedName>
    <definedName name="_62" localSheetId="12" hidden="1">{"Benefits Summary",#N/A,FALSE,"Benefits Info without WC Amount";"Medical and Dental Costs",#N/A,FALSE,"Benefits Info without WC Amount";"Workers' Compensation",#N/A,FALSE,"Benefits Info without WC Amount"}</definedName>
    <definedName name="_62" localSheetId="9" hidden="1">{"Benefits Summary",#N/A,FALSE,"Benefits Info without WC Amount";"Medical and Dental Costs",#N/A,FALSE,"Benefits Info without WC Amount";"Workers' Compensation",#N/A,FALSE,"Benefits Info without WC Amount"}</definedName>
    <definedName name="_62" hidden="1">{"Benefits Summary",#N/A,FALSE,"Benefits Info without WC Amount";"Medical and Dental Costs",#N/A,FALSE,"Benefits Info without WC Amount";"Workers' Compensation",#N/A,FALSE,"Benefits Info without WC Amount"}</definedName>
    <definedName name="_63" localSheetId="1" hidden="1">{#N/A,#N/A,FALSE,"Rev Seg Taxes";#N/A,#N/A,FALSE,"BookRev Seg";#N/A,#N/A,FALSE,"Supp Adj Seg";#N/A,#N/A,FALSE,"outside prov seg taxes"}</definedName>
    <definedName name="_63" localSheetId="17" hidden="1">{#N/A,#N/A,FALSE,"Rev Seg Taxes";#N/A,#N/A,FALSE,"BookRev Seg";#N/A,#N/A,FALSE,"Supp Adj Seg";#N/A,#N/A,FALSE,"outside prov seg taxes"}</definedName>
    <definedName name="_63" localSheetId="30" hidden="1">{#N/A,#N/A,FALSE,"Rev Seg Taxes";#N/A,#N/A,FALSE,"BookRev Seg";#N/A,#N/A,FALSE,"Supp Adj Seg";#N/A,#N/A,FALSE,"outside prov seg taxes"}</definedName>
    <definedName name="_63" localSheetId="31" hidden="1">{#N/A,#N/A,FALSE,"Rev Seg Taxes";#N/A,#N/A,FALSE,"BookRev Seg";#N/A,#N/A,FALSE,"Supp Adj Seg";#N/A,#N/A,FALSE,"outside prov seg taxes"}</definedName>
    <definedName name="_63" localSheetId="19" hidden="1">{#N/A,#N/A,FALSE,"Rev Seg Taxes";#N/A,#N/A,FALSE,"BookRev Seg";#N/A,#N/A,FALSE,"Supp Adj Seg";#N/A,#N/A,FALSE,"outside prov seg taxes"}</definedName>
    <definedName name="_63" localSheetId="7" hidden="1">{#N/A,#N/A,FALSE,"Rev Seg Taxes";#N/A,#N/A,FALSE,"BookRev Seg";#N/A,#N/A,FALSE,"Supp Adj Seg";#N/A,#N/A,FALSE,"outside prov seg taxes"}</definedName>
    <definedName name="_63" localSheetId="0" hidden="1">{#N/A,#N/A,FALSE,"Rev Seg Taxes";#N/A,#N/A,FALSE,"BookRev Seg";#N/A,#N/A,FALSE,"Supp Adj Seg";#N/A,#N/A,FALSE,"outside prov seg taxes"}</definedName>
    <definedName name="_63" localSheetId="10" hidden="1">{#N/A,#N/A,FALSE,"Rev Seg Taxes";#N/A,#N/A,FALSE,"BookRev Seg";#N/A,#N/A,FALSE,"Supp Adj Seg";#N/A,#N/A,FALSE,"outside prov seg taxes"}</definedName>
    <definedName name="_63" localSheetId="12" hidden="1">{#N/A,#N/A,FALSE,"Rev Seg Taxes";#N/A,#N/A,FALSE,"BookRev Seg";#N/A,#N/A,FALSE,"Supp Adj Seg";#N/A,#N/A,FALSE,"outside prov seg taxes"}</definedName>
    <definedName name="_63" localSheetId="9" hidden="1">{#N/A,#N/A,FALSE,"Rev Seg Taxes";#N/A,#N/A,FALSE,"BookRev Seg";#N/A,#N/A,FALSE,"Supp Adj Seg";#N/A,#N/A,FALSE,"outside prov seg taxes"}</definedName>
    <definedName name="_63" hidden="1">{#N/A,#N/A,FALSE,"Rev Seg Taxes";#N/A,#N/A,FALSE,"BookRev Seg";#N/A,#N/A,FALSE,"Supp Adj Seg";#N/A,#N/A,FALSE,"outside prov seg taxes"}</definedName>
    <definedName name="_63__123Graph_ACHART_3" localSheetId="19" hidden="1">#REF!</definedName>
    <definedName name="_63__123Graph_ACHART_3" hidden="1">#REF!</definedName>
    <definedName name="_64"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3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1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localSheetId="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5" localSheetId="1" hidden="1">{#N/A,#N/A,FALSE,"GLDwnLoad"}</definedName>
    <definedName name="_65" localSheetId="17" hidden="1">{#N/A,#N/A,FALSE,"GLDwnLoad"}</definedName>
    <definedName name="_65" localSheetId="30" hidden="1">{#N/A,#N/A,FALSE,"GLDwnLoad"}</definedName>
    <definedName name="_65" localSheetId="31" hidden="1">{#N/A,#N/A,FALSE,"GLDwnLoad"}</definedName>
    <definedName name="_65" localSheetId="19" hidden="1">{#N/A,#N/A,FALSE,"GLDwnLoad"}</definedName>
    <definedName name="_65" localSheetId="7" hidden="1">{#N/A,#N/A,FALSE,"GLDwnLoad"}</definedName>
    <definedName name="_65" localSheetId="0" hidden="1">{#N/A,#N/A,FALSE,"GLDwnLoad"}</definedName>
    <definedName name="_65" localSheetId="10" hidden="1">{#N/A,#N/A,FALSE,"GLDwnLoad"}</definedName>
    <definedName name="_65" localSheetId="12" hidden="1">{#N/A,#N/A,FALSE,"GLDwnLoad"}</definedName>
    <definedName name="_65" localSheetId="9" hidden="1">{#N/A,#N/A,FALSE,"GLDwnLoad"}</definedName>
    <definedName name="_65" hidden="1">{#N/A,#N/A,FALSE,"GLDwnLoad"}</definedName>
    <definedName name="_66" localSheetId="1" hidden="1">{#N/A,#N/A,FALSE,"OTHERINPUTS";#N/A,#N/A,FALSE,"DITRATEINPUTS";#N/A,#N/A,FALSE,"SUPPLIEDADJINPUT";#N/A,#N/A,FALSE,"BR&amp;SUPADJ."}</definedName>
    <definedName name="_66" localSheetId="17" hidden="1">{#N/A,#N/A,FALSE,"OTHERINPUTS";#N/A,#N/A,FALSE,"DITRATEINPUTS";#N/A,#N/A,FALSE,"SUPPLIEDADJINPUT";#N/A,#N/A,FALSE,"BR&amp;SUPADJ."}</definedName>
    <definedName name="_66" localSheetId="30" hidden="1">{#N/A,#N/A,FALSE,"OTHERINPUTS";#N/A,#N/A,FALSE,"DITRATEINPUTS";#N/A,#N/A,FALSE,"SUPPLIEDADJINPUT";#N/A,#N/A,FALSE,"BR&amp;SUPADJ."}</definedName>
    <definedName name="_66" localSheetId="31" hidden="1">{#N/A,#N/A,FALSE,"OTHERINPUTS";#N/A,#N/A,FALSE,"DITRATEINPUTS";#N/A,#N/A,FALSE,"SUPPLIEDADJINPUT";#N/A,#N/A,FALSE,"BR&amp;SUPADJ."}</definedName>
    <definedName name="_66" localSheetId="19" hidden="1">{#N/A,#N/A,FALSE,"OTHERINPUTS";#N/A,#N/A,FALSE,"DITRATEINPUTS";#N/A,#N/A,FALSE,"SUPPLIEDADJINPUT";#N/A,#N/A,FALSE,"BR&amp;SUPADJ."}</definedName>
    <definedName name="_66" localSheetId="7" hidden="1">{#N/A,#N/A,FALSE,"OTHERINPUTS";#N/A,#N/A,FALSE,"DITRATEINPUTS";#N/A,#N/A,FALSE,"SUPPLIEDADJINPUT";#N/A,#N/A,FALSE,"BR&amp;SUPADJ."}</definedName>
    <definedName name="_66" localSheetId="0" hidden="1">{#N/A,#N/A,FALSE,"OTHERINPUTS";#N/A,#N/A,FALSE,"DITRATEINPUTS";#N/A,#N/A,FALSE,"SUPPLIEDADJINPUT";#N/A,#N/A,FALSE,"BR&amp;SUPADJ."}</definedName>
    <definedName name="_66" localSheetId="10" hidden="1">{#N/A,#N/A,FALSE,"OTHERINPUTS";#N/A,#N/A,FALSE,"DITRATEINPUTS";#N/A,#N/A,FALSE,"SUPPLIEDADJINPUT";#N/A,#N/A,FALSE,"BR&amp;SUPADJ."}</definedName>
    <definedName name="_66" localSheetId="12" hidden="1">{#N/A,#N/A,FALSE,"OTHERINPUTS";#N/A,#N/A,FALSE,"DITRATEINPUTS";#N/A,#N/A,FALSE,"SUPPLIEDADJINPUT";#N/A,#N/A,FALSE,"BR&amp;SUPADJ."}</definedName>
    <definedName name="_66" localSheetId="9" hidden="1">{#N/A,#N/A,FALSE,"OTHERINPUTS";#N/A,#N/A,FALSE,"DITRATEINPUTS";#N/A,#N/A,FALSE,"SUPPLIEDADJINPUT";#N/A,#N/A,FALSE,"BR&amp;SUPADJ."}</definedName>
    <definedName name="_66" hidden="1">{#N/A,#N/A,FALSE,"OTHERINPUTS";#N/A,#N/A,FALSE,"DITRATEINPUTS";#N/A,#N/A,FALSE,"SUPPLIEDADJINPUT";#N/A,#N/A,FALSE,"BR&amp;SUPADJ."}</definedName>
    <definedName name="_67"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3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1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localSheetId="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8" localSheetId="1" hidden="1">{"CONOCO_FAC",#N/A,FALSE,"Conoco FAC"}</definedName>
    <definedName name="_68" localSheetId="17" hidden="1">{"CONOCO_FAC",#N/A,FALSE,"Conoco FAC"}</definedName>
    <definedName name="_68" localSheetId="30" hidden="1">{"CONOCO_FAC",#N/A,FALSE,"Conoco FAC"}</definedName>
    <definedName name="_68" localSheetId="31" hidden="1">{"CONOCO_FAC",#N/A,FALSE,"Conoco FAC"}</definedName>
    <definedName name="_68" localSheetId="19" hidden="1">{"CONOCO_FAC",#N/A,FALSE,"Conoco FAC"}</definedName>
    <definedName name="_68" localSheetId="7" hidden="1">{"CONOCO_FAC",#N/A,FALSE,"Conoco FAC"}</definedName>
    <definedName name="_68" localSheetId="0" hidden="1">{"CONOCO_FAC",#N/A,FALSE,"Conoco FAC"}</definedName>
    <definedName name="_68" localSheetId="10" hidden="1">{"CONOCO_FAC",#N/A,FALSE,"Conoco FAC"}</definedName>
    <definedName name="_68" localSheetId="12" hidden="1">{"CONOCO_FAC",#N/A,FALSE,"Conoco FAC"}</definedName>
    <definedName name="_68" localSheetId="9" hidden="1">{"CONOCO_FAC",#N/A,FALSE,"Conoco FAC"}</definedName>
    <definedName name="_68" hidden="1">{"CONOCO_FAC",#N/A,FALSE,"Conoco FAC"}</definedName>
    <definedName name="_68__123Graph_ACHART_4" localSheetId="19" hidden="1">#REF!</definedName>
    <definedName name="_68__123Graph_ACHART_4" hidden="1">#REF!</definedName>
    <definedName name="_69" localSheetId="1" hidden="1">{#N/A,#N/A,FALSE,"GLDwnLoad"}</definedName>
    <definedName name="_69" localSheetId="17" hidden="1">{#N/A,#N/A,FALSE,"GLDwnLoad"}</definedName>
    <definedName name="_69" localSheetId="30" hidden="1">{#N/A,#N/A,FALSE,"GLDwnLoad"}</definedName>
    <definedName name="_69" localSheetId="31" hidden="1">{#N/A,#N/A,FALSE,"GLDwnLoad"}</definedName>
    <definedName name="_69" localSheetId="19" hidden="1">{#N/A,#N/A,FALSE,"GLDwnLoad"}</definedName>
    <definedName name="_69" localSheetId="7" hidden="1">{#N/A,#N/A,FALSE,"GLDwnLoad"}</definedName>
    <definedName name="_69" localSheetId="0" hidden="1">{#N/A,#N/A,FALSE,"GLDwnLoad"}</definedName>
    <definedName name="_69" localSheetId="10" hidden="1">{#N/A,#N/A,FALSE,"GLDwnLoad"}</definedName>
    <definedName name="_69" localSheetId="12" hidden="1">{#N/A,#N/A,FALSE,"GLDwnLoad"}</definedName>
    <definedName name="_69" localSheetId="9" hidden="1">{#N/A,#N/A,FALSE,"GLDwnLoad"}</definedName>
    <definedName name="_69" hidden="1">{#N/A,#N/A,FALSE,"GLDwnLoad"}</definedName>
    <definedName name="_6CONTRACT_LABOR" localSheetId="10">#REF!</definedName>
    <definedName name="_6CONTRACT_LABOR">#REF!</definedName>
    <definedName name="_7" localSheetId="1" hidden="1">{#N/A,#N/A,FALSE,"Page 1";#N/A,#N/A,FALSE,"Page 2";#N/A,#N/A,FALSE,"Page 3";#N/A,#N/A,FALSE,"Page 4";#N/A,#N/A,FALSE,"Page 5";#N/A,#N/A,FALSE,"Page 6";#N/A,#N/A,FALSE,"Page 7";#N/A,#N/A,FALSE,"Page 8";#N/A,#N/A,FALSE,"Page 9";#N/A,#N/A,FALSE,"PG8WP";#N/A,#N/A,FALSE,"PG9WP"}</definedName>
    <definedName name="_7" localSheetId="17" hidden="1">{#N/A,#N/A,FALSE,"Page 1";#N/A,#N/A,FALSE,"Page 2";#N/A,#N/A,FALSE,"Page 3";#N/A,#N/A,FALSE,"Page 4";#N/A,#N/A,FALSE,"Page 5";#N/A,#N/A,FALSE,"Page 6";#N/A,#N/A,FALSE,"Page 7";#N/A,#N/A,FALSE,"Page 8";#N/A,#N/A,FALSE,"Page 9";#N/A,#N/A,FALSE,"PG8WP";#N/A,#N/A,FALSE,"PG9WP"}</definedName>
    <definedName name="_7" localSheetId="30" hidden="1">{#N/A,#N/A,FALSE,"Page 1";#N/A,#N/A,FALSE,"Page 2";#N/A,#N/A,FALSE,"Page 3";#N/A,#N/A,FALSE,"Page 4";#N/A,#N/A,FALSE,"Page 5";#N/A,#N/A,FALSE,"Page 6";#N/A,#N/A,FALSE,"Page 7";#N/A,#N/A,FALSE,"Page 8";#N/A,#N/A,FALSE,"Page 9";#N/A,#N/A,FALSE,"PG8WP";#N/A,#N/A,FALSE,"PG9WP"}</definedName>
    <definedName name="_7" localSheetId="31" hidden="1">{#N/A,#N/A,FALSE,"Page 1";#N/A,#N/A,FALSE,"Page 2";#N/A,#N/A,FALSE,"Page 3";#N/A,#N/A,FALSE,"Page 4";#N/A,#N/A,FALSE,"Page 5";#N/A,#N/A,FALSE,"Page 6";#N/A,#N/A,FALSE,"Page 7";#N/A,#N/A,FALSE,"Page 8";#N/A,#N/A,FALSE,"Page 9";#N/A,#N/A,FALSE,"PG8WP";#N/A,#N/A,FALSE,"PG9WP"}</definedName>
    <definedName name="_7" localSheetId="19" hidden="1">{#N/A,#N/A,FALSE,"Page 1";#N/A,#N/A,FALSE,"Page 2";#N/A,#N/A,FALSE,"Page 3";#N/A,#N/A,FALSE,"Page 4";#N/A,#N/A,FALSE,"Page 5";#N/A,#N/A,FALSE,"Page 6";#N/A,#N/A,FALSE,"Page 7";#N/A,#N/A,FALSE,"Page 8";#N/A,#N/A,FALSE,"Page 9";#N/A,#N/A,FALSE,"PG8WP";#N/A,#N/A,FALSE,"PG9WP"}</definedName>
    <definedName name="_7" localSheetId="7" hidden="1">{#N/A,#N/A,FALSE,"Page 1";#N/A,#N/A,FALSE,"Page 2";#N/A,#N/A,FALSE,"Page 3";#N/A,#N/A,FALSE,"Page 4";#N/A,#N/A,FALSE,"Page 5";#N/A,#N/A,FALSE,"Page 6";#N/A,#N/A,FALSE,"Page 7";#N/A,#N/A,FALSE,"Page 8";#N/A,#N/A,FALSE,"Page 9";#N/A,#N/A,FALSE,"PG8WP";#N/A,#N/A,FALSE,"PG9WP"}</definedName>
    <definedName name="_7" localSheetId="0" hidden="1">{#N/A,#N/A,FALSE,"Page 1";#N/A,#N/A,FALSE,"Page 2";#N/A,#N/A,FALSE,"Page 3";#N/A,#N/A,FALSE,"Page 4";#N/A,#N/A,FALSE,"Page 5";#N/A,#N/A,FALSE,"Page 6";#N/A,#N/A,FALSE,"Page 7";#N/A,#N/A,FALSE,"Page 8";#N/A,#N/A,FALSE,"Page 9";#N/A,#N/A,FALSE,"PG8WP";#N/A,#N/A,FALSE,"PG9WP"}</definedName>
    <definedName name="_7" localSheetId="10" hidden="1">{#N/A,#N/A,FALSE,"Page 1";#N/A,#N/A,FALSE,"Page 2";#N/A,#N/A,FALSE,"Page 3";#N/A,#N/A,FALSE,"Page 4";#N/A,#N/A,FALSE,"Page 5";#N/A,#N/A,FALSE,"Page 6";#N/A,#N/A,FALSE,"Page 7";#N/A,#N/A,FALSE,"Page 8";#N/A,#N/A,FALSE,"Page 9";#N/A,#N/A,FALSE,"PG8WP";#N/A,#N/A,FALSE,"PG9WP"}</definedName>
    <definedName name="_7" localSheetId="12" hidden="1">{#N/A,#N/A,FALSE,"Page 1";#N/A,#N/A,FALSE,"Page 2";#N/A,#N/A,FALSE,"Page 3";#N/A,#N/A,FALSE,"Page 4";#N/A,#N/A,FALSE,"Page 5";#N/A,#N/A,FALSE,"Page 6";#N/A,#N/A,FALSE,"Page 7";#N/A,#N/A,FALSE,"Page 8";#N/A,#N/A,FALSE,"Page 9";#N/A,#N/A,FALSE,"PG8WP";#N/A,#N/A,FALSE,"PG9WP"}</definedName>
    <definedName name="_7" localSheetId="9" hidden="1">{#N/A,#N/A,FALSE,"Page 1";#N/A,#N/A,FALSE,"Page 2";#N/A,#N/A,FALSE,"Page 3";#N/A,#N/A,FALSE,"Page 4";#N/A,#N/A,FALSE,"Page 5";#N/A,#N/A,FALSE,"Page 6";#N/A,#N/A,FALSE,"Page 7";#N/A,#N/A,FALSE,"Page 8";#N/A,#N/A,FALSE,"Page 9";#N/A,#N/A,FALSE,"PG8WP";#N/A,#N/A,FALSE,"PG9WP"}</definedName>
    <definedName name="_7" hidden="1">{#N/A,#N/A,FALSE,"Page 1";#N/A,#N/A,FALSE,"Page 2";#N/A,#N/A,FALSE,"Page 3";#N/A,#N/A,FALSE,"Page 4";#N/A,#N/A,FALSE,"Page 5";#N/A,#N/A,FALSE,"Page 6";#N/A,#N/A,FALSE,"Page 7";#N/A,#N/A,FALSE,"Page 8";#N/A,#N/A,FALSE,"Page 9";#N/A,#N/A,FALSE,"PG8WP";#N/A,#N/A,FALSE,"PG9WP"}</definedName>
    <definedName name="_7__123Graph_ACHART_17" localSheetId="19" hidden="1">#REF!</definedName>
    <definedName name="_7__123Graph_ACHART_17" hidden="1">#REF!</definedName>
    <definedName name="_7__123Graph_BCHART_5" localSheetId="19" hidden="1">#REF!</definedName>
    <definedName name="_7__123Graph_BCHART_5" hidden="1">#REF!</definedName>
    <definedName name="_70" localSheetId="1" hidden="1">{#N/A,#N/A,FALSE,"OTHERINPUTS";#N/A,#N/A,FALSE,"DITRATEINPUTS";#N/A,#N/A,FALSE,"SUPPLIEDADJINPUT";#N/A,#N/A,FALSE,"TIMINGDIFFINPUTS";#N/A,#N/A,FALSE,"COSSINPUT";#N/A,#N/A,FALSE,"BR&amp;SUPADJ."}</definedName>
    <definedName name="_70" localSheetId="17" hidden="1">{#N/A,#N/A,FALSE,"OTHERINPUTS";#N/A,#N/A,FALSE,"DITRATEINPUTS";#N/A,#N/A,FALSE,"SUPPLIEDADJINPUT";#N/A,#N/A,FALSE,"TIMINGDIFFINPUTS";#N/A,#N/A,FALSE,"COSSINPUT";#N/A,#N/A,FALSE,"BR&amp;SUPADJ."}</definedName>
    <definedName name="_70" localSheetId="30" hidden="1">{#N/A,#N/A,FALSE,"OTHERINPUTS";#N/A,#N/A,FALSE,"DITRATEINPUTS";#N/A,#N/A,FALSE,"SUPPLIEDADJINPUT";#N/A,#N/A,FALSE,"TIMINGDIFFINPUTS";#N/A,#N/A,FALSE,"COSSINPUT";#N/A,#N/A,FALSE,"BR&amp;SUPADJ."}</definedName>
    <definedName name="_70" localSheetId="31" hidden="1">{#N/A,#N/A,FALSE,"OTHERINPUTS";#N/A,#N/A,FALSE,"DITRATEINPUTS";#N/A,#N/A,FALSE,"SUPPLIEDADJINPUT";#N/A,#N/A,FALSE,"TIMINGDIFFINPUTS";#N/A,#N/A,FALSE,"COSSINPUT";#N/A,#N/A,FALSE,"BR&amp;SUPADJ."}</definedName>
    <definedName name="_70" localSheetId="19" hidden="1">{#N/A,#N/A,FALSE,"OTHERINPUTS";#N/A,#N/A,FALSE,"DITRATEINPUTS";#N/A,#N/A,FALSE,"SUPPLIEDADJINPUT";#N/A,#N/A,FALSE,"TIMINGDIFFINPUTS";#N/A,#N/A,FALSE,"COSSINPUT";#N/A,#N/A,FALSE,"BR&amp;SUPADJ."}</definedName>
    <definedName name="_70" localSheetId="7" hidden="1">{#N/A,#N/A,FALSE,"OTHERINPUTS";#N/A,#N/A,FALSE,"DITRATEINPUTS";#N/A,#N/A,FALSE,"SUPPLIEDADJINPUT";#N/A,#N/A,FALSE,"TIMINGDIFFINPUTS";#N/A,#N/A,FALSE,"COSSINPUT";#N/A,#N/A,FALSE,"BR&amp;SUPADJ."}</definedName>
    <definedName name="_70" localSheetId="0" hidden="1">{#N/A,#N/A,FALSE,"OTHERINPUTS";#N/A,#N/A,FALSE,"DITRATEINPUTS";#N/A,#N/A,FALSE,"SUPPLIEDADJINPUT";#N/A,#N/A,FALSE,"TIMINGDIFFINPUTS";#N/A,#N/A,FALSE,"COSSINPUT";#N/A,#N/A,FALSE,"BR&amp;SUPADJ."}</definedName>
    <definedName name="_70" localSheetId="10" hidden="1">{#N/A,#N/A,FALSE,"OTHERINPUTS";#N/A,#N/A,FALSE,"DITRATEINPUTS";#N/A,#N/A,FALSE,"SUPPLIEDADJINPUT";#N/A,#N/A,FALSE,"TIMINGDIFFINPUTS";#N/A,#N/A,FALSE,"COSSINPUT";#N/A,#N/A,FALSE,"BR&amp;SUPADJ."}</definedName>
    <definedName name="_70" localSheetId="12" hidden="1">{#N/A,#N/A,FALSE,"OTHERINPUTS";#N/A,#N/A,FALSE,"DITRATEINPUTS";#N/A,#N/A,FALSE,"SUPPLIEDADJINPUT";#N/A,#N/A,FALSE,"TIMINGDIFFINPUTS";#N/A,#N/A,FALSE,"COSSINPUT";#N/A,#N/A,FALSE,"BR&amp;SUPADJ."}</definedName>
    <definedName name="_70" localSheetId="9" hidden="1">{#N/A,#N/A,FALSE,"OTHERINPUTS";#N/A,#N/A,FALSE,"DITRATEINPUTS";#N/A,#N/A,FALSE,"SUPPLIEDADJINPUT";#N/A,#N/A,FALSE,"TIMINGDIFFINPUTS";#N/A,#N/A,FALSE,"COSSINPUT";#N/A,#N/A,FALSE,"BR&amp;SUPADJ."}</definedName>
    <definedName name="_70" hidden="1">{#N/A,#N/A,FALSE,"OTHERINPUTS";#N/A,#N/A,FALSE,"DITRATEINPUTS";#N/A,#N/A,FALSE,"SUPPLIEDADJINPUT";#N/A,#N/A,FALSE,"TIMINGDIFFINPUTS";#N/A,#N/A,FALSE,"COSSINPUT";#N/A,#N/A,FALSE,"BR&amp;SUPADJ."}</definedName>
    <definedName name="_70__123Graph_ACHART_5" localSheetId="19" hidden="1">#REF!</definedName>
    <definedName name="_70__123Graph_ACHART_5" hidden="1">#REF!</definedName>
    <definedName name="_71"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2" localSheetId="1" hidden="1">{#N/A,#N/A,FALSE,"FAS109 Summary";#N/A,#N/A,FALSE,"FAS109 OPER 190 ITC";#N/A,#N/A,FALSE,"FAS109 OPER 190 Other";#N/A,#N/A,FALSE,"FAS109 OPER 282";#N/A,#N/A,FALSE,"FAS109 OPER 283";#N/A,#N/A,FALSE,"FAS109 Non OPER 283 ";#N/A,#N/A,FALSE,"J.E.UPLOAD DATA"}</definedName>
    <definedName name="_72" localSheetId="17" hidden="1">{#N/A,#N/A,FALSE,"FAS109 Summary";#N/A,#N/A,FALSE,"FAS109 OPER 190 ITC";#N/A,#N/A,FALSE,"FAS109 OPER 190 Other";#N/A,#N/A,FALSE,"FAS109 OPER 282";#N/A,#N/A,FALSE,"FAS109 OPER 283";#N/A,#N/A,FALSE,"FAS109 Non OPER 283 ";#N/A,#N/A,FALSE,"J.E.UPLOAD DATA"}</definedName>
    <definedName name="_72" localSheetId="30" hidden="1">{#N/A,#N/A,FALSE,"FAS109 Summary";#N/A,#N/A,FALSE,"FAS109 OPER 190 ITC";#N/A,#N/A,FALSE,"FAS109 OPER 190 Other";#N/A,#N/A,FALSE,"FAS109 OPER 282";#N/A,#N/A,FALSE,"FAS109 OPER 283";#N/A,#N/A,FALSE,"FAS109 Non OPER 283 ";#N/A,#N/A,FALSE,"J.E.UPLOAD DATA"}</definedName>
    <definedName name="_72" localSheetId="31" hidden="1">{#N/A,#N/A,FALSE,"FAS109 Summary";#N/A,#N/A,FALSE,"FAS109 OPER 190 ITC";#N/A,#N/A,FALSE,"FAS109 OPER 190 Other";#N/A,#N/A,FALSE,"FAS109 OPER 282";#N/A,#N/A,FALSE,"FAS109 OPER 283";#N/A,#N/A,FALSE,"FAS109 Non OPER 283 ";#N/A,#N/A,FALSE,"J.E.UPLOAD DATA"}</definedName>
    <definedName name="_72" localSheetId="19" hidden="1">{#N/A,#N/A,FALSE,"FAS109 Summary";#N/A,#N/A,FALSE,"FAS109 OPER 190 ITC";#N/A,#N/A,FALSE,"FAS109 OPER 190 Other";#N/A,#N/A,FALSE,"FAS109 OPER 282";#N/A,#N/A,FALSE,"FAS109 OPER 283";#N/A,#N/A,FALSE,"FAS109 Non OPER 283 ";#N/A,#N/A,FALSE,"J.E.UPLOAD DATA"}</definedName>
    <definedName name="_72" localSheetId="7" hidden="1">{#N/A,#N/A,FALSE,"FAS109 Summary";#N/A,#N/A,FALSE,"FAS109 OPER 190 ITC";#N/A,#N/A,FALSE,"FAS109 OPER 190 Other";#N/A,#N/A,FALSE,"FAS109 OPER 282";#N/A,#N/A,FALSE,"FAS109 OPER 283";#N/A,#N/A,FALSE,"FAS109 Non OPER 283 ";#N/A,#N/A,FALSE,"J.E.UPLOAD DATA"}</definedName>
    <definedName name="_72" localSheetId="0" hidden="1">{#N/A,#N/A,FALSE,"FAS109 Summary";#N/A,#N/A,FALSE,"FAS109 OPER 190 ITC";#N/A,#N/A,FALSE,"FAS109 OPER 190 Other";#N/A,#N/A,FALSE,"FAS109 OPER 282";#N/A,#N/A,FALSE,"FAS109 OPER 283";#N/A,#N/A,FALSE,"FAS109 Non OPER 283 ";#N/A,#N/A,FALSE,"J.E.UPLOAD DATA"}</definedName>
    <definedName name="_72" localSheetId="10" hidden="1">{#N/A,#N/A,FALSE,"FAS109 Summary";#N/A,#N/A,FALSE,"FAS109 OPER 190 ITC";#N/A,#N/A,FALSE,"FAS109 OPER 190 Other";#N/A,#N/A,FALSE,"FAS109 OPER 282";#N/A,#N/A,FALSE,"FAS109 OPER 283";#N/A,#N/A,FALSE,"FAS109 Non OPER 283 ";#N/A,#N/A,FALSE,"J.E.UPLOAD DATA"}</definedName>
    <definedName name="_72" localSheetId="12" hidden="1">{#N/A,#N/A,FALSE,"FAS109 Summary";#N/A,#N/A,FALSE,"FAS109 OPER 190 ITC";#N/A,#N/A,FALSE,"FAS109 OPER 190 Other";#N/A,#N/A,FALSE,"FAS109 OPER 282";#N/A,#N/A,FALSE,"FAS109 OPER 283";#N/A,#N/A,FALSE,"FAS109 Non OPER 283 ";#N/A,#N/A,FALSE,"J.E.UPLOAD DATA"}</definedName>
    <definedName name="_72" localSheetId="9" hidden="1">{#N/A,#N/A,FALSE,"FAS109 Summary";#N/A,#N/A,FALSE,"FAS109 OPER 190 ITC";#N/A,#N/A,FALSE,"FAS109 OPER 190 Other";#N/A,#N/A,FALSE,"FAS109 OPER 282";#N/A,#N/A,FALSE,"FAS109 OPER 283";#N/A,#N/A,FALSE,"FAS109 Non OPER 283 ";#N/A,#N/A,FALSE,"J.E.UPLOAD DATA"}</definedName>
    <definedName name="_72" hidden="1">{#N/A,#N/A,FALSE,"FAS109 Summary";#N/A,#N/A,FALSE,"FAS109 OPER 190 ITC";#N/A,#N/A,FALSE,"FAS109 OPER 190 Other";#N/A,#N/A,FALSE,"FAS109 OPER 282";#N/A,#N/A,FALSE,"FAS109 OPER 283";#N/A,#N/A,FALSE,"FAS109 Non OPER 283 ";#N/A,#N/A,FALSE,"J.E.UPLOAD DATA"}</definedName>
    <definedName name="_72__123Graph_ACHART_4" localSheetId="19" hidden="1">#REF!</definedName>
    <definedName name="_72__123Graph_ACHART_4" hidden="1">#REF!</definedName>
    <definedName name="_73" localSheetId="1" hidden="1">{"FAC_SUMMARY",#N/A,FALSE,"Summaries"}</definedName>
    <definedName name="_73" localSheetId="17" hidden="1">{"FAC_SUMMARY",#N/A,FALSE,"Summaries"}</definedName>
    <definedName name="_73" localSheetId="30" hidden="1">{"FAC_SUMMARY",#N/A,FALSE,"Summaries"}</definedName>
    <definedName name="_73" localSheetId="31" hidden="1">{"FAC_SUMMARY",#N/A,FALSE,"Summaries"}</definedName>
    <definedName name="_73" localSheetId="19" hidden="1">{"FAC_SUMMARY",#N/A,FALSE,"Summaries"}</definedName>
    <definedName name="_73" localSheetId="7" hidden="1">{"FAC_SUMMARY",#N/A,FALSE,"Summaries"}</definedName>
    <definedName name="_73" localSheetId="0" hidden="1">{"FAC_SUMMARY",#N/A,FALSE,"Summaries"}</definedName>
    <definedName name="_73" localSheetId="10" hidden="1">{"FAC_SUMMARY",#N/A,FALSE,"Summaries"}</definedName>
    <definedName name="_73" localSheetId="12" hidden="1">{"FAC_SUMMARY",#N/A,FALSE,"Summaries"}</definedName>
    <definedName name="_73" localSheetId="9" hidden="1">{"FAC_SUMMARY",#N/A,FALSE,"Summaries"}</definedName>
    <definedName name="_73" hidden="1">{"FAC_SUMMARY",#N/A,FALSE,"Summaries"}</definedName>
    <definedName name="_74" localSheetId="1" hidden="1">{"FERC_FAC",#N/A,FALSE,"FERC_Fuel&amp;Rev"}</definedName>
    <definedName name="_74" localSheetId="17" hidden="1">{"FERC_FAC",#N/A,FALSE,"FERC_Fuel&amp;Rev"}</definedName>
    <definedName name="_74" localSheetId="30" hidden="1">{"FERC_FAC",#N/A,FALSE,"FERC_Fuel&amp;Rev"}</definedName>
    <definedName name="_74" localSheetId="31" hidden="1">{"FERC_FAC",#N/A,FALSE,"FERC_Fuel&amp;Rev"}</definedName>
    <definedName name="_74" localSheetId="19" hidden="1">{"FERC_FAC",#N/A,FALSE,"FERC_Fuel&amp;Rev"}</definedName>
    <definedName name="_74" localSheetId="7" hidden="1">{"FERC_FAC",#N/A,FALSE,"FERC_Fuel&amp;Rev"}</definedName>
    <definedName name="_74" localSheetId="0" hidden="1">{"FERC_FAC",#N/A,FALSE,"FERC_Fuel&amp;Rev"}</definedName>
    <definedName name="_74" localSheetId="10" hidden="1">{"FERC_FAC",#N/A,FALSE,"FERC_Fuel&amp;Rev"}</definedName>
    <definedName name="_74" localSheetId="12" hidden="1">{"FERC_FAC",#N/A,FALSE,"FERC_Fuel&amp;Rev"}</definedName>
    <definedName name="_74" localSheetId="9" hidden="1">{"FERC_FAC",#N/A,FALSE,"FERC_Fuel&amp;Rev"}</definedName>
    <definedName name="_74" hidden="1">{"FERC_FAC",#N/A,FALSE,"FERC_Fuel&amp;Rev"}</definedName>
    <definedName name="_75" localSheetId="1" hidden="1">{"FERC_WEATHER_AND_FUEL",#N/A,FALSE,"FERC_Fuel&amp;Rev"}</definedName>
    <definedName name="_75" localSheetId="17" hidden="1">{"FERC_WEATHER_AND_FUEL",#N/A,FALSE,"FERC_Fuel&amp;Rev"}</definedName>
    <definedName name="_75" localSheetId="30" hidden="1">{"FERC_WEATHER_AND_FUEL",#N/A,FALSE,"FERC_Fuel&amp;Rev"}</definedName>
    <definedName name="_75" localSheetId="31" hidden="1">{"FERC_WEATHER_AND_FUEL",#N/A,FALSE,"FERC_Fuel&amp;Rev"}</definedName>
    <definedName name="_75" localSheetId="19" hidden="1">{"FERC_WEATHER_AND_FUEL",#N/A,FALSE,"FERC_Fuel&amp;Rev"}</definedName>
    <definedName name="_75" localSheetId="7" hidden="1">{"FERC_WEATHER_AND_FUEL",#N/A,FALSE,"FERC_Fuel&amp;Rev"}</definedName>
    <definedName name="_75" localSheetId="0" hidden="1">{"FERC_WEATHER_AND_FUEL",#N/A,FALSE,"FERC_Fuel&amp;Rev"}</definedName>
    <definedName name="_75" localSheetId="10" hidden="1">{"FERC_WEATHER_AND_FUEL",#N/A,FALSE,"FERC_Fuel&amp;Rev"}</definedName>
    <definedName name="_75" localSheetId="12" hidden="1">{"FERC_WEATHER_AND_FUEL",#N/A,FALSE,"FERC_Fuel&amp;Rev"}</definedName>
    <definedName name="_75" localSheetId="9" hidden="1">{"FERC_WEATHER_AND_FUEL",#N/A,FALSE,"FERC_Fuel&amp;Rev"}</definedName>
    <definedName name="_75" hidden="1">{"FERC_WEATHER_AND_FUEL",#N/A,FALSE,"FERC_Fuel&amp;Rev"}</definedName>
    <definedName name="_76" localSheetId="1" hidden="1">{"wp_h4.2",#N/A,FALSE,"WP_H4.2";"wp_h4.3",#N/A,FALSE,"WP_H4.3"}</definedName>
    <definedName name="_76" localSheetId="17" hidden="1">{"wp_h4.2",#N/A,FALSE,"WP_H4.2";"wp_h4.3",#N/A,FALSE,"WP_H4.3"}</definedName>
    <definedName name="_76" localSheetId="30" hidden="1">{"wp_h4.2",#N/A,FALSE,"WP_H4.2";"wp_h4.3",#N/A,FALSE,"WP_H4.3"}</definedName>
    <definedName name="_76" localSheetId="31" hidden="1">{"wp_h4.2",#N/A,FALSE,"WP_H4.2";"wp_h4.3",#N/A,FALSE,"WP_H4.3"}</definedName>
    <definedName name="_76" localSheetId="19" hidden="1">{"wp_h4.2",#N/A,FALSE,"WP_H4.2";"wp_h4.3",#N/A,FALSE,"WP_H4.3"}</definedName>
    <definedName name="_76" localSheetId="7" hidden="1">{"wp_h4.2",#N/A,FALSE,"WP_H4.2";"wp_h4.3",#N/A,FALSE,"WP_H4.3"}</definedName>
    <definedName name="_76" localSheetId="0" hidden="1">{"wp_h4.2",#N/A,FALSE,"WP_H4.2";"wp_h4.3",#N/A,FALSE,"WP_H4.3"}</definedName>
    <definedName name="_76" localSheetId="10" hidden="1">{"wp_h4.2",#N/A,FALSE,"WP_H4.2";"wp_h4.3",#N/A,FALSE,"WP_H4.3"}</definedName>
    <definedName name="_76" localSheetId="12" hidden="1">{"wp_h4.2",#N/A,FALSE,"WP_H4.2";"wp_h4.3",#N/A,FALSE,"WP_H4.3"}</definedName>
    <definedName name="_76" localSheetId="9" hidden="1">{"wp_h4.2",#N/A,FALSE,"WP_H4.2";"wp_h4.3",#N/A,FALSE,"WP_H4.3"}</definedName>
    <definedName name="_76" hidden="1">{"wp_h4.2",#N/A,FALSE,"WP_H4.2";"wp_h4.3",#N/A,FALSE,"WP_H4.3"}</definedName>
    <definedName name="_77" localSheetId="1" hidden="1">{#N/A,#N/A,FALSE,"GLDwnLoad"}</definedName>
    <definedName name="_77" localSheetId="17" hidden="1">{#N/A,#N/A,FALSE,"GLDwnLoad"}</definedName>
    <definedName name="_77" localSheetId="30" hidden="1">{#N/A,#N/A,FALSE,"GLDwnLoad"}</definedName>
    <definedName name="_77" localSheetId="31" hidden="1">{#N/A,#N/A,FALSE,"GLDwnLoad"}</definedName>
    <definedName name="_77" localSheetId="19" hidden="1">{#N/A,#N/A,FALSE,"GLDwnLoad"}</definedName>
    <definedName name="_77" localSheetId="7" hidden="1">{#N/A,#N/A,FALSE,"GLDwnLoad"}</definedName>
    <definedName name="_77" localSheetId="0" hidden="1">{#N/A,#N/A,FALSE,"GLDwnLoad"}</definedName>
    <definedName name="_77" localSheetId="10" hidden="1">{#N/A,#N/A,FALSE,"GLDwnLoad"}</definedName>
    <definedName name="_77" localSheetId="12" hidden="1">{#N/A,#N/A,FALSE,"GLDwnLoad"}</definedName>
    <definedName name="_77" localSheetId="9" hidden="1">{#N/A,#N/A,FALSE,"GLDwnLoad"}</definedName>
    <definedName name="_77" hidden="1">{#N/A,#N/A,FALSE,"GLDwnLoad"}</definedName>
    <definedName name="_78" localSheetId="1" hidden="1">{#N/A,#N/A,FALSE,"OTHERINPUTS";#N/A,#N/A,FALSE,"SUPPLIEDADJINPUT";#N/A,#N/A,FALSE,"BR&amp;SUPADJ."}</definedName>
    <definedName name="_78" localSheetId="17" hidden="1">{#N/A,#N/A,FALSE,"OTHERINPUTS";#N/A,#N/A,FALSE,"SUPPLIEDADJINPUT";#N/A,#N/A,FALSE,"BR&amp;SUPADJ."}</definedName>
    <definedName name="_78" localSheetId="30" hidden="1">{#N/A,#N/A,FALSE,"OTHERINPUTS";#N/A,#N/A,FALSE,"SUPPLIEDADJINPUT";#N/A,#N/A,FALSE,"BR&amp;SUPADJ."}</definedName>
    <definedName name="_78" localSheetId="31" hidden="1">{#N/A,#N/A,FALSE,"OTHERINPUTS";#N/A,#N/A,FALSE,"SUPPLIEDADJINPUT";#N/A,#N/A,FALSE,"BR&amp;SUPADJ."}</definedName>
    <definedName name="_78" localSheetId="19" hidden="1">{#N/A,#N/A,FALSE,"OTHERINPUTS";#N/A,#N/A,FALSE,"SUPPLIEDADJINPUT";#N/A,#N/A,FALSE,"BR&amp;SUPADJ."}</definedName>
    <definedName name="_78" localSheetId="7" hidden="1">{#N/A,#N/A,FALSE,"OTHERINPUTS";#N/A,#N/A,FALSE,"SUPPLIEDADJINPUT";#N/A,#N/A,FALSE,"BR&amp;SUPADJ."}</definedName>
    <definedName name="_78" localSheetId="0" hidden="1">{#N/A,#N/A,FALSE,"OTHERINPUTS";#N/A,#N/A,FALSE,"SUPPLIEDADJINPUT";#N/A,#N/A,FALSE,"BR&amp;SUPADJ."}</definedName>
    <definedName name="_78" localSheetId="10" hidden="1">{#N/A,#N/A,FALSE,"OTHERINPUTS";#N/A,#N/A,FALSE,"SUPPLIEDADJINPUT";#N/A,#N/A,FALSE,"BR&amp;SUPADJ."}</definedName>
    <definedName name="_78" localSheetId="12" hidden="1">{#N/A,#N/A,FALSE,"OTHERINPUTS";#N/A,#N/A,FALSE,"SUPPLIEDADJINPUT";#N/A,#N/A,FALSE,"BR&amp;SUPADJ."}</definedName>
    <definedName name="_78" localSheetId="9" hidden="1">{#N/A,#N/A,FALSE,"OTHERINPUTS";#N/A,#N/A,FALSE,"SUPPLIEDADJINPUT";#N/A,#N/A,FALSE,"BR&amp;SUPADJ."}</definedName>
    <definedName name="_78" hidden="1">{#N/A,#N/A,FALSE,"OTHERINPUTS";#N/A,#N/A,FALSE,"SUPPLIEDADJINPUT";#N/A,#N/A,FALSE,"BR&amp;SUPADJ."}</definedName>
    <definedName name="_79"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3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1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localSheetId="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7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8"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__123Graph_ACHART_18" localSheetId="19" hidden="1">#REF!</definedName>
    <definedName name="_8__123Graph_ACHART_18" hidden="1">#REF!</definedName>
    <definedName name="_8__123Graph_ACHART_4" localSheetId="19" hidden="1">#REF!</definedName>
    <definedName name="_8__123Graph_ACHART_4" hidden="1">#REF!</definedName>
    <definedName name="_8__123Graph_BCHART_6" localSheetId="1" hidden="1">#REF!</definedName>
    <definedName name="_8__123Graph_BCHART_6" localSheetId="17" hidden="1">#REF!</definedName>
    <definedName name="_8__123Graph_BCHART_6" localSheetId="30" hidden="1">#REF!</definedName>
    <definedName name="_8__123Graph_BCHART_6" localSheetId="31" hidden="1">#REF!</definedName>
    <definedName name="_8__123Graph_BCHART_6" localSheetId="19" hidden="1">#REF!</definedName>
    <definedName name="_8__123Graph_BCHART_6" localSheetId="7" hidden="1">#REF!</definedName>
    <definedName name="_8__123Graph_BCHART_6" localSheetId="9" hidden="1">#REF!</definedName>
    <definedName name="_8__123Graph_BCHART_6" hidden="1">#REF!</definedName>
    <definedName name="_80"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2" localSheetId="1" hidden="1">{#N/A,#N/A,FALSE,"Page 1";#N/A,#N/A,FALSE,"Page 2";#N/A,#N/A,FALSE,"Page 3";#N/A,#N/A,FALSE,"Page 4";#N/A,#N/A,FALSE,"Page 5";#N/A,#N/A,FALSE,"Page 6";#N/A,#N/A,FALSE,"Page 7";#N/A,#N/A,FALSE,"Page 8";#N/A,#N/A,FALSE,"Page 9";#N/A,#N/A,FALSE,"PG8WP";#N/A,#N/A,FALSE,"PG9WP"}</definedName>
    <definedName name="_82" localSheetId="17" hidden="1">{#N/A,#N/A,FALSE,"Page 1";#N/A,#N/A,FALSE,"Page 2";#N/A,#N/A,FALSE,"Page 3";#N/A,#N/A,FALSE,"Page 4";#N/A,#N/A,FALSE,"Page 5";#N/A,#N/A,FALSE,"Page 6";#N/A,#N/A,FALSE,"Page 7";#N/A,#N/A,FALSE,"Page 8";#N/A,#N/A,FALSE,"Page 9";#N/A,#N/A,FALSE,"PG8WP";#N/A,#N/A,FALSE,"PG9WP"}</definedName>
    <definedName name="_82" localSheetId="30" hidden="1">{#N/A,#N/A,FALSE,"Page 1";#N/A,#N/A,FALSE,"Page 2";#N/A,#N/A,FALSE,"Page 3";#N/A,#N/A,FALSE,"Page 4";#N/A,#N/A,FALSE,"Page 5";#N/A,#N/A,FALSE,"Page 6";#N/A,#N/A,FALSE,"Page 7";#N/A,#N/A,FALSE,"Page 8";#N/A,#N/A,FALSE,"Page 9";#N/A,#N/A,FALSE,"PG8WP";#N/A,#N/A,FALSE,"PG9WP"}</definedName>
    <definedName name="_82" localSheetId="31" hidden="1">{#N/A,#N/A,FALSE,"Page 1";#N/A,#N/A,FALSE,"Page 2";#N/A,#N/A,FALSE,"Page 3";#N/A,#N/A,FALSE,"Page 4";#N/A,#N/A,FALSE,"Page 5";#N/A,#N/A,FALSE,"Page 6";#N/A,#N/A,FALSE,"Page 7";#N/A,#N/A,FALSE,"Page 8";#N/A,#N/A,FALSE,"Page 9";#N/A,#N/A,FALSE,"PG8WP";#N/A,#N/A,FALSE,"PG9WP"}</definedName>
    <definedName name="_82" localSheetId="19" hidden="1">{#N/A,#N/A,FALSE,"Page 1";#N/A,#N/A,FALSE,"Page 2";#N/A,#N/A,FALSE,"Page 3";#N/A,#N/A,FALSE,"Page 4";#N/A,#N/A,FALSE,"Page 5";#N/A,#N/A,FALSE,"Page 6";#N/A,#N/A,FALSE,"Page 7";#N/A,#N/A,FALSE,"Page 8";#N/A,#N/A,FALSE,"Page 9";#N/A,#N/A,FALSE,"PG8WP";#N/A,#N/A,FALSE,"PG9WP"}</definedName>
    <definedName name="_82" localSheetId="7" hidden="1">{#N/A,#N/A,FALSE,"Page 1";#N/A,#N/A,FALSE,"Page 2";#N/A,#N/A,FALSE,"Page 3";#N/A,#N/A,FALSE,"Page 4";#N/A,#N/A,FALSE,"Page 5";#N/A,#N/A,FALSE,"Page 6";#N/A,#N/A,FALSE,"Page 7";#N/A,#N/A,FALSE,"Page 8";#N/A,#N/A,FALSE,"Page 9";#N/A,#N/A,FALSE,"PG8WP";#N/A,#N/A,FALSE,"PG9WP"}</definedName>
    <definedName name="_82" localSheetId="0" hidden="1">{#N/A,#N/A,FALSE,"Page 1";#N/A,#N/A,FALSE,"Page 2";#N/A,#N/A,FALSE,"Page 3";#N/A,#N/A,FALSE,"Page 4";#N/A,#N/A,FALSE,"Page 5";#N/A,#N/A,FALSE,"Page 6";#N/A,#N/A,FALSE,"Page 7";#N/A,#N/A,FALSE,"Page 8";#N/A,#N/A,FALSE,"Page 9";#N/A,#N/A,FALSE,"PG8WP";#N/A,#N/A,FALSE,"PG9WP"}</definedName>
    <definedName name="_82" localSheetId="10" hidden="1">{#N/A,#N/A,FALSE,"Page 1";#N/A,#N/A,FALSE,"Page 2";#N/A,#N/A,FALSE,"Page 3";#N/A,#N/A,FALSE,"Page 4";#N/A,#N/A,FALSE,"Page 5";#N/A,#N/A,FALSE,"Page 6";#N/A,#N/A,FALSE,"Page 7";#N/A,#N/A,FALSE,"Page 8";#N/A,#N/A,FALSE,"Page 9";#N/A,#N/A,FALSE,"PG8WP";#N/A,#N/A,FALSE,"PG9WP"}</definedName>
    <definedName name="_82" localSheetId="12" hidden="1">{#N/A,#N/A,FALSE,"Page 1";#N/A,#N/A,FALSE,"Page 2";#N/A,#N/A,FALSE,"Page 3";#N/A,#N/A,FALSE,"Page 4";#N/A,#N/A,FALSE,"Page 5";#N/A,#N/A,FALSE,"Page 6";#N/A,#N/A,FALSE,"Page 7";#N/A,#N/A,FALSE,"Page 8";#N/A,#N/A,FALSE,"Page 9";#N/A,#N/A,FALSE,"PG8WP";#N/A,#N/A,FALSE,"PG9WP"}</definedName>
    <definedName name="_82" localSheetId="9" hidden="1">{#N/A,#N/A,FALSE,"Page 1";#N/A,#N/A,FALSE,"Page 2";#N/A,#N/A,FALSE,"Page 3";#N/A,#N/A,FALSE,"Page 4";#N/A,#N/A,FALSE,"Page 5";#N/A,#N/A,FALSE,"Page 6";#N/A,#N/A,FALSE,"Page 7";#N/A,#N/A,FALSE,"Page 8";#N/A,#N/A,FALSE,"Page 9";#N/A,#N/A,FALSE,"PG8WP";#N/A,#N/A,FALSE,"PG9WP"}</definedName>
    <definedName name="_82" hidden="1">{#N/A,#N/A,FALSE,"Page 1";#N/A,#N/A,FALSE,"Page 2";#N/A,#N/A,FALSE,"Page 3";#N/A,#N/A,FALSE,"Page 4";#N/A,#N/A,FALSE,"Page 5";#N/A,#N/A,FALSE,"Page 6";#N/A,#N/A,FALSE,"Page 7";#N/A,#N/A,FALSE,"Page 8";#N/A,#N/A,FALSE,"Page 9";#N/A,#N/A,FALSE,"PG8WP";#N/A,#N/A,FALSE,"PG9WP"}</definedName>
    <definedName name="_83" localSheetId="1" hidden="1">{#N/A,#N/A,FALSE,"Page 1";#N/A,#N/A,FALSE,"Page 2";#N/A,#N/A,FALSE,"Page 3";#N/A,#N/A,FALSE,"Page 4";#N/A,#N/A,FALSE,"Page 5";#N/A,#N/A,FALSE,"Page 6";#N/A,#N/A,FALSE,"Page 7";#N/A,#N/A,FALSE,"Page 8";#N/A,#N/A,FALSE,"Page 9";#N/A,#N/A,FALSE,"PG8WP";#N/A,#N/A,FALSE,"PG9WP"}</definedName>
    <definedName name="_83" localSheetId="17" hidden="1">{#N/A,#N/A,FALSE,"Page 1";#N/A,#N/A,FALSE,"Page 2";#N/A,#N/A,FALSE,"Page 3";#N/A,#N/A,FALSE,"Page 4";#N/A,#N/A,FALSE,"Page 5";#N/A,#N/A,FALSE,"Page 6";#N/A,#N/A,FALSE,"Page 7";#N/A,#N/A,FALSE,"Page 8";#N/A,#N/A,FALSE,"Page 9";#N/A,#N/A,FALSE,"PG8WP";#N/A,#N/A,FALSE,"PG9WP"}</definedName>
    <definedName name="_83" localSheetId="30" hidden="1">{#N/A,#N/A,FALSE,"Page 1";#N/A,#N/A,FALSE,"Page 2";#N/A,#N/A,FALSE,"Page 3";#N/A,#N/A,FALSE,"Page 4";#N/A,#N/A,FALSE,"Page 5";#N/A,#N/A,FALSE,"Page 6";#N/A,#N/A,FALSE,"Page 7";#N/A,#N/A,FALSE,"Page 8";#N/A,#N/A,FALSE,"Page 9";#N/A,#N/A,FALSE,"PG8WP";#N/A,#N/A,FALSE,"PG9WP"}</definedName>
    <definedName name="_83" localSheetId="31" hidden="1">{#N/A,#N/A,FALSE,"Page 1";#N/A,#N/A,FALSE,"Page 2";#N/A,#N/A,FALSE,"Page 3";#N/A,#N/A,FALSE,"Page 4";#N/A,#N/A,FALSE,"Page 5";#N/A,#N/A,FALSE,"Page 6";#N/A,#N/A,FALSE,"Page 7";#N/A,#N/A,FALSE,"Page 8";#N/A,#N/A,FALSE,"Page 9";#N/A,#N/A,FALSE,"PG8WP";#N/A,#N/A,FALSE,"PG9WP"}</definedName>
    <definedName name="_83" localSheetId="19" hidden="1">{#N/A,#N/A,FALSE,"Page 1";#N/A,#N/A,FALSE,"Page 2";#N/A,#N/A,FALSE,"Page 3";#N/A,#N/A,FALSE,"Page 4";#N/A,#N/A,FALSE,"Page 5";#N/A,#N/A,FALSE,"Page 6";#N/A,#N/A,FALSE,"Page 7";#N/A,#N/A,FALSE,"Page 8";#N/A,#N/A,FALSE,"Page 9";#N/A,#N/A,FALSE,"PG8WP";#N/A,#N/A,FALSE,"PG9WP"}</definedName>
    <definedName name="_83" localSheetId="7" hidden="1">{#N/A,#N/A,FALSE,"Page 1";#N/A,#N/A,FALSE,"Page 2";#N/A,#N/A,FALSE,"Page 3";#N/A,#N/A,FALSE,"Page 4";#N/A,#N/A,FALSE,"Page 5";#N/A,#N/A,FALSE,"Page 6";#N/A,#N/A,FALSE,"Page 7";#N/A,#N/A,FALSE,"Page 8";#N/A,#N/A,FALSE,"Page 9";#N/A,#N/A,FALSE,"PG8WP";#N/A,#N/A,FALSE,"PG9WP"}</definedName>
    <definedName name="_83" localSheetId="0" hidden="1">{#N/A,#N/A,FALSE,"Page 1";#N/A,#N/A,FALSE,"Page 2";#N/A,#N/A,FALSE,"Page 3";#N/A,#N/A,FALSE,"Page 4";#N/A,#N/A,FALSE,"Page 5";#N/A,#N/A,FALSE,"Page 6";#N/A,#N/A,FALSE,"Page 7";#N/A,#N/A,FALSE,"Page 8";#N/A,#N/A,FALSE,"Page 9";#N/A,#N/A,FALSE,"PG8WP";#N/A,#N/A,FALSE,"PG9WP"}</definedName>
    <definedName name="_83" localSheetId="10" hidden="1">{#N/A,#N/A,FALSE,"Page 1";#N/A,#N/A,FALSE,"Page 2";#N/A,#N/A,FALSE,"Page 3";#N/A,#N/A,FALSE,"Page 4";#N/A,#N/A,FALSE,"Page 5";#N/A,#N/A,FALSE,"Page 6";#N/A,#N/A,FALSE,"Page 7";#N/A,#N/A,FALSE,"Page 8";#N/A,#N/A,FALSE,"Page 9";#N/A,#N/A,FALSE,"PG8WP";#N/A,#N/A,FALSE,"PG9WP"}</definedName>
    <definedName name="_83" localSheetId="12" hidden="1">{#N/A,#N/A,FALSE,"Page 1";#N/A,#N/A,FALSE,"Page 2";#N/A,#N/A,FALSE,"Page 3";#N/A,#N/A,FALSE,"Page 4";#N/A,#N/A,FALSE,"Page 5";#N/A,#N/A,FALSE,"Page 6";#N/A,#N/A,FALSE,"Page 7";#N/A,#N/A,FALSE,"Page 8";#N/A,#N/A,FALSE,"Page 9";#N/A,#N/A,FALSE,"PG8WP";#N/A,#N/A,FALSE,"PG9WP"}</definedName>
    <definedName name="_83" localSheetId="9" hidden="1">{#N/A,#N/A,FALSE,"Page 1";#N/A,#N/A,FALSE,"Page 2";#N/A,#N/A,FALSE,"Page 3";#N/A,#N/A,FALSE,"Page 4";#N/A,#N/A,FALSE,"Page 5";#N/A,#N/A,FALSE,"Page 6";#N/A,#N/A,FALSE,"Page 7";#N/A,#N/A,FALSE,"Page 8";#N/A,#N/A,FALSE,"Page 9";#N/A,#N/A,FALSE,"PG8WP";#N/A,#N/A,FALSE,"PG9WP"}</definedName>
    <definedName name="_83" hidden="1">{#N/A,#N/A,FALSE,"Page 1";#N/A,#N/A,FALSE,"Page 2";#N/A,#N/A,FALSE,"Page 3";#N/A,#N/A,FALSE,"Page 4";#N/A,#N/A,FALSE,"Page 5";#N/A,#N/A,FALSE,"Page 6";#N/A,#N/A,FALSE,"Page 7";#N/A,#N/A,FALSE,"Page 8";#N/A,#N/A,FALSE,"Page 9";#N/A,#N/A,FALSE,"PG8WP";#N/A,#N/A,FALSE,"PG9WP"}</definedName>
    <definedName name="_84" localSheetId="1" hidden="1">{"OK_FUEL_COMPARISON",#N/A,FALSE,"Ok_Fuel&amp;Rev"}</definedName>
    <definedName name="_84" localSheetId="17" hidden="1">{"OK_FUEL_COMPARISON",#N/A,FALSE,"Ok_Fuel&amp;Rev"}</definedName>
    <definedName name="_84" localSheetId="30" hidden="1">{"OK_FUEL_COMPARISON",#N/A,FALSE,"Ok_Fuel&amp;Rev"}</definedName>
    <definedName name="_84" localSheetId="31" hidden="1">{"OK_FUEL_COMPARISON",#N/A,FALSE,"Ok_Fuel&amp;Rev"}</definedName>
    <definedName name="_84" localSheetId="19" hidden="1">{"OK_FUEL_COMPARISON",#N/A,FALSE,"Ok_Fuel&amp;Rev"}</definedName>
    <definedName name="_84" localSheetId="7" hidden="1">{"OK_FUEL_COMPARISON",#N/A,FALSE,"Ok_Fuel&amp;Rev"}</definedName>
    <definedName name="_84" localSheetId="0" hidden="1">{"OK_FUEL_COMPARISON",#N/A,FALSE,"Ok_Fuel&amp;Rev"}</definedName>
    <definedName name="_84" localSheetId="10" hidden="1">{"OK_FUEL_COMPARISON",#N/A,FALSE,"Ok_Fuel&amp;Rev"}</definedName>
    <definedName name="_84" localSheetId="12" hidden="1">{"OK_FUEL_COMPARISON",#N/A,FALSE,"Ok_Fuel&amp;Rev"}</definedName>
    <definedName name="_84" localSheetId="9" hidden="1">{"OK_FUEL_COMPARISON",#N/A,FALSE,"Ok_Fuel&amp;Rev"}</definedName>
    <definedName name="_84" hidden="1">{"OK_FUEL_COMPARISON",#N/A,FALSE,"Ok_Fuel&amp;Rev"}</definedName>
    <definedName name="_84__123Graph_ACHART_4" localSheetId="19" hidden="1">#REF!</definedName>
    <definedName name="_84__123Graph_ACHART_4" hidden="1">#REF!</definedName>
    <definedName name="_84__123Graph_ACHART_6" localSheetId="19" hidden="1">#REF!</definedName>
    <definedName name="_84__123Graph_ACHART_6" hidden="1">#REF!</definedName>
    <definedName name="_85" localSheetId="1" hidden="1">{"OK_JURIS_FAC",#N/A,FALSE,"Ok_Fuel&amp;Rev"}</definedName>
    <definedName name="_85" localSheetId="17" hidden="1">{"OK_JURIS_FAC",#N/A,FALSE,"Ok_Fuel&amp;Rev"}</definedName>
    <definedName name="_85" localSheetId="30" hidden="1">{"OK_JURIS_FAC",#N/A,FALSE,"Ok_Fuel&amp;Rev"}</definedName>
    <definedName name="_85" localSheetId="31" hidden="1">{"OK_JURIS_FAC",#N/A,FALSE,"Ok_Fuel&amp;Rev"}</definedName>
    <definedName name="_85" localSheetId="19" hidden="1">{"OK_JURIS_FAC",#N/A,FALSE,"Ok_Fuel&amp;Rev"}</definedName>
    <definedName name="_85" localSheetId="7" hidden="1">{"OK_JURIS_FAC",#N/A,FALSE,"Ok_Fuel&amp;Rev"}</definedName>
    <definedName name="_85" localSheetId="0" hidden="1">{"OK_JURIS_FAC",#N/A,FALSE,"Ok_Fuel&amp;Rev"}</definedName>
    <definedName name="_85" localSheetId="10" hidden="1">{"OK_JURIS_FAC",#N/A,FALSE,"Ok_Fuel&amp;Rev"}</definedName>
    <definedName name="_85" localSheetId="12" hidden="1">{"OK_JURIS_FAC",#N/A,FALSE,"Ok_Fuel&amp;Rev"}</definedName>
    <definedName name="_85" localSheetId="9" hidden="1">{"OK_JURIS_FAC",#N/A,FALSE,"Ok_Fuel&amp;Rev"}</definedName>
    <definedName name="_85" hidden="1">{"OK_JURIS_FAC",#N/A,FALSE,"Ok_Fuel&amp;Rev"}</definedName>
    <definedName name="_85__123Graph_ACHART_5" localSheetId="19" hidden="1">#REF!</definedName>
    <definedName name="_85__123Graph_ACHART_5" hidden="1">#REF!</definedName>
    <definedName name="_86" localSheetId="1" hidden="1">{"OK_JURIS_FUEL",#N/A,FALSE,"Ok_Fuel&amp;Rev"}</definedName>
    <definedName name="_86" localSheetId="17" hidden="1">{"OK_JURIS_FUEL",#N/A,FALSE,"Ok_Fuel&amp;Rev"}</definedName>
    <definedName name="_86" localSheetId="30" hidden="1">{"OK_JURIS_FUEL",#N/A,FALSE,"Ok_Fuel&amp;Rev"}</definedName>
    <definedName name="_86" localSheetId="31" hidden="1">{"OK_JURIS_FUEL",#N/A,FALSE,"Ok_Fuel&amp;Rev"}</definedName>
    <definedName name="_86" localSheetId="19" hidden="1">{"OK_JURIS_FUEL",#N/A,FALSE,"Ok_Fuel&amp;Rev"}</definedName>
    <definedName name="_86" localSheetId="7" hidden="1">{"OK_JURIS_FUEL",#N/A,FALSE,"Ok_Fuel&amp;Rev"}</definedName>
    <definedName name="_86" localSheetId="0" hidden="1">{"OK_JURIS_FUEL",#N/A,FALSE,"Ok_Fuel&amp;Rev"}</definedName>
    <definedName name="_86" localSheetId="10" hidden="1">{"OK_JURIS_FUEL",#N/A,FALSE,"Ok_Fuel&amp;Rev"}</definedName>
    <definedName name="_86" localSheetId="12" hidden="1">{"OK_JURIS_FUEL",#N/A,FALSE,"Ok_Fuel&amp;Rev"}</definedName>
    <definedName name="_86" localSheetId="9" hidden="1">{"OK_JURIS_FUEL",#N/A,FALSE,"Ok_Fuel&amp;Rev"}</definedName>
    <definedName name="_86" hidden="1">{"OK_JURIS_FUEL",#N/A,FALSE,"Ok_Fuel&amp;Rev"}</definedName>
    <definedName name="_87" localSheetId="1" hidden="1">{"OK_PRO_FORMA_FUEL",#N/A,FALSE,"Ok_Fuel&amp;Rev"}</definedName>
    <definedName name="_87" localSheetId="17" hidden="1">{"OK_PRO_FORMA_FUEL",#N/A,FALSE,"Ok_Fuel&amp;Rev"}</definedName>
    <definedName name="_87" localSheetId="30" hidden="1">{"OK_PRO_FORMA_FUEL",#N/A,FALSE,"Ok_Fuel&amp;Rev"}</definedName>
    <definedName name="_87" localSheetId="31" hidden="1">{"OK_PRO_FORMA_FUEL",#N/A,FALSE,"Ok_Fuel&amp;Rev"}</definedName>
    <definedName name="_87" localSheetId="19" hidden="1">{"OK_PRO_FORMA_FUEL",#N/A,FALSE,"Ok_Fuel&amp;Rev"}</definedName>
    <definedName name="_87" localSheetId="7" hidden="1">{"OK_PRO_FORMA_FUEL",#N/A,FALSE,"Ok_Fuel&amp;Rev"}</definedName>
    <definedName name="_87" localSheetId="0" hidden="1">{"OK_PRO_FORMA_FUEL",#N/A,FALSE,"Ok_Fuel&amp;Rev"}</definedName>
    <definedName name="_87" localSheetId="10" hidden="1">{"OK_PRO_FORMA_FUEL",#N/A,FALSE,"Ok_Fuel&amp;Rev"}</definedName>
    <definedName name="_87" localSheetId="12" hidden="1">{"OK_PRO_FORMA_FUEL",#N/A,FALSE,"Ok_Fuel&amp;Rev"}</definedName>
    <definedName name="_87" localSheetId="9" hidden="1">{"OK_PRO_FORMA_FUEL",#N/A,FALSE,"Ok_Fuel&amp;Rev"}</definedName>
    <definedName name="_87" hidden="1">{"OK_PRO_FORMA_FUEL",#N/A,FALSE,"Ok_Fuel&amp;Rev"}</definedName>
    <definedName name="_88" localSheetId="1" hidden="1">{"PF",#N/A,FALSE,"Sheet4";"PG",#N/A,FALSE,"Sheet4";"PH",#N/A,FALSE,"Sheet4";"PI",#N/A,FALSE,"Sheet4";"PJ",#N/A,FALSE,"Sheet4"}</definedName>
    <definedName name="_88" localSheetId="17" hidden="1">{"PF",#N/A,FALSE,"Sheet4";"PG",#N/A,FALSE,"Sheet4";"PH",#N/A,FALSE,"Sheet4";"PI",#N/A,FALSE,"Sheet4";"PJ",#N/A,FALSE,"Sheet4"}</definedName>
    <definedName name="_88" localSheetId="30" hidden="1">{"PF",#N/A,FALSE,"Sheet4";"PG",#N/A,FALSE,"Sheet4";"PH",#N/A,FALSE,"Sheet4";"PI",#N/A,FALSE,"Sheet4";"PJ",#N/A,FALSE,"Sheet4"}</definedName>
    <definedName name="_88" localSheetId="31" hidden="1">{"PF",#N/A,FALSE,"Sheet4";"PG",#N/A,FALSE,"Sheet4";"PH",#N/A,FALSE,"Sheet4";"PI",#N/A,FALSE,"Sheet4";"PJ",#N/A,FALSE,"Sheet4"}</definedName>
    <definedName name="_88" localSheetId="19" hidden="1">{"PF",#N/A,FALSE,"Sheet4";"PG",#N/A,FALSE,"Sheet4";"PH",#N/A,FALSE,"Sheet4";"PI",#N/A,FALSE,"Sheet4";"PJ",#N/A,FALSE,"Sheet4"}</definedName>
    <definedName name="_88" localSheetId="7" hidden="1">{"PF",#N/A,FALSE,"Sheet4";"PG",#N/A,FALSE,"Sheet4";"PH",#N/A,FALSE,"Sheet4";"PI",#N/A,FALSE,"Sheet4";"PJ",#N/A,FALSE,"Sheet4"}</definedName>
    <definedName name="_88" localSheetId="0" hidden="1">{"PF",#N/A,FALSE,"Sheet4";"PG",#N/A,FALSE,"Sheet4";"PH",#N/A,FALSE,"Sheet4";"PI",#N/A,FALSE,"Sheet4";"PJ",#N/A,FALSE,"Sheet4"}</definedName>
    <definedName name="_88" localSheetId="10" hidden="1">{"PF",#N/A,FALSE,"Sheet4";"PG",#N/A,FALSE,"Sheet4";"PH",#N/A,FALSE,"Sheet4";"PI",#N/A,FALSE,"Sheet4";"PJ",#N/A,FALSE,"Sheet4"}</definedName>
    <definedName name="_88" localSheetId="12" hidden="1">{"PF",#N/A,FALSE,"Sheet4";"PG",#N/A,FALSE,"Sheet4";"PH",#N/A,FALSE,"Sheet4";"PI",#N/A,FALSE,"Sheet4";"PJ",#N/A,FALSE,"Sheet4"}</definedName>
    <definedName name="_88" localSheetId="9" hidden="1">{"PF",#N/A,FALSE,"Sheet4";"PG",#N/A,FALSE,"Sheet4";"PH",#N/A,FALSE,"Sheet4";"PI",#N/A,FALSE,"Sheet4";"PJ",#N/A,FALSE,"Sheet4"}</definedName>
    <definedName name="_88" hidden="1">{"PF",#N/A,FALSE,"Sheet4";"PG",#N/A,FALSE,"Sheet4";"PH",#N/A,FALSE,"Sheet4";"PI",#N/A,FALSE,"Sheet4";"PJ",#N/A,FALSE,"Sheet4"}</definedName>
    <definedName name="_89" localSheetId="1" hidden="1">{"OMPA_FAC",#N/A,FALSE,"OMPA FAC"}</definedName>
    <definedName name="_89" localSheetId="17" hidden="1">{"OMPA_FAC",#N/A,FALSE,"OMPA FAC"}</definedName>
    <definedName name="_89" localSheetId="30" hidden="1">{"OMPA_FAC",#N/A,FALSE,"OMPA FAC"}</definedName>
    <definedName name="_89" localSheetId="31" hidden="1">{"OMPA_FAC",#N/A,FALSE,"OMPA FAC"}</definedName>
    <definedName name="_89" localSheetId="19" hidden="1">{"OMPA_FAC",#N/A,FALSE,"OMPA FAC"}</definedName>
    <definedName name="_89" localSheetId="7" hidden="1">{"OMPA_FAC",#N/A,FALSE,"OMPA FAC"}</definedName>
    <definedName name="_89" localSheetId="0" hidden="1">{"OMPA_FAC",#N/A,FALSE,"OMPA FAC"}</definedName>
    <definedName name="_89" localSheetId="10" hidden="1">{"OMPA_FAC",#N/A,FALSE,"OMPA FAC"}</definedName>
    <definedName name="_89" localSheetId="12" hidden="1">{"OMPA_FAC",#N/A,FALSE,"OMPA FAC"}</definedName>
    <definedName name="_89" localSheetId="9" hidden="1">{"OMPA_FAC",#N/A,FALSE,"OMPA FAC"}</definedName>
    <definedName name="_89" hidden="1">{"OMPA_FAC",#N/A,FALSE,"OMPA FAC"}</definedName>
    <definedName name="_9" localSheetId="1" hidden="1">{"caz2",#N/A,FALSE,"Central Arizona 2";"saz2",#N/A,FALSE,"Southern Arizona 2";"snv2",#N/A,FALSE,"Southern Nevada 2";"nnv2",#N/A,FALSE,"Northern Nevada 2";"sca2",#N/A,FALSE,"Southern California 2";"nca2",#N/A,FALSE,"Northern California 2";"pai2",#N/A,FALSE,"Paiute 2"}</definedName>
    <definedName name="_9" localSheetId="17" hidden="1">{"caz2",#N/A,FALSE,"Central Arizona 2";"saz2",#N/A,FALSE,"Southern Arizona 2";"snv2",#N/A,FALSE,"Southern Nevada 2";"nnv2",#N/A,FALSE,"Northern Nevada 2";"sca2",#N/A,FALSE,"Southern California 2";"nca2",#N/A,FALSE,"Northern California 2";"pai2",#N/A,FALSE,"Paiute 2"}</definedName>
    <definedName name="_9" localSheetId="30" hidden="1">{"caz2",#N/A,FALSE,"Central Arizona 2";"saz2",#N/A,FALSE,"Southern Arizona 2";"snv2",#N/A,FALSE,"Southern Nevada 2";"nnv2",#N/A,FALSE,"Northern Nevada 2";"sca2",#N/A,FALSE,"Southern California 2";"nca2",#N/A,FALSE,"Northern California 2";"pai2",#N/A,FALSE,"Paiute 2"}</definedName>
    <definedName name="_9" localSheetId="31" hidden="1">{"caz2",#N/A,FALSE,"Central Arizona 2";"saz2",#N/A,FALSE,"Southern Arizona 2";"snv2",#N/A,FALSE,"Southern Nevada 2";"nnv2",#N/A,FALSE,"Northern Nevada 2";"sca2",#N/A,FALSE,"Southern California 2";"nca2",#N/A,FALSE,"Northern California 2";"pai2",#N/A,FALSE,"Paiute 2"}</definedName>
    <definedName name="_9" localSheetId="19" hidden="1">{"caz2",#N/A,FALSE,"Central Arizona 2";"saz2",#N/A,FALSE,"Southern Arizona 2";"snv2",#N/A,FALSE,"Southern Nevada 2";"nnv2",#N/A,FALSE,"Northern Nevada 2";"sca2",#N/A,FALSE,"Southern California 2";"nca2",#N/A,FALSE,"Northern California 2";"pai2",#N/A,FALSE,"Paiute 2"}</definedName>
    <definedName name="_9" localSheetId="7" hidden="1">{"caz2",#N/A,FALSE,"Central Arizona 2";"saz2",#N/A,FALSE,"Southern Arizona 2";"snv2",#N/A,FALSE,"Southern Nevada 2";"nnv2",#N/A,FALSE,"Northern Nevada 2";"sca2",#N/A,FALSE,"Southern California 2";"nca2",#N/A,FALSE,"Northern California 2";"pai2",#N/A,FALSE,"Paiute 2"}</definedName>
    <definedName name="_9" localSheetId="0" hidden="1">{"caz2",#N/A,FALSE,"Central Arizona 2";"saz2",#N/A,FALSE,"Southern Arizona 2";"snv2",#N/A,FALSE,"Southern Nevada 2";"nnv2",#N/A,FALSE,"Northern Nevada 2";"sca2",#N/A,FALSE,"Southern California 2";"nca2",#N/A,FALSE,"Northern California 2";"pai2",#N/A,FALSE,"Paiute 2"}</definedName>
    <definedName name="_9" localSheetId="10" hidden="1">{"caz2",#N/A,FALSE,"Central Arizona 2";"saz2",#N/A,FALSE,"Southern Arizona 2";"snv2",#N/A,FALSE,"Southern Nevada 2";"nnv2",#N/A,FALSE,"Northern Nevada 2";"sca2",#N/A,FALSE,"Southern California 2";"nca2",#N/A,FALSE,"Northern California 2";"pai2",#N/A,FALSE,"Paiute 2"}</definedName>
    <definedName name="_9" localSheetId="12" hidden="1">{"caz2",#N/A,FALSE,"Central Arizona 2";"saz2",#N/A,FALSE,"Southern Arizona 2";"snv2",#N/A,FALSE,"Southern Nevada 2";"nnv2",#N/A,FALSE,"Northern Nevada 2";"sca2",#N/A,FALSE,"Southern California 2";"nca2",#N/A,FALSE,"Northern California 2";"pai2",#N/A,FALSE,"Paiute 2"}</definedName>
    <definedName name="_9" localSheetId="9" hidden="1">{"caz2",#N/A,FALSE,"Central Arizona 2";"saz2",#N/A,FALSE,"Southern Arizona 2";"snv2",#N/A,FALSE,"Southern Nevada 2";"nnv2",#N/A,FALSE,"Northern Nevada 2";"sca2",#N/A,FALSE,"Southern California 2";"nca2",#N/A,FALSE,"Northern California 2";"pai2",#N/A,FALSE,"Paiute 2"}</definedName>
    <definedName name="_9" hidden="1">{"caz2",#N/A,FALSE,"Central Arizona 2";"saz2",#N/A,FALSE,"Southern Arizona 2";"snv2",#N/A,FALSE,"Southern Nevada 2";"nnv2",#N/A,FALSE,"Northern Nevada 2";"sca2",#N/A,FALSE,"Southern California 2";"nca2",#N/A,FALSE,"Northern California 2";"pai2",#N/A,FALSE,"Paiute 2"}</definedName>
    <definedName name="_9__123Graph_BCHART_13" localSheetId="19" hidden="1">#REF!</definedName>
    <definedName name="_9__123Graph_BCHART_13" hidden="1">#REF!</definedName>
    <definedName name="_9__123Graph_CCHART_4" localSheetId="19" hidden="1">#REF!</definedName>
    <definedName name="_9__123Graph_CCHART_4" hidden="1">#REF!</definedName>
    <definedName name="_9_0_0_S" hidden="1">#N/A</definedName>
    <definedName name="_90" localSheetId="1" hidden="1">{"OTHER_DATA",#N/A,FALSE,"Ok_Fuel&amp;Rev"}</definedName>
    <definedName name="_90" localSheetId="17" hidden="1">{"OTHER_DATA",#N/A,FALSE,"Ok_Fuel&amp;Rev"}</definedName>
    <definedName name="_90" localSheetId="30" hidden="1">{"OTHER_DATA",#N/A,FALSE,"Ok_Fuel&amp;Rev"}</definedName>
    <definedName name="_90" localSheetId="31" hidden="1">{"OTHER_DATA",#N/A,FALSE,"Ok_Fuel&amp;Rev"}</definedName>
    <definedName name="_90" localSheetId="19" hidden="1">{"OTHER_DATA",#N/A,FALSE,"Ok_Fuel&amp;Rev"}</definedName>
    <definedName name="_90" localSheetId="7" hidden="1">{"OTHER_DATA",#N/A,FALSE,"Ok_Fuel&amp;Rev"}</definedName>
    <definedName name="_90" localSheetId="0" hidden="1">{"OTHER_DATA",#N/A,FALSE,"Ok_Fuel&amp;Rev"}</definedName>
    <definedName name="_90" localSheetId="10" hidden="1">{"OTHER_DATA",#N/A,FALSE,"Ok_Fuel&amp;Rev"}</definedName>
    <definedName name="_90" localSheetId="12" hidden="1">{"OTHER_DATA",#N/A,FALSE,"Ok_Fuel&amp;Rev"}</definedName>
    <definedName name="_90" localSheetId="9" hidden="1">{"OTHER_DATA",#N/A,FALSE,"Ok_Fuel&amp;Rev"}</definedName>
    <definedName name="_90" hidden="1">{"OTHER_DATA",#N/A,FALSE,"Ok_Fuel&amp;Rev"}</definedName>
    <definedName name="_90__123Graph_ACHART_5" localSheetId="19" hidden="1">#REF!</definedName>
    <definedName name="_90__123Graph_ACHART_5" hidden="1">#REF!</definedName>
    <definedName name="_91"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3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localSheetId="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2" localSheetId="1" hidden="1">{"summary",#N/A,TRUE,"E93ADJ";"detail",#N/A,TRUE,"E93ADJ"}</definedName>
    <definedName name="_92" localSheetId="17" hidden="1">{"summary",#N/A,TRUE,"E93ADJ";"detail",#N/A,TRUE,"E93ADJ"}</definedName>
    <definedName name="_92" localSheetId="30" hidden="1">{"summary",#N/A,TRUE,"E93ADJ";"detail",#N/A,TRUE,"E93ADJ"}</definedName>
    <definedName name="_92" localSheetId="31" hidden="1">{"summary",#N/A,TRUE,"E93ADJ";"detail",#N/A,TRUE,"E93ADJ"}</definedName>
    <definedName name="_92" localSheetId="19" hidden="1">{"summary",#N/A,TRUE,"E93ADJ";"detail",#N/A,TRUE,"E93ADJ"}</definedName>
    <definedName name="_92" localSheetId="7" hidden="1">{"summary",#N/A,TRUE,"E93ADJ";"detail",#N/A,TRUE,"E93ADJ"}</definedName>
    <definedName name="_92" localSheetId="0" hidden="1">{"summary",#N/A,TRUE,"E93ADJ";"detail",#N/A,TRUE,"E93ADJ"}</definedName>
    <definedName name="_92" localSheetId="10" hidden="1">{"summary",#N/A,TRUE,"E93ADJ";"detail",#N/A,TRUE,"E93ADJ"}</definedName>
    <definedName name="_92" localSheetId="12" hidden="1">{"summary",#N/A,TRUE,"E93ADJ";"detail",#N/A,TRUE,"E93ADJ"}</definedName>
    <definedName name="_92" localSheetId="9" hidden="1">{"summary",#N/A,TRUE,"E93ADJ";"detail",#N/A,TRUE,"E93ADJ"}</definedName>
    <definedName name="_92" hidden="1">{"summary",#N/A,TRUE,"E93ADJ";"detail",#N/A,TRUE,"E93ADJ"}</definedName>
    <definedName name="_93" localSheetId="1" hidden="1">{"print1",#N/A,FALSE,"D21CUSTS"}</definedName>
    <definedName name="_93" localSheetId="17" hidden="1">{"print1",#N/A,FALSE,"D21CUSTS"}</definedName>
    <definedName name="_93" localSheetId="30" hidden="1">{"print1",#N/A,FALSE,"D21CUSTS"}</definedName>
    <definedName name="_93" localSheetId="31" hidden="1">{"print1",#N/A,FALSE,"D21CUSTS"}</definedName>
    <definedName name="_93" localSheetId="19" hidden="1">{"print1",#N/A,FALSE,"D21CUSTS"}</definedName>
    <definedName name="_93" localSheetId="7" hidden="1">{"print1",#N/A,FALSE,"D21CUSTS"}</definedName>
    <definedName name="_93" localSheetId="0" hidden="1">{"print1",#N/A,FALSE,"D21CUSTS"}</definedName>
    <definedName name="_93" localSheetId="10" hidden="1">{"print1",#N/A,FALSE,"D21CUSTS"}</definedName>
    <definedName name="_93" localSheetId="12" hidden="1">{"print1",#N/A,FALSE,"D21CUSTS"}</definedName>
    <definedName name="_93" localSheetId="9" hidden="1">{"print1",#N/A,FALSE,"D21CUSTS"}</definedName>
    <definedName name="_93" hidden="1">{"print1",#N/A,FALSE,"D21CUSTS"}</definedName>
    <definedName name="_94" localSheetId="1" hidden="1">{"print2",#N/A,FALSE,"D21CUSTS"}</definedName>
    <definedName name="_94" localSheetId="17" hidden="1">{"print2",#N/A,FALSE,"D21CUSTS"}</definedName>
    <definedName name="_94" localSheetId="30" hidden="1">{"print2",#N/A,FALSE,"D21CUSTS"}</definedName>
    <definedName name="_94" localSheetId="31" hidden="1">{"print2",#N/A,FALSE,"D21CUSTS"}</definedName>
    <definedName name="_94" localSheetId="19" hidden="1">{"print2",#N/A,FALSE,"D21CUSTS"}</definedName>
    <definedName name="_94" localSheetId="7" hidden="1">{"print2",#N/A,FALSE,"D21CUSTS"}</definedName>
    <definedName name="_94" localSheetId="0" hidden="1">{"print2",#N/A,FALSE,"D21CUSTS"}</definedName>
    <definedName name="_94" localSheetId="10" hidden="1">{"print2",#N/A,FALSE,"D21CUSTS"}</definedName>
    <definedName name="_94" localSheetId="12" hidden="1">{"print2",#N/A,FALSE,"D21CUSTS"}</definedName>
    <definedName name="_94" localSheetId="9" hidden="1">{"print2",#N/A,FALSE,"D21CUSTS"}</definedName>
    <definedName name="_94" hidden="1">{"print2",#N/A,FALSE,"D21CUSTS"}</definedName>
    <definedName name="_95" localSheetId="1" hidden="1">{"print3",#N/A,FALSE,"D21CUSTS"}</definedName>
    <definedName name="_95" localSheetId="17" hidden="1">{"print3",#N/A,FALSE,"D21CUSTS"}</definedName>
    <definedName name="_95" localSheetId="30" hidden="1">{"print3",#N/A,FALSE,"D21CUSTS"}</definedName>
    <definedName name="_95" localSheetId="31" hidden="1">{"print3",#N/A,FALSE,"D21CUSTS"}</definedName>
    <definedName name="_95" localSheetId="19" hidden="1">{"print3",#N/A,FALSE,"D21CUSTS"}</definedName>
    <definedName name="_95" localSheetId="7" hidden="1">{"print3",#N/A,FALSE,"D21CUSTS"}</definedName>
    <definedName name="_95" localSheetId="0" hidden="1">{"print3",#N/A,FALSE,"D21CUSTS"}</definedName>
    <definedName name="_95" localSheetId="10" hidden="1">{"print3",#N/A,FALSE,"D21CUSTS"}</definedName>
    <definedName name="_95" localSheetId="12" hidden="1">{"print3",#N/A,FALSE,"D21CUSTS"}</definedName>
    <definedName name="_95" localSheetId="9" hidden="1">{"print3",#N/A,FALSE,"D21CUSTS"}</definedName>
    <definedName name="_95" hidden="1">{"print3",#N/A,FALSE,"D21CUSTS"}</definedName>
    <definedName name="_96" localSheetId="1" hidden="1">{"print4",#N/A,FALSE,"D21CUSTS"}</definedName>
    <definedName name="_96" localSheetId="17" hidden="1">{"print4",#N/A,FALSE,"D21CUSTS"}</definedName>
    <definedName name="_96" localSheetId="30" hidden="1">{"print4",#N/A,FALSE,"D21CUSTS"}</definedName>
    <definedName name="_96" localSheetId="31" hidden="1">{"print4",#N/A,FALSE,"D21CUSTS"}</definedName>
    <definedName name="_96" localSheetId="19" hidden="1">{"print4",#N/A,FALSE,"D21CUSTS"}</definedName>
    <definedName name="_96" localSheetId="7" hidden="1">{"print4",#N/A,FALSE,"D21CUSTS"}</definedName>
    <definedName name="_96" localSheetId="0" hidden="1">{"print4",#N/A,FALSE,"D21CUSTS"}</definedName>
    <definedName name="_96" localSheetId="10" hidden="1">{"print4",#N/A,FALSE,"D21CUSTS"}</definedName>
    <definedName name="_96" localSheetId="12" hidden="1">{"print4",#N/A,FALSE,"D21CUSTS"}</definedName>
    <definedName name="_96" localSheetId="9" hidden="1">{"print4",#N/A,FALSE,"D21CUSTS"}</definedName>
    <definedName name="_96" hidden="1">{"print4",#N/A,FALSE,"D21CUSTS"}</definedName>
    <definedName name="_97"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8" localSheetId="1" hidden="1">{"caz2",#N/A,FALSE,"Central Arizona 2";"saz2",#N/A,FALSE,"Southern Arizona 2";"snv2",#N/A,FALSE,"Southern Nevada 2";"nnv2",#N/A,FALSE,"Northern Nevada 2";"sca2",#N/A,FALSE,"Southern California 2";"nca2",#N/A,FALSE,"Northern California 2";"pai2",#N/A,FALSE,"Paiute 2"}</definedName>
    <definedName name="_98" localSheetId="17" hidden="1">{"caz2",#N/A,FALSE,"Central Arizona 2";"saz2",#N/A,FALSE,"Southern Arizona 2";"snv2",#N/A,FALSE,"Southern Nevada 2";"nnv2",#N/A,FALSE,"Northern Nevada 2";"sca2",#N/A,FALSE,"Southern California 2";"nca2",#N/A,FALSE,"Northern California 2";"pai2",#N/A,FALSE,"Paiute 2"}</definedName>
    <definedName name="_98" localSheetId="30" hidden="1">{"caz2",#N/A,FALSE,"Central Arizona 2";"saz2",#N/A,FALSE,"Southern Arizona 2";"snv2",#N/A,FALSE,"Southern Nevada 2";"nnv2",#N/A,FALSE,"Northern Nevada 2";"sca2",#N/A,FALSE,"Southern California 2";"nca2",#N/A,FALSE,"Northern California 2";"pai2",#N/A,FALSE,"Paiute 2"}</definedName>
    <definedName name="_98" localSheetId="31" hidden="1">{"caz2",#N/A,FALSE,"Central Arizona 2";"saz2",#N/A,FALSE,"Southern Arizona 2";"snv2",#N/A,FALSE,"Southern Nevada 2";"nnv2",#N/A,FALSE,"Northern Nevada 2";"sca2",#N/A,FALSE,"Southern California 2";"nca2",#N/A,FALSE,"Northern California 2";"pai2",#N/A,FALSE,"Paiute 2"}</definedName>
    <definedName name="_98" localSheetId="19" hidden="1">{"caz2",#N/A,FALSE,"Central Arizona 2";"saz2",#N/A,FALSE,"Southern Arizona 2";"snv2",#N/A,FALSE,"Southern Nevada 2";"nnv2",#N/A,FALSE,"Northern Nevada 2";"sca2",#N/A,FALSE,"Southern California 2";"nca2",#N/A,FALSE,"Northern California 2";"pai2",#N/A,FALSE,"Paiute 2"}</definedName>
    <definedName name="_98" localSheetId="7" hidden="1">{"caz2",#N/A,FALSE,"Central Arizona 2";"saz2",#N/A,FALSE,"Southern Arizona 2";"snv2",#N/A,FALSE,"Southern Nevada 2";"nnv2",#N/A,FALSE,"Northern Nevada 2";"sca2",#N/A,FALSE,"Southern California 2";"nca2",#N/A,FALSE,"Northern California 2";"pai2",#N/A,FALSE,"Paiute 2"}</definedName>
    <definedName name="_98" localSheetId="0" hidden="1">{"caz2",#N/A,FALSE,"Central Arizona 2";"saz2",#N/A,FALSE,"Southern Arizona 2";"snv2",#N/A,FALSE,"Southern Nevada 2";"nnv2",#N/A,FALSE,"Northern Nevada 2";"sca2",#N/A,FALSE,"Southern California 2";"nca2",#N/A,FALSE,"Northern California 2";"pai2",#N/A,FALSE,"Paiute 2"}</definedName>
    <definedName name="_98" localSheetId="10" hidden="1">{"caz2",#N/A,FALSE,"Central Arizona 2";"saz2",#N/A,FALSE,"Southern Arizona 2";"snv2",#N/A,FALSE,"Southern Nevada 2";"nnv2",#N/A,FALSE,"Northern Nevada 2";"sca2",#N/A,FALSE,"Southern California 2";"nca2",#N/A,FALSE,"Northern California 2";"pai2",#N/A,FALSE,"Paiute 2"}</definedName>
    <definedName name="_98" localSheetId="12" hidden="1">{"caz2",#N/A,FALSE,"Central Arizona 2";"saz2",#N/A,FALSE,"Southern Arizona 2";"snv2",#N/A,FALSE,"Southern Nevada 2";"nnv2",#N/A,FALSE,"Northern Nevada 2";"sca2",#N/A,FALSE,"Southern California 2";"nca2",#N/A,FALSE,"Northern California 2";"pai2",#N/A,FALSE,"Paiute 2"}</definedName>
    <definedName name="_98" localSheetId="9" hidden="1">{"caz2",#N/A,FALSE,"Central Arizona 2";"saz2",#N/A,FALSE,"Southern Arizona 2";"snv2",#N/A,FALSE,"Southern Nevada 2";"nnv2",#N/A,FALSE,"Northern Nevada 2";"sca2",#N/A,FALSE,"Southern California 2";"nca2",#N/A,FALSE,"Northern California 2";"pai2",#N/A,FALSE,"Paiute 2"}</definedName>
    <definedName name="_98" hidden="1">{"caz2",#N/A,FALSE,"Central Arizona 2";"saz2",#N/A,FALSE,"Southern Arizona 2";"snv2",#N/A,FALSE,"Southern Nevada 2";"nnv2",#N/A,FALSE,"Northern Nevada 2";"sca2",#N/A,FALSE,"Southern California 2";"nca2",#N/A,FALSE,"Northern California 2";"pai2",#N/A,FALSE,"Paiute 2"}</definedName>
    <definedName name="_98__123Graph_BCHART_5" localSheetId="19" hidden="1">#REF!</definedName>
    <definedName name="_98__123Graph_BCHART_5" hidden="1">#REF!</definedName>
    <definedName name="_99" localSheetId="1" hidden="1">{#N/A,#N/A,FALSE,"GLDwnLoad"}</definedName>
    <definedName name="_99" localSheetId="17" hidden="1">{#N/A,#N/A,FALSE,"GLDwnLoad"}</definedName>
    <definedName name="_99" localSheetId="30" hidden="1">{#N/A,#N/A,FALSE,"GLDwnLoad"}</definedName>
    <definedName name="_99" localSheetId="31" hidden="1">{#N/A,#N/A,FALSE,"GLDwnLoad"}</definedName>
    <definedName name="_99" localSheetId="19" hidden="1">{#N/A,#N/A,FALSE,"GLDwnLoad"}</definedName>
    <definedName name="_99" localSheetId="7" hidden="1">{#N/A,#N/A,FALSE,"GLDwnLoad"}</definedName>
    <definedName name="_99" localSheetId="0" hidden="1">{#N/A,#N/A,FALSE,"GLDwnLoad"}</definedName>
    <definedName name="_99" localSheetId="10" hidden="1">{#N/A,#N/A,FALSE,"GLDwnLoad"}</definedName>
    <definedName name="_99" localSheetId="12" hidden="1">{#N/A,#N/A,FALSE,"GLDwnLoad"}</definedName>
    <definedName name="_99" localSheetId="9" hidden="1">{#N/A,#N/A,FALSE,"GLDwnLoad"}</definedName>
    <definedName name="_99" hidden="1">{#N/A,#N/A,FALSE,"GLDwnLoad"}</definedName>
    <definedName name="_AMO_UniqueIdentifier" hidden="1">"'8403d099-e876-4d31-b913-cb2efff0232f'"</definedName>
    <definedName name="_ATPRegress_Dlg_Resullts1" localSheetId="7" hidden="1">{2;#N/A;"R13C16:R17C16";#N/A;"R13C14:R17C15";FALSE;FALSE;FALSE;95;#N/A;#N/A;"R13C19";#N/A;FALSE;FALSE;FALSE;FALSE;#N/A;"";#N/A;FALSE;"";"";#N/A;#N/A;#N/A}</definedName>
    <definedName name="_ATPRegress_Dlg_Resullts1" localSheetId="10" hidden="1">{2;#N/A;"R13C16:R17C16";#N/A;"R13C14:R17C15";FALSE;FALSE;FALSE;95;#N/A;#N/A;"R13C19";#N/A;FALSE;FALSE;FALSE;FALSE;#N/A;"";#N/A;FALSE;"";"";#N/A;#N/A;#N/A}</definedName>
    <definedName name="_ATPRegress_Dlg_Resullts1" localSheetId="12" hidden="1">{2;#N/A;"R13C16:R17C16";#N/A;"R13C14:R17C15";FALSE;FALSE;FALSE;95;#N/A;#N/A;"R13C19";#N/A;FALSE;FALSE;FALSE;FALSE;#N/A;"";#N/A;FALSE;"";"";#N/A;#N/A;#N/A}</definedName>
    <definedName name="_ATPRegress_Dlg_Resullts1" hidden="1">{2;#N/A;"R13C16:R17C16";#N/A;"R13C14:R17C15";FALSE;FALSE;FALSE;95;#N/A;#N/A;"R13C19";#N/A;FALSE;FALSE;FALSE;FALSE;#N/A;"";#N/A;FALSE;"";"";#N/A;#N/A;#N/A}</definedName>
    <definedName name="_ATPRegress_Dlg_Results" localSheetId="7" hidden="1">{2;#N/A;"R13C16:R17C16";#N/A;"R13C14:R17C15";FALSE;FALSE;FALSE;95;#N/A;#N/A;"R13C19";#N/A;FALSE;FALSE;FALSE;FALSE;#N/A;"";#N/A;FALSE;"";"";#N/A;#N/A;#N/A}</definedName>
    <definedName name="_ATPRegress_Dlg_Results" localSheetId="10" hidden="1">{2;#N/A;"R13C16:R17C16";#N/A;"R13C14:R17C15";FALSE;FALSE;FALSE;95;#N/A;#N/A;"R13C19";#N/A;FALSE;FALSE;FALSE;FALSE;#N/A;"";#N/A;FALSE;"";"";#N/A;#N/A;#N/A}</definedName>
    <definedName name="_ATPRegress_Dlg_Results" localSheetId="12"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7" hidden="1">{"EXCELHLP.HLP!1802";5;10;5;10;13;13;13;8;5;5;10;14;13;13;13;13;5;10;14;13;5;10;1;2;24}</definedName>
    <definedName name="_ATPRegress_Dlg_Types" localSheetId="10" hidden="1">{"EXCELHLP.HLP!1802";5;10;5;10;13;13;13;8;5;5;10;14;13;13;13;13;5;10;14;13;5;10;1;2;24}</definedName>
    <definedName name="_ATPRegress_Dlg_Types" localSheetId="12" hidden="1">{"EXCELHLP.HLP!1802";5;10;5;10;13;13;13;8;5;5;10;14;13;13;13;13;5;10;14;13;5;10;1;2;24}</definedName>
    <definedName name="_ATPRegress_Dlg_Types" hidden="1">{"EXCELHLP.HLP!1802";5;10;5;10;13;13;13;8;5;5;10;14;13;13;13;13;5;10;14;13;5;10;1;2;24}</definedName>
    <definedName name="_ATPRegress_Dlg_Types1" localSheetId="7" hidden="1">{"EXCELHLP.HLP!1802";5;10;5;10;13;13;13;8;5;5;10;14;13;13;13;13;5;10;14;13;5;10;1;2;24}</definedName>
    <definedName name="_ATPRegress_Dlg_Types1" localSheetId="10" hidden="1">{"EXCELHLP.HLP!1802";5;10;5;10;13;13;13;8;5;5;10;14;13;13;13;13;5;10;14;13;5;10;1;2;24}</definedName>
    <definedName name="_ATPRegress_Dlg_Types1" localSheetId="12" hidden="1">{"EXCELHLP.HLP!1802";5;10;5;10;13;13;13;8;5;5;10;14;13;13;13;13;5;10;14;13;5;10;1;2;24}</definedName>
    <definedName name="_ATPRegress_Dlg_Types1" hidden="1">{"EXCELHLP.HLP!1802";5;10;5;10;13;13;13;8;5;5;10;14;13;13;13;13;5;10;14;13;5;10;1;2;24}</definedName>
    <definedName name="_ATPRegress_Range1" hidden="1">#REF!</definedName>
    <definedName name="_ATPRegress_Range2" hidden="1">#REF!</definedName>
    <definedName name="_ATPRegress_Range3" hidden="1">#REF!</definedName>
    <definedName name="_ATPRegress_Range4" hidden="1">"="</definedName>
    <definedName name="_ATPRegress_Range5"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 hidden="1">0</definedName>
    <definedName name="_AtRisk_SimSetting_RandomNumberGenerator" localSheetId="7" hidden="1">0</definedName>
    <definedName name="_AtRisk_SimSetting_RandomNumberGenerator" localSheetId="0" hidden="1">0</definedName>
    <definedName name="_AtRisk_SimSetting_RandomNumberGenerator" localSheetId="9" hidden="1">0</definedName>
    <definedName name="_AtRisk_SimSetting_RandomNumberGenerator" hidden="1">7</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99" localSheetId="7" hidden="1">{"SEP",#N/A,FALSE,"SEP"}</definedName>
    <definedName name="_AUG99" localSheetId="10" hidden="1">{"SEP",#N/A,FALSE,"SEP"}</definedName>
    <definedName name="_AUG99" localSheetId="12" hidden="1">{"SEP",#N/A,FALSE,"SEP"}</definedName>
    <definedName name="_AUG99" hidden="1">{"SEP",#N/A,FALSE,"SEP"}</definedName>
    <definedName name="_b" localSheetId="1" hidden="1">{#N/A,#N/A,FALSE,"SCA";#N/A,#N/A,FALSE,"NCA";#N/A,#N/A,FALSE,"SAZ";#N/A,#N/A,FALSE,"CAZ";#N/A,#N/A,FALSE,"SNV";#N/A,#N/A,FALSE,"NNV";#N/A,#N/A,FALSE,"PP";#N/A,#N/A,FALSE,"SA"}</definedName>
    <definedName name="_b" localSheetId="17" hidden="1">{#N/A,#N/A,FALSE,"SCA";#N/A,#N/A,FALSE,"NCA";#N/A,#N/A,FALSE,"SAZ";#N/A,#N/A,FALSE,"CAZ";#N/A,#N/A,FALSE,"SNV";#N/A,#N/A,FALSE,"NNV";#N/A,#N/A,FALSE,"PP";#N/A,#N/A,FALSE,"SA"}</definedName>
    <definedName name="_b" localSheetId="30" hidden="1">{#N/A,#N/A,FALSE,"SCA";#N/A,#N/A,FALSE,"NCA";#N/A,#N/A,FALSE,"SAZ";#N/A,#N/A,FALSE,"CAZ";#N/A,#N/A,FALSE,"SNV";#N/A,#N/A,FALSE,"NNV";#N/A,#N/A,FALSE,"PP";#N/A,#N/A,FALSE,"SA"}</definedName>
    <definedName name="_b" localSheetId="31" hidden="1">{#N/A,#N/A,FALSE,"SCA";#N/A,#N/A,FALSE,"NCA";#N/A,#N/A,FALSE,"SAZ";#N/A,#N/A,FALSE,"CAZ";#N/A,#N/A,FALSE,"SNV";#N/A,#N/A,FALSE,"NNV";#N/A,#N/A,FALSE,"PP";#N/A,#N/A,FALSE,"SA"}</definedName>
    <definedName name="_b" localSheetId="19" hidden="1">{#N/A,#N/A,FALSE,"SCA";#N/A,#N/A,FALSE,"NCA";#N/A,#N/A,FALSE,"SAZ";#N/A,#N/A,FALSE,"CAZ";#N/A,#N/A,FALSE,"SNV";#N/A,#N/A,FALSE,"NNV";#N/A,#N/A,FALSE,"PP";#N/A,#N/A,FALSE,"SA"}</definedName>
    <definedName name="_b" localSheetId="7" hidden="1">{#N/A,#N/A,FALSE,"SCA";#N/A,#N/A,FALSE,"NCA";#N/A,#N/A,FALSE,"SAZ";#N/A,#N/A,FALSE,"CAZ";#N/A,#N/A,FALSE,"SNV";#N/A,#N/A,FALSE,"NNV";#N/A,#N/A,FALSE,"PP";#N/A,#N/A,FALSE,"SA"}</definedName>
    <definedName name="_b" localSheetId="0" hidden="1">{#N/A,#N/A,FALSE,"SCA";#N/A,#N/A,FALSE,"NCA";#N/A,#N/A,FALSE,"SAZ";#N/A,#N/A,FALSE,"CAZ";#N/A,#N/A,FALSE,"SNV";#N/A,#N/A,FALSE,"NNV";#N/A,#N/A,FALSE,"PP";#N/A,#N/A,FALSE,"SA"}</definedName>
    <definedName name="_b" localSheetId="10" hidden="1">{#N/A,#N/A,FALSE,"SCA";#N/A,#N/A,FALSE,"NCA";#N/A,#N/A,FALSE,"SAZ";#N/A,#N/A,FALSE,"CAZ";#N/A,#N/A,FALSE,"SNV";#N/A,#N/A,FALSE,"NNV";#N/A,#N/A,FALSE,"PP";#N/A,#N/A,FALSE,"SA"}</definedName>
    <definedName name="_b" localSheetId="12" hidden="1">{#N/A,#N/A,FALSE,"SCA";#N/A,#N/A,FALSE,"NCA";#N/A,#N/A,FALSE,"SAZ";#N/A,#N/A,FALSE,"CAZ";#N/A,#N/A,FALSE,"SNV";#N/A,#N/A,FALSE,"NNV";#N/A,#N/A,FALSE,"PP";#N/A,#N/A,FALSE,"SA"}</definedName>
    <definedName name="_b" localSheetId="9" hidden="1">{#N/A,#N/A,FALSE,"SCA";#N/A,#N/A,FALSE,"NCA";#N/A,#N/A,FALSE,"SAZ";#N/A,#N/A,FALSE,"CAZ";#N/A,#N/A,FALSE,"SNV";#N/A,#N/A,FALSE,"NNV";#N/A,#N/A,FALSE,"PP";#N/A,#N/A,FALSE,"SA"}</definedName>
    <definedName name="_b" hidden="1">{#N/A,#N/A,FALSE,"SCA";#N/A,#N/A,FALSE,"NCA";#N/A,#N/A,FALSE,"SAZ";#N/A,#N/A,FALSE,"CAZ";#N/A,#N/A,FALSE,"SNV";#N/A,#N/A,FALSE,"NNV";#N/A,#N/A,FALSE,"PP";#N/A,#N/A,FALSE,"SA"}</definedName>
    <definedName name="_bdm.0291A1646F1441D7AC944D0E5EFE3283.edm" localSheetId="30" hidden="1">#REF!</definedName>
    <definedName name="_bdm.0291A1646F1441D7AC944D0E5EFE3283.edm" localSheetId="31" hidden="1">#REF!</definedName>
    <definedName name="_bdm.0291A1646F1441D7AC944D0E5EFE3283.edm" localSheetId="7" hidden="1">#REF!</definedName>
    <definedName name="_bdm.0291A1646F1441D7AC944D0E5EFE3283.edm" localSheetId="12" hidden="1">#REF!</definedName>
    <definedName name="_bdm.0291A1646F1441D7AC944D0E5EFE3283.edm" localSheetId="9" hidden="1">#REF!</definedName>
    <definedName name="_bdm.0291A1646F1441D7AC944D0E5EFE3283.edm" hidden="1">#REF!</definedName>
    <definedName name="_bdm.02BC9EC907394BFAAC45F5B8DE6B5A0A.edm" localSheetId="12" hidden="1">#REF!</definedName>
    <definedName name="_bdm.02BC9EC907394BFAAC45F5B8DE6B5A0A.edm" hidden="1">#REF!</definedName>
    <definedName name="_bdm.039b016a80c04d83ae5fb9fd4292ad92.edm" hidden="1">#REF!</definedName>
    <definedName name="_bdm.06548BEE8E9E447090F8CB0AC0AC5F31.edm" hidden="1">#N/A</definedName>
    <definedName name="_bdm.06812B8C670F4F009DE53E9BA254E0A5.edm" hidden="1">#N/A</definedName>
    <definedName name="_bdm.0681F11611C04E0AAE1964027377F4A9.edm" hidden="1">#N/A</definedName>
    <definedName name="_bdm.07712F5768BF405189F333E8411AE70F.edm" hidden="1">#N/A</definedName>
    <definedName name="_bdm.07BB4CE5F35F4124B4CB8CD029A5FD65.edm" hidden="1">#N/A</definedName>
    <definedName name="_bdm.08521aeb4d484993b182b4e1e1f0b1c4.edm" localSheetId="10" hidden="1">#REF!</definedName>
    <definedName name="_bdm.08521aeb4d484993b182b4e1e1f0b1c4.edm" hidden="1">#REF!</definedName>
    <definedName name="_bdm.0b7947d802734e55a85ffb9b40d2cd7c.edm" localSheetId="10" hidden="1">#REF!</definedName>
    <definedName name="_bdm.0b7947d802734e55a85ffb9b40d2cd7c.edm" hidden="1">#REF!</definedName>
    <definedName name="_bdm.0DA86FB9AFBB41A392F648BC9354895F.edm" hidden="1">#N/A</definedName>
    <definedName name="_bdm.0F49F700E32A4472B5B934A4852FE976.edm" hidden="1">#N/A</definedName>
    <definedName name="_bdm.1258da8a03fe4410a358b4e26051c1b0.edm" localSheetId="10" hidden="1">#REF!</definedName>
    <definedName name="_bdm.1258da8a03fe4410a358b4e26051c1b0.edm" hidden="1">#REF!</definedName>
    <definedName name="_bdm.1397D7996FD449D58DB1C74F03C2EAD2.edm" hidden="1">#N/A</definedName>
    <definedName name="_bdm.141421f6141a47b58fd1911685c3f5eb.edm" localSheetId="10" hidden="1">#REF!</definedName>
    <definedName name="_bdm.141421f6141a47b58fd1911685c3f5eb.edm" hidden="1">#REF!</definedName>
    <definedName name="_bdm.148dbecc1d5547608b9b2a74f1872c93.edm" localSheetId="10" hidden="1">#REF!</definedName>
    <definedName name="_bdm.148dbecc1d5547608b9b2a74f1872c93.edm" hidden="1">#REF!</definedName>
    <definedName name="_bdm.1BC8A61AA07B4DE5BD03012E248598DF.edm" hidden="1">#N/A</definedName>
    <definedName name="_bdm.1d03c659945e47fc9e390eaf42a1d76b.edm" hidden="1">#REF!</definedName>
    <definedName name="_bdm.1d8545c7cd9e478e8c060a13a2d84bc7.edm" hidden="1">#REF!</definedName>
    <definedName name="_bdm.20AF8D07B95649169262DA3671849421.edm" hidden="1">#N/A</definedName>
    <definedName name="_bdm.22B050D25F7F4C81AB7CFD0D52874650.edm" hidden="1">#N/A</definedName>
    <definedName name="_bdm.22D2A55967664597B2B7AEEE9902C00E.edm" hidden="1">#N/A</definedName>
    <definedName name="_bdm.22E53F1EE8D14F7D8264A7788F1420E1.edm" hidden="1">#N/A</definedName>
    <definedName name="_bdm.259D4C67489F471B8C8014E4F75E9464.edm" hidden="1">#N/A</definedName>
    <definedName name="_bdm.28C6EF044B4B4476BB26C5D90F51A6E7.edm" hidden="1">#N/A</definedName>
    <definedName name="_bdm.29be0227d20549fe907b1dc82558a047.edm" localSheetId="10" hidden="1">#REF!</definedName>
    <definedName name="_bdm.29be0227d20549fe907b1dc82558a047.edm" hidden="1">#REF!</definedName>
    <definedName name="_bdm.29C0AB7F571A4C75B202822A40ED12EF.edm" hidden="1">#N/A</definedName>
    <definedName name="_bdm.2DD5DBED70744F3180491394154B963F.edm" hidden="1">#N/A</definedName>
    <definedName name="_bdm.2E81184F10EE4E3F883CFF2EF779E21D.edm" hidden="1">#N/A</definedName>
    <definedName name="_bdm.30A3FBB7365C4BFEA38656E1DBF37431.edm" hidden="1">#N/A</definedName>
    <definedName name="_bdm.3168e58fc4fb4d3cb3ac922e0bba3494.edm" hidden="1">#REF!</definedName>
    <definedName name="_bdm.323fafc155744717960f8253ef8ffda0.edm" localSheetId="10" hidden="1">#REF!</definedName>
    <definedName name="_bdm.323fafc155744717960f8253ef8ffda0.edm" hidden="1">#REF!</definedName>
    <definedName name="_bdm.32735ec2f60b407fbd623302def4d666.edm" hidden="1">#REF!</definedName>
    <definedName name="_bdm.331a4a17b71f4d0c8c152dd47595a762.edm" localSheetId="10" hidden="1">#REF!</definedName>
    <definedName name="_bdm.331a4a17b71f4d0c8c152dd47595a762.edm" hidden="1">#REF!</definedName>
    <definedName name="_bdm.33c424f2349444d3bfc5eac1aed5a9aa.edm" localSheetId="10" hidden="1">#REF!</definedName>
    <definedName name="_bdm.33c424f2349444d3bfc5eac1aed5a9aa.edm" hidden="1">#REF!</definedName>
    <definedName name="_bdm.3490a308eae14778b6b029fa881d2e0b.edm" localSheetId="10" hidden="1">#REF!</definedName>
    <definedName name="_bdm.3490a308eae14778b6b029fa881d2e0b.edm" hidden="1">#REF!</definedName>
    <definedName name="_bdm.36951060AD7545E2AFE48F4244616C65.edm" hidden="1">#N/A</definedName>
    <definedName name="_bdm.37817919aa2b45a78e06988d7538c640.edm" localSheetId="10" hidden="1">#REF!</definedName>
    <definedName name="_bdm.37817919aa2b45a78e06988d7538c640.edm" hidden="1">#REF!</definedName>
    <definedName name="_bdm.379e9ff38d0c4700918d1545e6244cf2.edm" localSheetId="10" hidden="1">#REF!</definedName>
    <definedName name="_bdm.379e9ff38d0c4700918d1545e6244cf2.edm" hidden="1">#REF!</definedName>
    <definedName name="_bdm.3859E844F7864EC6A2A15E215567A2B7.edm" hidden="1">#N/A</definedName>
    <definedName name="_bdm.39d4989a948246b186c42e8a15241a31.edm" localSheetId="10" hidden="1">#REF!</definedName>
    <definedName name="_bdm.39d4989a948246b186c42e8a15241a31.edm" hidden="1">#REF!</definedName>
    <definedName name="_bdm.3FAF9AEDF9CC4688915ABF03BE8B17C9.edm" hidden="1">#N/A</definedName>
    <definedName name="_bdm.3FF2961148074603901304747F48115F.edm" hidden="1">#N/A</definedName>
    <definedName name="_bdm.40CF370F7285455C9C36EF06A3E1937B.edm" localSheetId="10" hidden="1">#REF!</definedName>
    <definedName name="_bdm.40CF370F7285455C9C36EF06A3E1937B.edm" hidden="1">#REF!</definedName>
    <definedName name="_bdm.40F6852818354E58BBD9FFA84DFC8BC7.edm" hidden="1">#N/A</definedName>
    <definedName name="_bdm.43FA574CF1EC46218503CFA60178A567.edm" hidden="1">#N/A</definedName>
    <definedName name="_bdm.4545e9cd562144b6ac23cbc6e6e81cb5.edm" hidden="1">#REF!</definedName>
    <definedName name="_bdm.45F7D114A6D84BECB95FE530DDBA15F7.edm" localSheetId="10" hidden="1">#REF!</definedName>
    <definedName name="_bdm.45F7D114A6D84BECB95FE530DDBA15F7.edm" hidden="1">#REF!</definedName>
    <definedName name="_bdm.460C4D4FCAFF4C61A976F44FC3C464B9.edm" hidden="1">#N/A</definedName>
    <definedName name="_bdm.4665e389fc614a9386f3fd6fcf6db570.edm" localSheetId="10" hidden="1">#REF!</definedName>
    <definedName name="_bdm.4665e389fc614a9386f3fd6fcf6db570.edm" hidden="1">#REF!</definedName>
    <definedName name="_bdm.491cb6def3e34426b1a858d8e7b39683.edm" localSheetId="10" hidden="1">#REF!</definedName>
    <definedName name="_bdm.491cb6def3e34426b1a858d8e7b39683.edm" hidden="1">#REF!</definedName>
    <definedName name="_bdm.4bd62dcdf86544048c119ddc1f5a88bb.edm" localSheetId="10" hidden="1">#REF!</definedName>
    <definedName name="_bdm.4bd62dcdf86544048c119ddc1f5a88bb.edm" hidden="1">#REF!</definedName>
    <definedName name="_bdm.4DE531A3AAE1459EA607D86D30555044.edm" localSheetId="17" hidden="1">#REF!</definedName>
    <definedName name="_bdm.4DE531A3AAE1459EA607D86D30555044.edm" localSheetId="30" hidden="1">#REF!</definedName>
    <definedName name="_bdm.4DE531A3AAE1459EA607D86D30555044.edm" localSheetId="31" hidden="1">#REF!</definedName>
    <definedName name="_bdm.4DE531A3AAE1459EA607D86D30555044.edm" localSheetId="7" hidden="1">#REF!</definedName>
    <definedName name="_bdm.4DE531A3AAE1459EA607D86D30555044.edm" localSheetId="9" hidden="1">#REF!</definedName>
    <definedName name="_bdm.4DE531A3AAE1459EA607D86D30555044.edm" hidden="1">#REF!</definedName>
    <definedName name="_bdm.50d002064c6b4beca30977404282dce6.edm" hidden="1">#REF!</definedName>
    <definedName name="_bdm.52c828aa96754bb49ede2b7a35711de9.edm" localSheetId="10" hidden="1">#REF!</definedName>
    <definedName name="_bdm.52c828aa96754bb49ede2b7a35711de9.edm" hidden="1">#REF!</definedName>
    <definedName name="_bdm.5498bd63e54e45489b181c5694786e77.edm" hidden="1">#REF!</definedName>
    <definedName name="_bdm.554e009ca76745759f6f1cc5d5a7dd38.edm" hidden="1">#REF!</definedName>
    <definedName name="_bdm.55BE2CA1B5A84D86886BB62A962B1D0C.edm" hidden="1">#N/A</definedName>
    <definedName name="_bdm.55fc6aebb07942d195f180567ad63a24.edm" hidden="1">#REF!</definedName>
    <definedName name="_bdm.578F6ED314124A5D9F0C599A58DA8551.edm" hidden="1">#N/A</definedName>
    <definedName name="_bdm.5825F22EF3BC4B11801F2B269D60E80B.edm" hidden="1">#N/A</definedName>
    <definedName name="_bdm.59B913693C8E409A9C6551B4C180D2D6.edm" hidden="1">#N/A</definedName>
    <definedName name="_bdm.5bf31570e06648cab9d4570fceae701f.edm" localSheetId="10" hidden="1">#REF!</definedName>
    <definedName name="_bdm.5bf31570e06648cab9d4570fceae701f.edm" hidden="1">#REF!</definedName>
    <definedName name="_bdm.5C49A735D63643789AD2E909E55467CB.edm" hidden="1">#N/A</definedName>
    <definedName name="_bdm.5F4D5C027E944C28B975A217151A44F7.edm" hidden="1">#N/A</definedName>
    <definedName name="_bdm.600d7eb148bd4461aa5e46dbf3148cfc.edm" hidden="1">#REF!</definedName>
    <definedName name="_bdm.6011D4A34CDB4817BC2B5EE87DC6FC00.edm" hidden="1">#N/A</definedName>
    <definedName name="_bdm.61ECA6B5D6964E25B194F839DA09F1DE.edm" localSheetId="17" hidden="1">#REF!</definedName>
    <definedName name="_bdm.61ECA6B5D6964E25B194F839DA09F1DE.edm" localSheetId="31" hidden="1">#REF!</definedName>
    <definedName name="_bdm.61ECA6B5D6964E25B194F839DA09F1DE.edm" localSheetId="7" hidden="1">#REF!</definedName>
    <definedName name="_bdm.61ECA6B5D6964E25B194F839DA09F1DE.edm" localSheetId="12" hidden="1">#REF!</definedName>
    <definedName name="_bdm.61ECA6B5D6964E25B194F839DA09F1DE.edm" localSheetId="9" hidden="1">#REF!</definedName>
    <definedName name="_bdm.61ECA6B5D6964E25B194F839DA09F1DE.edm" hidden="1">#REF!</definedName>
    <definedName name="_bdm.654D3D6115154D7E9B3A067171499E3B.edm" hidden="1">#N/A</definedName>
    <definedName name="_bdm.66815c1bd49e40cabf8f69ac059d6830.edm" localSheetId="12" hidden="1">#REF!</definedName>
    <definedName name="_bdm.66815c1bd49e40cabf8f69ac059d6830.edm" hidden="1">#REF!</definedName>
    <definedName name="_bdm.66E2B3548FCC4F9A8F2E49612419EC9A.edm" hidden="1">#N/A</definedName>
    <definedName name="_bdm.678FD0E4EDC143EFB42C430834B9F02D.edm" localSheetId="10" hidden="1">#REF!</definedName>
    <definedName name="_bdm.678FD0E4EDC143EFB42C430834B9F02D.edm" hidden="1">#REF!</definedName>
    <definedName name="_bdm.68509E235B46444C99F35D84C169CB6F.edm" hidden="1">#N/A</definedName>
    <definedName name="_bdm.68cce8f8b17646628b63780f6d0a7ce7.edm" hidden="1">#REF!</definedName>
    <definedName name="_bdm.6bcd3008cf814b29930b56ff24ecb7e6.edm" localSheetId="10" hidden="1">#REF!</definedName>
    <definedName name="_bdm.6bcd3008cf814b29930b56ff24ecb7e6.edm" hidden="1">#REF!</definedName>
    <definedName name="_bdm.6C70D1FEF5F24AABAA6AF8C613FD603F.edm" hidden="1">#N/A</definedName>
    <definedName name="_bdm.6E08CADD5FC248C7A31E35C78A4B41F7.edm" hidden="1">#N/A</definedName>
    <definedName name="_bdm.7265D55A41AF411E9C7F3A63F159BCE4.edm" hidden="1">#N/A</definedName>
    <definedName name="_bdm.72AB711AC5504C508D599F54E8C419A8.edm" hidden="1">#N/A</definedName>
    <definedName name="_bdm.72F2D62442414EE691F92743B457B8BD.edm" hidden="1">#N/A</definedName>
    <definedName name="_bdm.736485fa4d924cb4b62e7a25cdce4ddb.edm" localSheetId="10" hidden="1">#REF!</definedName>
    <definedName name="_bdm.736485fa4d924cb4b62e7a25cdce4ddb.edm" hidden="1">#REF!</definedName>
    <definedName name="_bdm.74A107E9882045DEBACA25AFD00090BC.edm" hidden="1">#N/A</definedName>
    <definedName name="_bdm.77fc02ae5c1e49f3b7e5ebe5add912c2.edm" localSheetId="10" hidden="1">#REF!</definedName>
    <definedName name="_bdm.77fc02ae5c1e49f3b7e5ebe5add912c2.edm" hidden="1">#REF!</definedName>
    <definedName name="_bdm.7B8B8440ED9447AF87F4326D7F0320D0.edm" hidden="1">#REF!</definedName>
    <definedName name="_bdm.7c7c7e5da1134cb795aff9775b36b41a.edm" localSheetId="10" hidden="1">#REF!</definedName>
    <definedName name="_bdm.7c7c7e5da1134cb795aff9775b36b41a.edm" hidden="1">#REF!</definedName>
    <definedName name="_bdm.7C8DADF76681415C9B5BE1091E1E82E9.edm" hidden="1">#REF!</definedName>
    <definedName name="_bdm.7da66ccbf0ce4e8da94795a203af3f0d.edm" localSheetId="10" hidden="1">#REF!</definedName>
    <definedName name="_bdm.7da66ccbf0ce4e8da94795a203af3f0d.edm" hidden="1">#REF!</definedName>
    <definedName name="_bdm.7e007877e16942429117cd1f01f231d7.edm" hidden="1">#REF!</definedName>
    <definedName name="_bdm.7e2b8bd67e994605a441781c33e9e8d9.edm" localSheetId="10" hidden="1">#REF!</definedName>
    <definedName name="_bdm.7e2b8bd67e994605a441781c33e9e8d9.edm" hidden="1">#REF!</definedName>
    <definedName name="_bdm.7e5e71f86e3f488d84ec6974968b5ae5.edm" localSheetId="10" hidden="1">#REF!</definedName>
    <definedName name="_bdm.7e5e71f86e3f488d84ec6974968b5ae5.edm" hidden="1">#REF!</definedName>
    <definedName name="_bdm.7f9b4ce646c5403e9a505a73fee1a3ac.edm" localSheetId="10" hidden="1">#REF!</definedName>
    <definedName name="_bdm.7f9b4ce646c5403e9a505a73fee1a3ac.edm" hidden="1">#REF!</definedName>
    <definedName name="_bdm.8151747E19104680B40346A3188080E4.edm" localSheetId="10" hidden="1">#REF!</definedName>
    <definedName name="_bdm.8151747E19104680B40346A3188080E4.edm" hidden="1">#REF!</definedName>
    <definedName name="_bdm.83AE5608C87B42E0BE31D3657068D416.edm" hidden="1">#N/A</definedName>
    <definedName name="_bdm.83E5F3AFA9AF4C2C81B61D1702AADC3F.edm" hidden="1">#N/A</definedName>
    <definedName name="_bdm.86e10adfc5f444d488112f4983a9990c.edm" hidden="1">#REF!</definedName>
    <definedName name="_bdm.8854167c86c54b9288d18b5e50df53c5.edm" localSheetId="10" hidden="1">#REF!</definedName>
    <definedName name="_bdm.8854167c86c54b9288d18b5e50df53c5.edm" hidden="1">#REF!</definedName>
    <definedName name="_bdm.89bc3f9dd9b94b97ab9f2d66fd709011.edm" hidden="1">#REF!</definedName>
    <definedName name="_bdm.8a91ef9365254a60bbfbe5b316455304.edm" hidden="1">#REF!</definedName>
    <definedName name="_bdm.8a95c209eb1f456cb23e13c0066ae12a.edm" localSheetId="10" hidden="1">#REF!</definedName>
    <definedName name="_bdm.8a95c209eb1f456cb23e13c0066ae12a.edm" hidden="1">#REF!</definedName>
    <definedName name="_bdm.8b480a09f4724788a8813bcd52a915e1.edm" localSheetId="10" hidden="1">#REF!</definedName>
    <definedName name="_bdm.8b480a09f4724788a8813bcd52a915e1.edm" hidden="1">#REF!</definedName>
    <definedName name="_bdm.8B99A4CF539444DB91E268AC0B53E5B5.edm" hidden="1">#N/A</definedName>
    <definedName name="_bdm.8CC8853DFF7B40F59E91C96BC674A697.edm" hidden="1">#N/A</definedName>
    <definedName name="_bdm.8CDB46A8D91A494C8C7B985DF2C608B3.edm" hidden="1">#N/A</definedName>
    <definedName name="_bdm.8CE8AC69FECD4DEC9F5F9AD84690956F.edm" hidden="1">#N/A</definedName>
    <definedName name="_bdm.8F98E23E803C471A98885CC4D8886BD5.edm" hidden="1">#N/A</definedName>
    <definedName name="_bdm.935DCCB6C3064C7498E93520416A6A35.edm" hidden="1">#N/A</definedName>
    <definedName name="_bdm.96777F82C80642F48B720825B5924195.edm" hidden="1">#N/A</definedName>
    <definedName name="_bdm.971b8b86ffac49d38865f9784b22f93e.edm" hidden="1">#REF!</definedName>
    <definedName name="_bdm.9B359B193BDF452EBBD0E816B9219B0B.edm" hidden="1">#N/A</definedName>
    <definedName name="_bdm.9b5e319d26354b19816201b9720e6921.edm" localSheetId="10" hidden="1">#REF!</definedName>
    <definedName name="_bdm.9b5e319d26354b19816201b9720e6921.edm" hidden="1">#REF!</definedName>
    <definedName name="_bdm.9b861f8f8e8344a68b387a9ce35af698.edm" localSheetId="10" hidden="1">#REF!</definedName>
    <definedName name="_bdm.9b861f8f8e8344a68b387a9ce35af698.edm" hidden="1">#REF!</definedName>
    <definedName name="_bdm.9F10C2C5BE3B4A3AB090F39E4BDB303B.edm" hidden="1">#REF!</definedName>
    <definedName name="_bdm.9F24D82B539D4568903AE68658A667B9.edm" hidden="1">#N/A</definedName>
    <definedName name="_bdm.A092D1A67852497F8146F9AE0AD14377.edm" hidden="1">#N/A</definedName>
    <definedName name="_bdm.A29B7DE09C5B48AA8C5AB27021B3410C.edm" hidden="1">#N/A</definedName>
    <definedName name="_bdm.a3bd4429283e4844b3b5e349d6a63492.edm" hidden="1">#REF!</definedName>
    <definedName name="_bdm.A47972D7F77B4B0796ACF70023BC3F96.edm" hidden="1">#N/A</definedName>
    <definedName name="_bdm.a8369acb310e47ed81af6b886c06dab7.edm" hidden="1">#REF!</definedName>
    <definedName name="_bdm.a8c3a3f901fb404f893e3b599d386d38.edm" localSheetId="10" hidden="1">#REF!</definedName>
    <definedName name="_bdm.a8c3a3f901fb404f893e3b599d386d38.edm" hidden="1">#REF!</definedName>
    <definedName name="_bdm.a94c6e965de14b39ae9b4262bae3d65f.edm" localSheetId="10" hidden="1">#REF!</definedName>
    <definedName name="_bdm.a94c6e965de14b39ae9b4262bae3d65f.edm" hidden="1">#REF!</definedName>
    <definedName name="_bdm.AD649BD32A964F32ADBDAA142E00340F.edm" localSheetId="10" hidden="1">#REF!</definedName>
    <definedName name="_bdm.AD649BD32A964F32ADBDAA142E00340F.edm" hidden="1">#REF!</definedName>
    <definedName name="_bdm.adcab7968625447ba5c0593245fdaf20.edm" localSheetId="10" hidden="1">#REF!</definedName>
    <definedName name="_bdm.adcab7968625447ba5c0593245fdaf20.edm" hidden="1">#REF!</definedName>
    <definedName name="_bdm.AE70A3ADA84B4107AA85D4B1128351D9.edm" localSheetId="10" hidden="1">#REF!</definedName>
    <definedName name="_bdm.AE70A3ADA84B4107AA85D4B1128351D9.edm" hidden="1">#REF!</definedName>
    <definedName name="_bdm.b1266e5124fa430fbc44feacd49cc075.edm" localSheetId="10" hidden="1">#REF!</definedName>
    <definedName name="_bdm.b1266e5124fa430fbc44feacd49cc075.edm" hidden="1">#REF!</definedName>
    <definedName name="_bdm.b27772d3b59647cb8a998ea0a5ce9f08.edm" hidden="1">#REF!</definedName>
    <definedName name="_bdm.B3AB32E30F3B4D73AACE765699DCF566.edm" hidden="1">#N/A</definedName>
    <definedName name="_bdm.B3E33F6956804297815AB015A0731C8C.edm" localSheetId="10" hidden="1">#REF!</definedName>
    <definedName name="_bdm.B3E33F6956804297815AB015A0731C8C.edm" hidden="1">#REF!</definedName>
    <definedName name="_bdm.b5967d5973ed4805a63a4b3a01ca5bd5.edm" hidden="1">#REF!</definedName>
    <definedName name="_bdm.B85F274FC983427682E50C09267CB4E6.edm" hidden="1">#N/A</definedName>
    <definedName name="_bdm.ba392389fc8040a59b8ff55d39286803.edm" hidden="1">#REF!</definedName>
    <definedName name="_bdm.bab0ab35477548518fbb28ca26fe609d.edm" hidden="1">#REF!</definedName>
    <definedName name="_bdm.BB997AB34A834BB7B4F7870F473BB02B.edm" hidden="1">#N/A</definedName>
    <definedName name="_bdm.BD04B9D69F214E3DA8444E01CAEDAEB9.edm" hidden="1">#N/A</definedName>
    <definedName name="_bdm.BD6466E36CCF41EEAA7933950255DAB7.edm" hidden="1">#N/A</definedName>
    <definedName name="_bdm.C3D25399E3524AA99D704CB964191413.edm" hidden="1">#N/A</definedName>
    <definedName name="_bdm.c41443d9df0f4cce95a125a4818817b8.edm" localSheetId="10" hidden="1">#REF!</definedName>
    <definedName name="_bdm.c41443d9df0f4cce95a125a4818817b8.edm" hidden="1">#REF!</definedName>
    <definedName name="_bdm.C43B652A294D4342A4ED614ED3BC5B8D.edm" hidden="1">#N/A</definedName>
    <definedName name="_bdm.C6BF44C57A0942EEAD9D2DD81D6E2C24.edm" hidden="1">#N/A</definedName>
    <definedName name="_bdm.C89B164058B04592A03C04B67AF2DEE1.edm" hidden="1">#N/A</definedName>
    <definedName name="_bdm.cc81f402210c4f95ac5c1ae187b84047.edm" hidden="1">#REF!</definedName>
    <definedName name="_bdm.CDBB2BA2388345AB8BFCCCC86312624D.edm" hidden="1">#N/A</definedName>
    <definedName name="_bdm.CE623AD9CF0849BFBE1677D4B4BE96C6.edm" hidden="1">#N/A</definedName>
    <definedName name="_bdm.CEF5B8A661664734B0B15CC949ADA8A7.edm" hidden="1">#N/A</definedName>
    <definedName name="_bdm.CF504156952E4862A71E630CECD69742.edm" hidden="1">#N/A</definedName>
    <definedName name="_bdm.D3AF720E66954FEFA16A6887F3630CB3.edm" hidden="1">#N/A</definedName>
    <definedName name="_bdm.D3B1ED1DAE4F45FBB6C76C849671103F.edm" hidden="1">#N/A</definedName>
    <definedName name="_bdm.d404f2cd08bb448a9ef96743aed50061.edm" hidden="1">#REF!</definedName>
    <definedName name="_bdm.d51391122fa0441ca77460b0078574af.edm" localSheetId="10" hidden="1">#REF!</definedName>
    <definedName name="_bdm.d51391122fa0441ca77460b0078574af.edm" hidden="1">#REF!</definedName>
    <definedName name="_bdm.D817FAEFB734449BA065591D6D103C02.edm" hidden="1">#N/A</definedName>
    <definedName name="_bdm.d919b8efc4b340afba5a5583435b0d62.edm" localSheetId="10" hidden="1">#REF!</definedName>
    <definedName name="_bdm.d919b8efc4b340afba5a5583435b0d62.edm" hidden="1">#REF!</definedName>
    <definedName name="_bdm.dae9dcc967164d88aaf632e24d611c44.edm" localSheetId="10" hidden="1">#REF!</definedName>
    <definedName name="_bdm.dae9dcc967164d88aaf632e24d611c44.edm" hidden="1">#REF!</definedName>
    <definedName name="_bdm.dd0ac8ce134846738a1f46262d4ce8e6.edm" localSheetId="10" hidden="1">#REF!</definedName>
    <definedName name="_bdm.dd0ac8ce134846738a1f46262d4ce8e6.edm" hidden="1">#REF!</definedName>
    <definedName name="_bdm.deb8b86edd3a46119870731154fdad8d.edm" hidden="1">#REF!</definedName>
    <definedName name="_bdm.E067B69415224F31BC8B1894848823F4.edm" hidden="1">#N/A</definedName>
    <definedName name="_bdm.E07C3F98E36A4768A175728942F3BCB0.edm" hidden="1">#N/A</definedName>
    <definedName name="_bdm.E08526973F254D7DAF3EFE719B4D809E.edm" hidden="1">#N/A</definedName>
    <definedName name="_bdm.E190640EF15E49538CA0305247CDDA6B.edm" hidden="1">#N/A</definedName>
    <definedName name="_bdm.E369C55C392441D8AA4711B3F4354EC3.edm" hidden="1">#N/A</definedName>
    <definedName name="_bdm.E56B7CEE32FB4F929148E617BA40429D.edm" hidden="1">#N/A</definedName>
    <definedName name="_bdm.E764EA77C30D4DEBB1FA6ED656066FD0.edm" hidden="1">#N/A</definedName>
    <definedName name="_bdm.e8ddaf3b04a640cf96cf5885bc9ba24d.edm" hidden="1">#REF!</definedName>
    <definedName name="_bdm.E9E10C129D804B59B4973C2F63E4CFE0.edm" hidden="1">#N/A</definedName>
    <definedName name="_bdm.eaa8cea1527a4b5985d292f3717a4d96.edm" localSheetId="10" hidden="1">#REF!</definedName>
    <definedName name="_bdm.eaa8cea1527a4b5985d292f3717a4d96.edm" hidden="1">#REF!</definedName>
    <definedName name="_bdm.EAB49C8B8D3E4A37BA532CA57778312B.edm" hidden="1">#N/A</definedName>
    <definedName name="_bdm.ed7f73d2bb65493394c2c97417b72d8f.edm" hidden="1">#REF!</definedName>
    <definedName name="_bdm.EF8E132A659C430387D12CF4C0897727.edm" localSheetId="31" hidden="1">#REF!</definedName>
    <definedName name="_bdm.EF8E132A659C430387D12CF4C0897727.edm" localSheetId="7" hidden="1">#REF!</definedName>
    <definedName name="_bdm.EF8E132A659C430387D12CF4C0897727.edm" localSheetId="12" hidden="1">#REF!</definedName>
    <definedName name="_bdm.EF8E132A659C430387D12CF4C0897727.edm" hidden="1">#REF!</definedName>
    <definedName name="_bdm.efae5cbf3036463e8e4a3c5c6563d013.edm" localSheetId="10" hidden="1">#REF!</definedName>
    <definedName name="_bdm.efae5cbf3036463e8e4a3c5c6563d013.edm" hidden="1">#REF!</definedName>
    <definedName name="_bdm.f12a2936f870431ab9a093df6bfc5964.edm" localSheetId="10" hidden="1">#REF!</definedName>
    <definedName name="_bdm.f12a2936f870431ab9a093df6bfc5964.edm" hidden="1">#REF!</definedName>
    <definedName name="_bdm.F19FB83DB24E419A9C6C7F8B8692B943.edm" hidden="1">#N/A</definedName>
    <definedName name="_bdm.F1A148AA0BDC45E6B9BF80B808183804.edm" hidden="1">#N/A</definedName>
    <definedName name="_bdm.F2C119A912F44B4A952F79BEEFDEF2A1.edm" hidden="1">#N/A</definedName>
    <definedName name="_bdm.f3394cee36714fd7a77f345da540791f.edm" localSheetId="10" hidden="1">#REF!</definedName>
    <definedName name="_bdm.f3394cee36714fd7a77f345da540791f.edm" hidden="1">#REF!</definedName>
    <definedName name="_bdm.F849B1D8EFA440A283519A01EAF6E0B8.edm" hidden="1">#N/A</definedName>
    <definedName name="_bdm.fa9f7c188b0f44c19041d62053b6af72.edm" localSheetId="10" hidden="1">#REF!</definedName>
    <definedName name="_bdm.fa9f7c188b0f44c19041d62053b6af72.edm" hidden="1">#REF!</definedName>
    <definedName name="_bdm.FastTrackBookmark.1_10_2020_8_25_02_PM.edm" localSheetId="10" hidden="1">#REF!</definedName>
    <definedName name="_bdm.FastTrackBookmark.1_10_2020_8_25_02_PM.edm" hidden="1">#REF!</definedName>
    <definedName name="_bdm.FastTrackBookmark.4_4_2019_3_29_54_PM.edm" localSheetId="10" hidden="1">#REF!</definedName>
    <definedName name="_bdm.FastTrackBookmark.4_4_2019_3_29_54_PM.edm" hidden="1">#REF!</definedName>
    <definedName name="_bdm.FastTrackBookmark.7_12_2021_10_57_31_AM.edm" localSheetId="10" hidden="1">#REF!</definedName>
    <definedName name="_bdm.FastTrackBookmark.7_12_2021_10_57_31_AM.edm" hidden="1">#REF!</definedName>
    <definedName name="_bdm.fb43129e6a344fb4add6e31a32932b19.edm" hidden="1">#REF!</definedName>
    <definedName name="_bdm.FB4CE0249B9B4EDCA210A3E8FA11E480.edm" localSheetId="10" hidden="1">#REF!</definedName>
    <definedName name="_bdm.FB4CE0249B9B4EDCA210A3E8FA11E480.edm" hidden="1">#REF!</definedName>
    <definedName name="_bdm.fbc4a20578ba4838bf57e6a02d8b3e12.edm" localSheetId="10" hidden="1">#REF!</definedName>
    <definedName name="_bdm.fbc4a20578ba4838bf57e6a02d8b3e12.edm" hidden="1">#REF!</definedName>
    <definedName name="_bdm.fc1857bdbec249f083faaa131a924664.edm" localSheetId="10" hidden="1">#REF!</definedName>
    <definedName name="_bdm.fc1857bdbec249f083faaa131a924664.edm" hidden="1">#REF!</definedName>
    <definedName name="_bdm.fdd4ea99379442329c01a269227c9a7f.edm" hidden="1">#REF!</definedName>
    <definedName name="_bdm.ffba55461ca548608c2dad43c78f5481.edm" hidden="1">#REF!</definedName>
    <definedName name="_CNC2.CE2" localSheetId="10">#REF!</definedName>
    <definedName name="_CNC2.CE2">#REF!</definedName>
    <definedName name="_Con1">#REF!</definedName>
    <definedName name="_Con2">#REF!</definedName>
    <definedName name="_Con3">#REF!</definedName>
    <definedName name="_Con4">#REF!</definedName>
    <definedName name="_con4050" localSheetId="1" hidden="1">{#N/A,"Anonymous",FALSE,"30 30k Table";#N/A,#N/A,FALSE,"30 50k Table";#N/A,#N/A,FALSE,"40 100k Table"}</definedName>
    <definedName name="_con4050" localSheetId="17" hidden="1">{#N/A,"Anonymous",FALSE,"30 30k Table";#N/A,#N/A,FALSE,"30 50k Table";#N/A,#N/A,FALSE,"40 100k Table"}</definedName>
    <definedName name="_con4050" localSheetId="30" hidden="1">{#N/A,"Anonymous",FALSE,"30 30k Table";#N/A,#N/A,FALSE,"30 50k Table";#N/A,#N/A,FALSE,"40 100k Table"}</definedName>
    <definedName name="_con4050" localSheetId="31" hidden="1">{#N/A,"Anonymous",FALSE,"30 30k Table";#N/A,#N/A,FALSE,"30 50k Table";#N/A,#N/A,FALSE,"40 100k Table"}</definedName>
    <definedName name="_con4050" localSheetId="19" hidden="1">{#N/A,"Anonymous",FALSE,"30 30k Table";#N/A,#N/A,FALSE,"30 50k Table";#N/A,#N/A,FALSE,"40 100k Table"}</definedName>
    <definedName name="_con4050" localSheetId="7" hidden="1">{#N/A,"Anonymous",FALSE,"30 30k Table";#N/A,#N/A,FALSE,"30 50k Table";#N/A,#N/A,FALSE,"40 100k Table"}</definedName>
    <definedName name="_con4050" localSheetId="0" hidden="1">{#N/A,"Anonymous",FALSE,"30 30k Table";#N/A,#N/A,FALSE,"30 50k Table";#N/A,#N/A,FALSE,"40 100k Table"}</definedName>
    <definedName name="_con4050" localSheetId="10" hidden="1">{#N/A,"Anonymous",FALSE,"30 30k Table";#N/A,#N/A,FALSE,"30 50k Table";#N/A,#N/A,FALSE,"40 100k Table"}</definedName>
    <definedName name="_con4050" localSheetId="12" hidden="1">{#N/A,"Anonymous",FALSE,"30 30k Table";#N/A,#N/A,FALSE,"30 50k Table";#N/A,#N/A,FALSE,"40 100k Table"}</definedName>
    <definedName name="_con4050" localSheetId="9" hidden="1">{#N/A,"Anonymous",FALSE,"30 30k Table";#N/A,#N/A,FALSE,"30 50k Table";#N/A,#N/A,FALSE,"40 100k Table"}</definedName>
    <definedName name="_con4050" hidden="1">{#N/A,"Anonymous",FALSE,"30 30k Table";#N/A,#N/A,FALSE,"30 50k Table";#N/A,#N/A,FALSE,"40 100k Table"}</definedName>
    <definedName name="_d" localSheetId="1" hidden="1">{"caz2",#N/A,FALSE,"Central Arizona 2";"saz2",#N/A,FALSE,"Southern Arizona 2";"snv2",#N/A,FALSE,"Southern Nevada 2";"nnv2",#N/A,FALSE,"Northern Nevada 2";"sca2",#N/A,FALSE,"Southern California 2";"nca2",#N/A,FALSE,"Northern California 2";"pai2",#N/A,FALSE,"Paiute 2"}</definedName>
    <definedName name="_d" localSheetId="17" hidden="1">{"caz2",#N/A,FALSE,"Central Arizona 2";"saz2",#N/A,FALSE,"Southern Arizona 2";"snv2",#N/A,FALSE,"Southern Nevada 2";"nnv2",#N/A,FALSE,"Northern Nevada 2";"sca2",#N/A,FALSE,"Southern California 2";"nca2",#N/A,FALSE,"Northern California 2";"pai2",#N/A,FALSE,"Paiute 2"}</definedName>
    <definedName name="_d" localSheetId="30" hidden="1">{"caz2",#N/A,FALSE,"Central Arizona 2";"saz2",#N/A,FALSE,"Southern Arizona 2";"snv2",#N/A,FALSE,"Southern Nevada 2";"nnv2",#N/A,FALSE,"Northern Nevada 2";"sca2",#N/A,FALSE,"Southern California 2";"nca2",#N/A,FALSE,"Northern California 2";"pai2",#N/A,FALSE,"Paiute 2"}</definedName>
    <definedName name="_d" localSheetId="31" hidden="1">{"caz2",#N/A,FALSE,"Central Arizona 2";"saz2",#N/A,FALSE,"Southern Arizona 2";"snv2",#N/A,FALSE,"Southern Nevada 2";"nnv2",#N/A,FALSE,"Northern Nevada 2";"sca2",#N/A,FALSE,"Southern California 2";"nca2",#N/A,FALSE,"Northern California 2";"pai2",#N/A,FALSE,"Paiute 2"}</definedName>
    <definedName name="_d" localSheetId="19" hidden="1">{"caz2",#N/A,FALSE,"Central Arizona 2";"saz2",#N/A,FALSE,"Southern Arizona 2";"snv2",#N/A,FALSE,"Southern Nevada 2";"nnv2",#N/A,FALSE,"Northern Nevada 2";"sca2",#N/A,FALSE,"Southern California 2";"nca2",#N/A,FALSE,"Northern California 2";"pai2",#N/A,FALSE,"Paiute 2"}</definedName>
    <definedName name="_d" localSheetId="7" hidden="1">{"caz2",#N/A,FALSE,"Central Arizona 2";"saz2",#N/A,FALSE,"Southern Arizona 2";"snv2",#N/A,FALSE,"Southern Nevada 2";"nnv2",#N/A,FALSE,"Northern Nevada 2";"sca2",#N/A,FALSE,"Southern California 2";"nca2",#N/A,FALSE,"Northern California 2";"pai2",#N/A,FALSE,"Paiute 2"}</definedName>
    <definedName name="_d" localSheetId="0" hidden="1">{"caz2",#N/A,FALSE,"Central Arizona 2";"saz2",#N/A,FALSE,"Southern Arizona 2";"snv2",#N/A,FALSE,"Southern Nevada 2";"nnv2",#N/A,FALSE,"Northern Nevada 2";"sca2",#N/A,FALSE,"Southern California 2";"nca2",#N/A,FALSE,"Northern California 2";"pai2",#N/A,FALSE,"Paiute 2"}</definedName>
    <definedName name="_d" localSheetId="10" hidden="1">{"caz2",#N/A,FALSE,"Central Arizona 2";"saz2",#N/A,FALSE,"Southern Arizona 2";"snv2",#N/A,FALSE,"Southern Nevada 2";"nnv2",#N/A,FALSE,"Northern Nevada 2";"sca2",#N/A,FALSE,"Southern California 2";"nca2",#N/A,FALSE,"Northern California 2";"pai2",#N/A,FALSE,"Paiute 2"}</definedName>
    <definedName name="_d" localSheetId="12" hidden="1">{"caz2",#N/A,FALSE,"Central Arizona 2";"saz2",#N/A,FALSE,"Southern Arizona 2";"snv2",#N/A,FALSE,"Southern Nevada 2";"nnv2",#N/A,FALSE,"Northern Nevada 2";"sca2",#N/A,FALSE,"Southern California 2";"nca2",#N/A,FALSE,"Northern California 2";"pai2",#N/A,FALSE,"Paiute 2"}</definedName>
    <definedName name="_d" localSheetId="9" hidden="1">{"caz2",#N/A,FALSE,"Central Arizona 2";"saz2",#N/A,FALSE,"Southern Arizona 2";"snv2",#N/A,FALSE,"Southern Nevada 2";"nnv2",#N/A,FALSE,"Northern Nevada 2";"sca2",#N/A,FALSE,"Southern California 2";"nca2",#N/A,FALSE,"Northern California 2";"pai2",#N/A,FALSE,"Paiute 2"}</definedName>
    <definedName name="_d" hidden="1">{"caz2",#N/A,FALSE,"Central Arizona 2";"saz2",#N/A,FALSE,"Southern Arizona 2";"snv2",#N/A,FALSE,"Southern Nevada 2";"nnv2",#N/A,FALSE,"Northern Nevada 2";"sca2",#N/A,FALSE,"Southern California 2";"nca2",#N/A,FALSE,"Northern California 2";"pai2",#N/A,FALSE,"Paiute 2"}</definedName>
    <definedName name="_Dist_Values" localSheetId="10" hidden="1">#REF!</definedName>
    <definedName name="_Dist_Values" hidden="1">#REF!</definedName>
    <definedName name="_Div02">#REF!</definedName>
    <definedName name="_div1" localSheetId="7">#REF!</definedName>
    <definedName name="_div1">#REF!</definedName>
    <definedName name="_div10" localSheetId="7">#REF!</definedName>
    <definedName name="_div10">#REF!</definedName>
    <definedName name="_DIV12">#REF!</definedName>
    <definedName name="_div2" localSheetId="7">#REF!</definedName>
    <definedName name="_div2">#REF!</definedName>
    <definedName name="_div21" localSheetId="7">#REF!</definedName>
    <definedName name="_div21">#REF!</definedName>
    <definedName name="_div3" localSheetId="7">#REF!</definedName>
    <definedName name="_div3">#REF!</definedName>
    <definedName name="_div4" localSheetId="7">#REF!</definedName>
    <definedName name="_div4">#REF!</definedName>
    <definedName name="_e3" localSheetId="7" hidden="1">{"SEP",#N/A,FALSE,"SEP"}</definedName>
    <definedName name="_e3" localSheetId="10" hidden="1">{"SEP",#N/A,FALSE,"SEP"}</definedName>
    <definedName name="_e3" localSheetId="12" hidden="1">{"SEP",#N/A,FALSE,"SEP"}</definedName>
    <definedName name="_e3" hidden="1">{"SEP",#N/A,FALSE,"SEP"}</definedName>
    <definedName name="_EXH1" localSheetId="12">#REF!</definedName>
    <definedName name="_EXH1">#REF!</definedName>
    <definedName name="_EXH6" localSheetId="12">#REF!</definedName>
    <definedName name="_EXH6">#REF!</definedName>
    <definedName name="_f18"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f18"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f18" hidden="1">{#N/A,#N/A,FALSE,"Australia";#N/A,#N/A,FALSE,"Austria";#N/A,#N/A,FALSE,"Belgium";#N/A,#N/A,FALSE,"Canada";#N/A,#N/A,FALSE,"France";#N/A,#N/A,FALSE,"Germany";#N/A,#N/A,FALSE,"Hong Kong";#N/A,#N/A,FALSE,"Italy";#N/A,#N/A,FALSE,"Japan";#N/A,#N/A,FALSE,"Korea";#N/A,#N/A,FALSE,"Mexico";#N/A,#N/A,FALSE,"Poland";#N/A,#N/A,FALSE,"Spain";#N/A,#N/A,FALSE,"Switzerland";#N/A,#N/A,FALSE,"UK"}</definedName>
    <definedName name="_Fill" localSheetId="1" hidden="1">#REF!</definedName>
    <definedName name="_Fill" localSheetId="31" hidden="1">#REF!</definedName>
    <definedName name="_Fill" localSheetId="7" hidden="1">#REF!</definedName>
    <definedName name="_Fill" localSheetId="0" hidden="1">#REF!</definedName>
    <definedName name="_Fill" localSheetId="10" hidden="1">#REF!</definedName>
    <definedName name="_Fill" localSheetId="9" hidden="1">#REF!</definedName>
    <definedName name="_Fill" hidden="1">#REF!</definedName>
    <definedName name="_xlnm._FilterDatabase" localSheetId="19" hidden="1">'1.4 Capital Str. (Perm Cap)'!$D$21:$O$24</definedName>
    <definedName name="_xlnm._FilterDatabase" localSheetId="8" hidden="1">'WP WPCA Budget Report'!$A$4:$L$38</definedName>
    <definedName name="_FLL2" localSheetId="7" hidden="1">#REF!</definedName>
    <definedName name="_FLL2" localSheetId="10" hidden="1">#REF!</definedName>
    <definedName name="_FLL2" hidden="1">#REF!</definedName>
    <definedName name="_IS2" localSheetId="7" hidden="1">{#N/A,#N/A,FALSE,"OUT  AREC"}</definedName>
    <definedName name="_IS2" localSheetId="10" hidden="1">{#N/A,#N/A,FALSE,"OUT  AREC"}</definedName>
    <definedName name="_IS2" localSheetId="12" hidden="1">{#N/A,#N/A,FALSE,"OUT  AREC"}</definedName>
    <definedName name="_IS2" hidden="1">{#N/A,#N/A,FALSE,"OUT  AREC"}</definedName>
    <definedName name="_JAN01" localSheetId="7" hidden="1">{"SEP",#N/A,FALSE,"SEP"}</definedName>
    <definedName name="_JAN01" localSheetId="10" hidden="1">{"SEP",#N/A,FALSE,"SEP"}</definedName>
    <definedName name="_JAN01" localSheetId="12" hidden="1">{"SEP",#N/A,FALSE,"SEP"}</definedName>
    <definedName name="_JAN01" hidden="1">{"SEP",#N/A,FALSE,"SEP"}</definedName>
    <definedName name="_Key1" localSheetId="1" hidden="1">#REF!</definedName>
    <definedName name="_Key1" localSheetId="17" hidden="1">#REF!</definedName>
    <definedName name="_Key1" localSheetId="30" hidden="1">#REF!</definedName>
    <definedName name="_Key1" localSheetId="31" hidden="1">#REF!</definedName>
    <definedName name="_Key1" localSheetId="7" hidden="1">#REF!</definedName>
    <definedName name="_Key1" localSheetId="0" hidden="1">#REF!</definedName>
    <definedName name="_Key1" localSheetId="10" hidden="1">#REF!</definedName>
    <definedName name="_Key1" localSheetId="9" hidden="1">#REF!</definedName>
    <definedName name="_Key1" hidden="1">#REF!</definedName>
    <definedName name="_Key11" localSheetId="1" hidden="1">#REF!</definedName>
    <definedName name="_Key11" localSheetId="31" hidden="1">#REF!</definedName>
    <definedName name="_Key11" localSheetId="7" hidden="1">#REF!</definedName>
    <definedName name="_Key11" localSheetId="9" hidden="1">#REF!</definedName>
    <definedName name="_Key11" hidden="1">#REF!</definedName>
    <definedName name="_key2" localSheetId="1" hidden="1">#REF!</definedName>
    <definedName name="_key2" localSheetId="31" hidden="1">#REF!</definedName>
    <definedName name="_key2" localSheetId="7" hidden="1">#REF!</definedName>
    <definedName name="_key2" localSheetId="0" hidden="1">#REF!</definedName>
    <definedName name="_Key2" localSheetId="10" hidden="1">#REF!</definedName>
    <definedName name="_Key2" hidden="1">#REF!</definedName>
    <definedName name="_lslkdjf" localSheetId="31" hidden="1">#REF!</definedName>
    <definedName name="_lslkdjf" localSheetId="7" hidden="1">#REF!</definedName>
    <definedName name="_lslkdjf" hidden="1">#REF!</definedName>
    <definedName name="_MatInverse_In" localSheetId="31" hidden="1">#REF!</definedName>
    <definedName name="_MatInverse_In" localSheetId="7" hidden="1">#REF!</definedName>
    <definedName name="_MatInverse_In" hidden="1">#REF!</definedName>
    <definedName name="_MatInverse_Out" localSheetId="31" hidden="1">#REF!</definedName>
    <definedName name="_MatInverse_Out" localSheetId="7" hidden="1">#REF!</definedName>
    <definedName name="_MatInverse_Out" hidden="1">#REF!</definedName>
    <definedName name="_MatMult_A" localSheetId="30" hidden="1">#REF!</definedName>
    <definedName name="_MatMult_A" localSheetId="19" hidden="1">#REF!</definedName>
    <definedName name="_MatMult_A" localSheetId="7" hidden="1">#REF!</definedName>
    <definedName name="_MatMult_A" hidden="1">#REF!</definedName>
    <definedName name="_n4" localSheetId="7" hidden="1">{"EXCELHLP.HLP!1802";5;10;5;10;13;13;13;8;5;5;10;14;13;13;13;13;5;10;14;13;5;10;1;2;24}</definedName>
    <definedName name="_n4" localSheetId="10" hidden="1">{"EXCELHLP.HLP!1802";5;10;5;10;13;13;13;8;5;5;10;14;13;13;13;13;5;10;14;13;5;10;1;2;24}</definedName>
    <definedName name="_n4" localSheetId="12" hidden="1">{"EXCELHLP.HLP!1802";5;10;5;10;13;13;13;8;5;5;10;14;13;13;13;13;5;10;14;13;5;10;1;2;24}</definedName>
    <definedName name="_n4" hidden="1">{"EXCELHLP.HLP!1802";5;10;5;10;13;13;13;8;5;5;10;14;13;13;13;13;5;10;14;13;5;10;1;2;24}</definedName>
    <definedName name="_new22" localSheetId="1" hidden="1">{#N/A,#N/A,FALSE,"SCA";#N/A,#N/A,FALSE,"NCA";#N/A,#N/A,FALSE,"SAZ";#N/A,#N/A,FALSE,"CAZ";#N/A,#N/A,FALSE,"SNV";#N/A,#N/A,FALSE,"NNV";#N/A,#N/A,FALSE,"PP";#N/A,#N/A,FALSE,"SA"}</definedName>
    <definedName name="_new22" localSheetId="17" hidden="1">{#N/A,#N/A,FALSE,"SCA";#N/A,#N/A,FALSE,"NCA";#N/A,#N/A,FALSE,"SAZ";#N/A,#N/A,FALSE,"CAZ";#N/A,#N/A,FALSE,"SNV";#N/A,#N/A,FALSE,"NNV";#N/A,#N/A,FALSE,"PP";#N/A,#N/A,FALSE,"SA"}</definedName>
    <definedName name="_new22" localSheetId="30" hidden="1">{#N/A,#N/A,FALSE,"SCA";#N/A,#N/A,FALSE,"NCA";#N/A,#N/A,FALSE,"SAZ";#N/A,#N/A,FALSE,"CAZ";#N/A,#N/A,FALSE,"SNV";#N/A,#N/A,FALSE,"NNV";#N/A,#N/A,FALSE,"PP";#N/A,#N/A,FALSE,"SA"}</definedName>
    <definedName name="_new22" localSheetId="31" hidden="1">{#N/A,#N/A,FALSE,"SCA";#N/A,#N/A,FALSE,"NCA";#N/A,#N/A,FALSE,"SAZ";#N/A,#N/A,FALSE,"CAZ";#N/A,#N/A,FALSE,"SNV";#N/A,#N/A,FALSE,"NNV";#N/A,#N/A,FALSE,"PP";#N/A,#N/A,FALSE,"SA"}</definedName>
    <definedName name="_new22" localSheetId="19" hidden="1">{#N/A,#N/A,FALSE,"SCA";#N/A,#N/A,FALSE,"NCA";#N/A,#N/A,FALSE,"SAZ";#N/A,#N/A,FALSE,"CAZ";#N/A,#N/A,FALSE,"SNV";#N/A,#N/A,FALSE,"NNV";#N/A,#N/A,FALSE,"PP";#N/A,#N/A,FALSE,"SA"}</definedName>
    <definedName name="_new22" localSheetId="7" hidden="1">{#N/A,#N/A,FALSE,"SCA";#N/A,#N/A,FALSE,"NCA";#N/A,#N/A,FALSE,"SAZ";#N/A,#N/A,FALSE,"CAZ";#N/A,#N/A,FALSE,"SNV";#N/A,#N/A,FALSE,"NNV";#N/A,#N/A,FALSE,"PP";#N/A,#N/A,FALSE,"SA"}</definedName>
    <definedName name="_new22" localSheetId="0" hidden="1">{#N/A,#N/A,FALSE,"SCA";#N/A,#N/A,FALSE,"NCA";#N/A,#N/A,FALSE,"SAZ";#N/A,#N/A,FALSE,"CAZ";#N/A,#N/A,FALSE,"SNV";#N/A,#N/A,FALSE,"NNV";#N/A,#N/A,FALSE,"PP";#N/A,#N/A,FALSE,"SA"}</definedName>
    <definedName name="_new22" localSheetId="10" hidden="1">{#N/A,#N/A,FALSE,"SCA";#N/A,#N/A,FALSE,"NCA";#N/A,#N/A,FALSE,"SAZ";#N/A,#N/A,FALSE,"CAZ";#N/A,#N/A,FALSE,"SNV";#N/A,#N/A,FALSE,"NNV";#N/A,#N/A,FALSE,"PP";#N/A,#N/A,FALSE,"SA"}</definedName>
    <definedName name="_new22" localSheetId="12" hidden="1">{#N/A,#N/A,FALSE,"SCA";#N/A,#N/A,FALSE,"NCA";#N/A,#N/A,FALSE,"SAZ";#N/A,#N/A,FALSE,"CAZ";#N/A,#N/A,FALSE,"SNV";#N/A,#N/A,FALSE,"NNV";#N/A,#N/A,FALSE,"PP";#N/A,#N/A,FALSE,"SA"}</definedName>
    <definedName name="_new22" localSheetId="9" hidden="1">{#N/A,#N/A,FALSE,"SCA";#N/A,#N/A,FALSE,"NCA";#N/A,#N/A,FALSE,"SAZ";#N/A,#N/A,FALSE,"CAZ";#N/A,#N/A,FALSE,"SNV";#N/A,#N/A,FALSE,"NNV";#N/A,#N/A,FALSE,"PP";#N/A,#N/A,FALSE,"SA"}</definedName>
    <definedName name="_new22" hidden="1">{#N/A,#N/A,FALSE,"SCA";#N/A,#N/A,FALSE,"NCA";#N/A,#N/A,FALSE,"SAZ";#N/A,#N/A,FALSE,"CAZ";#N/A,#N/A,FALSE,"SNV";#N/A,#N/A,FALSE,"NNV";#N/A,#N/A,FALSE,"PP";#N/A,#N/A,FALSE,"SA"}</definedName>
    <definedName name="_new23" localSheetId="1" hidden="1">{#N/A,#N/A,FALSE,"SCA";#N/A,#N/A,FALSE,"NCA";#N/A,#N/A,FALSE,"SAZ";#N/A,#N/A,FALSE,"CAZ";#N/A,#N/A,FALSE,"SNV";#N/A,#N/A,FALSE,"NNV";#N/A,#N/A,FALSE,"PP";#N/A,#N/A,FALSE,"SA"}</definedName>
    <definedName name="_new23" localSheetId="17" hidden="1">{#N/A,#N/A,FALSE,"SCA";#N/A,#N/A,FALSE,"NCA";#N/A,#N/A,FALSE,"SAZ";#N/A,#N/A,FALSE,"CAZ";#N/A,#N/A,FALSE,"SNV";#N/A,#N/A,FALSE,"NNV";#N/A,#N/A,FALSE,"PP";#N/A,#N/A,FALSE,"SA"}</definedName>
    <definedName name="_new23" localSheetId="30" hidden="1">{#N/A,#N/A,FALSE,"SCA";#N/A,#N/A,FALSE,"NCA";#N/A,#N/A,FALSE,"SAZ";#N/A,#N/A,FALSE,"CAZ";#N/A,#N/A,FALSE,"SNV";#N/A,#N/A,FALSE,"NNV";#N/A,#N/A,FALSE,"PP";#N/A,#N/A,FALSE,"SA"}</definedName>
    <definedName name="_new23" localSheetId="31" hidden="1">{#N/A,#N/A,FALSE,"SCA";#N/A,#N/A,FALSE,"NCA";#N/A,#N/A,FALSE,"SAZ";#N/A,#N/A,FALSE,"CAZ";#N/A,#N/A,FALSE,"SNV";#N/A,#N/A,FALSE,"NNV";#N/A,#N/A,FALSE,"PP";#N/A,#N/A,FALSE,"SA"}</definedName>
    <definedName name="_new23" localSheetId="19" hidden="1">{#N/A,#N/A,FALSE,"SCA";#N/A,#N/A,FALSE,"NCA";#N/A,#N/A,FALSE,"SAZ";#N/A,#N/A,FALSE,"CAZ";#N/A,#N/A,FALSE,"SNV";#N/A,#N/A,FALSE,"NNV";#N/A,#N/A,FALSE,"PP";#N/A,#N/A,FALSE,"SA"}</definedName>
    <definedName name="_new23" localSheetId="7" hidden="1">{#N/A,#N/A,FALSE,"SCA";#N/A,#N/A,FALSE,"NCA";#N/A,#N/A,FALSE,"SAZ";#N/A,#N/A,FALSE,"CAZ";#N/A,#N/A,FALSE,"SNV";#N/A,#N/A,FALSE,"NNV";#N/A,#N/A,FALSE,"PP";#N/A,#N/A,FALSE,"SA"}</definedName>
    <definedName name="_new23" localSheetId="0" hidden="1">{#N/A,#N/A,FALSE,"SCA";#N/A,#N/A,FALSE,"NCA";#N/A,#N/A,FALSE,"SAZ";#N/A,#N/A,FALSE,"CAZ";#N/A,#N/A,FALSE,"SNV";#N/A,#N/A,FALSE,"NNV";#N/A,#N/A,FALSE,"PP";#N/A,#N/A,FALSE,"SA"}</definedName>
    <definedName name="_new23" localSheetId="10" hidden="1">{#N/A,#N/A,FALSE,"SCA";#N/A,#N/A,FALSE,"NCA";#N/A,#N/A,FALSE,"SAZ";#N/A,#N/A,FALSE,"CAZ";#N/A,#N/A,FALSE,"SNV";#N/A,#N/A,FALSE,"NNV";#N/A,#N/A,FALSE,"PP";#N/A,#N/A,FALSE,"SA"}</definedName>
    <definedName name="_new23" localSheetId="12" hidden="1">{#N/A,#N/A,FALSE,"SCA";#N/A,#N/A,FALSE,"NCA";#N/A,#N/A,FALSE,"SAZ";#N/A,#N/A,FALSE,"CAZ";#N/A,#N/A,FALSE,"SNV";#N/A,#N/A,FALSE,"NNV";#N/A,#N/A,FALSE,"PP";#N/A,#N/A,FALSE,"SA"}</definedName>
    <definedName name="_new23" localSheetId="9" hidden="1">{#N/A,#N/A,FALSE,"SCA";#N/A,#N/A,FALSE,"NCA";#N/A,#N/A,FALSE,"SAZ";#N/A,#N/A,FALSE,"CAZ";#N/A,#N/A,FALSE,"SNV";#N/A,#N/A,FALSE,"NNV";#N/A,#N/A,FALSE,"PP";#N/A,#N/A,FALSE,"SA"}</definedName>
    <definedName name="_new23" hidden="1">{#N/A,#N/A,FALSE,"SCA";#N/A,#N/A,FALSE,"NCA";#N/A,#N/A,FALSE,"SAZ";#N/A,#N/A,FALSE,"CAZ";#N/A,#N/A,FALSE,"SNV";#N/A,#N/A,FALSE,"NNV";#N/A,#N/A,FALSE,"PP";#N/A,#N/A,FALSE,"SA"}</definedName>
    <definedName name="_new37" localSheetId="1" hidden="1">{#N/A,#N/A,FALSE,"SCA";#N/A,#N/A,FALSE,"NCA";#N/A,#N/A,FALSE,"SAZ";#N/A,#N/A,FALSE,"CAZ";#N/A,#N/A,FALSE,"SNV";#N/A,#N/A,FALSE,"NNV";#N/A,#N/A,FALSE,"PP";#N/A,#N/A,FALSE,"SA"}</definedName>
    <definedName name="_new37" localSheetId="17" hidden="1">{#N/A,#N/A,FALSE,"SCA";#N/A,#N/A,FALSE,"NCA";#N/A,#N/A,FALSE,"SAZ";#N/A,#N/A,FALSE,"CAZ";#N/A,#N/A,FALSE,"SNV";#N/A,#N/A,FALSE,"NNV";#N/A,#N/A,FALSE,"PP";#N/A,#N/A,FALSE,"SA"}</definedName>
    <definedName name="_new37" localSheetId="30" hidden="1">{#N/A,#N/A,FALSE,"SCA";#N/A,#N/A,FALSE,"NCA";#N/A,#N/A,FALSE,"SAZ";#N/A,#N/A,FALSE,"CAZ";#N/A,#N/A,FALSE,"SNV";#N/A,#N/A,FALSE,"NNV";#N/A,#N/A,FALSE,"PP";#N/A,#N/A,FALSE,"SA"}</definedName>
    <definedName name="_new37" localSheetId="31" hidden="1">{#N/A,#N/A,FALSE,"SCA";#N/A,#N/A,FALSE,"NCA";#N/A,#N/A,FALSE,"SAZ";#N/A,#N/A,FALSE,"CAZ";#N/A,#N/A,FALSE,"SNV";#N/A,#N/A,FALSE,"NNV";#N/A,#N/A,FALSE,"PP";#N/A,#N/A,FALSE,"SA"}</definedName>
    <definedName name="_new37" localSheetId="19" hidden="1">{#N/A,#N/A,FALSE,"SCA";#N/A,#N/A,FALSE,"NCA";#N/A,#N/A,FALSE,"SAZ";#N/A,#N/A,FALSE,"CAZ";#N/A,#N/A,FALSE,"SNV";#N/A,#N/A,FALSE,"NNV";#N/A,#N/A,FALSE,"PP";#N/A,#N/A,FALSE,"SA"}</definedName>
    <definedName name="_new37" localSheetId="7" hidden="1">{#N/A,#N/A,FALSE,"SCA";#N/A,#N/A,FALSE,"NCA";#N/A,#N/A,FALSE,"SAZ";#N/A,#N/A,FALSE,"CAZ";#N/A,#N/A,FALSE,"SNV";#N/A,#N/A,FALSE,"NNV";#N/A,#N/A,FALSE,"PP";#N/A,#N/A,FALSE,"SA"}</definedName>
    <definedName name="_new37" localSheetId="0" hidden="1">{#N/A,#N/A,FALSE,"SCA";#N/A,#N/A,FALSE,"NCA";#N/A,#N/A,FALSE,"SAZ";#N/A,#N/A,FALSE,"CAZ";#N/A,#N/A,FALSE,"SNV";#N/A,#N/A,FALSE,"NNV";#N/A,#N/A,FALSE,"PP";#N/A,#N/A,FALSE,"SA"}</definedName>
    <definedName name="_new37" localSheetId="10" hidden="1">{#N/A,#N/A,FALSE,"SCA";#N/A,#N/A,FALSE,"NCA";#N/A,#N/A,FALSE,"SAZ";#N/A,#N/A,FALSE,"CAZ";#N/A,#N/A,FALSE,"SNV";#N/A,#N/A,FALSE,"NNV";#N/A,#N/A,FALSE,"PP";#N/A,#N/A,FALSE,"SA"}</definedName>
    <definedName name="_new37" localSheetId="12" hidden="1">{#N/A,#N/A,FALSE,"SCA";#N/A,#N/A,FALSE,"NCA";#N/A,#N/A,FALSE,"SAZ";#N/A,#N/A,FALSE,"CAZ";#N/A,#N/A,FALSE,"SNV";#N/A,#N/A,FALSE,"NNV";#N/A,#N/A,FALSE,"PP";#N/A,#N/A,FALSE,"SA"}</definedName>
    <definedName name="_new37" localSheetId="9" hidden="1">{#N/A,#N/A,FALSE,"SCA";#N/A,#N/A,FALSE,"NCA";#N/A,#N/A,FALSE,"SAZ";#N/A,#N/A,FALSE,"CAZ";#N/A,#N/A,FALSE,"SNV";#N/A,#N/A,FALSE,"NNV";#N/A,#N/A,FALSE,"PP";#N/A,#N/A,FALSE,"SA"}</definedName>
    <definedName name="_new37" hidden="1">{#N/A,#N/A,FALSE,"SCA";#N/A,#N/A,FALSE,"NCA";#N/A,#N/A,FALSE,"SAZ";#N/A,#N/A,FALSE,"CAZ";#N/A,#N/A,FALSE,"SNV";#N/A,#N/A,FALSE,"NNV";#N/A,#N/A,FALSE,"PP";#N/A,#N/A,FALSE,"SA"}</definedName>
    <definedName name="_new41" localSheetId="1" hidden="1">{"caz2",#N/A,FALSE,"Central Arizona 2";"saz2",#N/A,FALSE,"Southern Arizona 2";"snv2",#N/A,FALSE,"Southern Nevada 2";"nnv2",#N/A,FALSE,"Northern Nevada 2";"sca2",#N/A,FALSE,"Southern California 2";"nca2",#N/A,FALSE,"Northern California 2";"pai2",#N/A,FALSE,"Paiute 2"}</definedName>
    <definedName name="_new41" localSheetId="17" hidden="1">{"caz2",#N/A,FALSE,"Central Arizona 2";"saz2",#N/A,FALSE,"Southern Arizona 2";"snv2",#N/A,FALSE,"Southern Nevada 2";"nnv2",#N/A,FALSE,"Northern Nevada 2";"sca2",#N/A,FALSE,"Southern California 2";"nca2",#N/A,FALSE,"Northern California 2";"pai2",#N/A,FALSE,"Paiute 2"}</definedName>
    <definedName name="_new41" localSheetId="30" hidden="1">{"caz2",#N/A,FALSE,"Central Arizona 2";"saz2",#N/A,FALSE,"Southern Arizona 2";"snv2",#N/A,FALSE,"Southern Nevada 2";"nnv2",#N/A,FALSE,"Northern Nevada 2";"sca2",#N/A,FALSE,"Southern California 2";"nca2",#N/A,FALSE,"Northern California 2";"pai2",#N/A,FALSE,"Paiute 2"}</definedName>
    <definedName name="_new41" localSheetId="31" hidden="1">{"caz2",#N/A,FALSE,"Central Arizona 2";"saz2",#N/A,FALSE,"Southern Arizona 2";"snv2",#N/A,FALSE,"Southern Nevada 2";"nnv2",#N/A,FALSE,"Northern Nevada 2";"sca2",#N/A,FALSE,"Southern California 2";"nca2",#N/A,FALSE,"Northern California 2";"pai2",#N/A,FALSE,"Paiute 2"}</definedName>
    <definedName name="_new41" localSheetId="19" hidden="1">{"caz2",#N/A,FALSE,"Central Arizona 2";"saz2",#N/A,FALSE,"Southern Arizona 2";"snv2",#N/A,FALSE,"Southern Nevada 2";"nnv2",#N/A,FALSE,"Northern Nevada 2";"sca2",#N/A,FALSE,"Southern California 2";"nca2",#N/A,FALSE,"Northern California 2";"pai2",#N/A,FALSE,"Paiute 2"}</definedName>
    <definedName name="_new41" localSheetId="7" hidden="1">{"caz2",#N/A,FALSE,"Central Arizona 2";"saz2",#N/A,FALSE,"Southern Arizona 2";"snv2",#N/A,FALSE,"Southern Nevada 2";"nnv2",#N/A,FALSE,"Northern Nevada 2";"sca2",#N/A,FALSE,"Southern California 2";"nca2",#N/A,FALSE,"Northern California 2";"pai2",#N/A,FALSE,"Paiute 2"}</definedName>
    <definedName name="_new41" localSheetId="0" hidden="1">{"caz2",#N/A,FALSE,"Central Arizona 2";"saz2",#N/A,FALSE,"Southern Arizona 2";"snv2",#N/A,FALSE,"Southern Nevada 2";"nnv2",#N/A,FALSE,"Northern Nevada 2";"sca2",#N/A,FALSE,"Southern California 2";"nca2",#N/A,FALSE,"Northern California 2";"pai2",#N/A,FALSE,"Paiute 2"}</definedName>
    <definedName name="_new41" localSheetId="10" hidden="1">{"caz2",#N/A,FALSE,"Central Arizona 2";"saz2",#N/A,FALSE,"Southern Arizona 2";"snv2",#N/A,FALSE,"Southern Nevada 2";"nnv2",#N/A,FALSE,"Northern Nevada 2";"sca2",#N/A,FALSE,"Southern California 2";"nca2",#N/A,FALSE,"Northern California 2";"pai2",#N/A,FALSE,"Paiute 2"}</definedName>
    <definedName name="_new41" localSheetId="12" hidden="1">{"caz2",#N/A,FALSE,"Central Arizona 2";"saz2",#N/A,FALSE,"Southern Arizona 2";"snv2",#N/A,FALSE,"Southern Nevada 2";"nnv2",#N/A,FALSE,"Northern Nevada 2";"sca2",#N/A,FALSE,"Southern California 2";"nca2",#N/A,FALSE,"Northern California 2";"pai2",#N/A,FALSE,"Paiute 2"}</definedName>
    <definedName name="_new41" localSheetId="9" hidden="1">{"caz2",#N/A,FALSE,"Central Arizona 2";"saz2",#N/A,FALSE,"Southern Arizona 2";"snv2",#N/A,FALSE,"Southern Nevada 2";"nnv2",#N/A,FALSE,"Northern Nevada 2";"sca2",#N/A,FALSE,"Southern California 2";"nca2",#N/A,FALSE,"Northern California 2";"pai2",#N/A,FALSE,"Paiute 2"}</definedName>
    <definedName name="_new41" hidden="1">{"caz2",#N/A,FALSE,"Central Arizona 2";"saz2",#N/A,FALSE,"Southern Arizona 2";"snv2",#N/A,FALSE,"Southern Nevada 2";"nnv2",#N/A,FALSE,"Northern Nevada 2";"sca2",#N/A,FALSE,"Southern California 2";"nca2",#N/A,FALSE,"Northern California 2";"pai2",#N/A,FALSE,"Paiute 2"}</definedName>
    <definedName name="_new43" localSheetId="1" hidden="1">{#N/A,#N/A,FALSE,"SCA";#N/A,#N/A,FALSE,"NCA";#N/A,#N/A,FALSE,"SAZ";#N/A,#N/A,FALSE,"CAZ";#N/A,#N/A,FALSE,"SNV";#N/A,#N/A,FALSE,"NNV";#N/A,#N/A,FALSE,"PP";#N/A,#N/A,FALSE,"SA"}</definedName>
    <definedName name="_new43" localSheetId="17" hidden="1">{#N/A,#N/A,FALSE,"SCA";#N/A,#N/A,FALSE,"NCA";#N/A,#N/A,FALSE,"SAZ";#N/A,#N/A,FALSE,"CAZ";#N/A,#N/A,FALSE,"SNV";#N/A,#N/A,FALSE,"NNV";#N/A,#N/A,FALSE,"PP";#N/A,#N/A,FALSE,"SA"}</definedName>
    <definedName name="_new43" localSheetId="30" hidden="1">{#N/A,#N/A,FALSE,"SCA";#N/A,#N/A,FALSE,"NCA";#N/A,#N/A,FALSE,"SAZ";#N/A,#N/A,FALSE,"CAZ";#N/A,#N/A,FALSE,"SNV";#N/A,#N/A,FALSE,"NNV";#N/A,#N/A,FALSE,"PP";#N/A,#N/A,FALSE,"SA"}</definedName>
    <definedName name="_new43" localSheetId="31" hidden="1">{#N/A,#N/A,FALSE,"SCA";#N/A,#N/A,FALSE,"NCA";#N/A,#N/A,FALSE,"SAZ";#N/A,#N/A,FALSE,"CAZ";#N/A,#N/A,FALSE,"SNV";#N/A,#N/A,FALSE,"NNV";#N/A,#N/A,FALSE,"PP";#N/A,#N/A,FALSE,"SA"}</definedName>
    <definedName name="_new43" localSheetId="19" hidden="1">{#N/A,#N/A,FALSE,"SCA";#N/A,#N/A,FALSE,"NCA";#N/A,#N/A,FALSE,"SAZ";#N/A,#N/A,FALSE,"CAZ";#N/A,#N/A,FALSE,"SNV";#N/A,#N/A,FALSE,"NNV";#N/A,#N/A,FALSE,"PP";#N/A,#N/A,FALSE,"SA"}</definedName>
    <definedName name="_new43" localSheetId="7" hidden="1">{#N/A,#N/A,FALSE,"SCA";#N/A,#N/A,FALSE,"NCA";#N/A,#N/A,FALSE,"SAZ";#N/A,#N/A,FALSE,"CAZ";#N/A,#N/A,FALSE,"SNV";#N/A,#N/A,FALSE,"NNV";#N/A,#N/A,FALSE,"PP";#N/A,#N/A,FALSE,"SA"}</definedName>
    <definedName name="_new43" localSheetId="0" hidden="1">{#N/A,#N/A,FALSE,"SCA";#N/A,#N/A,FALSE,"NCA";#N/A,#N/A,FALSE,"SAZ";#N/A,#N/A,FALSE,"CAZ";#N/A,#N/A,FALSE,"SNV";#N/A,#N/A,FALSE,"NNV";#N/A,#N/A,FALSE,"PP";#N/A,#N/A,FALSE,"SA"}</definedName>
    <definedName name="_new43" localSheetId="10" hidden="1">{#N/A,#N/A,FALSE,"SCA";#N/A,#N/A,FALSE,"NCA";#N/A,#N/A,FALSE,"SAZ";#N/A,#N/A,FALSE,"CAZ";#N/A,#N/A,FALSE,"SNV";#N/A,#N/A,FALSE,"NNV";#N/A,#N/A,FALSE,"PP";#N/A,#N/A,FALSE,"SA"}</definedName>
    <definedName name="_new43" localSheetId="12" hidden="1">{#N/A,#N/A,FALSE,"SCA";#N/A,#N/A,FALSE,"NCA";#N/A,#N/A,FALSE,"SAZ";#N/A,#N/A,FALSE,"CAZ";#N/A,#N/A,FALSE,"SNV";#N/A,#N/A,FALSE,"NNV";#N/A,#N/A,FALSE,"PP";#N/A,#N/A,FALSE,"SA"}</definedName>
    <definedName name="_new43" localSheetId="9" hidden="1">{#N/A,#N/A,FALSE,"SCA";#N/A,#N/A,FALSE,"NCA";#N/A,#N/A,FALSE,"SAZ";#N/A,#N/A,FALSE,"CAZ";#N/A,#N/A,FALSE,"SNV";#N/A,#N/A,FALSE,"NNV";#N/A,#N/A,FALSE,"PP";#N/A,#N/A,FALSE,"SA"}</definedName>
    <definedName name="_new43" hidden="1">{#N/A,#N/A,FALSE,"SCA";#N/A,#N/A,FALSE,"NCA";#N/A,#N/A,FALSE,"SAZ";#N/A,#N/A,FALSE,"CAZ";#N/A,#N/A,FALSE,"SNV";#N/A,#N/A,FALSE,"NNV";#N/A,#N/A,FALSE,"PP";#N/A,#N/A,FALSE,"SA"}</definedName>
    <definedName name="_new57" localSheetId="1" hidden="1">{#N/A,#N/A,FALSE,"SCA";#N/A,#N/A,FALSE,"NCA";#N/A,#N/A,FALSE,"SAZ";#N/A,#N/A,FALSE,"CAZ";#N/A,#N/A,FALSE,"SNV";#N/A,#N/A,FALSE,"NNV";#N/A,#N/A,FALSE,"PP";#N/A,#N/A,FALSE,"SA"}</definedName>
    <definedName name="_new57" localSheetId="17" hidden="1">{#N/A,#N/A,FALSE,"SCA";#N/A,#N/A,FALSE,"NCA";#N/A,#N/A,FALSE,"SAZ";#N/A,#N/A,FALSE,"CAZ";#N/A,#N/A,FALSE,"SNV";#N/A,#N/A,FALSE,"NNV";#N/A,#N/A,FALSE,"PP";#N/A,#N/A,FALSE,"SA"}</definedName>
    <definedName name="_new57" localSheetId="30" hidden="1">{#N/A,#N/A,FALSE,"SCA";#N/A,#N/A,FALSE,"NCA";#N/A,#N/A,FALSE,"SAZ";#N/A,#N/A,FALSE,"CAZ";#N/A,#N/A,FALSE,"SNV";#N/A,#N/A,FALSE,"NNV";#N/A,#N/A,FALSE,"PP";#N/A,#N/A,FALSE,"SA"}</definedName>
    <definedName name="_new57" localSheetId="31" hidden="1">{#N/A,#N/A,FALSE,"SCA";#N/A,#N/A,FALSE,"NCA";#N/A,#N/A,FALSE,"SAZ";#N/A,#N/A,FALSE,"CAZ";#N/A,#N/A,FALSE,"SNV";#N/A,#N/A,FALSE,"NNV";#N/A,#N/A,FALSE,"PP";#N/A,#N/A,FALSE,"SA"}</definedName>
    <definedName name="_new57" localSheetId="19" hidden="1">{#N/A,#N/A,FALSE,"SCA";#N/A,#N/A,FALSE,"NCA";#N/A,#N/A,FALSE,"SAZ";#N/A,#N/A,FALSE,"CAZ";#N/A,#N/A,FALSE,"SNV";#N/A,#N/A,FALSE,"NNV";#N/A,#N/A,FALSE,"PP";#N/A,#N/A,FALSE,"SA"}</definedName>
    <definedName name="_new57" localSheetId="7" hidden="1">{#N/A,#N/A,FALSE,"SCA";#N/A,#N/A,FALSE,"NCA";#N/A,#N/A,FALSE,"SAZ";#N/A,#N/A,FALSE,"CAZ";#N/A,#N/A,FALSE,"SNV";#N/A,#N/A,FALSE,"NNV";#N/A,#N/A,FALSE,"PP";#N/A,#N/A,FALSE,"SA"}</definedName>
    <definedName name="_new57" localSheetId="0" hidden="1">{#N/A,#N/A,FALSE,"SCA";#N/A,#N/A,FALSE,"NCA";#N/A,#N/A,FALSE,"SAZ";#N/A,#N/A,FALSE,"CAZ";#N/A,#N/A,FALSE,"SNV";#N/A,#N/A,FALSE,"NNV";#N/A,#N/A,FALSE,"PP";#N/A,#N/A,FALSE,"SA"}</definedName>
    <definedName name="_new57" localSheetId="10" hidden="1">{#N/A,#N/A,FALSE,"SCA";#N/A,#N/A,FALSE,"NCA";#N/A,#N/A,FALSE,"SAZ";#N/A,#N/A,FALSE,"CAZ";#N/A,#N/A,FALSE,"SNV";#N/A,#N/A,FALSE,"NNV";#N/A,#N/A,FALSE,"PP";#N/A,#N/A,FALSE,"SA"}</definedName>
    <definedName name="_new57" localSheetId="12" hidden="1">{#N/A,#N/A,FALSE,"SCA";#N/A,#N/A,FALSE,"NCA";#N/A,#N/A,FALSE,"SAZ";#N/A,#N/A,FALSE,"CAZ";#N/A,#N/A,FALSE,"SNV";#N/A,#N/A,FALSE,"NNV";#N/A,#N/A,FALSE,"PP";#N/A,#N/A,FALSE,"SA"}</definedName>
    <definedName name="_new57" localSheetId="9" hidden="1">{#N/A,#N/A,FALSE,"SCA";#N/A,#N/A,FALSE,"NCA";#N/A,#N/A,FALSE,"SAZ";#N/A,#N/A,FALSE,"CAZ";#N/A,#N/A,FALSE,"SNV";#N/A,#N/A,FALSE,"NNV";#N/A,#N/A,FALSE,"PP";#N/A,#N/A,FALSE,"SA"}</definedName>
    <definedName name="_new57" hidden="1">{#N/A,#N/A,FALSE,"SCA";#N/A,#N/A,FALSE,"NCA";#N/A,#N/A,FALSE,"SAZ";#N/A,#N/A,FALSE,"CAZ";#N/A,#N/A,FALSE,"SNV";#N/A,#N/A,FALSE,"NNV";#N/A,#N/A,FALSE,"PP";#N/A,#N/A,FALSE,"SA"}</definedName>
    <definedName name="_new58" localSheetId="1" hidden="1">{#N/A,#N/A,FALSE,"SCA";#N/A,#N/A,FALSE,"NCA";#N/A,#N/A,FALSE,"SAZ";#N/A,#N/A,FALSE,"CAZ";#N/A,#N/A,FALSE,"SNV";#N/A,#N/A,FALSE,"NNV";#N/A,#N/A,FALSE,"PP";#N/A,#N/A,FALSE,"SA"}</definedName>
    <definedName name="_new58" localSheetId="17" hidden="1">{#N/A,#N/A,FALSE,"SCA";#N/A,#N/A,FALSE,"NCA";#N/A,#N/A,FALSE,"SAZ";#N/A,#N/A,FALSE,"CAZ";#N/A,#N/A,FALSE,"SNV";#N/A,#N/A,FALSE,"NNV";#N/A,#N/A,FALSE,"PP";#N/A,#N/A,FALSE,"SA"}</definedName>
    <definedName name="_new58" localSheetId="30" hidden="1">{#N/A,#N/A,FALSE,"SCA";#N/A,#N/A,FALSE,"NCA";#N/A,#N/A,FALSE,"SAZ";#N/A,#N/A,FALSE,"CAZ";#N/A,#N/A,FALSE,"SNV";#N/A,#N/A,FALSE,"NNV";#N/A,#N/A,FALSE,"PP";#N/A,#N/A,FALSE,"SA"}</definedName>
    <definedName name="_new58" localSheetId="31" hidden="1">{#N/A,#N/A,FALSE,"SCA";#N/A,#N/A,FALSE,"NCA";#N/A,#N/A,FALSE,"SAZ";#N/A,#N/A,FALSE,"CAZ";#N/A,#N/A,FALSE,"SNV";#N/A,#N/A,FALSE,"NNV";#N/A,#N/A,FALSE,"PP";#N/A,#N/A,FALSE,"SA"}</definedName>
    <definedName name="_new58" localSheetId="19" hidden="1">{#N/A,#N/A,FALSE,"SCA";#N/A,#N/A,FALSE,"NCA";#N/A,#N/A,FALSE,"SAZ";#N/A,#N/A,FALSE,"CAZ";#N/A,#N/A,FALSE,"SNV";#N/A,#N/A,FALSE,"NNV";#N/A,#N/A,FALSE,"PP";#N/A,#N/A,FALSE,"SA"}</definedName>
    <definedName name="_new58" localSheetId="7" hidden="1">{#N/A,#N/A,FALSE,"SCA";#N/A,#N/A,FALSE,"NCA";#N/A,#N/A,FALSE,"SAZ";#N/A,#N/A,FALSE,"CAZ";#N/A,#N/A,FALSE,"SNV";#N/A,#N/A,FALSE,"NNV";#N/A,#N/A,FALSE,"PP";#N/A,#N/A,FALSE,"SA"}</definedName>
    <definedName name="_new58" localSheetId="0" hidden="1">{#N/A,#N/A,FALSE,"SCA";#N/A,#N/A,FALSE,"NCA";#N/A,#N/A,FALSE,"SAZ";#N/A,#N/A,FALSE,"CAZ";#N/A,#N/A,FALSE,"SNV";#N/A,#N/A,FALSE,"NNV";#N/A,#N/A,FALSE,"PP";#N/A,#N/A,FALSE,"SA"}</definedName>
    <definedName name="_new58" localSheetId="10" hidden="1">{#N/A,#N/A,FALSE,"SCA";#N/A,#N/A,FALSE,"NCA";#N/A,#N/A,FALSE,"SAZ";#N/A,#N/A,FALSE,"CAZ";#N/A,#N/A,FALSE,"SNV";#N/A,#N/A,FALSE,"NNV";#N/A,#N/A,FALSE,"PP";#N/A,#N/A,FALSE,"SA"}</definedName>
    <definedName name="_new58" localSheetId="12" hidden="1">{#N/A,#N/A,FALSE,"SCA";#N/A,#N/A,FALSE,"NCA";#N/A,#N/A,FALSE,"SAZ";#N/A,#N/A,FALSE,"CAZ";#N/A,#N/A,FALSE,"SNV";#N/A,#N/A,FALSE,"NNV";#N/A,#N/A,FALSE,"PP";#N/A,#N/A,FALSE,"SA"}</definedName>
    <definedName name="_new58" localSheetId="9" hidden="1">{#N/A,#N/A,FALSE,"SCA";#N/A,#N/A,FALSE,"NCA";#N/A,#N/A,FALSE,"SAZ";#N/A,#N/A,FALSE,"CAZ";#N/A,#N/A,FALSE,"SNV";#N/A,#N/A,FALSE,"NNV";#N/A,#N/A,FALSE,"PP";#N/A,#N/A,FALSE,"SA"}</definedName>
    <definedName name="_new58" hidden="1">{#N/A,#N/A,FALSE,"SCA";#N/A,#N/A,FALSE,"NCA";#N/A,#N/A,FALSE,"SAZ";#N/A,#N/A,FALSE,"CAZ";#N/A,#N/A,FALSE,"SNV";#N/A,#N/A,FALSE,"NNV";#N/A,#N/A,FALSE,"PP";#N/A,#N/A,FALSE,"SA"}</definedName>
    <definedName name="_new61"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6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localSheetId="1" hidden="1">{#N/A,#N/A,FALSE,"SCA";#N/A,#N/A,FALSE,"NCA";#N/A,#N/A,FALSE,"SAZ";#N/A,#N/A,FALSE,"CAZ";#N/A,#N/A,FALSE,"SNV";#N/A,#N/A,FALSE,"NNV";#N/A,#N/A,FALSE,"PP";#N/A,#N/A,FALSE,"SA"}</definedName>
    <definedName name="_new71" localSheetId="17" hidden="1">{#N/A,#N/A,FALSE,"SCA";#N/A,#N/A,FALSE,"NCA";#N/A,#N/A,FALSE,"SAZ";#N/A,#N/A,FALSE,"CAZ";#N/A,#N/A,FALSE,"SNV";#N/A,#N/A,FALSE,"NNV";#N/A,#N/A,FALSE,"PP";#N/A,#N/A,FALSE,"SA"}</definedName>
    <definedName name="_new71" localSheetId="30" hidden="1">{#N/A,#N/A,FALSE,"SCA";#N/A,#N/A,FALSE,"NCA";#N/A,#N/A,FALSE,"SAZ";#N/A,#N/A,FALSE,"CAZ";#N/A,#N/A,FALSE,"SNV";#N/A,#N/A,FALSE,"NNV";#N/A,#N/A,FALSE,"PP";#N/A,#N/A,FALSE,"SA"}</definedName>
    <definedName name="_new71" localSheetId="31" hidden="1">{#N/A,#N/A,FALSE,"SCA";#N/A,#N/A,FALSE,"NCA";#N/A,#N/A,FALSE,"SAZ";#N/A,#N/A,FALSE,"CAZ";#N/A,#N/A,FALSE,"SNV";#N/A,#N/A,FALSE,"NNV";#N/A,#N/A,FALSE,"PP";#N/A,#N/A,FALSE,"SA"}</definedName>
    <definedName name="_new71" localSheetId="19" hidden="1">{#N/A,#N/A,FALSE,"SCA";#N/A,#N/A,FALSE,"NCA";#N/A,#N/A,FALSE,"SAZ";#N/A,#N/A,FALSE,"CAZ";#N/A,#N/A,FALSE,"SNV";#N/A,#N/A,FALSE,"NNV";#N/A,#N/A,FALSE,"PP";#N/A,#N/A,FALSE,"SA"}</definedName>
    <definedName name="_new71" localSheetId="7" hidden="1">{#N/A,#N/A,FALSE,"SCA";#N/A,#N/A,FALSE,"NCA";#N/A,#N/A,FALSE,"SAZ";#N/A,#N/A,FALSE,"CAZ";#N/A,#N/A,FALSE,"SNV";#N/A,#N/A,FALSE,"NNV";#N/A,#N/A,FALSE,"PP";#N/A,#N/A,FALSE,"SA"}</definedName>
    <definedName name="_new71" localSheetId="0" hidden="1">{#N/A,#N/A,FALSE,"SCA";#N/A,#N/A,FALSE,"NCA";#N/A,#N/A,FALSE,"SAZ";#N/A,#N/A,FALSE,"CAZ";#N/A,#N/A,FALSE,"SNV";#N/A,#N/A,FALSE,"NNV";#N/A,#N/A,FALSE,"PP";#N/A,#N/A,FALSE,"SA"}</definedName>
    <definedName name="_new71" localSheetId="10" hidden="1">{#N/A,#N/A,FALSE,"SCA";#N/A,#N/A,FALSE,"NCA";#N/A,#N/A,FALSE,"SAZ";#N/A,#N/A,FALSE,"CAZ";#N/A,#N/A,FALSE,"SNV";#N/A,#N/A,FALSE,"NNV";#N/A,#N/A,FALSE,"PP";#N/A,#N/A,FALSE,"SA"}</definedName>
    <definedName name="_new71" localSheetId="12" hidden="1">{#N/A,#N/A,FALSE,"SCA";#N/A,#N/A,FALSE,"NCA";#N/A,#N/A,FALSE,"SAZ";#N/A,#N/A,FALSE,"CAZ";#N/A,#N/A,FALSE,"SNV";#N/A,#N/A,FALSE,"NNV";#N/A,#N/A,FALSE,"PP";#N/A,#N/A,FALSE,"SA"}</definedName>
    <definedName name="_new71" localSheetId="9" hidden="1">{#N/A,#N/A,FALSE,"SCA";#N/A,#N/A,FALSE,"NCA";#N/A,#N/A,FALSE,"SAZ";#N/A,#N/A,FALSE,"CAZ";#N/A,#N/A,FALSE,"SNV";#N/A,#N/A,FALSE,"NNV";#N/A,#N/A,FALSE,"PP";#N/A,#N/A,FALSE,"SA"}</definedName>
    <definedName name="_new71" hidden="1">{#N/A,#N/A,FALSE,"SCA";#N/A,#N/A,FALSE,"NCA";#N/A,#N/A,FALSE,"SAZ";#N/A,#N/A,FALSE,"CAZ";#N/A,#N/A,FALSE,"SNV";#N/A,#N/A,FALSE,"NNV";#N/A,#N/A,FALSE,"PP";#N/A,#N/A,FALSE,"SA"}</definedName>
    <definedName name="_new72" localSheetId="1" hidden="1">{#N/A,#N/A,FALSE,"SCA";#N/A,#N/A,FALSE,"NCA";#N/A,#N/A,FALSE,"SAZ";#N/A,#N/A,FALSE,"CAZ";#N/A,#N/A,FALSE,"SNV";#N/A,#N/A,FALSE,"NNV";#N/A,#N/A,FALSE,"PP";#N/A,#N/A,FALSE,"SA"}</definedName>
    <definedName name="_new72" localSheetId="17" hidden="1">{#N/A,#N/A,FALSE,"SCA";#N/A,#N/A,FALSE,"NCA";#N/A,#N/A,FALSE,"SAZ";#N/A,#N/A,FALSE,"CAZ";#N/A,#N/A,FALSE,"SNV";#N/A,#N/A,FALSE,"NNV";#N/A,#N/A,FALSE,"PP";#N/A,#N/A,FALSE,"SA"}</definedName>
    <definedName name="_new72" localSheetId="30" hidden="1">{#N/A,#N/A,FALSE,"SCA";#N/A,#N/A,FALSE,"NCA";#N/A,#N/A,FALSE,"SAZ";#N/A,#N/A,FALSE,"CAZ";#N/A,#N/A,FALSE,"SNV";#N/A,#N/A,FALSE,"NNV";#N/A,#N/A,FALSE,"PP";#N/A,#N/A,FALSE,"SA"}</definedName>
    <definedName name="_new72" localSheetId="31" hidden="1">{#N/A,#N/A,FALSE,"SCA";#N/A,#N/A,FALSE,"NCA";#N/A,#N/A,FALSE,"SAZ";#N/A,#N/A,FALSE,"CAZ";#N/A,#N/A,FALSE,"SNV";#N/A,#N/A,FALSE,"NNV";#N/A,#N/A,FALSE,"PP";#N/A,#N/A,FALSE,"SA"}</definedName>
    <definedName name="_new72" localSheetId="19" hidden="1">{#N/A,#N/A,FALSE,"SCA";#N/A,#N/A,FALSE,"NCA";#N/A,#N/A,FALSE,"SAZ";#N/A,#N/A,FALSE,"CAZ";#N/A,#N/A,FALSE,"SNV";#N/A,#N/A,FALSE,"NNV";#N/A,#N/A,FALSE,"PP";#N/A,#N/A,FALSE,"SA"}</definedName>
    <definedName name="_new72" localSheetId="7" hidden="1">{#N/A,#N/A,FALSE,"SCA";#N/A,#N/A,FALSE,"NCA";#N/A,#N/A,FALSE,"SAZ";#N/A,#N/A,FALSE,"CAZ";#N/A,#N/A,FALSE,"SNV";#N/A,#N/A,FALSE,"NNV";#N/A,#N/A,FALSE,"PP";#N/A,#N/A,FALSE,"SA"}</definedName>
    <definedName name="_new72" localSheetId="0" hidden="1">{#N/A,#N/A,FALSE,"SCA";#N/A,#N/A,FALSE,"NCA";#N/A,#N/A,FALSE,"SAZ";#N/A,#N/A,FALSE,"CAZ";#N/A,#N/A,FALSE,"SNV";#N/A,#N/A,FALSE,"NNV";#N/A,#N/A,FALSE,"PP";#N/A,#N/A,FALSE,"SA"}</definedName>
    <definedName name="_new72" localSheetId="10" hidden="1">{#N/A,#N/A,FALSE,"SCA";#N/A,#N/A,FALSE,"NCA";#N/A,#N/A,FALSE,"SAZ";#N/A,#N/A,FALSE,"CAZ";#N/A,#N/A,FALSE,"SNV";#N/A,#N/A,FALSE,"NNV";#N/A,#N/A,FALSE,"PP";#N/A,#N/A,FALSE,"SA"}</definedName>
    <definedName name="_new72" localSheetId="12" hidden="1">{#N/A,#N/A,FALSE,"SCA";#N/A,#N/A,FALSE,"NCA";#N/A,#N/A,FALSE,"SAZ";#N/A,#N/A,FALSE,"CAZ";#N/A,#N/A,FALSE,"SNV";#N/A,#N/A,FALSE,"NNV";#N/A,#N/A,FALSE,"PP";#N/A,#N/A,FALSE,"SA"}</definedName>
    <definedName name="_new72" localSheetId="9" hidden="1">{#N/A,#N/A,FALSE,"SCA";#N/A,#N/A,FALSE,"NCA";#N/A,#N/A,FALSE,"SAZ";#N/A,#N/A,FALSE,"CAZ";#N/A,#N/A,FALSE,"SNV";#N/A,#N/A,FALSE,"NNV";#N/A,#N/A,FALSE,"PP";#N/A,#N/A,FALSE,"SA"}</definedName>
    <definedName name="_new72" hidden="1">{#N/A,#N/A,FALSE,"SCA";#N/A,#N/A,FALSE,"NCA";#N/A,#N/A,FALSE,"SAZ";#N/A,#N/A,FALSE,"CAZ";#N/A,#N/A,FALSE,"SNV";#N/A,#N/A,FALSE,"NNV";#N/A,#N/A,FALSE,"PP";#N/A,#N/A,FALSE,"SA"}</definedName>
    <definedName name="_new73" localSheetId="1" hidden="1">{#N/A,#N/A,FALSE,"Page 1";#N/A,#N/A,FALSE,"Page 2";#N/A,#N/A,FALSE,"Page 3";#N/A,#N/A,FALSE,"Page 4";#N/A,#N/A,FALSE,"Page 5";#N/A,#N/A,FALSE,"Page 6";#N/A,#N/A,FALSE,"Page 7";#N/A,#N/A,FALSE,"Page 8";#N/A,#N/A,FALSE,"Page 9";#N/A,#N/A,FALSE,"PG8WP";#N/A,#N/A,FALSE,"PG9WP"}</definedName>
    <definedName name="_new73" localSheetId="17" hidden="1">{#N/A,#N/A,FALSE,"Page 1";#N/A,#N/A,FALSE,"Page 2";#N/A,#N/A,FALSE,"Page 3";#N/A,#N/A,FALSE,"Page 4";#N/A,#N/A,FALSE,"Page 5";#N/A,#N/A,FALSE,"Page 6";#N/A,#N/A,FALSE,"Page 7";#N/A,#N/A,FALSE,"Page 8";#N/A,#N/A,FALSE,"Page 9";#N/A,#N/A,FALSE,"PG8WP";#N/A,#N/A,FALSE,"PG9WP"}</definedName>
    <definedName name="_new73" localSheetId="30" hidden="1">{#N/A,#N/A,FALSE,"Page 1";#N/A,#N/A,FALSE,"Page 2";#N/A,#N/A,FALSE,"Page 3";#N/A,#N/A,FALSE,"Page 4";#N/A,#N/A,FALSE,"Page 5";#N/A,#N/A,FALSE,"Page 6";#N/A,#N/A,FALSE,"Page 7";#N/A,#N/A,FALSE,"Page 8";#N/A,#N/A,FALSE,"Page 9";#N/A,#N/A,FALSE,"PG8WP";#N/A,#N/A,FALSE,"PG9WP"}</definedName>
    <definedName name="_new73" localSheetId="31" hidden="1">{#N/A,#N/A,FALSE,"Page 1";#N/A,#N/A,FALSE,"Page 2";#N/A,#N/A,FALSE,"Page 3";#N/A,#N/A,FALSE,"Page 4";#N/A,#N/A,FALSE,"Page 5";#N/A,#N/A,FALSE,"Page 6";#N/A,#N/A,FALSE,"Page 7";#N/A,#N/A,FALSE,"Page 8";#N/A,#N/A,FALSE,"Page 9";#N/A,#N/A,FALSE,"PG8WP";#N/A,#N/A,FALSE,"PG9WP"}</definedName>
    <definedName name="_new73" localSheetId="19" hidden="1">{#N/A,#N/A,FALSE,"Page 1";#N/A,#N/A,FALSE,"Page 2";#N/A,#N/A,FALSE,"Page 3";#N/A,#N/A,FALSE,"Page 4";#N/A,#N/A,FALSE,"Page 5";#N/A,#N/A,FALSE,"Page 6";#N/A,#N/A,FALSE,"Page 7";#N/A,#N/A,FALSE,"Page 8";#N/A,#N/A,FALSE,"Page 9";#N/A,#N/A,FALSE,"PG8WP";#N/A,#N/A,FALSE,"PG9WP"}</definedName>
    <definedName name="_new73" localSheetId="7" hidden="1">{#N/A,#N/A,FALSE,"Page 1";#N/A,#N/A,FALSE,"Page 2";#N/A,#N/A,FALSE,"Page 3";#N/A,#N/A,FALSE,"Page 4";#N/A,#N/A,FALSE,"Page 5";#N/A,#N/A,FALSE,"Page 6";#N/A,#N/A,FALSE,"Page 7";#N/A,#N/A,FALSE,"Page 8";#N/A,#N/A,FALSE,"Page 9";#N/A,#N/A,FALSE,"PG8WP";#N/A,#N/A,FALSE,"PG9WP"}</definedName>
    <definedName name="_new73" localSheetId="0" hidden="1">{#N/A,#N/A,FALSE,"Page 1";#N/A,#N/A,FALSE,"Page 2";#N/A,#N/A,FALSE,"Page 3";#N/A,#N/A,FALSE,"Page 4";#N/A,#N/A,FALSE,"Page 5";#N/A,#N/A,FALSE,"Page 6";#N/A,#N/A,FALSE,"Page 7";#N/A,#N/A,FALSE,"Page 8";#N/A,#N/A,FALSE,"Page 9";#N/A,#N/A,FALSE,"PG8WP";#N/A,#N/A,FALSE,"PG9WP"}</definedName>
    <definedName name="_new73" localSheetId="10" hidden="1">{#N/A,#N/A,FALSE,"Page 1";#N/A,#N/A,FALSE,"Page 2";#N/A,#N/A,FALSE,"Page 3";#N/A,#N/A,FALSE,"Page 4";#N/A,#N/A,FALSE,"Page 5";#N/A,#N/A,FALSE,"Page 6";#N/A,#N/A,FALSE,"Page 7";#N/A,#N/A,FALSE,"Page 8";#N/A,#N/A,FALSE,"Page 9";#N/A,#N/A,FALSE,"PG8WP";#N/A,#N/A,FALSE,"PG9WP"}</definedName>
    <definedName name="_new73" localSheetId="12" hidden="1">{#N/A,#N/A,FALSE,"Page 1";#N/A,#N/A,FALSE,"Page 2";#N/A,#N/A,FALSE,"Page 3";#N/A,#N/A,FALSE,"Page 4";#N/A,#N/A,FALSE,"Page 5";#N/A,#N/A,FALSE,"Page 6";#N/A,#N/A,FALSE,"Page 7";#N/A,#N/A,FALSE,"Page 8";#N/A,#N/A,FALSE,"Page 9";#N/A,#N/A,FALSE,"PG8WP";#N/A,#N/A,FALSE,"PG9WP"}</definedName>
    <definedName name="_new73" localSheetId="9" hidden="1">{#N/A,#N/A,FALSE,"Page 1";#N/A,#N/A,FALSE,"Page 2";#N/A,#N/A,FALSE,"Page 3";#N/A,#N/A,FALSE,"Page 4";#N/A,#N/A,FALSE,"Page 5";#N/A,#N/A,FALSE,"Page 6";#N/A,#N/A,FALSE,"Page 7";#N/A,#N/A,FALSE,"Page 8";#N/A,#N/A,FALSE,"Page 9";#N/A,#N/A,FALSE,"PG8WP";#N/A,#N/A,FALSE,"PG9WP"}</definedName>
    <definedName name="_new73" hidden="1">{#N/A,#N/A,FALSE,"Page 1";#N/A,#N/A,FALSE,"Page 2";#N/A,#N/A,FALSE,"Page 3";#N/A,#N/A,FALSE,"Page 4";#N/A,#N/A,FALSE,"Page 5";#N/A,#N/A,FALSE,"Page 6";#N/A,#N/A,FALSE,"Page 7";#N/A,#N/A,FALSE,"Page 8";#N/A,#N/A,FALSE,"Page 9";#N/A,#N/A,FALSE,"PG8WP";#N/A,#N/A,FALSE,"PG9WP"}</definedName>
    <definedName name="_new74"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localSheetId="1" hidden="1">{"caz2",#N/A,FALSE,"Central Arizona 2";"saz2",#N/A,FALSE,"Southern Arizona 2";"snv2",#N/A,FALSE,"Southern Nevada 2";"nnv2",#N/A,FALSE,"Northern Nevada 2";"sca2",#N/A,FALSE,"Southern California 2";"nca2",#N/A,FALSE,"Northern California 2";"pai2",#N/A,FALSE,"Paiute 2"}</definedName>
    <definedName name="_new75" localSheetId="17" hidden="1">{"caz2",#N/A,FALSE,"Central Arizona 2";"saz2",#N/A,FALSE,"Southern Arizona 2";"snv2",#N/A,FALSE,"Southern Nevada 2";"nnv2",#N/A,FALSE,"Northern Nevada 2";"sca2",#N/A,FALSE,"Southern California 2";"nca2",#N/A,FALSE,"Northern California 2";"pai2",#N/A,FALSE,"Paiute 2"}</definedName>
    <definedName name="_new75" localSheetId="30" hidden="1">{"caz2",#N/A,FALSE,"Central Arizona 2";"saz2",#N/A,FALSE,"Southern Arizona 2";"snv2",#N/A,FALSE,"Southern Nevada 2";"nnv2",#N/A,FALSE,"Northern Nevada 2";"sca2",#N/A,FALSE,"Southern California 2";"nca2",#N/A,FALSE,"Northern California 2";"pai2",#N/A,FALSE,"Paiute 2"}</definedName>
    <definedName name="_new75" localSheetId="31" hidden="1">{"caz2",#N/A,FALSE,"Central Arizona 2";"saz2",#N/A,FALSE,"Southern Arizona 2";"snv2",#N/A,FALSE,"Southern Nevada 2";"nnv2",#N/A,FALSE,"Northern Nevada 2";"sca2",#N/A,FALSE,"Southern California 2";"nca2",#N/A,FALSE,"Northern California 2";"pai2",#N/A,FALSE,"Paiute 2"}</definedName>
    <definedName name="_new75" localSheetId="19" hidden="1">{"caz2",#N/A,FALSE,"Central Arizona 2";"saz2",#N/A,FALSE,"Southern Arizona 2";"snv2",#N/A,FALSE,"Southern Nevada 2";"nnv2",#N/A,FALSE,"Northern Nevada 2";"sca2",#N/A,FALSE,"Southern California 2";"nca2",#N/A,FALSE,"Northern California 2";"pai2",#N/A,FALSE,"Paiute 2"}</definedName>
    <definedName name="_new75" localSheetId="7" hidden="1">{"caz2",#N/A,FALSE,"Central Arizona 2";"saz2",#N/A,FALSE,"Southern Arizona 2";"snv2",#N/A,FALSE,"Southern Nevada 2";"nnv2",#N/A,FALSE,"Northern Nevada 2";"sca2",#N/A,FALSE,"Southern California 2";"nca2",#N/A,FALSE,"Northern California 2";"pai2",#N/A,FALSE,"Paiute 2"}</definedName>
    <definedName name="_new75" localSheetId="0" hidden="1">{"caz2",#N/A,FALSE,"Central Arizona 2";"saz2",#N/A,FALSE,"Southern Arizona 2";"snv2",#N/A,FALSE,"Southern Nevada 2";"nnv2",#N/A,FALSE,"Northern Nevada 2";"sca2",#N/A,FALSE,"Southern California 2";"nca2",#N/A,FALSE,"Northern California 2";"pai2",#N/A,FALSE,"Paiute 2"}</definedName>
    <definedName name="_new75" localSheetId="10" hidden="1">{"caz2",#N/A,FALSE,"Central Arizona 2";"saz2",#N/A,FALSE,"Southern Arizona 2";"snv2",#N/A,FALSE,"Southern Nevada 2";"nnv2",#N/A,FALSE,"Northern Nevada 2";"sca2",#N/A,FALSE,"Southern California 2";"nca2",#N/A,FALSE,"Northern California 2";"pai2",#N/A,FALSE,"Paiute 2"}</definedName>
    <definedName name="_new75" localSheetId="12" hidden="1">{"caz2",#N/A,FALSE,"Central Arizona 2";"saz2",#N/A,FALSE,"Southern Arizona 2";"snv2",#N/A,FALSE,"Southern Nevada 2";"nnv2",#N/A,FALSE,"Northern Nevada 2";"sca2",#N/A,FALSE,"Southern California 2";"nca2",#N/A,FALSE,"Northern California 2";"pai2",#N/A,FALSE,"Paiute 2"}</definedName>
    <definedName name="_new75" localSheetId="9" hidden="1">{"caz2",#N/A,FALSE,"Central Arizona 2";"saz2",#N/A,FALSE,"Southern Arizona 2";"snv2",#N/A,FALSE,"Southern Nevada 2";"nnv2",#N/A,FALSE,"Northern Nevada 2";"sca2",#N/A,FALSE,"Southern California 2";"nca2",#N/A,FALSE,"Northern California 2";"pai2",#N/A,FALSE,"Paiute 2"}</definedName>
    <definedName name="_new75" hidden="1">{"caz2",#N/A,FALSE,"Central Arizona 2";"saz2",#N/A,FALSE,"Southern Arizona 2";"snv2",#N/A,FALSE,"Southern Nevada 2";"nnv2",#N/A,FALSE,"Northern Nevada 2";"sca2",#N/A,FALSE,"Southern California 2";"nca2",#N/A,FALSE,"Northern California 2";"pai2",#N/A,FALSE,"Paiute 2"}</definedName>
    <definedName name="_num1" localSheetId="12">#REF!</definedName>
    <definedName name="_num1">#REF!</definedName>
    <definedName name="_num10" localSheetId="7">#REF!</definedName>
    <definedName name="_num10" localSheetId="12">#REF!</definedName>
    <definedName name="_num10">#REF!</definedName>
    <definedName name="_num11" localSheetId="7">#REF!</definedName>
    <definedName name="_num11">#REF!</definedName>
    <definedName name="_num12" localSheetId="7">#REF!</definedName>
    <definedName name="_num12">#REF!</definedName>
    <definedName name="_num13" localSheetId="7">#REF!</definedName>
    <definedName name="_num13">#REF!</definedName>
    <definedName name="_num14" localSheetId="7">#REF!</definedName>
    <definedName name="_num14">#REF!</definedName>
    <definedName name="_num15" localSheetId="7">#REF!</definedName>
    <definedName name="_num15">#REF!</definedName>
    <definedName name="_num16" localSheetId="7">#REF!</definedName>
    <definedName name="_num16">#REF!</definedName>
    <definedName name="_num17" localSheetId="7">#REF!</definedName>
    <definedName name="_num17">#REF!</definedName>
    <definedName name="_num18" localSheetId="7">#REF!</definedName>
    <definedName name="_num18">#REF!</definedName>
    <definedName name="_num19" localSheetId="7">#REF!</definedName>
    <definedName name="_num19">#REF!</definedName>
    <definedName name="_num2" localSheetId="7">#REF!</definedName>
    <definedName name="_num2">#REF!</definedName>
    <definedName name="_num20" localSheetId="7">#REF!</definedName>
    <definedName name="_num20">#REF!</definedName>
    <definedName name="_num21" localSheetId="7">#REF!</definedName>
    <definedName name="_num21">#REF!</definedName>
    <definedName name="_num22" localSheetId="7">#REF!</definedName>
    <definedName name="_num22">#REF!</definedName>
    <definedName name="_num23" localSheetId="7">#REF!</definedName>
    <definedName name="_num23">#REF!</definedName>
    <definedName name="_num24" localSheetId="7">#REF!</definedName>
    <definedName name="_num24">#REF!</definedName>
    <definedName name="_num25" localSheetId="7">#REF!</definedName>
    <definedName name="_num25">#REF!</definedName>
    <definedName name="_num26" localSheetId="7">#REF!</definedName>
    <definedName name="_num26">#REF!</definedName>
    <definedName name="_num27" localSheetId="7">#REF!</definedName>
    <definedName name="_num27">#REF!</definedName>
    <definedName name="_num28" localSheetId="7">#REF!</definedName>
    <definedName name="_num28">#REF!</definedName>
    <definedName name="_num29" localSheetId="7">#REF!</definedName>
    <definedName name="_num29">#REF!</definedName>
    <definedName name="_num3" localSheetId="7">#REF!</definedName>
    <definedName name="_num3">#REF!</definedName>
    <definedName name="_num30" localSheetId="7">#REF!</definedName>
    <definedName name="_num30">#REF!</definedName>
    <definedName name="_num31" localSheetId="7">#REF!</definedName>
    <definedName name="_num31">#REF!</definedName>
    <definedName name="_num32" localSheetId="7">#REF!</definedName>
    <definedName name="_num32">#REF!</definedName>
    <definedName name="_num33" localSheetId="7">#REF!</definedName>
    <definedName name="_num33">#REF!</definedName>
    <definedName name="_num4" localSheetId="7">#REF!</definedName>
    <definedName name="_num4">#REF!</definedName>
    <definedName name="_num5" localSheetId="7">#REF!</definedName>
    <definedName name="_num5">#REF!</definedName>
    <definedName name="_num6" localSheetId="7">#REF!</definedName>
    <definedName name="_num6">#REF!</definedName>
    <definedName name="_num7" localSheetId="7">#REF!</definedName>
    <definedName name="_num7">#REF!</definedName>
    <definedName name="_num8" localSheetId="7">#REF!</definedName>
    <definedName name="_num8">#REF!</definedName>
    <definedName name="_num9" localSheetId="7">#REF!</definedName>
    <definedName name="_num9">#REF!</definedName>
    <definedName name="_Order1" localSheetId="1" hidden="1">255</definedName>
    <definedName name="_Order1" localSheetId="7" hidden="1">255</definedName>
    <definedName name="_Order1" localSheetId="0" hidden="1">255</definedName>
    <definedName name="_Order1" localSheetId="9" hidden="1">255</definedName>
    <definedName name="_Order1" hidden="1">0</definedName>
    <definedName name="_Order2" localSheetId="1" hidden="1">255</definedName>
    <definedName name="_Order2" localSheetId="7" hidden="1">255</definedName>
    <definedName name="_Order2" localSheetId="0" hidden="1">255</definedName>
    <definedName name="_Order2" localSheetId="9" hidden="1">255</definedName>
    <definedName name="_Order2" hidden="1">0</definedName>
    <definedName name="_pb1" localSheetId="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1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3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3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1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1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1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2" localSheetId="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1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3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3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1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1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1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3" localSheetId="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1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3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3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1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1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1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g1" localSheetId="12">#REF!</definedName>
    <definedName name="_pg1">#REF!</definedName>
    <definedName name="_pg2" localSheetId="7">#REF!</definedName>
    <definedName name="_pg2" localSheetId="12">#REF!</definedName>
    <definedName name="_pg2">#REF!</definedName>
    <definedName name="_pri0004" localSheetId="7">#REF!</definedName>
    <definedName name="_pri0004" localSheetId="10">#REF!</definedName>
    <definedName name="_pri0004">#REF!</definedName>
    <definedName name="_pri0005" localSheetId="7">#REF!</definedName>
    <definedName name="_pri0005" localSheetId="10">#REF!</definedName>
    <definedName name="_pri0005">#REF!</definedName>
    <definedName name="_pri0006" localSheetId="10">#REF!</definedName>
    <definedName name="_pri0006">#REF!</definedName>
    <definedName name="_pri0007" localSheetId="10">#REF!</definedName>
    <definedName name="_pri0007">#REF!</definedName>
    <definedName name="_pri0008">#REF!</definedName>
    <definedName name="_pri0009">#REF!</definedName>
    <definedName name="_pri0010">#REF!</definedName>
    <definedName name="_pri0011">#REF!</definedName>
    <definedName name="_pri0012">#REF!</definedName>
    <definedName name="_pri0013">#REF!</definedName>
    <definedName name="_pri0014">#REF!</definedName>
    <definedName name="_pri0015">#REF!</definedName>
    <definedName name="_pri0016">#REF!</definedName>
    <definedName name="_pri0017">#REF!</definedName>
    <definedName name="_pri0019">#REF!</definedName>
    <definedName name="_R" localSheetId="7">#REF!</definedName>
    <definedName name="_R">#REF!</definedName>
    <definedName name="_Regression_Int" hidden="1">1</definedName>
    <definedName name="_Regression_Out" localSheetId="1" hidden="1">#REF!</definedName>
    <definedName name="_Regression_Out" localSheetId="31" hidden="1">#REF!</definedName>
    <definedName name="_Regression_Out" localSheetId="7" hidden="1">#REF!</definedName>
    <definedName name="_Regression_Out" localSheetId="0" hidden="1">#REF!</definedName>
    <definedName name="_Regression_Out" localSheetId="10" hidden="1">#REF!</definedName>
    <definedName name="_Regression_Out" localSheetId="9" hidden="1">#REF!</definedName>
    <definedName name="_Regression_Out" hidden="1">#REF!</definedName>
    <definedName name="_Regression_X" localSheetId="1" hidden="1">#REF!</definedName>
    <definedName name="_Regression_X" localSheetId="31" hidden="1">#REF!</definedName>
    <definedName name="_Regression_X" localSheetId="7" hidden="1">#REF!</definedName>
    <definedName name="_Regression_X" localSheetId="0" hidden="1">#REF!</definedName>
    <definedName name="_Regression_X" localSheetId="10" hidden="1">#REF!</definedName>
    <definedName name="_Regression_X" localSheetId="9" hidden="1">#REF!</definedName>
    <definedName name="_Regression_X" hidden="1">#REF!</definedName>
    <definedName name="_Regression_Y" localSheetId="1" hidden="1">#REF!</definedName>
    <definedName name="_Regression_Y" localSheetId="31" hidden="1">#REF!</definedName>
    <definedName name="_Regression_Y" localSheetId="7" hidden="1">#REF!</definedName>
    <definedName name="_Regression_Y" localSheetId="0" hidden="1">#REF!</definedName>
    <definedName name="_Regression_Y" localSheetId="10" hidden="1">#REF!</definedName>
    <definedName name="_Regression_Y" hidden="1">#REF!</definedName>
    <definedName name="_RMA1" localSheetId="7">#REF!</definedName>
    <definedName name="_RMA1">#REF!</definedName>
    <definedName name="_RMA2" localSheetId="7">#REF!</definedName>
    <definedName name="_RMA2">#REF!</definedName>
    <definedName name="_Sort" localSheetId="1" hidden="1">#REF!</definedName>
    <definedName name="_Sort" localSheetId="31" hidden="1">#REF!</definedName>
    <definedName name="_Sort" localSheetId="7" hidden="1">#REF!</definedName>
    <definedName name="_Sort" localSheetId="0" hidden="1">#REF!</definedName>
    <definedName name="_Sort" localSheetId="10" hidden="1">#REF!</definedName>
    <definedName name="_Sort" hidden="1">#REF!</definedName>
    <definedName name="_sort2" localSheetId="31" hidden="1">#REF!</definedName>
    <definedName name="_sort2" localSheetId="7" hidden="1">#REF!</definedName>
    <definedName name="_sort2" hidden="1">#REF!</definedName>
    <definedName name="_swe80">#REF!</definedName>
    <definedName name="_Table1_In1" localSheetId="1" hidden="1">#REF!</definedName>
    <definedName name="_Table1_In1" localSheetId="17" hidden="1">#REF!</definedName>
    <definedName name="_Table1_In1" localSheetId="30" hidden="1">#REF!</definedName>
    <definedName name="_Table1_In1" localSheetId="31" hidden="1">#REF!</definedName>
    <definedName name="_Table1_In1" localSheetId="7" hidden="1">#REF!</definedName>
    <definedName name="_Table1_In1" localSheetId="0" hidden="1">#REF!</definedName>
    <definedName name="_Table1_In1" localSheetId="10" hidden="1">#REF!</definedName>
    <definedName name="_Table1_In1" localSheetId="9" hidden="1">#REF!</definedName>
    <definedName name="_Table1_In1" hidden="1">#REF!</definedName>
    <definedName name="_Table1_Out" localSheetId="1" hidden="1">#REF!</definedName>
    <definedName name="_Table1_Out" localSheetId="17" hidden="1">#REF!</definedName>
    <definedName name="_Table1_Out" localSheetId="31" hidden="1">#REF!</definedName>
    <definedName name="_Table1_Out" localSheetId="7" hidden="1">#REF!</definedName>
    <definedName name="_Table1_Out" localSheetId="0" hidden="1">#REF!</definedName>
    <definedName name="_Table1_Out" localSheetId="10" hidden="1">#REF!</definedName>
    <definedName name="_Table1_Out" localSheetId="9" hidden="1">#REF!</definedName>
    <definedName name="_Table1_Out" hidden="1">#REF!</definedName>
    <definedName name="_Table2_In1" localSheetId="10" hidden="1">#REF!</definedName>
    <definedName name="_Table2_In1" hidden="1">#REF!</definedName>
    <definedName name="_Table2_In2" localSheetId="10" hidden="1">#REF!</definedName>
    <definedName name="_Table2_In2" hidden="1">#REF!</definedName>
    <definedName name="_Table2_Out" localSheetId="1" hidden="1">#REF!</definedName>
    <definedName name="_Table2_Out" localSheetId="17" hidden="1">#REF!</definedName>
    <definedName name="_Table2_Out" localSheetId="31" hidden="1">#REF!</definedName>
    <definedName name="_Table2_Out" localSheetId="7" hidden="1">#REF!</definedName>
    <definedName name="_Table2_Out" localSheetId="0" hidden="1">#REF!</definedName>
    <definedName name="_Table2_Out" localSheetId="10" hidden="1">#REF!</definedName>
    <definedName name="_Table2_Out" localSheetId="9" hidden="1">#REF!</definedName>
    <definedName name="_Table2_Out" hidden="1">#REF!</definedName>
    <definedName name="_Table3_In2" localSheetId="10" hidden="1">#REF!</definedName>
    <definedName name="_Table3_In2" hidden="1">#REF!</definedName>
    <definedName name="_tet12" localSheetId="7" hidden="1">{"assumptions",#N/A,FALSE,"Scenario 1";"valuation",#N/A,FALSE,"Scenario 1"}</definedName>
    <definedName name="_tet12" localSheetId="10" hidden="1">{"assumptions",#N/A,FALSE,"Scenario 1";"valuation",#N/A,FALSE,"Scenario 1"}</definedName>
    <definedName name="_tet12" localSheetId="12" hidden="1">{"assumptions",#N/A,FALSE,"Scenario 1";"valuation",#N/A,FALSE,"Scenario 1"}</definedName>
    <definedName name="_tet12" hidden="1">{"assumptions",#N/A,FALSE,"Scenario 1";"valuation",#N/A,FALSE,"Scenario 1"}</definedName>
    <definedName name="_tet5" localSheetId="7" hidden="1">{"assumptions",#N/A,FALSE,"Scenario 1";"valuation",#N/A,FALSE,"Scenario 1"}</definedName>
    <definedName name="_tet5" localSheetId="10" hidden="1">{"assumptions",#N/A,FALSE,"Scenario 1";"valuation",#N/A,FALSE,"Scenario 1"}</definedName>
    <definedName name="_tet5" localSheetId="12" hidden="1">{"assumptions",#N/A,FALSE,"Scenario 1";"valuation",#N/A,FALSE,"Scenario 1"}</definedName>
    <definedName name="_tet5" hidden="1">{"assumptions",#N/A,FALSE,"Scenario 1";"valuation",#N/A,FALSE,"Scenario 1"}</definedName>
    <definedName name="_ucg80">#REF!</definedName>
    <definedName name="_x" localSheetId="1" hidden="1">#REF!</definedName>
    <definedName name="_x" localSheetId="17" hidden="1">#REF!</definedName>
    <definedName name="_x" localSheetId="31" hidden="1">#REF!</definedName>
    <definedName name="_x" localSheetId="7" hidden="1">#REF!</definedName>
    <definedName name="_x" localSheetId="9" hidden="1">#REF!</definedName>
    <definedName name="_x" hidden="1">#REF!</definedName>
    <definedName name="_xlcn.LinkedTable_Table11">#REF!</definedName>
    <definedName name="_Z04"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Z04"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A" localSheetId="1" hidden="1">#REF!</definedName>
    <definedName name="A" localSheetId="31" hidden="1">#REF!</definedName>
    <definedName name="A" localSheetId="7" hidden="1">#REF!</definedName>
    <definedName name="A" localSheetId="0" hidden="1">#REF!</definedName>
    <definedName name="a" localSheetId="10" hidden="1">{"detail305",#N/A,FALSE,"BI-305"}</definedName>
    <definedName name="a" localSheetId="12" hidden="1">{"detail305",#N/A,FALSE,"BI-305"}</definedName>
    <definedName name="A" localSheetId="9" hidden="1">#REF!</definedName>
    <definedName name="a" hidden="1">{"detail305",#N/A,FALSE,"BI-305"}</definedName>
    <definedName name="aa" localSheetId="1" hidden="1">{"FAC_SUMMARY",#N/A,FALSE,"Summaries"}</definedName>
    <definedName name="aa" localSheetId="17" hidden="1">{"FAC_SUMMARY",#N/A,FALSE,"Summaries"}</definedName>
    <definedName name="aa" localSheetId="30" hidden="1">{"FAC_SUMMARY",#N/A,FALSE,"Summaries"}</definedName>
    <definedName name="aa" localSheetId="31" hidden="1">{"FAC_SUMMARY",#N/A,FALSE,"Summaries"}</definedName>
    <definedName name="aa" localSheetId="19" hidden="1">{"FAC_SUMMARY",#N/A,FALSE,"Summaries"}</definedName>
    <definedName name="aa" localSheetId="7" hidden="1">{"FAC_SUMMARY",#N/A,FALSE,"Summaries"}</definedName>
    <definedName name="aa" localSheetId="0" hidden="1">{"FAC_SUMMARY",#N/A,FALSE,"Summaries"}</definedName>
    <definedName name="aa" localSheetId="10" hidden="1">{"FAC_SUMMARY",#N/A,FALSE,"Summaries"}</definedName>
    <definedName name="aa" localSheetId="12" hidden="1">{"FAC_SUMMARY",#N/A,FALSE,"Summaries"}</definedName>
    <definedName name="aa" localSheetId="9" hidden="1">{"FAC_SUMMARY",#N/A,FALSE,"Summaries"}</definedName>
    <definedName name="aa" hidden="1">{"FAC_SUMMARY",#N/A,FALSE,"Summaries"}</definedName>
    <definedName name="aaa" localSheetId="7" hidden="1">{#N/A,#N/A,FALSE,"O&amp;M by processes";#N/A,#N/A,FALSE,"Elec Act vs Bud";#N/A,#N/A,FALSE,"G&amp;A";#N/A,#N/A,FALSE,"BGS";#N/A,#N/A,FALSE,"Res Cost"}</definedName>
    <definedName name="aaa" localSheetId="10" hidden="1">{#N/A,#N/A,FALSE,"O&amp;M by processes";#N/A,#N/A,FALSE,"Elec Act vs Bud";#N/A,#N/A,FALSE,"G&amp;A";#N/A,#N/A,FALSE,"BGS";#N/A,#N/A,FALSE,"Res Cost"}</definedName>
    <definedName name="aaa" localSheetId="12"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_u999998" hidden="1">"nlfoote@970721231427"</definedName>
    <definedName name="AAA_u999999" hidden="1">"nlfoote@970721231348"</definedName>
    <definedName name="aaaa" localSheetId="1" hidden="1">{"caz2",#N/A,FALSE,"Central Arizona 2";"saz2",#N/A,FALSE,"Southern Arizona 2";"snv2",#N/A,FALSE,"Southern Nevada 2";"nnv2",#N/A,FALSE,"Northern Nevada 2";"sca2",#N/A,FALSE,"Southern California 2";"nca2",#N/A,FALSE,"Northern California 2";"pai2",#N/A,FALSE,"Paiute 2"}</definedName>
    <definedName name="aaaa" localSheetId="17" hidden="1">{"caz2",#N/A,FALSE,"Central Arizona 2";"saz2",#N/A,FALSE,"Southern Arizona 2";"snv2",#N/A,FALSE,"Southern Nevada 2";"nnv2",#N/A,FALSE,"Northern Nevada 2";"sca2",#N/A,FALSE,"Southern California 2";"nca2",#N/A,FALSE,"Northern California 2";"pai2",#N/A,FALSE,"Paiute 2"}</definedName>
    <definedName name="aaaa" localSheetId="30" hidden="1">{"caz2",#N/A,FALSE,"Central Arizona 2";"saz2",#N/A,FALSE,"Southern Arizona 2";"snv2",#N/A,FALSE,"Southern Nevada 2";"nnv2",#N/A,FALSE,"Northern Nevada 2";"sca2",#N/A,FALSE,"Southern California 2";"nca2",#N/A,FALSE,"Northern California 2";"pai2",#N/A,FALSE,"Paiute 2"}</definedName>
    <definedName name="aaaa" localSheetId="31" hidden="1">{"caz2",#N/A,FALSE,"Central Arizona 2";"saz2",#N/A,FALSE,"Southern Arizona 2";"snv2",#N/A,FALSE,"Southern Nevada 2";"nnv2",#N/A,FALSE,"Northern Nevada 2";"sca2",#N/A,FALSE,"Southern California 2";"nca2",#N/A,FALSE,"Northern California 2";"pai2",#N/A,FALSE,"Paiute 2"}</definedName>
    <definedName name="aaaa" localSheetId="19" hidden="1">{"caz2",#N/A,FALSE,"Central Arizona 2";"saz2",#N/A,FALSE,"Southern Arizona 2";"snv2",#N/A,FALSE,"Southern Nevada 2";"nnv2",#N/A,FALSE,"Northern Nevada 2";"sca2",#N/A,FALSE,"Southern California 2";"nca2",#N/A,FALSE,"Northern California 2";"pai2",#N/A,FALSE,"Paiute 2"}</definedName>
    <definedName name="aaaa" localSheetId="7" hidden="1">{"caz2",#N/A,FALSE,"Central Arizona 2";"saz2",#N/A,FALSE,"Southern Arizona 2";"snv2",#N/A,FALSE,"Southern Nevada 2";"nnv2",#N/A,FALSE,"Northern Nevada 2";"sca2",#N/A,FALSE,"Southern California 2";"nca2",#N/A,FALSE,"Northern California 2";"pai2",#N/A,FALSE,"Paiute 2"}</definedName>
    <definedName name="aaaa" localSheetId="0" hidden="1">{"caz2",#N/A,FALSE,"Central Arizona 2";"saz2",#N/A,FALSE,"Southern Arizona 2";"snv2",#N/A,FALSE,"Southern Nevada 2";"nnv2",#N/A,FALSE,"Northern Nevada 2";"sca2",#N/A,FALSE,"Southern California 2";"nca2",#N/A,FALSE,"Northern California 2";"pai2",#N/A,FALSE,"Paiute 2"}</definedName>
    <definedName name="aaaa" localSheetId="10" hidden="1">{"caz2",#N/A,FALSE,"Central Arizona 2";"saz2",#N/A,FALSE,"Southern Arizona 2";"snv2",#N/A,FALSE,"Southern Nevada 2";"nnv2",#N/A,FALSE,"Northern Nevada 2";"sca2",#N/A,FALSE,"Southern California 2";"nca2",#N/A,FALSE,"Northern California 2";"pai2",#N/A,FALSE,"Paiute 2"}</definedName>
    <definedName name="aaaa" localSheetId="12" hidden="1">{"caz2",#N/A,FALSE,"Central Arizona 2";"saz2",#N/A,FALSE,"Southern Arizona 2";"snv2",#N/A,FALSE,"Southern Nevada 2";"nnv2",#N/A,FALSE,"Northern Nevada 2";"sca2",#N/A,FALSE,"Southern California 2";"nca2",#N/A,FALSE,"Northern California 2";"pai2",#N/A,FALSE,"Paiute 2"}</definedName>
    <definedName name="aaaa" localSheetId="9" hidden="1">{"caz2",#N/A,FALSE,"Central Arizona 2";"saz2",#N/A,FALSE,"Southern Arizona 2";"snv2",#N/A,FALSE,"Southern Nevada 2";"nnv2",#N/A,FALSE,"Northern Nevada 2";"sca2",#N/A,FALSE,"Southern California 2";"nca2",#N/A,FALSE,"Northern California 2";"pai2",#N/A,FALSE,"Paiute 2"}</definedName>
    <definedName name="aaaa" hidden="1">{"caz2",#N/A,FALSE,"Central Arizona 2";"saz2",#N/A,FALSE,"Southern Arizona 2";"snv2",#N/A,FALSE,"Southern Nevada 2";"nnv2",#N/A,FALSE,"Northern Nevada 2";"sca2",#N/A,FALSE,"Southern California 2";"nca2",#N/A,FALSE,"Northern California 2";"pai2",#N/A,FALSE,"Paiute 2"}</definedName>
    <definedName name="aaaaa" localSheetId="7" hidden="1">{2;#N/A;"R13C16:R17C16";#N/A;"R13C14:R17C15";FALSE;FALSE;FALSE;95;#N/A;#N/A;"R13C19";#N/A;FALSE;FALSE;FALSE;FALSE;#N/A;"";#N/A;FALSE;"";"";#N/A;#N/A;#N/A}</definedName>
    <definedName name="aaaaa" localSheetId="10" hidden="1">{2;#N/A;"R13C16:R17C16";#N/A;"R13C14:R17C15";FALSE;FALSE;FALSE;95;#N/A;#N/A;"R13C19";#N/A;FALSE;FALSE;FALSE;FALSE;#N/A;"";#N/A;FALSE;"";"";#N/A;#N/A;#N/A}</definedName>
    <definedName name="aaaaa" localSheetId="12" hidden="1">{2;#N/A;"R13C16:R17C16";#N/A;"R13C14:R17C15";FALSE;FALSE;FALSE;95;#N/A;#N/A;"R13C19";#N/A;FALSE;FALSE;FALSE;FALSE;#N/A;"";#N/A;FALSE;"";"";#N/A;#N/A;#N/A}</definedName>
    <definedName name="aaaaa" hidden="1">{2;#N/A;"R13C16:R17C16";#N/A;"R13C14:R17C15";FALSE;FALSE;FALSE;95;#N/A;#N/A;"R13C19";#N/A;FALSE;FALSE;FALSE;FALSE;#N/A;"";#N/A;FALSE;"";"";#N/A;#N/A;#N/A}</definedName>
    <definedName name="aaaaaa" localSheetId="1" hidden="1">{#N/A,#N/A,FALSE,"SCA";#N/A,#N/A,FALSE,"NCA";#N/A,#N/A,FALSE,"SAZ";#N/A,#N/A,FALSE,"CAZ";#N/A,#N/A,FALSE,"SNV";#N/A,#N/A,FALSE,"NNV";#N/A,#N/A,FALSE,"PP";#N/A,#N/A,FALSE,"SA"}</definedName>
    <definedName name="aaaaaa" localSheetId="17" hidden="1">{#N/A,#N/A,FALSE,"SCA";#N/A,#N/A,FALSE,"NCA";#N/A,#N/A,FALSE,"SAZ";#N/A,#N/A,FALSE,"CAZ";#N/A,#N/A,FALSE,"SNV";#N/A,#N/A,FALSE,"NNV";#N/A,#N/A,FALSE,"PP";#N/A,#N/A,FALSE,"SA"}</definedName>
    <definedName name="aaaaaa" localSheetId="30" hidden="1">{#N/A,#N/A,FALSE,"SCA";#N/A,#N/A,FALSE,"NCA";#N/A,#N/A,FALSE,"SAZ";#N/A,#N/A,FALSE,"CAZ";#N/A,#N/A,FALSE,"SNV";#N/A,#N/A,FALSE,"NNV";#N/A,#N/A,FALSE,"PP";#N/A,#N/A,FALSE,"SA"}</definedName>
    <definedName name="aaaaaa" localSheetId="31" hidden="1">{#N/A,#N/A,FALSE,"SCA";#N/A,#N/A,FALSE,"NCA";#N/A,#N/A,FALSE,"SAZ";#N/A,#N/A,FALSE,"CAZ";#N/A,#N/A,FALSE,"SNV";#N/A,#N/A,FALSE,"NNV";#N/A,#N/A,FALSE,"PP";#N/A,#N/A,FALSE,"SA"}</definedName>
    <definedName name="aaaaaa" localSheetId="19" hidden="1">{#N/A,#N/A,FALSE,"SCA";#N/A,#N/A,FALSE,"NCA";#N/A,#N/A,FALSE,"SAZ";#N/A,#N/A,FALSE,"CAZ";#N/A,#N/A,FALSE,"SNV";#N/A,#N/A,FALSE,"NNV";#N/A,#N/A,FALSE,"PP";#N/A,#N/A,FALSE,"SA"}</definedName>
    <definedName name="aaaaaa" localSheetId="7" hidden="1">{#N/A,#N/A,FALSE,"SCA";#N/A,#N/A,FALSE,"NCA";#N/A,#N/A,FALSE,"SAZ";#N/A,#N/A,FALSE,"CAZ";#N/A,#N/A,FALSE,"SNV";#N/A,#N/A,FALSE,"NNV";#N/A,#N/A,FALSE,"PP";#N/A,#N/A,FALSE,"SA"}</definedName>
    <definedName name="aaaaaa" localSheetId="0" hidden="1">{#N/A,#N/A,FALSE,"SCA";#N/A,#N/A,FALSE,"NCA";#N/A,#N/A,FALSE,"SAZ";#N/A,#N/A,FALSE,"CAZ";#N/A,#N/A,FALSE,"SNV";#N/A,#N/A,FALSE,"NNV";#N/A,#N/A,FALSE,"PP";#N/A,#N/A,FALSE,"SA"}</definedName>
    <definedName name="aaaaaa" localSheetId="10" hidden="1">{#N/A,#N/A,FALSE,"SCA";#N/A,#N/A,FALSE,"NCA";#N/A,#N/A,FALSE,"SAZ";#N/A,#N/A,FALSE,"CAZ";#N/A,#N/A,FALSE,"SNV";#N/A,#N/A,FALSE,"NNV";#N/A,#N/A,FALSE,"PP";#N/A,#N/A,FALSE,"SA"}</definedName>
    <definedName name="aaaaaa" localSheetId="12" hidden="1">{#N/A,#N/A,FALSE,"SCA";#N/A,#N/A,FALSE,"NCA";#N/A,#N/A,FALSE,"SAZ";#N/A,#N/A,FALSE,"CAZ";#N/A,#N/A,FALSE,"SNV";#N/A,#N/A,FALSE,"NNV";#N/A,#N/A,FALSE,"PP";#N/A,#N/A,FALSE,"SA"}</definedName>
    <definedName name="aaaaaa" localSheetId="9" hidden="1">{#N/A,#N/A,FALSE,"SCA";#N/A,#N/A,FALSE,"NCA";#N/A,#N/A,FALSE,"SAZ";#N/A,#N/A,FALSE,"CAZ";#N/A,#N/A,FALSE,"SNV";#N/A,#N/A,FALSE,"NNV";#N/A,#N/A,FALSE,"PP";#N/A,#N/A,FALSE,"SA"}</definedName>
    <definedName name="aaaaaa" hidden="1">{#N/A,#N/A,FALSE,"SCA";#N/A,#N/A,FALSE,"NCA";#N/A,#N/A,FALSE,"SAZ";#N/A,#N/A,FALSE,"CAZ";#N/A,#N/A,FALSE,"SNV";#N/A,#N/A,FALSE,"NNV";#N/A,#N/A,FALSE,"PP";#N/A,#N/A,FALSE,"SA"}</definedName>
    <definedName name="aaaaaaa" localSheetId="1" hidden="1">{#N/A,#N/A,FALSE,"SCA";#N/A,#N/A,FALSE,"NCA";#N/A,#N/A,FALSE,"SAZ";#N/A,#N/A,FALSE,"CAZ";#N/A,#N/A,FALSE,"SNV";#N/A,#N/A,FALSE,"NNV";#N/A,#N/A,FALSE,"PP";#N/A,#N/A,FALSE,"SA"}</definedName>
    <definedName name="aaaaaaa" localSheetId="17" hidden="1">{#N/A,#N/A,FALSE,"SCA";#N/A,#N/A,FALSE,"NCA";#N/A,#N/A,FALSE,"SAZ";#N/A,#N/A,FALSE,"CAZ";#N/A,#N/A,FALSE,"SNV";#N/A,#N/A,FALSE,"NNV";#N/A,#N/A,FALSE,"PP";#N/A,#N/A,FALSE,"SA"}</definedName>
    <definedName name="aaaaaaa" localSheetId="30" hidden="1">{#N/A,#N/A,FALSE,"SCA";#N/A,#N/A,FALSE,"NCA";#N/A,#N/A,FALSE,"SAZ";#N/A,#N/A,FALSE,"CAZ";#N/A,#N/A,FALSE,"SNV";#N/A,#N/A,FALSE,"NNV";#N/A,#N/A,FALSE,"PP";#N/A,#N/A,FALSE,"SA"}</definedName>
    <definedName name="aaaaaaa" localSheetId="31" hidden="1">{#N/A,#N/A,FALSE,"SCA";#N/A,#N/A,FALSE,"NCA";#N/A,#N/A,FALSE,"SAZ";#N/A,#N/A,FALSE,"CAZ";#N/A,#N/A,FALSE,"SNV";#N/A,#N/A,FALSE,"NNV";#N/A,#N/A,FALSE,"PP";#N/A,#N/A,FALSE,"SA"}</definedName>
    <definedName name="aaaaaaa" localSheetId="19" hidden="1">{#N/A,#N/A,FALSE,"SCA";#N/A,#N/A,FALSE,"NCA";#N/A,#N/A,FALSE,"SAZ";#N/A,#N/A,FALSE,"CAZ";#N/A,#N/A,FALSE,"SNV";#N/A,#N/A,FALSE,"NNV";#N/A,#N/A,FALSE,"PP";#N/A,#N/A,FALSE,"SA"}</definedName>
    <definedName name="aaaaaaa" localSheetId="7" hidden="1">{#N/A,#N/A,FALSE,"SCA";#N/A,#N/A,FALSE,"NCA";#N/A,#N/A,FALSE,"SAZ";#N/A,#N/A,FALSE,"CAZ";#N/A,#N/A,FALSE,"SNV";#N/A,#N/A,FALSE,"NNV";#N/A,#N/A,FALSE,"PP";#N/A,#N/A,FALSE,"SA"}</definedName>
    <definedName name="aaaaaaa" localSheetId="0" hidden="1">{#N/A,#N/A,FALSE,"SCA";#N/A,#N/A,FALSE,"NCA";#N/A,#N/A,FALSE,"SAZ";#N/A,#N/A,FALSE,"CAZ";#N/A,#N/A,FALSE,"SNV";#N/A,#N/A,FALSE,"NNV";#N/A,#N/A,FALSE,"PP";#N/A,#N/A,FALSE,"SA"}</definedName>
    <definedName name="aaaaaaa" localSheetId="10" hidden="1">{#N/A,#N/A,FALSE,"SCA";#N/A,#N/A,FALSE,"NCA";#N/A,#N/A,FALSE,"SAZ";#N/A,#N/A,FALSE,"CAZ";#N/A,#N/A,FALSE,"SNV";#N/A,#N/A,FALSE,"NNV";#N/A,#N/A,FALSE,"PP";#N/A,#N/A,FALSE,"SA"}</definedName>
    <definedName name="aaaaaaa" localSheetId="12" hidden="1">{#N/A,#N/A,FALSE,"SCA";#N/A,#N/A,FALSE,"NCA";#N/A,#N/A,FALSE,"SAZ";#N/A,#N/A,FALSE,"CAZ";#N/A,#N/A,FALSE,"SNV";#N/A,#N/A,FALSE,"NNV";#N/A,#N/A,FALSE,"PP";#N/A,#N/A,FALSE,"SA"}</definedName>
    <definedName name="aaaaaaa" localSheetId="9" hidden="1">{#N/A,#N/A,FALSE,"SCA";#N/A,#N/A,FALSE,"NCA";#N/A,#N/A,FALSE,"SAZ";#N/A,#N/A,FALSE,"CAZ";#N/A,#N/A,FALSE,"SNV";#N/A,#N/A,FALSE,"NNV";#N/A,#N/A,FALSE,"PP";#N/A,#N/A,FALSE,"SA"}</definedName>
    <definedName name="aaaaaaa" hidden="1">{#N/A,#N/A,FALSE,"SCA";#N/A,#N/A,FALSE,"NCA";#N/A,#N/A,FALSE,"SAZ";#N/A,#N/A,FALSE,"CAZ";#N/A,#N/A,FALSE,"SNV";#N/A,#N/A,FALSE,"NNV";#N/A,#N/A,FALSE,"PP";#N/A,#N/A,FALSE,"SA"}</definedName>
    <definedName name="aaaaaaaa" localSheetId="1" hidden="1">{#N/A,#N/A,FALSE,"SCA";#N/A,#N/A,FALSE,"NCA";#N/A,#N/A,FALSE,"SAZ";#N/A,#N/A,FALSE,"CAZ";#N/A,#N/A,FALSE,"SNV";#N/A,#N/A,FALSE,"NNV";#N/A,#N/A,FALSE,"PP";#N/A,#N/A,FALSE,"SA"}</definedName>
    <definedName name="aaaaaaaa" localSheetId="17" hidden="1">{#N/A,#N/A,FALSE,"SCA";#N/A,#N/A,FALSE,"NCA";#N/A,#N/A,FALSE,"SAZ";#N/A,#N/A,FALSE,"CAZ";#N/A,#N/A,FALSE,"SNV";#N/A,#N/A,FALSE,"NNV";#N/A,#N/A,FALSE,"PP";#N/A,#N/A,FALSE,"SA"}</definedName>
    <definedName name="aaaaaaaa" localSheetId="30" hidden="1">{#N/A,#N/A,FALSE,"SCA";#N/A,#N/A,FALSE,"NCA";#N/A,#N/A,FALSE,"SAZ";#N/A,#N/A,FALSE,"CAZ";#N/A,#N/A,FALSE,"SNV";#N/A,#N/A,FALSE,"NNV";#N/A,#N/A,FALSE,"PP";#N/A,#N/A,FALSE,"SA"}</definedName>
    <definedName name="aaaaaaaa" localSheetId="31" hidden="1">{#N/A,#N/A,FALSE,"SCA";#N/A,#N/A,FALSE,"NCA";#N/A,#N/A,FALSE,"SAZ";#N/A,#N/A,FALSE,"CAZ";#N/A,#N/A,FALSE,"SNV";#N/A,#N/A,FALSE,"NNV";#N/A,#N/A,FALSE,"PP";#N/A,#N/A,FALSE,"SA"}</definedName>
    <definedName name="aaaaaaaa" localSheetId="19" hidden="1">{#N/A,#N/A,FALSE,"SCA";#N/A,#N/A,FALSE,"NCA";#N/A,#N/A,FALSE,"SAZ";#N/A,#N/A,FALSE,"CAZ";#N/A,#N/A,FALSE,"SNV";#N/A,#N/A,FALSE,"NNV";#N/A,#N/A,FALSE,"PP";#N/A,#N/A,FALSE,"SA"}</definedName>
    <definedName name="aaaaaaaa" localSheetId="7" hidden="1">{#N/A,#N/A,FALSE,"SCA";#N/A,#N/A,FALSE,"NCA";#N/A,#N/A,FALSE,"SAZ";#N/A,#N/A,FALSE,"CAZ";#N/A,#N/A,FALSE,"SNV";#N/A,#N/A,FALSE,"NNV";#N/A,#N/A,FALSE,"PP";#N/A,#N/A,FALSE,"SA"}</definedName>
    <definedName name="aaaaaaaa" localSheetId="0" hidden="1">{#N/A,#N/A,FALSE,"SCA";#N/A,#N/A,FALSE,"NCA";#N/A,#N/A,FALSE,"SAZ";#N/A,#N/A,FALSE,"CAZ";#N/A,#N/A,FALSE,"SNV";#N/A,#N/A,FALSE,"NNV";#N/A,#N/A,FALSE,"PP";#N/A,#N/A,FALSE,"SA"}</definedName>
    <definedName name="aaaaaaaa" localSheetId="10" hidden="1">{#N/A,#N/A,FALSE,"SCA";#N/A,#N/A,FALSE,"NCA";#N/A,#N/A,FALSE,"SAZ";#N/A,#N/A,FALSE,"CAZ";#N/A,#N/A,FALSE,"SNV";#N/A,#N/A,FALSE,"NNV";#N/A,#N/A,FALSE,"PP";#N/A,#N/A,FALSE,"SA"}</definedName>
    <definedName name="aaaaaaaa" localSheetId="12" hidden="1">{#N/A,#N/A,FALSE,"SCA";#N/A,#N/A,FALSE,"NCA";#N/A,#N/A,FALSE,"SAZ";#N/A,#N/A,FALSE,"CAZ";#N/A,#N/A,FALSE,"SNV";#N/A,#N/A,FALSE,"NNV";#N/A,#N/A,FALSE,"PP";#N/A,#N/A,FALSE,"SA"}</definedName>
    <definedName name="aaaaaaaa" localSheetId="9" hidden="1">{#N/A,#N/A,FALSE,"SCA";#N/A,#N/A,FALSE,"NCA";#N/A,#N/A,FALSE,"SAZ";#N/A,#N/A,FALSE,"CAZ";#N/A,#N/A,FALSE,"SNV";#N/A,#N/A,FALSE,"NNV";#N/A,#N/A,FALSE,"PP";#N/A,#N/A,FALSE,"SA"}</definedName>
    <definedName name="aaaaaaaa" hidden="1">{#N/A,#N/A,FALSE,"SCA";#N/A,#N/A,FALSE,"NCA";#N/A,#N/A,FALSE,"SAZ";#N/A,#N/A,FALSE,"CAZ";#N/A,#N/A,FALSE,"SNV";#N/A,#N/A,FALSE,"NNV";#N/A,#N/A,FALSE,"PP";#N/A,#N/A,FALSE,"SA"}</definedName>
    <definedName name="aaaaaaaaaaaaaaa" localSheetId="1"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30" hidden="1">{#N/A,#N/A,FALSE,"O&amp;M by processes";#N/A,#N/A,FALSE,"Elec Act vs Bud";#N/A,#N/A,FALSE,"G&amp;A";#N/A,#N/A,FALSE,"BGS";#N/A,#N/A,FALSE,"Res Cost"}</definedName>
    <definedName name="aaaaaaaaaaaaaaa" localSheetId="31"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7" hidden="1">{#N/A,#N/A,FALSE,"O&amp;M by processes";#N/A,#N/A,FALSE,"Elec Act vs Bud";#N/A,#N/A,FALSE,"G&amp;A";#N/A,#N/A,FALSE,"BGS";#N/A,#N/A,FALSE,"Res Cost"}</definedName>
    <definedName name="aaaaaaaaaaaaaaa" localSheetId="0" hidden="1">{#N/A,#N/A,FALSE,"O&amp;M by processes";#N/A,#N/A,FALSE,"Elec Act vs Bud";#N/A,#N/A,FALSE,"G&amp;A";#N/A,#N/A,FALSE,"BGS";#N/A,#N/A,FALSE,"Res Cost"}</definedName>
    <definedName name="aaaaaaaaaaaaaaa" localSheetId="10" hidden="1">{#N/A,#N/A,FALSE,"O&amp;M by processes";#N/A,#N/A,FALSE,"Elec Act vs Bud";#N/A,#N/A,FALSE,"G&amp;A";#N/A,#N/A,FALSE,"BGS";#N/A,#N/A,FALSE,"Res Cost"}</definedName>
    <definedName name="aaaaaaaaaaaaaaa" localSheetId="12"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hidden="1">{#N/A,#N/A,FALSE,"O&amp;M by processes";#N/A,#N/A,FALSE,"Elec Act vs Bud";#N/A,#N/A,FALSE,"G&amp;A";#N/A,#N/A,FALSE,"BGS";#N/A,#N/A,FALSE,"Res Cost"}</definedName>
    <definedName name="aaaaaaag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aaaaag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ab"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ab"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ab" hidden="1">{#N/A,#N/A,FALSE,"Australia";#N/A,#N/A,FALSE,"Austria";#N/A,#N/A,FALSE,"Belgium";#N/A,#N/A,FALSE,"Canada";#N/A,#N/A,FALSE,"France";#N/A,#N/A,FALSE,"Germany";#N/A,#N/A,FALSE,"Hong Kong";#N/A,#N/A,FALSE,"Italy";#N/A,#N/A,FALSE,"Japan";#N/A,#N/A,FALSE,"Korea";#N/A,#N/A,FALSE,"Mexico";#N/A,#N/A,FALSE,"Poland";#N/A,#N/A,FALSE,"Spain";#N/A,#N/A,FALSE,"Switzerland";#N/A,#N/A,FALSE,"UK"}</definedName>
    <definedName name="abc" localSheetId="1" hidden="1">{#N/A,#N/A,TRUE,"1990";#N/A,#N/A,TRUE,"1991";#N/A,#N/A,TRUE,"1992";#N/A,#N/A,TRUE,"1993"}</definedName>
    <definedName name="abc" localSheetId="17" hidden="1">{#N/A,#N/A,TRUE,"1990";#N/A,#N/A,TRUE,"1991";#N/A,#N/A,TRUE,"1992";#N/A,#N/A,TRUE,"1993"}</definedName>
    <definedName name="abc" localSheetId="30" hidden="1">{#N/A,#N/A,TRUE,"1990";#N/A,#N/A,TRUE,"1991";#N/A,#N/A,TRUE,"1992";#N/A,#N/A,TRUE,"1993"}</definedName>
    <definedName name="abc" localSheetId="31" hidden="1">{#N/A,#N/A,TRUE,"1990";#N/A,#N/A,TRUE,"1991";#N/A,#N/A,TRUE,"1992";#N/A,#N/A,TRUE,"1993"}</definedName>
    <definedName name="abc" localSheetId="19" hidden="1">{#N/A,#N/A,TRUE,"1990";#N/A,#N/A,TRUE,"1991";#N/A,#N/A,TRUE,"1992";#N/A,#N/A,TRUE,"1993"}</definedName>
    <definedName name="abc" localSheetId="7" hidden="1">{#N/A,#N/A,TRUE,"1990";#N/A,#N/A,TRUE,"1991";#N/A,#N/A,TRUE,"1992";#N/A,#N/A,TRUE,"1993"}</definedName>
    <definedName name="abc" localSheetId="0" hidden="1">{#N/A,#N/A,TRUE,"1990";#N/A,#N/A,TRUE,"1991";#N/A,#N/A,TRUE,"1992";#N/A,#N/A,TRUE,"1993"}</definedName>
    <definedName name="abc" localSheetId="10" hidden="1">{#N/A,#N/A,FALSE,"011";#N/A,#N/A,FALSE,"015";#N/A,#N/A,FALSE,"018";#N/A,#N/A,FALSE,"222";#N/A,#N/A,FALSE,"225";#N/A,#N/A,FALSE,"228";#N/A,#N/A,FALSE,"301";#N/A,#N/A,FALSE,"306";#N/A,#N/A,FALSE,"391";#N/A,#N/A,FALSE,"421";#N/A,#N/A,FALSE,"422";#N/A,#N/A,FALSE,"423";#N/A,#N/A,FALSE,"425"}</definedName>
    <definedName name="abc" localSheetId="12" hidden="1">{#N/A,#N/A,FALSE,"011";#N/A,#N/A,FALSE,"015";#N/A,#N/A,FALSE,"018";#N/A,#N/A,FALSE,"222";#N/A,#N/A,FALSE,"225";#N/A,#N/A,FALSE,"228";#N/A,#N/A,FALSE,"301";#N/A,#N/A,FALSE,"306";#N/A,#N/A,FALSE,"391";#N/A,#N/A,FALSE,"421";#N/A,#N/A,FALSE,"422";#N/A,#N/A,FALSE,"423";#N/A,#N/A,FALSE,"425"}</definedName>
    <definedName name="abc" localSheetId="9" hidden="1">{#N/A,#N/A,TRUE,"1990";#N/A,#N/A,TRUE,"1991";#N/A,#N/A,TRUE,"1992";#N/A,#N/A,TRUE,"1993"}</definedName>
    <definedName name="abc" hidden="1">{#N/A,#N/A,FALSE,"011";#N/A,#N/A,FALSE,"015";#N/A,#N/A,FALSE,"018";#N/A,#N/A,FALSE,"222";#N/A,#N/A,FALSE,"225";#N/A,#N/A,FALSE,"228";#N/A,#N/A,FALSE,"301";#N/A,#N/A,FALSE,"306";#N/A,#N/A,FALSE,"391";#N/A,#N/A,FALSE,"421";#N/A,#N/A,FALSE,"422";#N/A,#N/A,FALSE,"423";#N/A,#N/A,FALSE,"425"}</definedName>
    <definedName name="abcd" localSheetId="1" hidden="1">{#N/A,#N/A,TRUE,"1990";#N/A,#N/A,TRUE,"1991";#N/A,#N/A,TRUE,"1992";#N/A,#N/A,TRUE,"1993"}</definedName>
    <definedName name="abcd" localSheetId="17" hidden="1">{#N/A,#N/A,TRUE,"1990";#N/A,#N/A,TRUE,"1991";#N/A,#N/A,TRUE,"1992";#N/A,#N/A,TRUE,"1993"}</definedName>
    <definedName name="abcd" localSheetId="30" hidden="1">{#N/A,#N/A,TRUE,"1990";#N/A,#N/A,TRUE,"1991";#N/A,#N/A,TRUE,"1992";#N/A,#N/A,TRUE,"1993"}</definedName>
    <definedName name="abcd" localSheetId="31" hidden="1">{#N/A,#N/A,TRUE,"1990";#N/A,#N/A,TRUE,"1991";#N/A,#N/A,TRUE,"1992";#N/A,#N/A,TRUE,"1993"}</definedName>
    <definedName name="abcd" localSheetId="19" hidden="1">{#N/A,#N/A,TRUE,"1990";#N/A,#N/A,TRUE,"1991";#N/A,#N/A,TRUE,"1992";#N/A,#N/A,TRUE,"1993"}</definedName>
    <definedName name="abcd" localSheetId="7" hidden="1">{#N/A,#N/A,TRUE,"1990";#N/A,#N/A,TRUE,"1991";#N/A,#N/A,TRUE,"1992";#N/A,#N/A,TRUE,"1993"}</definedName>
    <definedName name="abcd" localSheetId="0" hidden="1">{#N/A,#N/A,TRUE,"1990";#N/A,#N/A,TRUE,"1991";#N/A,#N/A,TRUE,"1992";#N/A,#N/A,TRUE,"1993"}</definedName>
    <definedName name="abcd" localSheetId="10" hidden="1">{#N/A,#N/A,TRUE,"1990";#N/A,#N/A,TRUE,"1991";#N/A,#N/A,TRUE,"1992";#N/A,#N/A,TRUE,"1993"}</definedName>
    <definedName name="abcd" localSheetId="12" hidden="1">{#N/A,#N/A,TRUE,"1990";#N/A,#N/A,TRUE,"1991";#N/A,#N/A,TRUE,"1992";#N/A,#N/A,TRUE,"1993"}</definedName>
    <definedName name="abcd" localSheetId="9" hidden="1">{#N/A,#N/A,TRUE,"1990";#N/A,#N/A,TRUE,"1991";#N/A,#N/A,TRUE,"1992";#N/A,#N/A,TRUE,"1993"}</definedName>
    <definedName name="abcd" hidden="1">{#N/A,#N/A,TRUE,"1990";#N/A,#N/A,TRUE,"1991";#N/A,#N/A,TRUE,"1992";#N/A,#N/A,TRUE,"1993"}</definedName>
    <definedName name="abcde" localSheetId="1" hidden="1">{"summary",#N/A,TRUE,"E93ADJ";"detail",#N/A,TRUE,"E93ADJ"}</definedName>
    <definedName name="abcde" localSheetId="17" hidden="1">{"summary",#N/A,TRUE,"E93ADJ";"detail",#N/A,TRUE,"E93ADJ"}</definedName>
    <definedName name="abcde" localSheetId="30" hidden="1">{"summary",#N/A,TRUE,"E93ADJ";"detail",#N/A,TRUE,"E93ADJ"}</definedName>
    <definedName name="abcde" localSheetId="31" hidden="1">{"summary",#N/A,TRUE,"E93ADJ";"detail",#N/A,TRUE,"E93ADJ"}</definedName>
    <definedName name="abcde" localSheetId="19" hidden="1">{"summary",#N/A,TRUE,"E93ADJ";"detail",#N/A,TRUE,"E93ADJ"}</definedName>
    <definedName name="abcde" localSheetId="7" hidden="1">{"summary",#N/A,TRUE,"E93ADJ";"detail",#N/A,TRUE,"E93ADJ"}</definedName>
    <definedName name="abcde" localSheetId="0" hidden="1">{"summary",#N/A,TRUE,"E93ADJ";"detail",#N/A,TRUE,"E93ADJ"}</definedName>
    <definedName name="abcde" localSheetId="10" hidden="1">{"summary",#N/A,TRUE,"E93ADJ";"detail",#N/A,TRUE,"E93ADJ"}</definedName>
    <definedName name="abcde" localSheetId="12" hidden="1">{"summary",#N/A,TRUE,"E93ADJ";"detail",#N/A,TRUE,"E93ADJ"}</definedName>
    <definedName name="abcde" localSheetId="9" hidden="1">{"summary",#N/A,TRUE,"E93ADJ";"detail",#N/A,TRUE,"E93ADJ"}</definedName>
    <definedName name="abcde" hidden="1">{"summary",#N/A,TRUE,"E93ADJ";"detail",#N/A,TRUE,"E93ADJ"}</definedName>
    <definedName name="abcdef" localSheetId="1" hidden="1">{"summary",#N/A,TRUE,"E93ADJ";"detail",#N/A,TRUE,"E93ADJ"}</definedName>
    <definedName name="abcdef" localSheetId="17" hidden="1">{"summary",#N/A,TRUE,"E93ADJ";"detail",#N/A,TRUE,"E93ADJ"}</definedName>
    <definedName name="abcdef" localSheetId="30" hidden="1">{"summary",#N/A,TRUE,"E93ADJ";"detail",#N/A,TRUE,"E93ADJ"}</definedName>
    <definedName name="abcdef" localSheetId="31" hidden="1">{"summary",#N/A,TRUE,"E93ADJ";"detail",#N/A,TRUE,"E93ADJ"}</definedName>
    <definedName name="abcdef" localSheetId="19" hidden="1">{"summary",#N/A,TRUE,"E93ADJ";"detail",#N/A,TRUE,"E93ADJ"}</definedName>
    <definedName name="abcdef" localSheetId="7" hidden="1">{"summary",#N/A,TRUE,"E93ADJ";"detail",#N/A,TRUE,"E93ADJ"}</definedName>
    <definedName name="abcdef" localSheetId="0" hidden="1">{"summary",#N/A,TRUE,"E93ADJ";"detail",#N/A,TRUE,"E93ADJ"}</definedName>
    <definedName name="abcdef" localSheetId="10" hidden="1">{"summary",#N/A,TRUE,"E93ADJ";"detail",#N/A,TRUE,"E93ADJ"}</definedName>
    <definedName name="abcdef" localSheetId="12" hidden="1">{"summary",#N/A,TRUE,"E93ADJ";"detail",#N/A,TRUE,"E93ADJ"}</definedName>
    <definedName name="abcdef" localSheetId="9" hidden="1">{"summary",#N/A,TRUE,"E93ADJ";"detail",#N/A,TRUE,"E93ADJ"}</definedName>
    <definedName name="abcdef" hidden="1">{"summary",#N/A,TRUE,"E93ADJ";"detail",#N/A,TRUE,"E93ADJ"}</definedName>
    <definedName name="abfdb" localSheetId="7" hidden="1">{"SEP",#N/A,FALSE,"SEP"}</definedName>
    <definedName name="abfdb" localSheetId="10" hidden="1">{"SEP",#N/A,FALSE,"SEP"}</definedName>
    <definedName name="abfdb" localSheetId="12" hidden="1">{"SEP",#N/A,FALSE,"SEP"}</definedName>
    <definedName name="abfdb" hidden="1">{"SEP",#N/A,FALSE,"SEP"}</definedName>
    <definedName name="abit">0.000000001</definedName>
    <definedName name="Access_Button" hidden="1">"MKTTERM_DATA_List"</definedName>
    <definedName name="AccessDatabase" hidden="1">"C:\My Documents\Models\Pricer1.mdb"</definedName>
    <definedName name="Account_and_Adjustment_Information">OFFSET(#REF!,0,0,COUNTA(#REF!),COUNTA(#REF!))</definedName>
    <definedName name="Account_Balance" localSheetId="10">#REF!</definedName>
    <definedName name="Account_Balance">#REF!</definedName>
    <definedName name="Account_Name">#REF!</definedName>
    <definedName name="Account_Number" localSheetId="7">#REF!</definedName>
    <definedName name="Account_Number" localSheetId="10">#REF!</definedName>
    <definedName name="Account_Number">#REF!</definedName>
    <definedName name="Accounts" localSheetId="10">#REF!</definedName>
    <definedName name="Accounts">#REF!</definedName>
    <definedName name="AccountTitles">#REF!</definedName>
    <definedName name="AccountType">#REF!</definedName>
    <definedName name="AccumDepr">#REF!</definedName>
    <definedName name="ACwvu.All._.of._.Report." localSheetId="7" hidden="1">#REF!</definedName>
    <definedName name="ACwvu.All._.of._.Report." localSheetId="10" hidden="1">#REF!</definedName>
    <definedName name="ACwvu.All._.of._.Report." hidden="1">#REF!</definedName>
    <definedName name="ACwvu.Comments._.MTH." localSheetId="10" hidden="1">#REF!</definedName>
    <definedName name="ACwvu.Comments._.MTH." hidden="1">#REF!</definedName>
    <definedName name="ACwvu.Comments._.QTR." localSheetId="10" hidden="1">#REF!</definedName>
    <definedName name="ACwvu.Comments._.QTR." hidden="1">#REF!</definedName>
    <definedName name="ACwvu.Comments._.YTD." localSheetId="10" hidden="1">#REF!</definedName>
    <definedName name="ACwvu.Comments._.YTD." hidden="1">#REF!</definedName>
    <definedName name="ACwvu.DATABASE." localSheetId="30" hidden="1">#REF!</definedName>
    <definedName name="ACwvu.DATABASE." localSheetId="19" hidden="1">#REF!</definedName>
    <definedName name="ACwvu.DATABASE." localSheetId="7" hidden="1">#REF!</definedName>
    <definedName name="ACwvu.DATABASE." localSheetId="9" hidden="1">#REF!</definedName>
    <definedName name="ACwvu.DATABASE." hidden="1">#REF!</definedName>
    <definedName name="ACwvu.MTH._.QTR._.YTD." localSheetId="7" hidden="1">#REF!</definedName>
    <definedName name="ACwvu.MTH._.QTR._.YTD." localSheetId="10" hidden="1">#REF!</definedName>
    <definedName name="ACwvu.MTH._.QTR._.YTD." hidden="1">#REF!</definedName>
    <definedName name="ACwvu.MTH._.YTD." localSheetId="10" hidden="1">#REF!</definedName>
    <definedName name="ACwvu.MTH._.YTD." hidden="1">#REF!</definedName>
    <definedName name="ACwvu.OP." localSheetId="1" hidden="1">#REF!</definedName>
    <definedName name="ACwvu.OP." localSheetId="17" hidden="1">#REF!</definedName>
    <definedName name="ACwvu.OP." localSheetId="30" hidden="1">#REF!</definedName>
    <definedName name="ACwvu.OP." localSheetId="31" hidden="1">#REF!</definedName>
    <definedName name="ACwvu.OP." localSheetId="7" hidden="1">#REF!</definedName>
    <definedName name="ACwvu.OP." localSheetId="0" hidden="1">#REF!</definedName>
    <definedName name="ACwvu.OP." localSheetId="10" hidden="1">#REF!</definedName>
    <definedName name="ACwvu.OP." localSheetId="9" hidden="1">#REF!</definedName>
    <definedName name="ACwvu.OP." hidden="1">#REF!</definedName>
    <definedName name="adfadfdfadsfdsa" localSheetId="19" hidden="1">#REF!</definedName>
    <definedName name="adfadfdfadsfdsa" hidden="1">#REF!</definedName>
    <definedName name="ADJGROWTHRATES">#REF!</definedName>
    <definedName name="ADMIN" localSheetId="10">#REF!</definedName>
    <definedName name="ADMIN">#REF!</definedName>
    <definedName name="adsfasd" localSheetId="7" hidden="1">{"EM",#N/A,FALSE,"EM";"EM_Quarterly",#N/A,FALSE,"EM";"BS",#N/A,FALSE,"BS";"CF",#N/A,FALSE,"CF"}</definedName>
    <definedName name="adsfasd" localSheetId="10" hidden="1">{"EM",#N/A,FALSE,"EM";"EM_Quarterly",#N/A,FALSE,"EM";"BS",#N/A,FALSE,"BS";"CF",#N/A,FALSE,"CF"}</definedName>
    <definedName name="adsfasd" localSheetId="12" hidden="1">{"EM",#N/A,FALSE,"EM";"EM_Quarterly",#N/A,FALSE,"EM";"BS",#N/A,FALSE,"BS";"CF",#N/A,FALSE,"CF"}</definedName>
    <definedName name="adsfasd" hidden="1">{"EM",#N/A,FALSE,"EM";"EM_Quarterly",#N/A,FALSE,"EM";"BS",#N/A,FALSE,"BS";"CF",#N/A,FALSE,"CF"}</definedName>
    <definedName name="aedf" localSheetId="1" hidden="1">#REF!</definedName>
    <definedName name="aedf" localSheetId="31" hidden="1">#REF!</definedName>
    <definedName name="aedf" localSheetId="7" hidden="1">#REF!</definedName>
    <definedName name="aedf" localSheetId="9" hidden="1">#REF!</definedName>
    <definedName name="aedf" hidden="1">#REF!</definedName>
    <definedName name="aewc12" localSheetId="1" hidden="1">#REF!</definedName>
    <definedName name="aewc12" localSheetId="31" hidden="1">#REF!</definedName>
    <definedName name="aewc12" localSheetId="7" hidden="1">#REF!</definedName>
    <definedName name="aewc12" localSheetId="9" hidden="1">#REF!</definedName>
    <definedName name="aewc12" hidden="1">#REF!</definedName>
    <definedName name="afd"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3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dafadfs" localSheetId="19" hidden="1">#REF!</definedName>
    <definedName name="afddafadfs" hidden="1">#REF!</definedName>
    <definedName name="afddfadfdsfafdas" localSheetId="19" hidden="1">#REF!</definedName>
    <definedName name="afddfadfdsfafdas" hidden="1">#REF!</definedName>
    <definedName name="afsawe" localSheetId="7" hidden="1">{"SEP",#N/A,FALSE,"SEP"}</definedName>
    <definedName name="afsawe" localSheetId="10" hidden="1">{"SEP",#N/A,FALSE,"SEP"}</definedName>
    <definedName name="afsawe" localSheetId="12" hidden="1">{"SEP",#N/A,FALSE,"SEP"}</definedName>
    <definedName name="afsawe" hidden="1">{"SEP",#N/A,FALSE,"SEP"}</definedName>
    <definedName name="AFUDC">#REF!</definedName>
    <definedName name="AIAC">#REF!</definedName>
    <definedName name="ajw2n" localSheetId="1" hidden="1">#REF!</definedName>
    <definedName name="ajw2n" localSheetId="30" hidden="1">#REF!</definedName>
    <definedName name="ajw2n" localSheetId="31" hidden="1">#REF!</definedName>
    <definedName name="ajw2n" localSheetId="7" hidden="1">#REF!</definedName>
    <definedName name="ajw2n" localSheetId="9" hidden="1">#REF!</definedName>
    <definedName name="ajw2n" hidden="1">#REF!</definedName>
    <definedName name="Alignment" hidden="1">"a1"</definedName>
    <definedName name="ALL">#REF!</definedName>
    <definedName name="alldcfh">#REF!</definedName>
    <definedName name="alldcfl">#REF!</definedName>
    <definedName name="allocation_data" localSheetId="10">OFFSET(#REF!,1,0,COUNTA(#REF!)-1,COUNTA(#REF!))</definedName>
    <definedName name="allocation_data">OFFSET(#REF!,1,0,COUNTA(#REF!)-1,COUNTA(#REF!))</definedName>
    <definedName name="ALLOCATION_TABLE">#REF!</definedName>
    <definedName name="alyson"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alyson"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ORT" localSheetId="7">#REF!</definedName>
    <definedName name="AMORT" localSheetId="12">#REF!</definedName>
    <definedName name="AMORT">#REF!</definedName>
    <definedName name="ANNAACIAC" localSheetId="7">#REF!</definedName>
    <definedName name="ANNAACIAC" localSheetId="10">#REF!</definedName>
    <definedName name="ANNAACIAC">#REF!</definedName>
    <definedName name="ANNAD" localSheetId="7">#REF!</definedName>
    <definedName name="ANNAD" localSheetId="10">#REF!</definedName>
    <definedName name="ANNAD">#REF!</definedName>
    <definedName name="ANNAFC" localSheetId="10">#REF!</definedName>
    <definedName name="ANNAFC">#REF!</definedName>
    <definedName name="ANNCIAC" localSheetId="10">#REF!</definedName>
    <definedName name="ANNCIAC">#REF!</definedName>
    <definedName name="ANNPL">#REF!</definedName>
    <definedName name="anscount" localSheetId="1" hidden="1">1</definedName>
    <definedName name="anscount" localSheetId="7" hidden="1">1</definedName>
    <definedName name="anscount" localSheetId="0" hidden="1">1</definedName>
    <definedName name="anscount" localSheetId="9" hidden="1">1</definedName>
    <definedName name="anscount" hidden="1">3</definedName>
    <definedName name="antra">#REF!</definedName>
    <definedName name="anx" localSheetId="7" hidden="1">{"SEP",#N/A,FALSE,"SEP"}</definedName>
    <definedName name="anx" localSheetId="10" hidden="1">{"SEP",#N/A,FALSE,"SEP"}</definedName>
    <definedName name="anx" localSheetId="12" hidden="1">{"SEP",#N/A,FALSE,"SEP"}</definedName>
    <definedName name="anx" hidden="1">{"SEP",#N/A,FALSE,"SEP"}</definedName>
    <definedName name="ap" localSheetId="1" hidden="1">#REF!</definedName>
    <definedName name="ap" localSheetId="17" hidden="1">#REF!</definedName>
    <definedName name="ap" localSheetId="30" hidden="1">#REF!</definedName>
    <definedName name="ap" localSheetId="31" hidden="1">#REF!</definedName>
    <definedName name="ap" localSheetId="7" hidden="1">#REF!</definedName>
    <definedName name="ap" localSheetId="9" hidden="1">#REF!</definedName>
    <definedName name="ap" hidden="1">#REF!</definedName>
    <definedName name="APWREFVMARKETDATE" hidden="1">"'='Test - Indexes'!$H$2"</definedName>
    <definedName name="APWREFVNUAN" hidden="1">"'f4"</definedName>
    <definedName name="ARB">#REF!</definedName>
    <definedName name="arewear" localSheetId="7" hidden="1">{"daily",#N/A,FALSE,"Daily"}</definedName>
    <definedName name="arewear" localSheetId="10" hidden="1">{"daily",#N/A,FALSE,"Daily"}</definedName>
    <definedName name="arewear" localSheetId="12" hidden="1">{"daily",#N/A,FALSE,"Daily"}</definedName>
    <definedName name="arewear" hidden="1">{"daily",#N/A,FALSE,"Daily"}</definedName>
    <definedName name="arewrew" localSheetId="7" hidden="1">{"SEP",#N/A,FALSE,"SEP"}</definedName>
    <definedName name="arewrew" localSheetId="10" hidden="1">{"SEP",#N/A,FALSE,"SEP"}</definedName>
    <definedName name="arewrew" localSheetId="12" hidden="1">{"SEP",#N/A,FALSE,"SEP"}</definedName>
    <definedName name="arewrew" hidden="1">{"SEP",#N/A,FALSE,"SEP"}</definedName>
    <definedName name="ARTNA">#REF!</definedName>
    <definedName name="as" localSheetId="1" hidden="1">{"Summary",#N/A,FALSE,"Options "}</definedName>
    <definedName name="as" localSheetId="17" hidden="1">{"Summary",#N/A,FALSE,"Options "}</definedName>
    <definedName name="as" localSheetId="30" hidden="1">{"Summary",#N/A,FALSE,"Options "}</definedName>
    <definedName name="as" localSheetId="31" hidden="1">{"Summary",#N/A,FALSE,"Options "}</definedName>
    <definedName name="as" localSheetId="19" hidden="1">{"Summary",#N/A,FALSE,"Options "}</definedName>
    <definedName name="as" localSheetId="7" hidden="1">{"Summary",#N/A,FALSE,"Options "}</definedName>
    <definedName name="as" localSheetId="0" hidden="1">{"Summary",#N/A,FALSE,"Options "}</definedName>
    <definedName name="as" localSheetId="10" hidden="1">{"Summary",#N/A,FALSE,"Options "}</definedName>
    <definedName name="as" localSheetId="12" hidden="1">{"Summary",#N/A,FALSE,"Options "}</definedName>
    <definedName name="as" localSheetId="9" hidden="1">{"Summary",#N/A,FALSE,"Options "}</definedName>
    <definedName name="as" hidden="1">{"Summary",#N/A,FALSE,"Options "}</definedName>
    <definedName name="as_of_date">#REF!</definedName>
    <definedName name="AS2DocOpenMode" hidden="1">"AS2DocumentEdit"</definedName>
    <definedName name="AS2HasNoAutoHeaderFooter" hidden="1">" "</definedName>
    <definedName name="AS2NamedRange" hidden="1">7</definedName>
    <definedName name="AS2ReportLS" hidden="1">1</definedName>
    <definedName name="AS2SyncStepLS" hidden="1">0</definedName>
    <definedName name="AS2TaxWorkpaper" hidden="1">" "</definedName>
    <definedName name="AS2VersionLS" hidden="1">300</definedName>
    <definedName name="asd" localSheetId="1" hidden="1">#REF!</definedName>
    <definedName name="asd" localSheetId="17" hidden="1">#REF!</definedName>
    <definedName name="asd" localSheetId="30" hidden="1">#REF!</definedName>
    <definedName name="asd" localSheetId="31" hidden="1">#REF!</definedName>
    <definedName name="asd" localSheetId="7" hidden="1">#REF!</definedName>
    <definedName name="asd" localSheetId="0" hidden="1">#REF!</definedName>
    <definedName name="asd" localSheetId="10" hidden="1">{"EM",#N/A,FALSE,"EM";"EMQuarterly",#N/A,FALSE,"EM";"BS",#N/A,FALSE,"BS";"CF",#N/A,FALSE,"CF"}</definedName>
    <definedName name="asd" localSheetId="12" hidden="1">{"EM",#N/A,FALSE,"EM";"EMQuarterly",#N/A,FALSE,"EM";"BS",#N/A,FALSE,"BS";"CF",#N/A,FALSE,"CF"}</definedName>
    <definedName name="asd" localSheetId="9" hidden="1">#REF!</definedName>
    <definedName name="asd" hidden="1">{"EM",#N/A,FALSE,"EM";"EMQuarterly",#N/A,FALSE,"EM";"BS",#N/A,FALSE,"BS";"CF",#N/A,FALSE,"CF"}</definedName>
    <definedName name="asdf" localSheetId="1" hidden="1">#REF!</definedName>
    <definedName name="asdf" localSheetId="31" hidden="1">#REF!</definedName>
    <definedName name="asdf" localSheetId="7" hidden="1">#REF!</definedName>
    <definedName name="asdf" localSheetId="9" hidden="1">#REF!</definedName>
    <definedName name="asdf" hidden="1">#REF!</definedName>
    <definedName name="asdij" localSheetId="31" hidden="1">#REF!</definedName>
    <definedName name="asdij" localSheetId="7" hidden="1">#REF!</definedName>
    <definedName name="asdij" hidden="1">#REF!</definedName>
    <definedName name="asdrwer" localSheetId="7" hidden="1">{"12 months",#N/A,FALSE,"Hourly"}</definedName>
    <definedName name="asdrwer" localSheetId="10" hidden="1">{"12 months",#N/A,FALSE,"Hourly"}</definedName>
    <definedName name="asdrwer" localSheetId="12" hidden="1">{"12 months",#N/A,FALSE,"Hourly"}</definedName>
    <definedName name="asdrwer" hidden="1">{"12 months",#N/A,FALSE,"Hourly"}</definedName>
    <definedName name="asdtrse" localSheetId="7" hidden="1">{"SEP",#N/A,FALSE,"SEP"}</definedName>
    <definedName name="asdtrse" localSheetId="10" hidden="1">{"SEP",#N/A,FALSE,"SEP"}</definedName>
    <definedName name="asdtrse" localSheetId="12" hidden="1">{"SEP",#N/A,FALSE,"SEP"}</definedName>
    <definedName name="asdtrse" hidden="1">{"SEP",#N/A,FALSE,"SEP"}</definedName>
    <definedName name="asf" localSheetId="31" hidden="1">#REF!</definedName>
    <definedName name="asf" localSheetId="7" hidden="1">#REF!</definedName>
    <definedName name="asf" localSheetId="9" hidden="1">#REF!</definedName>
    <definedName name="asf" hidden="1">#REF!</definedName>
    <definedName name="asfdasdf" localSheetId="7" hidden="1">{"SEP",#N/A,FALSE,"SEP"}</definedName>
    <definedName name="asfdasdf" localSheetId="10" hidden="1">{"SEP",#N/A,FALSE,"SEP"}</definedName>
    <definedName name="asfdasdf" localSheetId="12" hidden="1">{"SEP",#N/A,FALSE,"SEP"}</definedName>
    <definedName name="asfdasdf" hidden="1">{"SEP",#N/A,FALSE,"SEP"}</definedName>
    <definedName name="asfgabvf" localSheetId="7" hidden="1">{"SEP",#N/A,FALSE,"SEP"}</definedName>
    <definedName name="asfgabvf" localSheetId="10" hidden="1">{"SEP",#N/A,FALSE,"SEP"}</definedName>
    <definedName name="asfgabvf" localSheetId="12" hidden="1">{"SEP",#N/A,FALSE,"SEP"}</definedName>
    <definedName name="asfgabvf" hidden="1">{"SEP",#N/A,FALSE,"SEP"}</definedName>
    <definedName name="ashwin" localSheetId="1" hidden="1">{#N/A,"Anonymous",FALSE,"30 30k Table";#N/A,#N/A,FALSE,"30 50k Table";#N/A,#N/A,FALSE,"40 100k Table"}</definedName>
    <definedName name="ashwin" localSheetId="17" hidden="1">{#N/A,"Anonymous",FALSE,"30 30k Table";#N/A,#N/A,FALSE,"30 50k Table";#N/A,#N/A,FALSE,"40 100k Table"}</definedName>
    <definedName name="ashwin" localSheetId="30" hidden="1">{#N/A,"Anonymous",FALSE,"30 30k Table";#N/A,#N/A,FALSE,"30 50k Table";#N/A,#N/A,FALSE,"40 100k Table"}</definedName>
    <definedName name="ashwin" localSheetId="31" hidden="1">{#N/A,"Anonymous",FALSE,"30 30k Table";#N/A,#N/A,FALSE,"30 50k Table";#N/A,#N/A,FALSE,"40 100k Table"}</definedName>
    <definedName name="ashwin" localSheetId="19" hidden="1">{#N/A,"Anonymous",FALSE,"30 30k Table";#N/A,#N/A,FALSE,"30 50k Table";#N/A,#N/A,FALSE,"40 100k Table"}</definedName>
    <definedName name="ashwin" localSheetId="7" hidden="1">{#N/A,"Anonymous",FALSE,"30 30k Table";#N/A,#N/A,FALSE,"30 50k Table";#N/A,#N/A,FALSE,"40 100k Table"}</definedName>
    <definedName name="ashwin" localSheetId="0" hidden="1">{#N/A,"Anonymous",FALSE,"30 30k Table";#N/A,#N/A,FALSE,"30 50k Table";#N/A,#N/A,FALSE,"40 100k Table"}</definedName>
    <definedName name="ashwin" localSheetId="10" hidden="1">{#N/A,"Anonymous",FALSE,"30 30k Table";#N/A,#N/A,FALSE,"30 50k Table";#N/A,#N/A,FALSE,"40 100k Table"}</definedName>
    <definedName name="ashwin" localSheetId="12" hidden="1">{#N/A,"Anonymous",FALSE,"30 30k Table";#N/A,#N/A,FALSE,"30 50k Table";#N/A,#N/A,FALSE,"40 100k Table"}</definedName>
    <definedName name="ashwin" localSheetId="9" hidden="1">{#N/A,"Anonymous",FALSE,"30 30k Table";#N/A,#N/A,FALSE,"30 50k Table";#N/A,#N/A,FALSE,"40 100k Table"}</definedName>
    <definedName name="ashwin" hidden="1">{#N/A,"Anonymous",FALSE,"30 30k Table";#N/A,#N/A,FALSE,"30 50k Table";#N/A,#N/A,FALSE,"40 100k Table"}</definedName>
    <definedName name="aspd" localSheetId="1" hidden="1">#REF!</definedName>
    <definedName name="aspd" localSheetId="17" hidden="1">#REF!</definedName>
    <definedName name="aspd" localSheetId="30" hidden="1">#REF!</definedName>
    <definedName name="aspd" localSheetId="31" hidden="1">#REF!</definedName>
    <definedName name="aspd" localSheetId="7" hidden="1">#REF!</definedName>
    <definedName name="aspd" localSheetId="9" hidden="1">#REF!</definedName>
    <definedName name="aspd" hidden="1">#REF!</definedName>
    <definedName name="asrerwqar" localSheetId="7" hidden="1">{"group detail",#N/A,FALSE,"Hourly Detail"}</definedName>
    <definedName name="asrerwqar" localSheetId="10" hidden="1">{"group detail",#N/A,FALSE,"Hourly Detail"}</definedName>
    <definedName name="asrerwqar" localSheetId="12" hidden="1">{"group detail",#N/A,FALSE,"Hourly Detail"}</definedName>
    <definedName name="asrerwqar" hidden="1">{"group detail",#N/A,FALSE,"Hourly Detail"}</definedName>
    <definedName name="asrewwe" localSheetId="7" hidden="1">{"monthly",#N/A,FALSE,"Monthly"}</definedName>
    <definedName name="asrewwe" localSheetId="10" hidden="1">{"monthly",#N/A,FALSE,"Monthly"}</definedName>
    <definedName name="asrewwe" localSheetId="12" hidden="1">{"monthly",#N/A,FALSE,"Monthly"}</definedName>
    <definedName name="asrewwe" hidden="1">{"monthly",#N/A,FALSE,"Monthly"}</definedName>
    <definedName name="Assessment_FooterType" hidden="1">"NONE"</definedName>
    <definedName name="Assessments_FooterType" hidden="1">"NONE"</definedName>
    <definedName name="aswac" localSheetId="1" hidden="1">#REF!</definedName>
    <definedName name="aswac" localSheetId="17" hidden="1">#REF!</definedName>
    <definedName name="aswac" localSheetId="30" hidden="1">#REF!</definedName>
    <definedName name="aswac" localSheetId="31" hidden="1">#REF!</definedName>
    <definedName name="aswac" localSheetId="7" hidden="1">#REF!</definedName>
    <definedName name="aswac" localSheetId="9" hidden="1">#REF!</definedName>
    <definedName name="aswac" hidden="1">#REF!</definedName>
    <definedName name="aswc" localSheetId="1" hidden="1">#REF!</definedName>
    <definedName name="aswc" localSheetId="31" hidden="1">#REF!</definedName>
    <definedName name="aswc" localSheetId="7" hidden="1">#REF!</definedName>
    <definedName name="aswc" localSheetId="9" hidden="1">#REF!</definedName>
    <definedName name="aswc" hidden="1">#REF!</definedName>
    <definedName name="atmos">#REF!</definedName>
    <definedName name="atpr" localSheetId="7" hidden="1">{"EXCELHLP.HLP!1802";5;10;5;10;13;13;13;8;5;5;10;14;13;13;13;13;5;10;14;13;5;10;1;2;24}</definedName>
    <definedName name="atpr" localSheetId="10" hidden="1">{"EXCELHLP.HLP!1802";5;10;5;10;13;13;13;8;5;5;10;14;13;13;13;13;5;10;14;13;5;10;1;2;24}</definedName>
    <definedName name="atpr" localSheetId="12" hidden="1">{"EXCELHLP.HLP!1802";5;10;5;10;13;13;13;8;5;5;10;14;13;13;13;13;5;10;14;13;5;10;1;2;24}</definedName>
    <definedName name="atpr" hidden="1">{"EXCELHLP.HLP!1802";5;10;5;10;13;13;13;8;5;5;10;14;13;13;13;13;5;10;14;13;5;10;1;2;24}</definedName>
    <definedName name="atr" localSheetId="7" hidden="1">{"group detail",#N/A,FALSE,"Hourly Detail"}</definedName>
    <definedName name="atr" localSheetId="10" hidden="1">{"group detail",#N/A,FALSE,"Hourly Detail"}</definedName>
    <definedName name="atr" localSheetId="12" hidden="1">{"group detail",#N/A,FALSE,"Hourly Detail"}</definedName>
    <definedName name="atr" hidden="1">{"group detail",#N/A,FALSE,"Hourly Detail"}</definedName>
    <definedName name="avbc" localSheetId="1"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1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3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31"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1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1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1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localSheetId="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b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erage_Calculated_Beta" localSheetId="12">#REF!</definedName>
    <definedName name="Average_Calculated_Beta">#REF!</definedName>
    <definedName name="AVG_RESIDUAL_PROFORMA" localSheetId="12">#REF!</definedName>
    <definedName name="AVG_RESIDUAL_PROFORMA">#REF!</definedName>
    <definedName name="aw3dq" localSheetId="1" hidden="1">#REF!</definedName>
    <definedName name="aw3dq" localSheetId="30" hidden="1">#REF!</definedName>
    <definedName name="aw3dq" localSheetId="31" hidden="1">#REF!</definedName>
    <definedName name="aw3dq" localSheetId="7" hidden="1">#REF!</definedName>
    <definedName name="aw3dq" localSheetId="9" hidden="1">#REF!</definedName>
    <definedName name="aw3dq" hidden="1">#REF!</definedName>
    <definedName name="awd" localSheetId="1" hidden="1">#REF!</definedName>
    <definedName name="awd" localSheetId="30" hidden="1">#REF!</definedName>
    <definedName name="awd" localSheetId="31" hidden="1">#REF!</definedName>
    <definedName name="awd" localSheetId="7" hidden="1">#REF!</definedName>
    <definedName name="awd" localSheetId="9" hidden="1">#REF!</definedName>
    <definedName name="awd" hidden="1">#REF!</definedName>
    <definedName name="awef" localSheetId="1" hidden="1">#REF!</definedName>
    <definedName name="awef" localSheetId="31" hidden="1">#REF!</definedName>
    <definedName name="awef" localSheetId="7" hidden="1">#REF!</definedName>
    <definedName name="awef" localSheetId="9" hidden="1">#REF!</definedName>
    <definedName name="awef" hidden="1">#REF!</definedName>
    <definedName name="awer" localSheetId="7" hidden="1">{"EM",#N/A,FALSE,"EM";"EM_Quarterly",#N/A,FALSE,"EM";"BS",#N/A,FALSE,"BS";"CF",#N/A,FALSE,"CF"}</definedName>
    <definedName name="awer" localSheetId="10" hidden="1">{"EM",#N/A,FALSE,"EM";"EM_Quarterly",#N/A,FALSE,"EM";"BS",#N/A,FALSE,"BS";"CF",#N/A,FALSE,"CF"}</definedName>
    <definedName name="awer" localSheetId="12" hidden="1">{"EM",#N/A,FALSE,"EM";"EM_Quarterly",#N/A,FALSE,"EM";"BS",#N/A,FALSE,"BS";"CF",#N/A,FALSE,"CF"}</definedName>
    <definedName name="awer" hidden="1">{"EM",#N/A,FALSE,"EM";"EM_Quarterly",#N/A,FALSE,"EM";"BS",#N/A,FALSE,"BS";"CF",#N/A,FALSE,"CF"}</definedName>
    <definedName name="awerawer" localSheetId="7" hidden="1">{"monthly",#N/A,FALSE,"Monthly"}</definedName>
    <definedName name="awerawer" localSheetId="10" hidden="1">{"monthly",#N/A,FALSE,"Monthly"}</definedName>
    <definedName name="awerawer" localSheetId="12" hidden="1">{"monthly",#N/A,FALSE,"Monthly"}</definedName>
    <definedName name="awerawer" hidden="1">{"monthly",#N/A,FALSE,"Monthly"}</definedName>
    <definedName name="AWS" localSheetId="31" hidden="1">#REF!</definedName>
    <definedName name="AWS" localSheetId="7" hidden="1">#REF!</definedName>
    <definedName name="AWS" localSheetId="9" hidden="1">#REF!</definedName>
    <definedName name="AWS" hidden="1">#REF!</definedName>
    <definedName name="az" localSheetId="31" hidden="1">#REF!</definedName>
    <definedName name="az" localSheetId="7" hidden="1">#REF!</definedName>
    <definedName name="az" hidden="1">#REF!</definedName>
    <definedName name="b" localSheetId="1" hidden="1">{#N/A,#N/A,TRUE,"SLDE";#N/A,#N/A,TRUE,"Concession Summary"}</definedName>
    <definedName name="b" localSheetId="17" hidden="1">{#N/A,#N/A,TRUE,"SLDE";#N/A,#N/A,TRUE,"Concession Summary"}</definedName>
    <definedName name="b" localSheetId="30" hidden="1">{#N/A,#N/A,TRUE,"SLDE";#N/A,#N/A,TRUE,"Concession Summary"}</definedName>
    <definedName name="b" localSheetId="31" hidden="1">{#N/A,#N/A,TRUE,"SLDE";#N/A,#N/A,TRUE,"Concession Summary"}</definedName>
    <definedName name="b" localSheetId="19" hidden="1">{#N/A,#N/A,TRUE,"SLDE";#N/A,#N/A,TRUE,"Concession Summary"}</definedName>
    <definedName name="b" localSheetId="7" hidden="1">{#N/A,#N/A,TRUE,"SLDE";#N/A,#N/A,TRUE,"Concession Summary"}</definedName>
    <definedName name="b" localSheetId="0" hidden="1">{#N/A,#N/A,TRUE,"SLDE";#N/A,#N/A,TRUE,"Concession Summary"}</definedName>
    <definedName name="b" localSheetId="10" hidden="1">{#N/A,#N/A,TRUE,"SLDE";#N/A,#N/A,TRUE,"Concession Summary"}</definedName>
    <definedName name="b" localSheetId="12" hidden="1">{#N/A,#N/A,TRUE,"SLDE";#N/A,#N/A,TRUE,"Concession Summary"}</definedName>
    <definedName name="b" localSheetId="9" hidden="1">{#N/A,#N/A,TRUE,"SLDE";#N/A,#N/A,TRUE,"Concession Summary"}</definedName>
    <definedName name="b" hidden="1">{#N/A,#N/A,TRUE,"SLDE";#N/A,#N/A,TRUE,"Concession Summary"}</definedName>
    <definedName name="BaaUBondYldFY06" localSheetId="12">#REF!</definedName>
    <definedName name="BaaUBondYldFY06">#REF!</definedName>
    <definedName name="BaaUBondYldFY07" localSheetId="12">#REF!</definedName>
    <definedName name="BaaUBondYldFY07">#REF!</definedName>
    <definedName name="BaaUBondYldFY08" localSheetId="12">#REF!</definedName>
    <definedName name="BaaUBondYldFY08">#REF!</definedName>
    <definedName name="BaaUBondYldFY09">#REF!</definedName>
    <definedName name="BaaUBondYldFY10">#REF!</definedName>
    <definedName name="BaaUBondYldFY11">#REF!</definedName>
    <definedName name="BaaUBondYldFY12">#REF!</definedName>
    <definedName name="BaaUBondYldFY13">#REF!</definedName>
    <definedName name="BaaUBondYldFY14">#REF!</definedName>
    <definedName name="BACKUP">#REF!</definedName>
    <definedName name="badger" localSheetId="1" hidden="1">{"TOT_QTR_TO_PREV",#N/A,FALSE,"Site Sum"}</definedName>
    <definedName name="badger" localSheetId="17" hidden="1">{"TOT_QTR_TO_PREV",#N/A,FALSE,"Site Sum"}</definedName>
    <definedName name="badger" localSheetId="30" hidden="1">{"TOT_QTR_TO_PREV",#N/A,FALSE,"Site Sum"}</definedName>
    <definedName name="badger" localSheetId="31" hidden="1">{"TOT_QTR_TO_PREV",#N/A,FALSE,"Site Sum"}</definedName>
    <definedName name="badger" localSheetId="19" hidden="1">{"TOT_QTR_TO_PREV",#N/A,FALSE,"Site Sum"}</definedName>
    <definedName name="badger" localSheetId="7" hidden="1">{"TOT_QTR_TO_PREV",#N/A,FALSE,"Site Sum"}</definedName>
    <definedName name="badger" localSheetId="0" hidden="1">{"TOT_QTR_TO_PREV",#N/A,FALSE,"Site Sum"}</definedName>
    <definedName name="badger" localSheetId="10" hidden="1">{"TOT_QTR_TO_PREV",#N/A,FALSE,"Site Sum"}</definedName>
    <definedName name="badger" localSheetId="12" hidden="1">{"TOT_QTR_TO_PREV",#N/A,FALSE,"Site Sum"}</definedName>
    <definedName name="badger" localSheetId="9" hidden="1">{"TOT_QTR_TO_PREV",#N/A,FALSE,"Site Sum"}</definedName>
    <definedName name="badger" hidden="1">{"TOT_QTR_TO_PREV",#N/A,FALSE,"Site Sum"}</definedName>
    <definedName name="badger1" localSheetId="1" hidden="1">{"TOT_QTR_TO_PREV",#N/A,FALSE,"Site Sum"}</definedName>
    <definedName name="badger1" localSheetId="17" hidden="1">{"TOT_QTR_TO_PREV",#N/A,FALSE,"Site Sum"}</definedName>
    <definedName name="badger1" localSheetId="30" hidden="1">{"TOT_QTR_TO_PREV",#N/A,FALSE,"Site Sum"}</definedName>
    <definedName name="badger1" localSheetId="31" hidden="1">{"TOT_QTR_TO_PREV",#N/A,FALSE,"Site Sum"}</definedName>
    <definedName name="badger1" localSheetId="19" hidden="1">{"TOT_QTR_TO_PREV",#N/A,FALSE,"Site Sum"}</definedName>
    <definedName name="badger1" localSheetId="7" hidden="1">{"TOT_QTR_TO_PREV",#N/A,FALSE,"Site Sum"}</definedName>
    <definedName name="badger1" localSheetId="0" hidden="1">{"TOT_QTR_TO_PREV",#N/A,FALSE,"Site Sum"}</definedName>
    <definedName name="badger1" localSheetId="10" hidden="1">{"TOT_QTR_TO_PREV",#N/A,FALSE,"Site Sum"}</definedName>
    <definedName name="badger1" localSheetId="12" hidden="1">{"TOT_QTR_TO_PREV",#N/A,FALSE,"Site Sum"}</definedName>
    <definedName name="badger1" localSheetId="9" hidden="1">{"TOT_QTR_TO_PREV",#N/A,FALSE,"Site Sum"}</definedName>
    <definedName name="badger1" hidden="1">{"TOT_QTR_TO_PREV",#N/A,FALSE,"Site Sum"}</definedName>
    <definedName name="BALANCE">#REF!</definedName>
    <definedName name="Balance_DR__CR" localSheetId="10">#REF!</definedName>
    <definedName name="Balance_DR__CR">#REF!</definedName>
    <definedName name="BB" localSheetId="1" hidden="1">#REF!</definedName>
    <definedName name="BB" localSheetId="31" hidden="1">#REF!</definedName>
    <definedName name="BB" localSheetId="7" hidden="1">#REF!</definedName>
    <definedName name="BB" localSheetId="9" hidden="1">#REF!</definedName>
    <definedName name="BB" hidden="1">#REF!</definedName>
    <definedName name="bb_mdm" localSheetId="1" hidden="1">#REF!</definedName>
    <definedName name="bb_mdm" localSheetId="31" hidden="1">#REF!</definedName>
    <definedName name="bb_mdm" localSheetId="7" hidden="1">#REF!</definedName>
    <definedName name="bb_mdm" localSheetId="9" hidden="1">#REF!</definedName>
    <definedName name="bb_mdm" hidden="1">#REF!</definedName>
    <definedName name="bb_MDMyNTU0NDRBODY1NDVEQz" localSheetId="1" hidden="1">#REF!</definedName>
    <definedName name="bb_MDMyNTU0NDRBODY1NDVEQz" localSheetId="31" hidden="1">#REF!</definedName>
    <definedName name="bb_MDMyNTU0NDRBODY1NDVEQz" localSheetId="19" hidden="1">#REF!</definedName>
    <definedName name="bb_MDMyNTU0NDRBODY1NDVEQz" localSheetId="7" hidden="1">#REF!</definedName>
    <definedName name="bb_MDMyNTU0NDRBODY1NDVEQz" localSheetId="9" hidden="1">#REF!</definedName>
    <definedName name="bb_MDMyNTU0NDRBODY1NDVEQz" hidden="1">#REF!</definedName>
    <definedName name="bbb" localSheetId="7" hidden="1">{#N/A,#N/A,FALSE,"O&amp;M by processes";#N/A,#N/A,FALSE,"Elec Act vs Bud";#N/A,#N/A,FALSE,"G&amp;A";#N/A,#N/A,FALSE,"BGS";#N/A,#N/A,FALSE,"Res Cost"}</definedName>
    <definedName name="bbb" localSheetId="10" hidden="1">{#N/A,#N/A,FALSE,"O&amp;M by processes";#N/A,#N/A,FALSE,"Elec Act vs Bud";#N/A,#N/A,FALSE,"G&amp;A";#N/A,#N/A,FALSE,"BGS";#N/A,#N/A,FALSE,"Res Cost"}</definedName>
    <definedName name="bbb" localSheetId="12"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1" hidden="1">#REF!</definedName>
    <definedName name="bbbb" localSheetId="31" hidden="1">#REF!</definedName>
    <definedName name="bbbb" localSheetId="7" hidden="1">#REF!</definedName>
    <definedName name="bbbb" localSheetId="0" hidden="1">#REF!</definedName>
    <definedName name="bbbb" localSheetId="10" hidden="1">{#N/A,#N/A,FALSE,"O&amp;M by processes";#N/A,#N/A,FALSE,"Elec Act vs Bud";#N/A,#N/A,FALSE,"G&amp;A";#N/A,#N/A,FALSE,"BGS";#N/A,#N/A,FALSE,"Res Cost"}</definedName>
    <definedName name="bbbb" localSheetId="12" hidden="1">{#N/A,#N/A,FALSE,"O&amp;M by processes";#N/A,#N/A,FALSE,"Elec Act vs Bud";#N/A,#N/A,FALSE,"G&amp;A";#N/A,#N/A,FALSE,"BGS";#N/A,#N/A,FALSE,"Res Cost"}</definedName>
    <definedName name="bbbb" localSheetId="9" hidden="1">#REF!</definedName>
    <definedName name="bbbb" hidden="1">{#N/A,#N/A,FALSE,"O&amp;M by processes";#N/A,#N/A,FALSE,"Elec Act vs Bud";#N/A,#N/A,FALSE,"G&amp;A";#N/A,#N/A,FALSE,"BGS";#N/A,#N/A,FALSE,"Res Cost"}</definedName>
    <definedName name="bbbbb" localSheetId="1"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30" hidden="1">{#N/A,#N/A,FALSE,"O&amp;M by processes";#N/A,#N/A,FALSE,"Elec Act vs Bud";#N/A,#N/A,FALSE,"G&amp;A";#N/A,#N/A,FALSE,"BGS";#N/A,#N/A,FALSE,"Res Cost"}</definedName>
    <definedName name="bbbbb" localSheetId="31"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0" hidden="1">{#N/A,#N/A,FALSE,"O&amp;M by processes";#N/A,#N/A,FALSE,"Elec Act vs Bud";#N/A,#N/A,FALSE,"G&amp;A";#N/A,#N/A,FALSE,"BGS";#N/A,#N/A,FALSE,"Res Cost"}</definedName>
    <definedName name="bbbbb" localSheetId="10" hidden="1">{#N/A,#N/A,FALSE,"O&amp;M by processes";#N/A,#N/A,FALSE,"Elec Act vs Bud";#N/A,#N/A,FALSE,"G&amp;A";#N/A,#N/A,FALSE,"BGS";#N/A,#N/A,FALSE,"Res Cost"}</definedName>
    <definedName name="bbbbb" localSheetId="12"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1"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30" hidden="1">{#N/A,#N/A,FALSE,"O&amp;M by processes";#N/A,#N/A,FALSE,"Elec Act vs Bud";#N/A,#N/A,FALSE,"G&amp;A";#N/A,#N/A,FALSE,"BGS";#N/A,#N/A,FALSE,"Res Cost"}</definedName>
    <definedName name="bbc" localSheetId="31"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0" hidden="1">{#N/A,#N/A,FALSE,"O&amp;M by processes";#N/A,#N/A,FALSE,"Elec Act vs Bud";#N/A,#N/A,FALSE,"G&amp;A";#N/A,#N/A,FALSE,"BGS";#N/A,#N/A,FALSE,"Res Cost"}</definedName>
    <definedName name="bbc" localSheetId="10" hidden="1">{#N/A,#N/A,FALSE,"O&amp;M by processes";#N/A,#N/A,FALSE,"Elec Act vs Bud";#N/A,#N/A,FALSE,"G&amp;A";#N/A,#N/A,FALSE,"BGS";#N/A,#N/A,FALSE,"Res Cost"}</definedName>
    <definedName name="bbc" localSheetId="12"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hidden="1">{#N/A,#N/A,FALSE,"O&amp;M by processes";#N/A,#N/A,FALSE,"Elec Act vs Bud";#N/A,#N/A,FALSE,"G&amp;A";#N/A,#N/A,FALSE,"BGS";#N/A,#N/A,FALSE,"Res Cost"}</definedName>
    <definedName name="bcd" localSheetId="1" hidden="1">{#N/A,#N/A,TRUE,"1990";#N/A,#N/A,TRUE,"1991";#N/A,#N/A,TRUE,"1992";#N/A,#N/A,TRUE,"1993"}</definedName>
    <definedName name="bcd" localSheetId="17" hidden="1">{#N/A,#N/A,TRUE,"1990";#N/A,#N/A,TRUE,"1991";#N/A,#N/A,TRUE,"1992";#N/A,#N/A,TRUE,"1993"}</definedName>
    <definedName name="bcd" localSheetId="30" hidden="1">{#N/A,#N/A,TRUE,"1990";#N/A,#N/A,TRUE,"1991";#N/A,#N/A,TRUE,"1992";#N/A,#N/A,TRUE,"1993"}</definedName>
    <definedName name="bcd" localSheetId="31" hidden="1">{#N/A,#N/A,TRUE,"1990";#N/A,#N/A,TRUE,"1991";#N/A,#N/A,TRUE,"1992";#N/A,#N/A,TRUE,"1993"}</definedName>
    <definedName name="bcd" localSheetId="19" hidden="1">{#N/A,#N/A,TRUE,"1990";#N/A,#N/A,TRUE,"1991";#N/A,#N/A,TRUE,"1992";#N/A,#N/A,TRUE,"1993"}</definedName>
    <definedName name="bcd" localSheetId="7" hidden="1">{#N/A,#N/A,TRUE,"1990";#N/A,#N/A,TRUE,"1991";#N/A,#N/A,TRUE,"1992";#N/A,#N/A,TRUE,"1993"}</definedName>
    <definedName name="bcd" localSheetId="0" hidden="1">{#N/A,#N/A,TRUE,"1990";#N/A,#N/A,TRUE,"1991";#N/A,#N/A,TRUE,"1992";#N/A,#N/A,TRUE,"1993"}</definedName>
    <definedName name="bcd" localSheetId="10" hidden="1">{#N/A,#N/A,TRUE,"1990";#N/A,#N/A,TRUE,"1991";#N/A,#N/A,TRUE,"1992";#N/A,#N/A,TRUE,"1993"}</definedName>
    <definedName name="bcd" localSheetId="12" hidden="1">{#N/A,#N/A,TRUE,"1990";#N/A,#N/A,TRUE,"1991";#N/A,#N/A,TRUE,"1992";#N/A,#N/A,TRUE,"1993"}</definedName>
    <definedName name="bcd" localSheetId="9" hidden="1">{#N/A,#N/A,TRUE,"1990";#N/A,#N/A,TRUE,"1991";#N/A,#N/A,TRUE,"1992";#N/A,#N/A,TRUE,"1993"}</definedName>
    <definedName name="bcd" hidden="1">{#N/A,#N/A,TRUE,"1990";#N/A,#N/A,TRUE,"1991";#N/A,#N/A,TRUE,"1992";#N/A,#N/A,TRUE,"1993"}</definedName>
    <definedName name="bcde" localSheetId="1" hidden="1">{"summary",#N/A,TRUE,"E93ADJ";"detail",#N/A,TRUE,"E93ADJ"}</definedName>
    <definedName name="bcde" localSheetId="17" hidden="1">{"summary",#N/A,TRUE,"E93ADJ";"detail",#N/A,TRUE,"E93ADJ"}</definedName>
    <definedName name="bcde" localSheetId="30" hidden="1">{"summary",#N/A,TRUE,"E93ADJ";"detail",#N/A,TRUE,"E93ADJ"}</definedName>
    <definedName name="bcde" localSheetId="31" hidden="1">{"summary",#N/A,TRUE,"E93ADJ";"detail",#N/A,TRUE,"E93ADJ"}</definedName>
    <definedName name="bcde" localSheetId="19" hidden="1">{"summary",#N/A,TRUE,"E93ADJ";"detail",#N/A,TRUE,"E93ADJ"}</definedName>
    <definedName name="bcde" localSheetId="7" hidden="1">{"summary",#N/A,TRUE,"E93ADJ";"detail",#N/A,TRUE,"E93ADJ"}</definedName>
    <definedName name="bcde" localSheetId="0" hidden="1">{"summary",#N/A,TRUE,"E93ADJ";"detail",#N/A,TRUE,"E93ADJ"}</definedName>
    <definedName name="bcde" localSheetId="10" hidden="1">{"summary",#N/A,TRUE,"E93ADJ";"detail",#N/A,TRUE,"E93ADJ"}</definedName>
    <definedName name="bcde" localSheetId="12" hidden="1">{"summary",#N/A,TRUE,"E93ADJ";"detail",#N/A,TRUE,"E93ADJ"}</definedName>
    <definedName name="bcde" localSheetId="9" hidden="1">{"summary",#N/A,TRUE,"E93ADJ";"detail",#N/A,TRUE,"E93ADJ"}</definedName>
    <definedName name="bcde" hidden="1">{"summary",#N/A,TRUE,"E93ADJ";"detail",#N/A,TRUE,"E93ADJ"}</definedName>
    <definedName name="Beg_Bal" localSheetId="10">#REF!</definedName>
    <definedName name="Beg_Bal">#REF!</definedName>
    <definedName name="begretre" localSheetId="1" hidden="1">{#N/A,#N/A,FALSE,"OTHERINPUTS";#N/A,#N/A,FALSE,"DITRATEINPUTS";#N/A,#N/A,FALSE,"SUPPLIEDADJINPUT";#N/A,#N/A,FALSE,"TIMINGDIFFINPUTS";#N/A,#N/A,FALSE,"BR&amp;SUPADJ."}</definedName>
    <definedName name="begretre" localSheetId="17" hidden="1">{#N/A,#N/A,FALSE,"OTHERINPUTS";#N/A,#N/A,FALSE,"DITRATEINPUTS";#N/A,#N/A,FALSE,"SUPPLIEDADJINPUT";#N/A,#N/A,FALSE,"TIMINGDIFFINPUTS";#N/A,#N/A,FALSE,"BR&amp;SUPADJ."}</definedName>
    <definedName name="begretre" localSheetId="30" hidden="1">{#N/A,#N/A,FALSE,"OTHERINPUTS";#N/A,#N/A,FALSE,"DITRATEINPUTS";#N/A,#N/A,FALSE,"SUPPLIEDADJINPUT";#N/A,#N/A,FALSE,"TIMINGDIFFINPUTS";#N/A,#N/A,FALSE,"BR&amp;SUPADJ."}</definedName>
    <definedName name="begretre" localSheetId="31" hidden="1">{#N/A,#N/A,FALSE,"OTHERINPUTS";#N/A,#N/A,FALSE,"DITRATEINPUTS";#N/A,#N/A,FALSE,"SUPPLIEDADJINPUT";#N/A,#N/A,FALSE,"TIMINGDIFFINPUTS";#N/A,#N/A,FALSE,"BR&amp;SUPADJ."}</definedName>
    <definedName name="begretre" localSheetId="19" hidden="1">{#N/A,#N/A,FALSE,"OTHERINPUTS";#N/A,#N/A,FALSE,"DITRATEINPUTS";#N/A,#N/A,FALSE,"SUPPLIEDADJINPUT";#N/A,#N/A,FALSE,"TIMINGDIFFINPUTS";#N/A,#N/A,FALSE,"BR&amp;SUPADJ."}</definedName>
    <definedName name="begretre" localSheetId="7" hidden="1">{#N/A,#N/A,FALSE,"OTHERINPUTS";#N/A,#N/A,FALSE,"DITRATEINPUTS";#N/A,#N/A,FALSE,"SUPPLIEDADJINPUT";#N/A,#N/A,FALSE,"TIMINGDIFFINPUTS";#N/A,#N/A,FALSE,"BR&amp;SUPADJ."}</definedName>
    <definedName name="begretre" localSheetId="0" hidden="1">{#N/A,#N/A,FALSE,"OTHERINPUTS";#N/A,#N/A,FALSE,"DITRATEINPUTS";#N/A,#N/A,FALSE,"SUPPLIEDADJINPUT";#N/A,#N/A,FALSE,"TIMINGDIFFINPUTS";#N/A,#N/A,FALSE,"BR&amp;SUPADJ."}</definedName>
    <definedName name="begretre" localSheetId="10" hidden="1">{#N/A,#N/A,FALSE,"OTHERINPUTS";#N/A,#N/A,FALSE,"DITRATEINPUTS";#N/A,#N/A,FALSE,"SUPPLIEDADJINPUT";#N/A,#N/A,FALSE,"TIMINGDIFFINPUTS";#N/A,#N/A,FALSE,"BR&amp;SUPADJ."}</definedName>
    <definedName name="begretre" localSheetId="12" hidden="1">{#N/A,#N/A,FALSE,"OTHERINPUTS";#N/A,#N/A,FALSE,"DITRATEINPUTS";#N/A,#N/A,FALSE,"SUPPLIEDADJINPUT";#N/A,#N/A,FALSE,"TIMINGDIFFINPUTS";#N/A,#N/A,FALSE,"BR&amp;SUPADJ."}</definedName>
    <definedName name="begretre" localSheetId="9" hidden="1">{#N/A,#N/A,FALSE,"OTHERINPUTS";#N/A,#N/A,FALSE,"DITRATEINPUTS";#N/A,#N/A,FALSE,"SUPPLIEDADJINPUT";#N/A,#N/A,FALSE,"TIMINGDIFFINPUTS";#N/A,#N/A,FALSE,"BR&amp;SUPADJ."}</definedName>
    <definedName name="begretre" hidden="1">{#N/A,#N/A,FALSE,"OTHERINPUTS";#N/A,#N/A,FALSE,"DITRATEINPUTS";#N/A,#N/A,FALSE,"SUPPLIEDADJINPUT";#N/A,#N/A,FALSE,"TIMINGDIFFINPUTS";#N/A,#N/A,FALSE,"BR&amp;SUPADJ."}</definedName>
    <definedName name="berry" localSheetId="7" hidden="1">{#N/A,#N/A,FALSE,"Taxblinc";#N/A,#N/A,FALSE,"Rsvsacls"}</definedName>
    <definedName name="berry" localSheetId="10" hidden="1">{#N/A,#N/A,FALSE,"Taxblinc";#N/A,#N/A,FALSE,"Rsvsacls"}</definedName>
    <definedName name="berry" localSheetId="12" hidden="1">{#N/A,#N/A,FALSE,"Taxblinc";#N/A,#N/A,FALSE,"Rsvsacls"}</definedName>
    <definedName name="berry" hidden="1">{#N/A,#N/A,FALSE,"Taxblinc";#N/A,#N/A,FALSE,"Rsvsacls"}</definedName>
    <definedName name="BETA" localSheetId="7">#REF!</definedName>
    <definedName name="BETA" localSheetId="12">#REF!</definedName>
    <definedName name="BETA">#REF!</definedName>
    <definedName name="BETA_CURR_SELECTED" localSheetId="12">#REF!</definedName>
    <definedName name="BETA_CURR_SELECTED">#REF!</definedName>
    <definedName name="BETA_CURRENCIES">#REF!</definedName>
    <definedName name="BETA_CURRENCY">#REF!</definedName>
    <definedName name="BETA_DATA_FIELDS">#REF!</definedName>
    <definedName name="BETA_OVERRIDE_FIELDS">#REF!</definedName>
    <definedName name="BETA_OVERRIDE_VALUES">#REF!</definedName>
    <definedName name="BETA_PERIOD">#REF!</definedName>
    <definedName name="BETA_PERIODS">#REF!</definedName>
    <definedName name="betaadj" localSheetId="7">#REF!</definedName>
    <definedName name="betaadj">#REF!</definedName>
    <definedName name="BG_Del" hidden="1">15</definedName>
    <definedName name="BG_Ins" hidden="1">4</definedName>
    <definedName name="BG_Mod" hidden="1">6</definedName>
    <definedName name="bl" localSheetId="1" hidden="1">#REF!</definedName>
    <definedName name="bl" localSheetId="31" hidden="1">#REF!</definedName>
    <definedName name="bl" localSheetId="7" hidden="1">#REF!</definedName>
    <definedName name="bl" localSheetId="9" hidden="1">#REF!</definedName>
    <definedName name="bl" hidden="1">#REF!</definedName>
    <definedName name="Blank" localSheetId="1" hidden="1">{"ARK_JURIS_FUEL",#N/A,FALSE,"Ark_Fuel&amp;Rev"}</definedName>
    <definedName name="Blank" localSheetId="17" hidden="1">{"ARK_JURIS_FUEL",#N/A,FALSE,"Ark_Fuel&amp;Rev"}</definedName>
    <definedName name="Blank" localSheetId="30" hidden="1">{"ARK_JURIS_FUEL",#N/A,FALSE,"Ark_Fuel&amp;Rev"}</definedName>
    <definedName name="Blank" localSheetId="31" hidden="1">{"ARK_JURIS_FUEL",#N/A,FALSE,"Ark_Fuel&amp;Rev"}</definedName>
    <definedName name="Blank" localSheetId="19" hidden="1">{"ARK_JURIS_FUEL",#N/A,FALSE,"Ark_Fuel&amp;Rev"}</definedName>
    <definedName name="Blank" localSheetId="7" hidden="1">{"ARK_JURIS_FUEL",#N/A,FALSE,"Ark_Fuel&amp;Rev"}</definedName>
    <definedName name="Blank" localSheetId="0" hidden="1">{"ARK_JURIS_FUEL",#N/A,FALSE,"Ark_Fuel&amp;Rev"}</definedName>
    <definedName name="Blank" localSheetId="10" hidden="1">{"ARK_JURIS_FUEL",#N/A,FALSE,"Ark_Fuel&amp;Rev"}</definedName>
    <definedName name="Blank" localSheetId="12" hidden="1">{"ARK_JURIS_FUEL",#N/A,FALSE,"Ark_Fuel&amp;Rev"}</definedName>
    <definedName name="Blank" localSheetId="9" hidden="1">{"ARK_JURIS_FUEL",#N/A,FALSE,"Ark_Fuel&amp;Rev"}</definedName>
    <definedName name="Blank" hidden="1">{"ARK_JURIS_FUEL",#N/A,FALSE,"Ark_Fuel&amp;Rev"}</definedName>
    <definedName name="BLPH1" localSheetId="10" hidden="1">#REF!</definedName>
    <definedName name="BLPH1" hidden="1">#REF!</definedName>
    <definedName name="BLPH10" localSheetId="10" hidden="1">#REF!</definedName>
    <definedName name="BLPH10" hidden="1">#REF!</definedName>
    <definedName name="BLPH11" localSheetId="10" hidden="1">#REF!</definedName>
    <definedName name="BLPH11" hidden="1">#REF!</definedName>
    <definedName name="BLPH12" localSheetId="10" hidden="1">#REF!</definedName>
    <definedName name="BLPH12" hidden="1">#REF!</definedName>
    <definedName name="BLPH13" localSheetId="10" hidden="1">#REF!</definedName>
    <definedName name="BLPH13" hidden="1">#REF!</definedName>
    <definedName name="BLPH14" localSheetId="10" hidden="1">#REF!</definedName>
    <definedName name="BLPH14" hidden="1">#REF!</definedName>
    <definedName name="BLPH15" localSheetId="10" hidden="1">#REF!</definedName>
    <definedName name="BLPH15" hidden="1">#REF!</definedName>
    <definedName name="BLPH16" localSheetId="10" hidden="1">#REF!</definedName>
    <definedName name="BLPH16" hidden="1">#REF!</definedName>
    <definedName name="BLPH2" localSheetId="1" hidden="1">#REF!</definedName>
    <definedName name="BLPH2" localSheetId="19" hidden="1">#REF!</definedName>
    <definedName name="BLPH2" localSheetId="7" hidden="1">#REF!</definedName>
    <definedName name="BLPH2" localSheetId="0" hidden="1">#REF!</definedName>
    <definedName name="BLPH2" localSheetId="10" hidden="1">#REF!</definedName>
    <definedName name="BLPH2" localSheetId="9" hidden="1">#REF!</definedName>
    <definedName name="BLPH2" hidden="1">#REF!</definedName>
    <definedName name="BLPH21" hidden="1">#N/A</definedName>
    <definedName name="BLPH22" hidden="1">#N/A</definedName>
    <definedName name="BLPH23" hidden="1">#N/A</definedName>
    <definedName name="BLPH24" hidden="1">#N/A</definedName>
    <definedName name="BLPH25" localSheetId="10" hidden="1">#REF!</definedName>
    <definedName name="BLPH25" hidden="1">#REF!</definedName>
    <definedName name="BLPH252" localSheetId="10" hidden="1">#REF!</definedName>
    <definedName name="BLPH252" hidden="1">#REF!</definedName>
    <definedName name="BLPH253" localSheetId="10" hidden="1">#REF!</definedName>
    <definedName name="BLPH253" hidden="1">#REF!</definedName>
    <definedName name="BLPH28" localSheetId="10" hidden="1">#REF!</definedName>
    <definedName name="BLPH28" hidden="1">#REF!</definedName>
    <definedName name="BLPH3" localSheetId="1" hidden="1">#REF!</definedName>
    <definedName name="BLPH3" localSheetId="19" hidden="1">#REF!</definedName>
    <definedName name="BLPH3" localSheetId="7" hidden="1">#REF!</definedName>
    <definedName name="BLPH3" localSheetId="0" hidden="1">#REF!</definedName>
    <definedName name="BLPH3" localSheetId="10" hidden="1">#REF!</definedName>
    <definedName name="BLPH3" localSheetId="9" hidden="1">#REF!</definedName>
    <definedName name="BLPH3" hidden="1">#REF!</definedName>
    <definedName name="BLPH4" localSheetId="1" hidden="1">#REF!</definedName>
    <definedName name="BLPH4" localSheetId="19" hidden="1">#REF!</definedName>
    <definedName name="BLPH4" localSheetId="7" hidden="1">#REF!</definedName>
    <definedName name="BLPH4" localSheetId="0" hidden="1">#REF!</definedName>
    <definedName name="BLPH4" localSheetId="10" hidden="1">#REF!</definedName>
    <definedName name="BLPH4" localSheetId="9" hidden="1">#REF!</definedName>
    <definedName name="BLPH4" hidden="1">#REF!</definedName>
    <definedName name="BLPH5" localSheetId="1" hidden="1">#REF!</definedName>
    <definedName name="BLPH5" localSheetId="19" hidden="1">#REF!</definedName>
    <definedName name="BLPH5" localSheetId="7" hidden="1">#REF!</definedName>
    <definedName name="BLPH5" localSheetId="0" hidden="1">#REF!</definedName>
    <definedName name="BLPH5" localSheetId="10" hidden="1">#REF!</definedName>
    <definedName name="BLPH5" hidden="1">#REF!</definedName>
    <definedName name="BLPH6" localSheetId="1" hidden="1">#REF!</definedName>
    <definedName name="BLPH6" localSheetId="19" hidden="1">#REF!</definedName>
    <definedName name="BLPH6" localSheetId="7" hidden="1">#REF!</definedName>
    <definedName name="BLPH6" localSheetId="0" hidden="1">#REF!</definedName>
    <definedName name="BLPH6" localSheetId="10" hidden="1">#REF!</definedName>
    <definedName name="BLPH6" hidden="1">#REF!</definedName>
    <definedName name="BLPH7" localSheetId="10" hidden="1">#REF!</definedName>
    <definedName name="BLPH7" hidden="1">#REF!</definedName>
    <definedName name="BLPH8" localSheetId="10" hidden="1">#REF!</definedName>
    <definedName name="BLPH8" hidden="1">#REF!</definedName>
    <definedName name="BLPH9" localSheetId="10" hidden="1">#REF!</definedName>
    <definedName name="BLPH9" hidden="1">#REF!</definedName>
    <definedName name="bnca" localSheetId="1" hidden="1">#REF!</definedName>
    <definedName name="bnca" localSheetId="30" hidden="1">#REF!</definedName>
    <definedName name="bnca" localSheetId="31" hidden="1">#REF!</definedName>
    <definedName name="bnca" localSheetId="7" hidden="1">#REF!</definedName>
    <definedName name="bnca" localSheetId="9" hidden="1">#REF!</definedName>
    <definedName name="bnca" hidden="1">#REF!</definedName>
    <definedName name="bned" localSheetId="1" hidden="1">#REF!</definedName>
    <definedName name="bned" localSheetId="30" hidden="1">#REF!</definedName>
    <definedName name="bned" localSheetId="31" hidden="1">#REF!</definedName>
    <definedName name="bned" localSheetId="7" hidden="1">#REF!</definedName>
    <definedName name="bned" localSheetId="9" hidden="1">#REF!</definedName>
    <definedName name="bned" hidden="1">#REF!</definedName>
    <definedName name="booby" localSheetId="7" hidden="1">{#N/A,#N/A,TRUE,"TOTAL DISTRIBUTION";#N/A,#N/A,TRUE,"SOUTH";#N/A,#N/A,TRUE,"NORTHEAST";#N/A,#N/A,TRUE,"WEST"}</definedName>
    <definedName name="booby" localSheetId="10" hidden="1">{#N/A,#N/A,TRUE,"TOTAL DISTRIBUTION";#N/A,#N/A,TRUE,"SOUTH";#N/A,#N/A,TRUE,"NORTHEAST";#N/A,#N/A,TRUE,"WEST"}</definedName>
    <definedName name="booby" localSheetId="12" hidden="1">{#N/A,#N/A,TRUE,"TOTAL DISTRIBUTION";#N/A,#N/A,TRUE,"SOUTH";#N/A,#N/A,TRUE,"NORTHEAST";#N/A,#N/A,TRUE,"WEST"}</definedName>
    <definedName name="booby" hidden="1">{#N/A,#N/A,TRUE,"TOTAL DISTRIBUTION";#N/A,#N/A,TRUE,"SOUTH";#N/A,#N/A,TRUE,"NORTHEAST";#N/A,#N/A,TRUE,"WEST"}</definedName>
    <definedName name="booby2" localSheetId="7" hidden="1">{#N/A,#N/A,TRUE,"TOTAL DSBN";#N/A,#N/A,TRUE,"WEST";#N/A,#N/A,TRUE,"SOUTH";#N/A,#N/A,TRUE,"NORTHEAST"}</definedName>
    <definedName name="booby2" localSheetId="10" hidden="1">{#N/A,#N/A,TRUE,"TOTAL DSBN";#N/A,#N/A,TRUE,"WEST";#N/A,#N/A,TRUE,"SOUTH";#N/A,#N/A,TRUE,"NORTHEAST"}</definedName>
    <definedName name="booby2" localSheetId="12" hidden="1">{#N/A,#N/A,TRUE,"TOTAL DSBN";#N/A,#N/A,TRUE,"WEST";#N/A,#N/A,TRUE,"SOUTH";#N/A,#N/A,TRUE,"NORTHEAST"}</definedName>
    <definedName name="booby2" hidden="1">{#N/A,#N/A,TRUE,"TOTAL DSBN";#N/A,#N/A,TRUE,"WEST";#N/A,#N/A,TRUE,"SOUTH";#N/A,#N/A,TRUE,"NORTHEAST"}</definedName>
    <definedName name="borst" localSheetId="1" hidden="1">#REF!</definedName>
    <definedName name="borst" localSheetId="17" hidden="1">#REF!</definedName>
    <definedName name="borst" localSheetId="31" hidden="1">#REF!</definedName>
    <definedName name="borst" localSheetId="7" hidden="1">#REF!</definedName>
    <definedName name="borst" localSheetId="9" hidden="1">#REF!</definedName>
    <definedName name="borst" hidden="1">#REF!</definedName>
    <definedName name="Bruce" localSheetId="1" hidden="1">{#N/A,#N/A,FALSE,"SCA";#N/A,#N/A,FALSE,"NCA";#N/A,#N/A,FALSE,"SAZ";#N/A,#N/A,FALSE,"CAZ";#N/A,#N/A,FALSE,"SNV";#N/A,#N/A,FALSE,"NNV";#N/A,#N/A,FALSE,"PP";#N/A,#N/A,FALSE,"SA"}</definedName>
    <definedName name="Bruce" localSheetId="17" hidden="1">{#N/A,#N/A,FALSE,"SCA";#N/A,#N/A,FALSE,"NCA";#N/A,#N/A,FALSE,"SAZ";#N/A,#N/A,FALSE,"CAZ";#N/A,#N/A,FALSE,"SNV";#N/A,#N/A,FALSE,"NNV";#N/A,#N/A,FALSE,"PP";#N/A,#N/A,FALSE,"SA"}</definedName>
    <definedName name="Bruce" localSheetId="30" hidden="1">{#N/A,#N/A,FALSE,"SCA";#N/A,#N/A,FALSE,"NCA";#N/A,#N/A,FALSE,"SAZ";#N/A,#N/A,FALSE,"CAZ";#N/A,#N/A,FALSE,"SNV";#N/A,#N/A,FALSE,"NNV";#N/A,#N/A,FALSE,"PP";#N/A,#N/A,FALSE,"SA"}</definedName>
    <definedName name="Bruce" localSheetId="31" hidden="1">{#N/A,#N/A,FALSE,"SCA";#N/A,#N/A,FALSE,"NCA";#N/A,#N/A,FALSE,"SAZ";#N/A,#N/A,FALSE,"CAZ";#N/A,#N/A,FALSE,"SNV";#N/A,#N/A,FALSE,"NNV";#N/A,#N/A,FALSE,"PP";#N/A,#N/A,FALSE,"SA"}</definedName>
    <definedName name="Bruce" localSheetId="19" hidden="1">{#N/A,#N/A,FALSE,"SCA";#N/A,#N/A,FALSE,"NCA";#N/A,#N/A,FALSE,"SAZ";#N/A,#N/A,FALSE,"CAZ";#N/A,#N/A,FALSE,"SNV";#N/A,#N/A,FALSE,"NNV";#N/A,#N/A,FALSE,"PP";#N/A,#N/A,FALSE,"SA"}</definedName>
    <definedName name="Bruce" localSheetId="7" hidden="1">{#N/A,#N/A,FALSE,"SCA";#N/A,#N/A,FALSE,"NCA";#N/A,#N/A,FALSE,"SAZ";#N/A,#N/A,FALSE,"CAZ";#N/A,#N/A,FALSE,"SNV";#N/A,#N/A,FALSE,"NNV";#N/A,#N/A,FALSE,"PP";#N/A,#N/A,FALSE,"SA"}</definedName>
    <definedName name="Bruce" localSheetId="0" hidden="1">{#N/A,#N/A,FALSE,"SCA";#N/A,#N/A,FALSE,"NCA";#N/A,#N/A,FALSE,"SAZ";#N/A,#N/A,FALSE,"CAZ";#N/A,#N/A,FALSE,"SNV";#N/A,#N/A,FALSE,"NNV";#N/A,#N/A,FALSE,"PP";#N/A,#N/A,FALSE,"SA"}</definedName>
    <definedName name="Bruce" localSheetId="10" hidden="1">{#N/A,#N/A,FALSE,"SCA";#N/A,#N/A,FALSE,"NCA";#N/A,#N/A,FALSE,"SAZ";#N/A,#N/A,FALSE,"CAZ";#N/A,#N/A,FALSE,"SNV";#N/A,#N/A,FALSE,"NNV";#N/A,#N/A,FALSE,"PP";#N/A,#N/A,FALSE,"SA"}</definedName>
    <definedName name="Bruce" localSheetId="12" hidden="1">{#N/A,#N/A,FALSE,"SCA";#N/A,#N/A,FALSE,"NCA";#N/A,#N/A,FALSE,"SAZ";#N/A,#N/A,FALSE,"CAZ";#N/A,#N/A,FALSE,"SNV";#N/A,#N/A,FALSE,"NNV";#N/A,#N/A,FALSE,"PP";#N/A,#N/A,FALSE,"SA"}</definedName>
    <definedName name="Bruce" localSheetId="9" hidden="1">{#N/A,#N/A,FALSE,"SCA";#N/A,#N/A,FALSE,"NCA";#N/A,#N/A,FALSE,"SAZ";#N/A,#N/A,FALSE,"CAZ";#N/A,#N/A,FALSE,"SNV";#N/A,#N/A,FALSE,"NNV";#N/A,#N/A,FALSE,"PP";#N/A,#N/A,FALSE,"SA"}</definedName>
    <definedName name="Bruce" hidden="1">{#N/A,#N/A,FALSE,"SCA";#N/A,#N/A,FALSE,"NCA";#N/A,#N/A,FALSE,"SAZ";#N/A,#N/A,FALSE,"CAZ";#N/A,#N/A,FALSE,"SNV";#N/A,#N/A,FALSE,"NNV";#N/A,#N/A,FALSE,"PP";#N/A,#N/A,FALSE,"SA"}</definedName>
    <definedName name="Bruce1" localSheetId="1" hidden="1">{#N/A,#N/A,FALSE,"Page 1";#N/A,#N/A,FALSE,"Page 2";#N/A,#N/A,FALSE,"Page 3";#N/A,#N/A,FALSE,"Page 4";#N/A,#N/A,FALSE,"Page 5";#N/A,#N/A,FALSE,"Page 6";#N/A,#N/A,FALSE,"Page 7";#N/A,#N/A,FALSE,"Page 8";#N/A,#N/A,FALSE,"Page 9";#N/A,#N/A,FALSE,"PG8WP";#N/A,#N/A,FALSE,"PG9WP"}</definedName>
    <definedName name="Bruce1" localSheetId="17" hidden="1">{#N/A,#N/A,FALSE,"Page 1";#N/A,#N/A,FALSE,"Page 2";#N/A,#N/A,FALSE,"Page 3";#N/A,#N/A,FALSE,"Page 4";#N/A,#N/A,FALSE,"Page 5";#N/A,#N/A,FALSE,"Page 6";#N/A,#N/A,FALSE,"Page 7";#N/A,#N/A,FALSE,"Page 8";#N/A,#N/A,FALSE,"Page 9";#N/A,#N/A,FALSE,"PG8WP";#N/A,#N/A,FALSE,"PG9WP"}</definedName>
    <definedName name="Bruce1" localSheetId="30" hidden="1">{#N/A,#N/A,FALSE,"Page 1";#N/A,#N/A,FALSE,"Page 2";#N/A,#N/A,FALSE,"Page 3";#N/A,#N/A,FALSE,"Page 4";#N/A,#N/A,FALSE,"Page 5";#N/A,#N/A,FALSE,"Page 6";#N/A,#N/A,FALSE,"Page 7";#N/A,#N/A,FALSE,"Page 8";#N/A,#N/A,FALSE,"Page 9";#N/A,#N/A,FALSE,"PG8WP";#N/A,#N/A,FALSE,"PG9WP"}</definedName>
    <definedName name="Bruce1" localSheetId="31" hidden="1">{#N/A,#N/A,FALSE,"Page 1";#N/A,#N/A,FALSE,"Page 2";#N/A,#N/A,FALSE,"Page 3";#N/A,#N/A,FALSE,"Page 4";#N/A,#N/A,FALSE,"Page 5";#N/A,#N/A,FALSE,"Page 6";#N/A,#N/A,FALSE,"Page 7";#N/A,#N/A,FALSE,"Page 8";#N/A,#N/A,FALSE,"Page 9";#N/A,#N/A,FALSE,"PG8WP";#N/A,#N/A,FALSE,"PG9WP"}</definedName>
    <definedName name="Bruce1" localSheetId="19" hidden="1">{#N/A,#N/A,FALSE,"Page 1";#N/A,#N/A,FALSE,"Page 2";#N/A,#N/A,FALSE,"Page 3";#N/A,#N/A,FALSE,"Page 4";#N/A,#N/A,FALSE,"Page 5";#N/A,#N/A,FALSE,"Page 6";#N/A,#N/A,FALSE,"Page 7";#N/A,#N/A,FALSE,"Page 8";#N/A,#N/A,FALSE,"Page 9";#N/A,#N/A,FALSE,"PG8WP";#N/A,#N/A,FALSE,"PG9WP"}</definedName>
    <definedName name="Bruce1" localSheetId="7" hidden="1">{#N/A,#N/A,FALSE,"Page 1";#N/A,#N/A,FALSE,"Page 2";#N/A,#N/A,FALSE,"Page 3";#N/A,#N/A,FALSE,"Page 4";#N/A,#N/A,FALSE,"Page 5";#N/A,#N/A,FALSE,"Page 6";#N/A,#N/A,FALSE,"Page 7";#N/A,#N/A,FALSE,"Page 8";#N/A,#N/A,FALSE,"Page 9";#N/A,#N/A,FALSE,"PG8WP";#N/A,#N/A,FALSE,"PG9WP"}</definedName>
    <definedName name="Bruce1" localSheetId="0" hidden="1">{#N/A,#N/A,FALSE,"Page 1";#N/A,#N/A,FALSE,"Page 2";#N/A,#N/A,FALSE,"Page 3";#N/A,#N/A,FALSE,"Page 4";#N/A,#N/A,FALSE,"Page 5";#N/A,#N/A,FALSE,"Page 6";#N/A,#N/A,FALSE,"Page 7";#N/A,#N/A,FALSE,"Page 8";#N/A,#N/A,FALSE,"Page 9";#N/A,#N/A,FALSE,"PG8WP";#N/A,#N/A,FALSE,"PG9WP"}</definedName>
    <definedName name="Bruce1" localSheetId="10" hidden="1">{#N/A,#N/A,FALSE,"Page 1";#N/A,#N/A,FALSE,"Page 2";#N/A,#N/A,FALSE,"Page 3";#N/A,#N/A,FALSE,"Page 4";#N/A,#N/A,FALSE,"Page 5";#N/A,#N/A,FALSE,"Page 6";#N/A,#N/A,FALSE,"Page 7";#N/A,#N/A,FALSE,"Page 8";#N/A,#N/A,FALSE,"Page 9";#N/A,#N/A,FALSE,"PG8WP";#N/A,#N/A,FALSE,"PG9WP"}</definedName>
    <definedName name="Bruce1" localSheetId="12" hidden="1">{#N/A,#N/A,FALSE,"Page 1";#N/A,#N/A,FALSE,"Page 2";#N/A,#N/A,FALSE,"Page 3";#N/A,#N/A,FALSE,"Page 4";#N/A,#N/A,FALSE,"Page 5";#N/A,#N/A,FALSE,"Page 6";#N/A,#N/A,FALSE,"Page 7";#N/A,#N/A,FALSE,"Page 8";#N/A,#N/A,FALSE,"Page 9";#N/A,#N/A,FALSE,"PG8WP";#N/A,#N/A,FALSE,"PG9WP"}</definedName>
    <definedName name="Bruce1" localSheetId="9" hidden="1">{#N/A,#N/A,FALSE,"Page 1";#N/A,#N/A,FALSE,"Page 2";#N/A,#N/A,FALSE,"Page 3";#N/A,#N/A,FALSE,"Page 4";#N/A,#N/A,FALSE,"Page 5";#N/A,#N/A,FALSE,"Page 6";#N/A,#N/A,FALSE,"Page 7";#N/A,#N/A,FALSE,"Page 8";#N/A,#N/A,FALSE,"Page 9";#N/A,#N/A,FALSE,"PG8WP";#N/A,#N/A,FALSE,"PG9WP"}</definedName>
    <definedName name="Bruce1" hidden="1">{#N/A,#N/A,FALSE,"Page 1";#N/A,#N/A,FALSE,"Page 2";#N/A,#N/A,FALSE,"Page 3";#N/A,#N/A,FALSE,"Page 4";#N/A,#N/A,FALSE,"Page 5";#N/A,#N/A,FALSE,"Page 6";#N/A,#N/A,FALSE,"Page 7";#N/A,#N/A,FALSE,"Page 8";#N/A,#N/A,FALSE,"Page 9";#N/A,#N/A,FALSE,"PG8WP";#N/A,#N/A,FALSE,"PG9WP"}</definedName>
    <definedName name="Bscrptold" localSheetId="7" hidden="1">{#N/A,#N/A,FALSE,"Valuation";#N/A,#N/A,FALSE,"Inputs";#N/A,#N/A,FALSE,"Financial Statements";#N/A,#N/A,FALSE,"MLP Impact";#N/A,#N/A,FALSE,"Revenues"}</definedName>
    <definedName name="Bscrptold" localSheetId="10" hidden="1">{#N/A,#N/A,FALSE,"Valuation";#N/A,#N/A,FALSE,"Inputs";#N/A,#N/A,FALSE,"Financial Statements";#N/A,#N/A,FALSE,"MLP Impact";#N/A,#N/A,FALSE,"Revenues"}</definedName>
    <definedName name="Bscrptold" localSheetId="12" hidden="1">{#N/A,#N/A,FALSE,"Valuation";#N/A,#N/A,FALSE,"Inputs";#N/A,#N/A,FALSE,"Financial Statements";#N/A,#N/A,FALSE,"MLP Impact";#N/A,#N/A,FALSE,"Revenues"}</definedName>
    <definedName name="Bscrptold" hidden="1">{#N/A,#N/A,FALSE,"Valuation";#N/A,#N/A,FALSE,"Inputs";#N/A,#N/A,FALSE,"Financial Statements";#N/A,#N/A,FALSE,"MLP Impact";#N/A,#N/A,FALSE,"Revenues"}</definedName>
    <definedName name="bud" localSheetId="7" hidden="1">{"summary",#N/A,FALSE,"PCR DIRECTORY"}</definedName>
    <definedName name="bud" localSheetId="10" hidden="1">{"summary",#N/A,FALSE,"PCR DIRECTORY"}</definedName>
    <definedName name="bud" localSheetId="12" hidden="1">{"summary",#N/A,FALSE,"PCR DIRECTORY"}</definedName>
    <definedName name="bud" hidden="1">{"summary",#N/A,FALSE,"PCR DIRECTORY"}</definedName>
    <definedName name="BUSUNIT">#REF!</definedName>
    <definedName name="BUTLER" localSheetId="7">#REF!</definedName>
    <definedName name="BUTLER" localSheetId="12">#REF!</definedName>
    <definedName name="BUTLER">#REF!</definedName>
    <definedName name="bvvrr"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1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3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1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1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1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localSheetId="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bvvrr"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c.LTMYear" localSheetId="30" hidden="1">#REF!</definedName>
    <definedName name="c.LTMYear" localSheetId="31" hidden="1">#REF!</definedName>
    <definedName name="c.LTMYear" hidden="1">#REF!</definedName>
    <definedName name="C_" localSheetId="12">#REF!</definedName>
    <definedName name="C_">#REF!</definedName>
    <definedName name="ca" localSheetId="1" hidden="1">#REF!</definedName>
    <definedName name="ca" localSheetId="30" hidden="1">#REF!</definedName>
    <definedName name="ca" localSheetId="31" hidden="1">#REF!</definedName>
    <definedName name="ca" localSheetId="7" hidden="1">#REF!</definedName>
    <definedName name="ca" localSheetId="9" hidden="1">#REF!</definedName>
    <definedName name="ca" hidden="1">#REF!</definedName>
    <definedName name="calcDiv1">#REF!</definedName>
    <definedName name="calcDiv2">#REF!</definedName>
    <definedName name="calcDiv3">#REF!</definedName>
    <definedName name="calcDiv4">#REF!</definedName>
    <definedName name="calcEDiv01">#REF!</definedName>
    <definedName name="calcEDiv02">#REF!</definedName>
    <definedName name="calcEDiv03">#REF!</definedName>
    <definedName name="calcEDiv04">#REF!</definedName>
    <definedName name="calcEDiv05">#REF!</definedName>
    <definedName name="calcEDiv06">#REF!</definedName>
    <definedName name="calcEDiv07">#REF!</definedName>
    <definedName name="calcEDiv08">#REF!</definedName>
    <definedName name="calcEDiv10">#REF!</definedName>
    <definedName name="calcEDiv11">#REF!</definedName>
    <definedName name="calcEDiv12">#REF!</definedName>
    <definedName name="calcEDiv13">#REF!</definedName>
    <definedName name="calcEDiv14">#REF!</definedName>
    <definedName name="calcEDiv15">#REF!</definedName>
    <definedName name="calcEDiv16">#REF!</definedName>
    <definedName name="calcEDiv17">#REF!</definedName>
    <definedName name="calcEDiv18">#REF!</definedName>
    <definedName name="calcEDiv19">#REF!</definedName>
    <definedName name="calcEDiv20">#REF!</definedName>
    <definedName name="calcEDiv21">#REF!</definedName>
    <definedName name="calcEDiv22">#REF!</definedName>
    <definedName name="calcEDiv23">#REF!</definedName>
    <definedName name="calcEDiv24">#REF!</definedName>
    <definedName name="calcEDiv25">#REF!</definedName>
    <definedName name="Calculate">#REF!</definedName>
    <definedName name="CAM.CE" localSheetId="7">#REF!</definedName>
    <definedName name="CAM.CE" localSheetId="10">#REF!</definedName>
    <definedName name="CAM.CE">#REF!</definedName>
    <definedName name="can" localSheetId="1"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30" hidden="1">{#N/A,#N/A,FALSE,"O&amp;M by processes";#N/A,#N/A,FALSE,"Elec Act vs Bud";#N/A,#N/A,FALSE,"G&amp;A";#N/A,#N/A,FALSE,"BGS";#N/A,#N/A,FALSE,"Res Cost"}</definedName>
    <definedName name="can" localSheetId="31"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7" hidden="1">{#N/A,#N/A,FALSE,"O&amp;M by processes";#N/A,#N/A,FALSE,"Elec Act vs Bud";#N/A,#N/A,FALSE,"G&amp;A";#N/A,#N/A,FALSE,"BGS";#N/A,#N/A,FALSE,"Res Cost"}</definedName>
    <definedName name="can" localSheetId="0" hidden="1">{#N/A,#N/A,FALSE,"O&amp;M by processes";#N/A,#N/A,FALSE,"Elec Act vs Bud";#N/A,#N/A,FALSE,"G&amp;A";#N/A,#N/A,FALSE,"BGS";#N/A,#N/A,FALSE,"Res Cost"}</definedName>
    <definedName name="can" localSheetId="10" hidden="1">{#N/A,#N/A,FALSE,"O&amp;M by processes";#N/A,#N/A,FALSE,"Elec Act vs Bud";#N/A,#N/A,FALSE,"G&amp;A";#N/A,#N/A,FALSE,"BGS";#N/A,#N/A,FALSE,"Res Cost"}</definedName>
    <definedName name="can" localSheetId="12"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hidden="1">{#N/A,#N/A,FALSE,"O&amp;M by processes";#N/A,#N/A,FALSE,"Elec Act vs Bud";#N/A,#N/A,FALSE,"G&amp;A";#N/A,#N/A,FALSE,"BGS";#N/A,#N/A,FALSE,"Res Cost"}</definedName>
    <definedName name="capitalization" localSheetId="12">#REF!</definedName>
    <definedName name="capitalization">#REF!</definedName>
    <definedName name="Case" localSheetId="12">#REF!</definedName>
    <definedName name="Case">#REF!</definedName>
    <definedName name="Case_Summary_Results" localSheetId="7">#REF!</definedName>
    <definedName name="Case_Summary_Results" localSheetId="10">#REF!</definedName>
    <definedName name="Case_Summary_Results">#REF!</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2595BBC_opts" hidden="1">"1, 1, 1, False, 2, True, False, , 0, False, False, 2, 2"</definedName>
    <definedName name="cb_sChart12595E44_opts" hidden="1">"1, 3, 1, False, 2, True, False, , 0, True, False, 2, 2"</definedName>
    <definedName name="cb_sChart12B3A151_opts" hidden="1">"1, 10, 1, False, 2, False, False, , 0, False, True, 1, 1"</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DCEFA3_opts" hidden="1">"1, 1, 1, False, 2, False, False, , 0, False, False, 1, 1"</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34138B2_opts" hidden="1">"1, 1, 1, False, 2, True, False, , 0, False, False, 1, 1"</definedName>
    <definedName name="cb_sChart13893CA8_opts" hidden="1">"1, 3, 1, False, 2, False, False, , 0, False, True, 1, 1"</definedName>
    <definedName name="cb_sChart138A89C6_opts" hidden="1">"1, 5, 1, False, 2, True, False, , 0, False, True, 1, 1"</definedName>
    <definedName name="cb_sChart138A98B2_opts" hidden="1">"1, 3, 1, False, 2, False, False, , 0, False, False, 1, 1"</definedName>
    <definedName name="cb_sChart138A9A2F_opts" hidden="1">"1, 5, 1, False, 2, False, False, , 0, False, False, 1, 1"</definedName>
    <definedName name="cb_sChart138B4149_opts" hidden="1">"1, 5, 1, False, 2, False, False, , 0, False, False, 1, 1"</definedName>
    <definedName name="cb_sChart1396A6FE_opts" hidden="1">"1, 9, 1, False, 2, False, False, , 0, False, False, 1, 1"</definedName>
    <definedName name="cb_sChart1396A888_opts" hidden="1">"1, 9, 1, False, 2, False, False, , 0, False, False, 1, 1"</definedName>
    <definedName name="cb_sChart13A1E042_opts" hidden="1">"1, 9, 1, False, 2, False, False, , 0, False, False, 1, 1"</definedName>
    <definedName name="cb_sChart13A1E4A4_opts" hidden="1">"1, 9, 1, False, 2, False, False, , 0, False, False, 1, 1"</definedName>
    <definedName name="cb_sChart14C521B5_opts" hidden="1">"1, 9, 1, False, 2, False, False, , 0, False, True, 1, 1"</definedName>
    <definedName name="cb_sChart14C59325_opts" hidden="1">"1, 9, 1, False, 2, False, False, , 0, False, True, 1, 1"</definedName>
    <definedName name="cb_sChart14E6EA1E_opts" hidden="1">"1, 9, 1, False, 2, False, False, , 0, False, False, 1, 2"</definedName>
    <definedName name="cb_sChart14E6EB91_opts" hidden="1">"1, 9, 1, False, 2, False, False, , 0, False, False, 1, 1"</definedName>
    <definedName name="cb_sChart14E6ED99_opts" hidden="1">"1, 9, 1, False, 2, False, False, , 0, False, False, 1, 1"</definedName>
    <definedName name="cb_sChart14E6F3EE_opts" hidden="1">"1, 9, 1, False, 2, False, False, , 0, False, False, 1, 1"</definedName>
    <definedName name="cb_sChart14E81502_opts" hidden="1">"1, 9, 1, False, 2, False, False, , 0, False, False, 1, 2"</definedName>
    <definedName name="cb_sChart14E81DF6_opts" hidden="1">"1, 9, 1, False, 2, False, False, , 0, False, False, 1, 2"</definedName>
    <definedName name="cb_sChart14E82800_opts" hidden="1">"1, 9, 1, False, 2, False, False, , 0, False, False, 1, 2"</definedName>
    <definedName name="cb_sChart14E83288_opts" hidden="1">"1, 9, 1, False, 2, False, False, , 0, False, False, 1, 2"</definedName>
    <definedName name="cb_sChart14E8F629_opts" hidden="1">"1, 9, 1, False, 2, False, False, , 0, False, False, 1, 2"</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87E8_opts" hidden="1">"1, 9, 1, False, 2, False, False, , 0, False, False, 1, 2"</definedName>
    <definedName name="cb_sChart14F7947A_opts" hidden="1">"1, 9, 1, False, 2, False, False, , 0, False, False, 1, 2"</definedName>
    <definedName name="cb_sChart14F79A09_opts" hidden="1">"1, 9, 1, False, 2, False, False, , 0, False, False, 1, 2"</definedName>
    <definedName name="cb_sChart14F7F419_opts" hidden="1">"1, 9, 1, False, 2, False, False, , 0, False, True, 1, 1"</definedName>
    <definedName name="cb_sChart14F7F5FF_opts" hidden="1">"1, 9, 1, False, 2, False, False, , 0, False, True, 1, 1"</definedName>
    <definedName name="cb_sChart14FA60AB_opts" hidden="1">"1, 9, 1, False, 2, False, False, , 0, False, False, 1, 2"</definedName>
    <definedName name="cb_sChart14FA650D_opts" hidden="1">"1, 9, 1, False, 2, False, False, , 0, False, False, 1, 2"</definedName>
    <definedName name="cb_sChart1501ACE3_opts" hidden="1">"1, 8, 1, False, 2, False, False, , 0, False, False, 1, 2"</definedName>
    <definedName name="cb_sChart1501AEF7_opts" hidden="1">"1, 9, 1, False, 2, False, False, , 0, False, False, 1, 2"</definedName>
    <definedName name="cb_sChart1501DCE6_opts" hidden="1">"1, 9, 1, False, 2, False, False, , 0, False, False, 1, 2"</definedName>
    <definedName name="cb_sChart1501EF92_opts" hidden="1">"1, 9, 1, False, 2, False, False, , 0, False, False, 1, 2"</definedName>
    <definedName name="cb_sChart1501F8CB_opts" hidden="1">"1, 9, 1, False, 2, False, False, , 0, False, False, 1, 2"</definedName>
    <definedName name="cb_sChart150208AA_opts" hidden="1">"1, 9, 1, False, 2, False, False, , 0, False, False, 1, 2"</definedName>
    <definedName name="cb_sChart15020EC4_opts" hidden="1">"1, 9, 1, False, 2, False, False, , 0, False, False, 1, 2"</definedName>
    <definedName name="cb_sChart150212BF_opts" hidden="1">"1, 9, 1, False, 2, False, False, , 0, False, False, 1, 2"</definedName>
    <definedName name="cb_sChart15021F68_opts" hidden="1">"1, 9, 1, False, 2, False, False, , 0, False, False, 1, 1"</definedName>
    <definedName name="cb_sChart15022484_opts" hidden="1">"1, 9, 1, False, 2, False, False, , 0, False, False, 1, 2"</definedName>
    <definedName name="cb_sChart150226F5_opts" hidden="1">"1, 9, 1, False, 2, False, False, , 0, False, False, 1, 2"</definedName>
    <definedName name="cb_sChart15144595_opts" hidden="1">"1, 9, 1, False, 2, False, False, , 0, False, False, 1, 2"</definedName>
    <definedName name="cb_sChart15145615_opts" hidden="1">"1, 9, 1, False, 2, False, False, , 0, False, False, 1, 2"</definedName>
    <definedName name="cb_sChart151464B0_opts" hidden="1">"1, 9, 1, False, 2, False, False, , 0, False, False, 1, 2"</definedName>
    <definedName name="cb_sChart15146FA1_opts" hidden="1">"1, 9, 1, False, 2, False, False, , 0, False, False, 1, 2"</definedName>
    <definedName name="cb_sChart15149A94_opts" hidden="1">"1, 9, 1, False, 2, False, False, , 0, False, False, 1, 2"</definedName>
    <definedName name="cb_sChart1514EEC3_opts" hidden="1">"1, 9, 1, False, 2, False, False, , 0, False, False, 1, 2"</definedName>
    <definedName name="cb_sChart1514F2E0_opts" hidden="1">"1, 9, 1, False, 2, False, False, , 0, False, False, 1, 2"</definedName>
    <definedName name="cb_sChart151510A0_opts" hidden="1">"1, 9, 1, False, 2, False, False, , 0, False, False, 1, 2"</definedName>
    <definedName name="cb_sChart15154C37_opts" hidden="1">"1, 9, 1, False, 2, False, False, , 0, False, False, 1, 2"</definedName>
    <definedName name="cb_sChart15157034_opts" hidden="1">"1, 9, 1, False, 2, False, False, , 0, False, False, 1, 2"</definedName>
    <definedName name="cb_sChart1515F81B_opts" hidden="1">"1, 9, 1, False, 2, False, False, , 0, False, False, 1, 2"</definedName>
    <definedName name="cb_sChart1515F9EA_opts" hidden="1">"1, 9, 1, False, 2, False, False, , 0, False, False, 1, 2"</definedName>
    <definedName name="cb_sChart15161029_opts" hidden="1">"1, 9, 1, False, 2, False, False, , 0, False, False, 1, 2"</definedName>
    <definedName name="cb_sChart15163773_opts" hidden="1">"1, 9, 1, False, 2, False, False, , 0, False, False, 1, 2"</definedName>
    <definedName name="cb_sChart15164F8C_opts" hidden="1">"1, 9, 1, False, 2, False, False, , 0, False, False, 1, 2"</definedName>
    <definedName name="cb_sChart15165265_opts" hidden="1">"1, 9, 1, False, 2, False, False, , 0, False, False, 1, 2"</definedName>
    <definedName name="cb_sChart15166173_opts" hidden="1">"1, 9, 1, False, 2, False, False, , 0, False, False, 1, 2"</definedName>
    <definedName name="cb_sChart1516A84C_opts" hidden="1">"1, 9, 1, False, 2, False, False, , 0, False, False, 1, 2"</definedName>
    <definedName name="cb_sChart155036A2_opts" hidden="1">"1, 1, 1, False, 2, True, False, , 0, False, False, 1, 1"</definedName>
    <definedName name="cb_sChart16729FA9_opts" hidden="1">"1, 10, 1, False, 2, False, False, , 0, False, False, 1, 1"</definedName>
    <definedName name="cb_sChart16EBA7BA_opts" hidden="1">"1, 1, 1, False, 2, True, False, , 0, False, True, 1, 2"</definedName>
    <definedName name="cb_sChart17A51AE8_opts" hidden="1">"1, 9, 1, False, 2, False, False, , 0, False, True, 1, 1"</definedName>
    <definedName name="cb_sChart17A51C7D_opts" hidden="1">"1, 9, 1, False, 2, False, False, , 0, False, True, 1, 1"</definedName>
    <definedName name="cb_sChart17A51D59_opts" hidden="1">"1, 9, 1, False, 2, False, False, , 0, False, True, 1, 1"</definedName>
    <definedName name="cb_sChart17A5325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400249_opts" hidden="1">"1, 9, 1, False, 2, False, False, , 0, False, True, 1, 1"</definedName>
    <definedName name="cb_sChart194013B1_opts" hidden="1">"1, 9, 1, False, 2, False, False, , 0, False, True, 1, 1"</definedName>
    <definedName name="cb_sChart19533312_opts" hidden="1">"1, 9,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9EB7A17_opts" hidden="1">"1, 3, 1, False, 2, False, False, , 0, False, True, 1, 1"</definedName>
    <definedName name="cb_sChart19EB7D70_opts" hidden="1">"1, 5, 1, False, 2, False, False, , 0, False, True, 1, 1"</definedName>
    <definedName name="cb_sChart19EB7F61_opts" hidden="1">"1, 3, 1, False, 2, False, False, , 0, False, True, 1, 1"</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34D814_opts" hidden="1">"1, 1, 1, False, 2, True, False, , 0, False, False, 1, 1"</definedName>
    <definedName name="cb_sChart1B34D894_opts" hidden="1">"1, 1, 1, False, 2, True, False, , 0, False, False, 1, 2"</definedName>
    <definedName name="cb_sChart1B34D987_opts" hidden="1">"1, 1, 1, False, 2, False, False, , 0, False, False, 1,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9A4AFE_opts" hidden="1">"1, 9, 1, False, 2, False, False, , 0, False, False, 1, 2"</definedName>
    <definedName name="cb_sChart1BA1DC3F_opts" hidden="1">"1, 9, 1, False, 2, False, False, , 0, False, False, 1, 2"</definedName>
    <definedName name="cb_sChart1BA8AA_opts" hidden="1">"1, 1, 1, False, 2, False, False, , 0, False, False, 1, 2"</definedName>
    <definedName name="cb_sChart1BADD1_opts" hidden="1">"1, 1, 1, False, 2, False, False, , 0, False, False, 2,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97095D_opts" hidden="1">"1, 9, 1, False, 2, False, False, , 0, False, True, 1, 1"</definedName>
    <definedName name="cb_sChart1C971F11_opts" hidden="1">"1, 9, 1, False, 2, False, False, , 0, False, True, 1, 1"</definedName>
    <definedName name="cb_sChart1CAAAF_opts" hidden="1">"1, 1, 1, False, 2, False, False, , 0, False, False, 3, 2"</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8F6DF6_opts" hidden="1">"1, 1, 1, False, 2, False, False, , 0, False, True, 1, 1"</definedName>
    <definedName name="cb_sChart1D8F6F97_opts" hidden="1">"1, 9, 1, False, 2, False, False, , 0, False, True, 1, 1"</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9B8D4_opts" hidden="1">"1, 10, 1, False, 2, False, False, , 0, False, False, 1, 1"</definedName>
    <definedName name="cb_sChart1DB9C5CE_opts" hidden="1">"1, 10, 1, False, 2, False, False, , 0, False, False, 1, 1"</definedName>
    <definedName name="cb_sChart1DBAAD_opts" hidden="1">"2, 1, 2, True, 2, False, False, , 0, False, True, 1, 2"</definedName>
    <definedName name="cb_sChart1DBB89_opts" hidden="1">"2, 1, 2, True, 2, False, False, , 0, False, True, 1, 1"</definedName>
    <definedName name="cb_sChart1DBCD0EE_opts" hidden="1">"1, 10, 1, False, 2, False, False, , 0, False, False, 1, 1"</definedName>
    <definedName name="cb_sChart1DBCD418_opts" hidden="1">"1, 10, 1, False, 2, False, False, , 0, False, False,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3B6CD_opts" hidden="1">"1, 9, 1, False, 2, False, False, , 0, False, True, 1, 1"</definedName>
    <definedName name="cb_sChart1E43DAA8_opts" hidden="1">"1, 9, 1, False, 2, False, False, , 0, False, True, 1, 1"</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1E9A35_opts" hidden="1">"1, 9, 1, False, 2, False, False, , 0, False, True,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we" localSheetId="1" hidden="1">#REF!</definedName>
    <definedName name="cbwe" localSheetId="30" hidden="1">#REF!</definedName>
    <definedName name="cbwe" localSheetId="31" hidden="1">#REF!</definedName>
    <definedName name="cbwe" localSheetId="7" hidden="1">#REF!</definedName>
    <definedName name="cbwe" localSheetId="9" hidden="1">#REF!</definedName>
    <definedName name="cbwe" hidden="1">#REF!</definedName>
    <definedName name="CBWorkbookPriority" localSheetId="1" hidden="1">-1523877792</definedName>
    <definedName name="CBWorkbookPriority" localSheetId="7" hidden="1">-1523877792</definedName>
    <definedName name="CBWorkbookPriority" localSheetId="0" hidden="1">-1523877792</definedName>
    <definedName name="CBWorkbookPriority" localSheetId="9" hidden="1">-1523877792</definedName>
    <definedName name="CBWorkbookPriority" hidden="1">-206063398</definedName>
    <definedName name="CC" localSheetId="12">#REF!</definedName>
    <definedName name="CC">#REF!</definedName>
    <definedName name="ccc" localSheetId="7" hidden="1">{#N/A,#N/A,FALSE,"O&amp;M by processes";#N/A,#N/A,FALSE,"Elec Act vs Bud";#N/A,#N/A,FALSE,"G&amp;A";#N/A,#N/A,FALSE,"BGS";#N/A,#N/A,FALSE,"Res Cost"}</definedName>
    <definedName name="ccc" localSheetId="10" hidden="1">{#N/A,#N/A,FALSE,"O&amp;M by processes";#N/A,#N/A,FALSE,"Elec Act vs Bud";#N/A,#N/A,FALSE,"G&amp;A";#N/A,#N/A,FALSE,"BGS";#N/A,#N/A,FALSE,"Res Cost"}</definedName>
    <definedName name="ccc" localSheetId="12"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1"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30" hidden="1">{#N/A,#N/A,FALSE,"O&amp;M by processes";#N/A,#N/A,FALSE,"Elec Act vs Bud";#N/A,#N/A,FALSE,"G&amp;A";#N/A,#N/A,FALSE,"BGS";#N/A,#N/A,FALSE,"Res Cost"}</definedName>
    <definedName name="cccc" localSheetId="31"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0" hidden="1">{#N/A,#N/A,FALSE,"O&amp;M by processes";#N/A,#N/A,FALSE,"Elec Act vs Bud";#N/A,#N/A,FALSE,"G&amp;A";#N/A,#N/A,FALSE,"BGS";#N/A,#N/A,FALSE,"Res Cost"}</definedName>
    <definedName name="cccc" localSheetId="10" hidden="1">{#N/A,#N/A,FALSE,"O&amp;M by processes";#N/A,#N/A,FALSE,"Elec Act vs Bud";#N/A,#N/A,FALSE,"G&amp;A";#N/A,#N/A,FALSE,"BGS";#N/A,#N/A,FALSE,"Res Cost"}</definedName>
    <definedName name="cccc" localSheetId="12"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7" hidden="1">{"EXCELHLP.HLP!1802";5;10;5;10;13;13;13;8;5;5;10;14;13;13;13;13;5;10;14;13;5;10;1;2;24}</definedName>
    <definedName name="cccccc" localSheetId="10" hidden="1">{"EXCELHLP.HLP!1802";5;10;5;10;13;13;13;8;5;5;10;14;13;13;13;13;5;10;14;13;5;10;1;2;24}</definedName>
    <definedName name="cccccc" localSheetId="12" hidden="1">{"EXCELHLP.HLP!1802";5;10;5;10;13;13;13;8;5;5;10;14;13;13;13;13;5;10;14;13;5;10;1;2;24}</definedName>
    <definedName name="cccccc" hidden="1">{"EXCELHLP.HLP!1802";5;10;5;10;13;13;13;8;5;5;10;14;13;13;13;13;5;10;14;13;5;10;1;2;24}</definedName>
    <definedName name="CCE.CAM.">#REF!</definedName>
    <definedName name="CCE.CB." localSheetId="10">#REF!</definedName>
    <definedName name="CCE.CB.">#REF!</definedName>
    <definedName name="CCE.CH." localSheetId="10">#REF!</definedName>
    <definedName name="CCE.CH.">#REF!</definedName>
    <definedName name="CCE.CHAR." localSheetId="10">#REF!</definedName>
    <definedName name="CCE.CHAR.">#REF!</definedName>
    <definedName name="CCE.CL." localSheetId="10">#REF!</definedName>
    <definedName name="CCE.CL.">#REF!</definedName>
    <definedName name="CCE.CLAR." localSheetId="10">#REF!</definedName>
    <definedName name="CCE.CLAR.">#REF!</definedName>
    <definedName name="CCE.DM." localSheetId="10">#REF!</definedName>
    <definedName name="CCE.DM.">#REF!</definedName>
    <definedName name="CCE.FC." localSheetId="10">#REF!</definedName>
    <definedName name="CCE.FC.">#REF!</definedName>
    <definedName name="CCE.GN." localSheetId="10">#REF!</definedName>
    <definedName name="CCE.GN.">#REF!</definedName>
    <definedName name="CCE.GT." localSheetId="10">#REF!</definedName>
    <definedName name="CCE.GT.">#REF!</definedName>
    <definedName name="CCE.HR." localSheetId="10">#REF!</definedName>
    <definedName name="CCE.HR.">#REF!</definedName>
    <definedName name="CCE.KILL." localSheetId="10">#REF!</definedName>
    <definedName name="CCE.KILL.">#REF!</definedName>
    <definedName name="CCE.MED." localSheetId="10">#REF!</definedName>
    <definedName name="CCE.MED.">#REF!</definedName>
    <definedName name="CCE.VAL." localSheetId="10">#REF!</definedName>
    <definedName name="CCE.VAL.">#REF!</definedName>
    <definedName name="CCE.WH." localSheetId="10">#REF!</definedName>
    <definedName name="CCE.WH.">#REF!</definedName>
    <definedName name="CCE.WUW." localSheetId="10">#REF!</definedName>
    <definedName name="CCE.WUW.">#REF!</definedName>
    <definedName name="cdcfcomph">#REF!</definedName>
    <definedName name="cdcfcompl">#REF!</definedName>
    <definedName name="cdcfcowith">#REF!</definedName>
    <definedName name="cdcfcowitl">#REF!</definedName>
    <definedName name="cdcfh">#REF!</definedName>
    <definedName name="cdcfl">#REF!</definedName>
    <definedName name="cdiv1">#REF!</definedName>
    <definedName name="cdiv2">#REF!</definedName>
    <definedName name="cdiv3">#REF!</definedName>
    <definedName name="cdiv4">#REF!</definedName>
    <definedName name="Central_Only">#REF!</definedName>
    <definedName name="cgcoe">#REF!</definedName>
    <definedName name="CH.CE" localSheetId="10">#REF!</definedName>
    <definedName name="CH.CE">#REF!</definedName>
    <definedName name="CHAR.CE" localSheetId="10">#REF!</definedName>
    <definedName name="CHAR.CE">#REF!</definedName>
    <definedName name="Charlotte_office_factor" localSheetId="10">#REF!</definedName>
    <definedName name="Charlotte_office_factor">#REF!</definedName>
    <definedName name="Charlotte_Warehouse_factor" localSheetId="10">#REF!</definedName>
    <definedName name="Charlotte_Warehouse_factor">#REF!</definedName>
    <definedName name="chik" localSheetId="7" hidden="1">{#N/A,#N/A,FALSE,"Summary";#N/A,#N/A,FALSE,"1991";#N/A,#N/A,FALSE,"91 AMT";#N/A,#N/A,FALSE,"1992";#N/A,#N/A,FALSE,"92 AMT";#N/A,#N/A,FALSE,"1993";#N/A,#N/A,FALSE,"93 AMT"}</definedName>
    <definedName name="chik" localSheetId="10" hidden="1">{#N/A,#N/A,FALSE,"Summary";#N/A,#N/A,FALSE,"1991";#N/A,#N/A,FALSE,"91 AMT";#N/A,#N/A,FALSE,"1992";#N/A,#N/A,FALSE,"92 AMT";#N/A,#N/A,FALSE,"1993";#N/A,#N/A,FALSE,"93 AMT"}</definedName>
    <definedName name="chik" localSheetId="12" hidden="1">{#N/A,#N/A,FALSE,"Summary";#N/A,#N/A,FALSE,"1991";#N/A,#N/A,FALSE,"91 AMT";#N/A,#N/A,FALSE,"1992";#N/A,#N/A,FALSE,"92 AMT";#N/A,#N/A,FALSE,"1993";#N/A,#N/A,FALSE,"93 AMT"}</definedName>
    <definedName name="chik" hidden="1">{#N/A,#N/A,FALSE,"Summary";#N/A,#N/A,FALSE,"1991";#N/A,#N/A,FALSE,"91 AMT";#N/A,#N/A,FALSE,"1992";#N/A,#N/A,FALSE,"92 AMT";#N/A,#N/A,FALSE,"1993";#N/A,#N/A,FALSE,"93 AMT"}</definedName>
    <definedName name="chj" localSheetId="1" hidden="1">#REF!</definedName>
    <definedName name="chj" localSheetId="31" hidden="1">#REF!</definedName>
    <definedName name="chj" localSheetId="7" hidden="1">#REF!</definedName>
    <definedName name="chj" localSheetId="9" hidden="1">#REF!</definedName>
    <definedName name="chj" hidden="1">#REF!</definedName>
    <definedName name="CIAC">#REF!</definedName>
    <definedName name="CIQANR_396b6700a05b4c1f83e63dcb3d1292c2" localSheetId="31" hidden="1">#REF!</definedName>
    <definedName name="CIQANR_396b6700a05b4c1f83e63dcb3d1292c2" localSheetId="19" hidden="1">#REF!</definedName>
    <definedName name="CIQANR_396b6700a05b4c1f83e63dcb3d1292c2" hidden="1">#REF!</definedName>
    <definedName name="CIQANR_54746e34064d474d99f979470604f0cb" localSheetId="1" hidden="1">#REF!</definedName>
    <definedName name="CIQANR_54746e34064d474d99f979470604f0cb" localSheetId="30" hidden="1">#REF!</definedName>
    <definedName name="CIQANR_54746e34064d474d99f979470604f0cb" localSheetId="31" hidden="1">#REF!</definedName>
    <definedName name="CIQANR_54746e34064d474d99f979470604f0cb" localSheetId="7" hidden="1">#REF!</definedName>
    <definedName name="CIQANR_54746e34064d474d99f979470604f0cb" localSheetId="9" hidden="1">#REF!</definedName>
    <definedName name="CIQANR_54746e34064d474d99f979470604f0cb" hidden="1">#REF!</definedName>
    <definedName name="CIQANR_9170e773fe574b34ba3f8c73c13a53ef" localSheetId="30" hidden="1">#REF!</definedName>
    <definedName name="CIQANR_9170e773fe574b34ba3f8c73c13a53ef" localSheetId="31" hidden="1">#REF!</definedName>
    <definedName name="CIQANR_9170e773fe574b34ba3f8c73c13a53ef" hidden="1">#REF!</definedName>
    <definedName name="CIQWBGuid" localSheetId="1" hidden="1">"0a162ba8-f85b-49e3-88c3-69ce2b8033eb"</definedName>
    <definedName name="CIQWBGuid" localSheetId="7" hidden="1">"0a162ba8-f85b-49e3-88c3-69ce2b8033eb"</definedName>
    <definedName name="CIQWBGuid" localSheetId="0" hidden="1">"0a162ba8-f85b-49e3-88c3-69ce2b8033eb"</definedName>
    <definedName name="CIQWBGuid" localSheetId="9" hidden="1">"0a162ba8-f85b-49e3-88c3-69ce2b8033eb"</definedName>
    <definedName name="CIQWBGuid" hidden="1">"ec8dff11-d311-4acf-968f-ef658bc23463"</definedName>
    <definedName name="CIQWBInfo" hidden="1">"{ ""CIQVersion"":""9.45.614.5792"" }"</definedName>
    <definedName name="CIRC">#REF!</definedName>
    <definedName name="CL.CE" localSheetId="10">#REF!</definedName>
    <definedName name="CL.CE">#REF!</definedName>
    <definedName name="CLAR.CE" localSheetId="10">#REF!</definedName>
    <definedName name="CLAR.CE">#REF!</definedName>
    <definedName name="ClientMatter" hidden="1">"b1"</definedName>
    <definedName name="CNC.CE">#REF!</definedName>
    <definedName name="CNC2.CE" localSheetId="10">#REF!</definedName>
    <definedName name="CNC2.CE">#REF!</definedName>
    <definedName name="CNC3.CE">#REF!</definedName>
    <definedName name="Co.">#REF!</definedName>
    <definedName name="CO__02" localSheetId="7">#REF!</definedName>
    <definedName name="CO__02" localSheetId="10">#REF!</definedName>
    <definedName name="CO__02">#REF!</definedName>
    <definedName name="co_sub">#REF!</definedName>
    <definedName name="codcfh">#REF!</definedName>
    <definedName name="codcfl">#REF!</definedName>
    <definedName name="COL.CE" localSheetId="7">#REF!</definedName>
    <definedName name="COL.CE" localSheetId="10">#REF!</definedName>
    <definedName name="COL.CE">#REF!</definedName>
    <definedName name="comment" localSheetId="7" hidden="1">{#N/A,#N/A,FALSE,"OUT  AREC"}</definedName>
    <definedName name="comment" localSheetId="10" hidden="1">{#N/A,#N/A,FALSE,"OUT  AREC"}</definedName>
    <definedName name="comment" localSheetId="12" hidden="1">{#N/A,#N/A,FALSE,"OUT  AREC"}</definedName>
    <definedName name="comment" hidden="1">{#N/A,#N/A,FALSE,"OUT  AREC"}</definedName>
    <definedName name="Comment3" localSheetId="7" hidden="1">{#N/A,#N/A,FALSE,"OUT  AREC"}</definedName>
    <definedName name="Comment3" localSheetId="10" hidden="1">{#N/A,#N/A,FALSE,"OUT  AREC"}</definedName>
    <definedName name="Comment3" localSheetId="12" hidden="1">{#N/A,#N/A,FALSE,"OUT  AREC"}</definedName>
    <definedName name="Comment3" hidden="1">{#N/A,#N/A,FALSE,"OUT  AREC"}</definedName>
    <definedName name="Comment5" localSheetId="7" hidden="1">{#N/A,#N/A,FALSE,"OUT  AREC"}</definedName>
    <definedName name="Comment5" localSheetId="10" hidden="1">{#N/A,#N/A,FALSE,"OUT  AREC"}</definedName>
    <definedName name="Comment5" localSheetId="12" hidden="1">{#N/A,#N/A,FALSE,"OUT  AREC"}</definedName>
    <definedName name="Comment5" hidden="1">{#N/A,#N/A,FALSE,"OUT  AREC"}</definedName>
    <definedName name="Comment6" localSheetId="7" hidden="1">{#N/A,#N/A,FALSE,"OUT  AREC"}</definedName>
    <definedName name="Comment6" localSheetId="10" hidden="1">{#N/A,#N/A,FALSE,"OUT  AREC"}</definedName>
    <definedName name="Comment6" localSheetId="12" hidden="1">{#N/A,#N/A,FALSE,"OUT  AREC"}</definedName>
    <definedName name="Comment6" hidden="1">{#N/A,#N/A,FALSE,"OUT  AREC"}</definedName>
    <definedName name="Commentary" localSheetId="7" hidden="1">{#N/A,#N/A,FALSE,"OUT  AREC"}</definedName>
    <definedName name="Commentary" localSheetId="10" hidden="1">{#N/A,#N/A,FALSE,"OUT  AREC"}</definedName>
    <definedName name="Commentary" localSheetId="12" hidden="1">{#N/A,#N/A,FALSE,"OUT  AREC"}</definedName>
    <definedName name="Commentary" hidden="1">{#N/A,#N/A,FALSE,"OUT  AREC"}</definedName>
    <definedName name="Comments" localSheetId="7" hidden="1">{#N/A,#N/A,FALSE,"OUT  AREC"}</definedName>
    <definedName name="Comments" localSheetId="10" hidden="1">{#N/A,#N/A,FALSE,"OUT  AREC"}</definedName>
    <definedName name="Comments" localSheetId="12" hidden="1">{#N/A,#N/A,FALSE,"OUT  AREC"}</definedName>
    <definedName name="Comments" hidden="1">{#N/A,#N/A,FALSE,"OUT  AREC"}</definedName>
    <definedName name="Common" localSheetId="1" hidden="1">{#N/A,#N/A,FALSE,"SCA";#N/A,#N/A,FALSE,"NCA";#N/A,#N/A,FALSE,"SAZ";#N/A,#N/A,FALSE,"CAZ";#N/A,#N/A,FALSE,"SNV";#N/A,#N/A,FALSE,"NNV";#N/A,#N/A,FALSE,"PP";#N/A,#N/A,FALSE,"SA"}</definedName>
    <definedName name="Common" localSheetId="17" hidden="1">{#N/A,#N/A,FALSE,"SCA";#N/A,#N/A,FALSE,"NCA";#N/A,#N/A,FALSE,"SAZ";#N/A,#N/A,FALSE,"CAZ";#N/A,#N/A,FALSE,"SNV";#N/A,#N/A,FALSE,"NNV";#N/A,#N/A,FALSE,"PP";#N/A,#N/A,FALSE,"SA"}</definedName>
    <definedName name="Common" localSheetId="30" hidden="1">{#N/A,#N/A,FALSE,"SCA";#N/A,#N/A,FALSE,"NCA";#N/A,#N/A,FALSE,"SAZ";#N/A,#N/A,FALSE,"CAZ";#N/A,#N/A,FALSE,"SNV";#N/A,#N/A,FALSE,"NNV";#N/A,#N/A,FALSE,"PP";#N/A,#N/A,FALSE,"SA"}</definedName>
    <definedName name="Common" localSheetId="31" hidden="1">{#N/A,#N/A,FALSE,"SCA";#N/A,#N/A,FALSE,"NCA";#N/A,#N/A,FALSE,"SAZ";#N/A,#N/A,FALSE,"CAZ";#N/A,#N/A,FALSE,"SNV";#N/A,#N/A,FALSE,"NNV";#N/A,#N/A,FALSE,"PP";#N/A,#N/A,FALSE,"SA"}</definedName>
    <definedName name="Common" localSheetId="19" hidden="1">{#N/A,#N/A,FALSE,"SCA";#N/A,#N/A,FALSE,"NCA";#N/A,#N/A,FALSE,"SAZ";#N/A,#N/A,FALSE,"CAZ";#N/A,#N/A,FALSE,"SNV";#N/A,#N/A,FALSE,"NNV";#N/A,#N/A,FALSE,"PP";#N/A,#N/A,FALSE,"SA"}</definedName>
    <definedName name="Common" localSheetId="7" hidden="1">{#N/A,#N/A,FALSE,"SCA";#N/A,#N/A,FALSE,"NCA";#N/A,#N/A,FALSE,"SAZ";#N/A,#N/A,FALSE,"CAZ";#N/A,#N/A,FALSE,"SNV";#N/A,#N/A,FALSE,"NNV";#N/A,#N/A,FALSE,"PP";#N/A,#N/A,FALSE,"SA"}</definedName>
    <definedName name="Common" localSheetId="0" hidden="1">{#N/A,#N/A,FALSE,"SCA";#N/A,#N/A,FALSE,"NCA";#N/A,#N/A,FALSE,"SAZ";#N/A,#N/A,FALSE,"CAZ";#N/A,#N/A,FALSE,"SNV";#N/A,#N/A,FALSE,"NNV";#N/A,#N/A,FALSE,"PP";#N/A,#N/A,FALSE,"SA"}</definedName>
    <definedName name="Common" localSheetId="10" hidden="1">{#N/A,#N/A,FALSE,"SCA";#N/A,#N/A,FALSE,"NCA";#N/A,#N/A,FALSE,"SAZ";#N/A,#N/A,FALSE,"CAZ";#N/A,#N/A,FALSE,"SNV";#N/A,#N/A,FALSE,"NNV";#N/A,#N/A,FALSE,"PP";#N/A,#N/A,FALSE,"SA"}</definedName>
    <definedName name="Common" localSheetId="12" hidden="1">{#N/A,#N/A,FALSE,"SCA";#N/A,#N/A,FALSE,"NCA";#N/A,#N/A,FALSE,"SAZ";#N/A,#N/A,FALSE,"CAZ";#N/A,#N/A,FALSE,"SNV";#N/A,#N/A,FALSE,"NNV";#N/A,#N/A,FALSE,"PP";#N/A,#N/A,FALSE,"SA"}</definedName>
    <definedName name="Common" localSheetId="9" hidden="1">{#N/A,#N/A,FALSE,"SCA";#N/A,#N/A,FALSE,"NCA";#N/A,#N/A,FALSE,"SAZ";#N/A,#N/A,FALSE,"CAZ";#N/A,#N/A,FALSE,"SNV";#N/A,#N/A,FALSE,"NNV";#N/A,#N/A,FALSE,"PP";#N/A,#N/A,FALSE,"SA"}</definedName>
    <definedName name="Common" hidden="1">{#N/A,#N/A,FALSE,"SCA";#N/A,#N/A,FALSE,"NCA";#N/A,#N/A,FALSE,"SAZ";#N/A,#N/A,FALSE,"CAZ";#N/A,#N/A,FALSE,"SNV";#N/A,#N/A,FALSE,"NNV";#N/A,#N/A,FALSE,"PP";#N/A,#N/A,FALSE,"SA"}</definedName>
    <definedName name="company">#REF!</definedName>
    <definedName name="company_map" localSheetId="7">#REF!</definedName>
    <definedName name="company_map" localSheetId="12">#REF!</definedName>
    <definedName name="company_map">#REF!</definedName>
    <definedName name="Company_Name">#REF!</definedName>
    <definedName name="company_number">#REF!</definedName>
    <definedName name="Company_Row_Count">#REF!</definedName>
    <definedName name="company_title">#REF!</definedName>
    <definedName name="company1" localSheetId="7">#REF!</definedName>
    <definedName name="company1">#REF!</definedName>
    <definedName name="company10" localSheetId="7">#REF!</definedName>
    <definedName name="company10">#REF!</definedName>
    <definedName name="company11" localSheetId="7">#REF!</definedName>
    <definedName name="company11">#REF!</definedName>
    <definedName name="company12" localSheetId="7">#REF!</definedName>
    <definedName name="company12">#REF!</definedName>
    <definedName name="company13" localSheetId="7">#REF!</definedName>
    <definedName name="company13">#REF!</definedName>
    <definedName name="company14" localSheetId="7">#REF!</definedName>
    <definedName name="company14">#REF!</definedName>
    <definedName name="company15" localSheetId="7">#REF!</definedName>
    <definedName name="company15">#REF!</definedName>
    <definedName name="company16" localSheetId="7">#REF!</definedName>
    <definedName name="company16">#REF!</definedName>
    <definedName name="company17" localSheetId="7">#REF!</definedName>
    <definedName name="company17">#REF!</definedName>
    <definedName name="company18" localSheetId="7">#REF!</definedName>
    <definedName name="company18">#REF!</definedName>
    <definedName name="company19" localSheetId="7">#REF!</definedName>
    <definedName name="company19">#REF!</definedName>
    <definedName name="company2" localSheetId="1">#REF!</definedName>
    <definedName name="company2" localSheetId="7">#REF!</definedName>
    <definedName name="company2" localSheetId="0">#REF!</definedName>
    <definedName name="Company2">#REF!</definedName>
    <definedName name="company20" localSheetId="7">#REF!</definedName>
    <definedName name="company20">#REF!</definedName>
    <definedName name="company21" localSheetId="7">#REF!</definedName>
    <definedName name="company21">#REF!</definedName>
    <definedName name="company22" localSheetId="7">#REF!</definedName>
    <definedName name="company22">#REF!</definedName>
    <definedName name="company23" localSheetId="7">#REF!</definedName>
    <definedName name="company23">#REF!</definedName>
    <definedName name="company24" localSheetId="7">#REF!</definedName>
    <definedName name="company24">#REF!</definedName>
    <definedName name="company25" localSheetId="7">#REF!</definedName>
    <definedName name="company25">#REF!</definedName>
    <definedName name="company26" localSheetId="7">#REF!</definedName>
    <definedName name="company26">#REF!</definedName>
    <definedName name="company27" localSheetId="7">#REF!</definedName>
    <definedName name="company27">#REF!</definedName>
    <definedName name="company28" localSheetId="7">#REF!</definedName>
    <definedName name="company28">#REF!</definedName>
    <definedName name="company29" localSheetId="7">#REF!</definedName>
    <definedName name="company29">#REF!</definedName>
    <definedName name="company3" localSheetId="1">#REF!</definedName>
    <definedName name="company3" localSheetId="7">#REF!</definedName>
    <definedName name="company3" localSheetId="0">#REF!</definedName>
    <definedName name="Company3">#REF!</definedName>
    <definedName name="company30" localSheetId="7">#REF!</definedName>
    <definedName name="company30">#REF!</definedName>
    <definedName name="company31" localSheetId="7">#REF!</definedName>
    <definedName name="company31">#REF!</definedName>
    <definedName name="company32" localSheetId="7">#REF!</definedName>
    <definedName name="company32">#REF!</definedName>
    <definedName name="company33" localSheetId="7">#REF!</definedName>
    <definedName name="company33">#REF!</definedName>
    <definedName name="company4" localSheetId="7">#REF!</definedName>
    <definedName name="company4">#REF!</definedName>
    <definedName name="company5" localSheetId="7">#REF!</definedName>
    <definedName name="company5">#REF!</definedName>
    <definedName name="company6" localSheetId="7">#REF!</definedName>
    <definedName name="company6">#REF!</definedName>
    <definedName name="company7" localSheetId="7">#REF!</definedName>
    <definedName name="company7">#REF!</definedName>
    <definedName name="company8" localSheetId="7">#REF!</definedName>
    <definedName name="company8">#REF!</definedName>
    <definedName name="company9" localSheetId="7">#REF!</definedName>
    <definedName name="company9">#REF!</definedName>
    <definedName name="companylist" localSheetId="12">OFFSET(#REF!,0,0,COUNTA(#REF!),6)</definedName>
    <definedName name="companylist">OFFSET(#REF!,0,0,COUNTA(#REF!),6)</definedName>
    <definedName name="compltold" localSheetId="7" hidden="1">{#N/A,#N/A,FALSE,"VOLUMES";#N/A,#N/A,FALSE,"REVENUES";#N/A,#N/A,FALSE,"VALUATION"}</definedName>
    <definedName name="compltold" localSheetId="10" hidden="1">{#N/A,#N/A,FALSE,"VOLUMES";#N/A,#N/A,FALSE,"REVENUES";#N/A,#N/A,FALSE,"VALUATION"}</definedName>
    <definedName name="compltold" localSheetId="12" hidden="1">{#N/A,#N/A,FALSE,"VOLUMES";#N/A,#N/A,FALSE,"REVENUES";#N/A,#N/A,FALSE,"VALUATION"}</definedName>
    <definedName name="compltold" hidden="1">{#N/A,#N/A,FALSE,"VOLUMES";#N/A,#N/A,FALSE,"REVENUES";#N/A,#N/A,FALSE,"VALUATION"}</definedName>
    <definedName name="Composite" localSheetId="7">#REF!</definedName>
    <definedName name="Composite" localSheetId="12">#REF!</definedName>
    <definedName name="Composite">#REF!</definedName>
    <definedName name="computers" localSheetId="7">#REF!</definedName>
    <definedName name="computers" localSheetId="10">#REF!</definedName>
    <definedName name="computers">#REF!</definedName>
    <definedName name="Computers_rate">#REF!</definedName>
    <definedName name="con00" localSheetId="1" hidden="1">{#N/A,"Anonymous",FALSE,"30 30k Table";#N/A,#N/A,FALSE,"30 50k Table";#N/A,#N/A,FALSE,"40 100k Table"}</definedName>
    <definedName name="con00" localSheetId="17" hidden="1">{#N/A,"Anonymous",FALSE,"30 30k Table";#N/A,#N/A,FALSE,"30 50k Table";#N/A,#N/A,FALSE,"40 100k Table"}</definedName>
    <definedName name="con00" localSheetId="30" hidden="1">{#N/A,"Anonymous",FALSE,"30 30k Table";#N/A,#N/A,FALSE,"30 50k Table";#N/A,#N/A,FALSE,"40 100k Table"}</definedName>
    <definedName name="con00" localSheetId="31" hidden="1">{#N/A,"Anonymous",FALSE,"30 30k Table";#N/A,#N/A,FALSE,"30 50k Table";#N/A,#N/A,FALSE,"40 100k Table"}</definedName>
    <definedName name="con00" localSheetId="19" hidden="1">{#N/A,"Anonymous",FALSE,"30 30k Table";#N/A,#N/A,FALSE,"30 50k Table";#N/A,#N/A,FALSE,"40 100k Table"}</definedName>
    <definedName name="con00" localSheetId="7" hidden="1">{#N/A,"Anonymous",FALSE,"30 30k Table";#N/A,#N/A,FALSE,"30 50k Table";#N/A,#N/A,FALSE,"40 100k Table"}</definedName>
    <definedName name="con00" localSheetId="0" hidden="1">{#N/A,"Anonymous",FALSE,"30 30k Table";#N/A,#N/A,FALSE,"30 50k Table";#N/A,#N/A,FALSE,"40 100k Table"}</definedName>
    <definedName name="con00" localSheetId="10" hidden="1">{#N/A,"Anonymous",FALSE,"30 30k Table";#N/A,#N/A,FALSE,"30 50k Table";#N/A,#N/A,FALSE,"40 100k Table"}</definedName>
    <definedName name="con00" localSheetId="12" hidden="1">{#N/A,"Anonymous",FALSE,"30 30k Table";#N/A,#N/A,FALSE,"30 50k Table";#N/A,#N/A,FALSE,"40 100k Table"}</definedName>
    <definedName name="con00" localSheetId="9" hidden="1">{#N/A,"Anonymous",FALSE,"30 30k Table";#N/A,#N/A,FALSE,"30 50k Table";#N/A,#N/A,FALSE,"40 100k Table"}</definedName>
    <definedName name="con00" hidden="1">{#N/A,"Anonymous",FALSE,"30 30k Table";#N/A,#N/A,FALSE,"30 50k Table";#N/A,#N/A,FALSE,"40 100k Table"}</definedName>
    <definedName name="conflic40100k" localSheetId="1" hidden="1">{#N/A,"Anonymous",FALSE,"30 30k Table";#N/A,#N/A,FALSE,"30 50k Table";#N/A,#N/A,FALSE,"40 100k Table"}</definedName>
    <definedName name="conflic40100k" localSheetId="17" hidden="1">{#N/A,"Anonymous",FALSE,"30 30k Table";#N/A,#N/A,FALSE,"30 50k Table";#N/A,#N/A,FALSE,"40 100k Table"}</definedName>
    <definedName name="conflic40100k" localSheetId="30" hidden="1">{#N/A,"Anonymous",FALSE,"30 30k Table";#N/A,#N/A,FALSE,"30 50k Table";#N/A,#N/A,FALSE,"40 100k Table"}</definedName>
    <definedName name="conflic40100k" localSheetId="31" hidden="1">{#N/A,"Anonymous",FALSE,"30 30k Table";#N/A,#N/A,FALSE,"30 50k Table";#N/A,#N/A,FALSE,"40 100k Table"}</definedName>
    <definedName name="conflic40100k" localSheetId="19" hidden="1">{#N/A,"Anonymous",FALSE,"30 30k Table";#N/A,#N/A,FALSE,"30 50k Table";#N/A,#N/A,FALSE,"40 100k Table"}</definedName>
    <definedName name="conflic40100k" localSheetId="7" hidden="1">{#N/A,"Anonymous",FALSE,"30 30k Table";#N/A,#N/A,FALSE,"30 50k Table";#N/A,#N/A,FALSE,"40 100k Table"}</definedName>
    <definedName name="conflic40100k" localSheetId="0" hidden="1">{#N/A,"Anonymous",FALSE,"30 30k Table";#N/A,#N/A,FALSE,"30 50k Table";#N/A,#N/A,FALSE,"40 100k Table"}</definedName>
    <definedName name="conflic40100k" localSheetId="10" hidden="1">{#N/A,"Anonymous",FALSE,"30 30k Table";#N/A,#N/A,FALSE,"30 50k Table";#N/A,#N/A,FALSE,"40 100k Table"}</definedName>
    <definedName name="conflic40100k" localSheetId="12" hidden="1">{#N/A,"Anonymous",FALSE,"30 30k Table";#N/A,#N/A,FALSE,"30 50k Table";#N/A,#N/A,FALSE,"40 100k Table"}</definedName>
    <definedName name="conflic40100k" localSheetId="9" hidden="1">{#N/A,"Anonymous",FALSE,"30 30k Table";#N/A,#N/A,FALSE,"30 50k Table";#N/A,#N/A,FALSE,"40 100k Table"}</definedName>
    <definedName name="conflic40100k" hidden="1">{#N/A,"Anonymous",FALSE,"30 30k Table";#N/A,#N/A,FALSE,"30 50k Table";#N/A,#N/A,FALSE,"40 100k Table"}</definedName>
    <definedName name="conflict" localSheetId="1" hidden="1">{#N/A,"Anonymous",FALSE,"30 30k Table";#N/A,#N/A,FALSE,"30 50k Table";#N/A,#N/A,FALSE,"40 100k Table"}</definedName>
    <definedName name="conflict" localSheetId="17" hidden="1">{#N/A,"Anonymous",FALSE,"30 30k Table";#N/A,#N/A,FALSE,"30 50k Table";#N/A,#N/A,FALSE,"40 100k Table"}</definedName>
    <definedName name="conflict" localSheetId="30" hidden="1">{#N/A,"Anonymous",FALSE,"30 30k Table";#N/A,#N/A,FALSE,"30 50k Table";#N/A,#N/A,FALSE,"40 100k Table"}</definedName>
    <definedName name="conflict" localSheetId="31" hidden="1">{#N/A,"Anonymous",FALSE,"30 30k Table";#N/A,#N/A,FALSE,"30 50k Table";#N/A,#N/A,FALSE,"40 100k Table"}</definedName>
    <definedName name="conflict" localSheetId="19" hidden="1">{#N/A,"Anonymous",FALSE,"30 30k Table";#N/A,#N/A,FALSE,"30 50k Table";#N/A,#N/A,FALSE,"40 100k Table"}</definedName>
    <definedName name="conflict" localSheetId="7" hidden="1">{#N/A,"Anonymous",FALSE,"30 30k Table";#N/A,#N/A,FALSE,"30 50k Table";#N/A,#N/A,FALSE,"40 100k Table"}</definedName>
    <definedName name="conflict" localSheetId="0" hidden="1">{#N/A,"Anonymous",FALSE,"30 30k Table";#N/A,#N/A,FALSE,"30 50k Table";#N/A,#N/A,FALSE,"40 100k Table"}</definedName>
    <definedName name="conflict" localSheetId="10" hidden="1">{#N/A,"Anonymous",FALSE,"30 30k Table";#N/A,#N/A,FALSE,"30 50k Table";#N/A,#N/A,FALSE,"40 100k Table"}</definedName>
    <definedName name="conflict" localSheetId="12" hidden="1">{#N/A,"Anonymous",FALSE,"30 30k Table";#N/A,#N/A,FALSE,"30 50k Table";#N/A,#N/A,FALSE,"40 100k Table"}</definedName>
    <definedName name="conflict" localSheetId="9" hidden="1">{#N/A,"Anonymous",FALSE,"30 30k Table";#N/A,#N/A,FALSE,"30 50k Table";#N/A,#N/A,FALSE,"40 100k Table"}</definedName>
    <definedName name="conflict" hidden="1">{#N/A,"Anonymous",FALSE,"30 30k Table";#N/A,#N/A,FALSE,"30 50k Table";#N/A,#N/A,FALSE,"40 100k Table"}</definedName>
    <definedName name="conflict3" localSheetId="1" hidden="1">{#N/A,"Anonymous",FALSE,"30 30k Table";#N/A,#N/A,FALSE,"30 50k Table";#N/A,#N/A,FALSE,"40 100k Table"}</definedName>
    <definedName name="conflict3" localSheetId="17" hidden="1">{#N/A,"Anonymous",FALSE,"30 30k Table";#N/A,#N/A,FALSE,"30 50k Table";#N/A,#N/A,FALSE,"40 100k Table"}</definedName>
    <definedName name="conflict3" localSheetId="30" hidden="1">{#N/A,"Anonymous",FALSE,"30 30k Table";#N/A,#N/A,FALSE,"30 50k Table";#N/A,#N/A,FALSE,"40 100k Table"}</definedName>
    <definedName name="conflict3" localSheetId="31" hidden="1">{#N/A,"Anonymous",FALSE,"30 30k Table";#N/A,#N/A,FALSE,"30 50k Table";#N/A,#N/A,FALSE,"40 100k Table"}</definedName>
    <definedName name="conflict3" localSheetId="19" hidden="1">{#N/A,"Anonymous",FALSE,"30 30k Table";#N/A,#N/A,FALSE,"30 50k Table";#N/A,#N/A,FALSE,"40 100k Table"}</definedName>
    <definedName name="conflict3" localSheetId="7" hidden="1">{#N/A,"Anonymous",FALSE,"30 30k Table";#N/A,#N/A,FALSE,"30 50k Table";#N/A,#N/A,FALSE,"40 100k Table"}</definedName>
    <definedName name="conflict3" localSheetId="0" hidden="1">{#N/A,"Anonymous",FALSE,"30 30k Table";#N/A,#N/A,FALSE,"30 50k Table";#N/A,#N/A,FALSE,"40 100k Table"}</definedName>
    <definedName name="conflict3" localSheetId="10" hidden="1">{#N/A,"Anonymous",FALSE,"30 30k Table";#N/A,#N/A,FALSE,"30 50k Table";#N/A,#N/A,FALSE,"40 100k Table"}</definedName>
    <definedName name="conflict3" localSheetId="12" hidden="1">{#N/A,"Anonymous",FALSE,"30 30k Table";#N/A,#N/A,FALSE,"30 50k Table";#N/A,#N/A,FALSE,"40 100k Table"}</definedName>
    <definedName name="conflict3" localSheetId="9" hidden="1">{#N/A,"Anonymous",FALSE,"30 30k Table";#N/A,#N/A,FALSE,"30 50k Table";#N/A,#N/A,FALSE,"40 100k Table"}</definedName>
    <definedName name="conflict3" hidden="1">{#N/A,"Anonymous",FALSE,"30 30k Table";#N/A,#N/A,FALSE,"30 50k Table";#N/A,#N/A,FALSE,"40 100k Table"}</definedName>
    <definedName name="conflict40100k" localSheetId="1" hidden="1">{#N/A,"Anonymous",FALSE,"30 30k Table";#N/A,#N/A,FALSE,"30 50k Table";#N/A,#N/A,FALSE,"40 100k Table"}</definedName>
    <definedName name="conflict40100k" localSheetId="17" hidden="1">{#N/A,"Anonymous",FALSE,"30 30k Table";#N/A,#N/A,FALSE,"30 50k Table";#N/A,#N/A,FALSE,"40 100k Table"}</definedName>
    <definedName name="conflict40100k" localSheetId="30" hidden="1">{#N/A,"Anonymous",FALSE,"30 30k Table";#N/A,#N/A,FALSE,"30 50k Table";#N/A,#N/A,FALSE,"40 100k Table"}</definedName>
    <definedName name="conflict40100k" localSheetId="31" hidden="1">{#N/A,"Anonymous",FALSE,"30 30k Table";#N/A,#N/A,FALSE,"30 50k Table";#N/A,#N/A,FALSE,"40 100k Table"}</definedName>
    <definedName name="conflict40100k" localSheetId="19" hidden="1">{#N/A,"Anonymous",FALSE,"30 30k Table";#N/A,#N/A,FALSE,"30 50k Table";#N/A,#N/A,FALSE,"40 100k Table"}</definedName>
    <definedName name="conflict40100k" localSheetId="7" hidden="1">{#N/A,"Anonymous",FALSE,"30 30k Table";#N/A,#N/A,FALSE,"30 50k Table";#N/A,#N/A,FALSE,"40 100k Table"}</definedName>
    <definedName name="conflict40100k" localSheetId="0" hidden="1">{#N/A,"Anonymous",FALSE,"30 30k Table";#N/A,#N/A,FALSE,"30 50k Table";#N/A,#N/A,FALSE,"40 100k Table"}</definedName>
    <definedName name="conflict40100k" localSheetId="10" hidden="1">{#N/A,"Anonymous",FALSE,"30 30k Table";#N/A,#N/A,FALSE,"30 50k Table";#N/A,#N/A,FALSE,"40 100k Table"}</definedName>
    <definedName name="conflict40100k" localSheetId="12" hidden="1">{#N/A,"Anonymous",FALSE,"30 30k Table";#N/A,#N/A,FALSE,"30 50k Table";#N/A,#N/A,FALSE,"40 100k Table"}</definedName>
    <definedName name="conflict40100k" localSheetId="9" hidden="1">{#N/A,"Anonymous",FALSE,"30 30k Table";#N/A,#N/A,FALSE,"30 50k Table";#N/A,#N/A,FALSE,"40 100k Table"}</definedName>
    <definedName name="conflict40100k" hidden="1">{#N/A,"Anonymous",FALSE,"30 30k Table";#N/A,#N/A,FALSE,"30 50k Table";#N/A,#N/A,FALSE,"40 100k Table"}</definedName>
    <definedName name="conflict404050k" localSheetId="1" hidden="1">{#N/A,"Anonymous",FALSE,"30 30k Table";#N/A,#N/A,FALSE,"30 50k Table";#N/A,#N/A,FALSE,"40 100k Table"}</definedName>
    <definedName name="conflict404050k" localSheetId="17" hidden="1">{#N/A,"Anonymous",FALSE,"30 30k Table";#N/A,#N/A,FALSE,"30 50k Table";#N/A,#N/A,FALSE,"40 100k Table"}</definedName>
    <definedName name="conflict404050k" localSheetId="30" hidden="1">{#N/A,"Anonymous",FALSE,"30 30k Table";#N/A,#N/A,FALSE,"30 50k Table";#N/A,#N/A,FALSE,"40 100k Table"}</definedName>
    <definedName name="conflict404050k" localSheetId="31" hidden="1">{#N/A,"Anonymous",FALSE,"30 30k Table";#N/A,#N/A,FALSE,"30 50k Table";#N/A,#N/A,FALSE,"40 100k Table"}</definedName>
    <definedName name="conflict404050k" localSheetId="19" hidden="1">{#N/A,"Anonymous",FALSE,"30 30k Table";#N/A,#N/A,FALSE,"30 50k Table";#N/A,#N/A,FALSE,"40 100k Table"}</definedName>
    <definedName name="conflict404050k" localSheetId="7" hidden="1">{#N/A,"Anonymous",FALSE,"30 30k Table";#N/A,#N/A,FALSE,"30 50k Table";#N/A,#N/A,FALSE,"40 100k Table"}</definedName>
    <definedName name="conflict404050k" localSheetId="0" hidden="1">{#N/A,"Anonymous",FALSE,"30 30k Table";#N/A,#N/A,FALSE,"30 50k Table";#N/A,#N/A,FALSE,"40 100k Table"}</definedName>
    <definedName name="conflict404050k" localSheetId="10" hidden="1">{#N/A,"Anonymous",FALSE,"30 30k Table";#N/A,#N/A,FALSE,"30 50k Table";#N/A,#N/A,FALSE,"40 100k Table"}</definedName>
    <definedName name="conflict404050k" localSheetId="12" hidden="1">{#N/A,"Anonymous",FALSE,"30 30k Table";#N/A,#N/A,FALSE,"30 50k Table";#N/A,#N/A,FALSE,"40 100k Table"}</definedName>
    <definedName name="conflict404050k" localSheetId="9" hidden="1">{#N/A,"Anonymous",FALSE,"30 30k Table";#N/A,#N/A,FALSE,"30 50k Table";#N/A,#N/A,FALSE,"40 100k Table"}</definedName>
    <definedName name="conflict404050k" hidden="1">{#N/A,"Anonymous",FALSE,"30 30k Table";#N/A,#N/A,FALSE,"30 50k Table";#N/A,#N/A,FALSE,"40 100k Table"}</definedName>
    <definedName name="conflict4050k" localSheetId="1" hidden="1">{#N/A,"Anonymous",FALSE,"30 30k Table";#N/A,#N/A,FALSE,"30 50k Table";#N/A,#N/A,FALSE,"40 100k Table"}</definedName>
    <definedName name="conflict4050k" localSheetId="17" hidden="1">{#N/A,"Anonymous",FALSE,"30 30k Table";#N/A,#N/A,FALSE,"30 50k Table";#N/A,#N/A,FALSE,"40 100k Table"}</definedName>
    <definedName name="conflict4050k" localSheetId="30" hidden="1">{#N/A,"Anonymous",FALSE,"30 30k Table";#N/A,#N/A,FALSE,"30 50k Table";#N/A,#N/A,FALSE,"40 100k Table"}</definedName>
    <definedName name="conflict4050k" localSheetId="31" hidden="1">{#N/A,"Anonymous",FALSE,"30 30k Table";#N/A,#N/A,FALSE,"30 50k Table";#N/A,#N/A,FALSE,"40 100k Table"}</definedName>
    <definedName name="conflict4050k" localSheetId="19" hidden="1">{#N/A,"Anonymous",FALSE,"30 30k Table";#N/A,#N/A,FALSE,"30 50k Table";#N/A,#N/A,FALSE,"40 100k Table"}</definedName>
    <definedName name="conflict4050k" localSheetId="7" hidden="1">{#N/A,"Anonymous",FALSE,"30 30k Table";#N/A,#N/A,FALSE,"30 50k Table";#N/A,#N/A,FALSE,"40 100k Table"}</definedName>
    <definedName name="conflict4050k" localSheetId="0" hidden="1">{#N/A,"Anonymous",FALSE,"30 30k Table";#N/A,#N/A,FALSE,"30 50k Table";#N/A,#N/A,FALSE,"40 100k Table"}</definedName>
    <definedName name="conflict4050k" localSheetId="10" hidden="1">{#N/A,"Anonymous",FALSE,"30 30k Table";#N/A,#N/A,FALSE,"30 50k Table";#N/A,#N/A,FALSE,"40 100k Table"}</definedName>
    <definedName name="conflict4050k" localSheetId="12" hidden="1">{#N/A,"Anonymous",FALSE,"30 30k Table";#N/A,#N/A,FALSE,"30 50k Table";#N/A,#N/A,FALSE,"40 100k Table"}</definedName>
    <definedName name="conflict4050k" localSheetId="9" hidden="1">{#N/A,"Anonymous",FALSE,"30 30k Table";#N/A,#N/A,FALSE,"30 50k Table";#N/A,#N/A,FALSE,"40 100k Table"}</definedName>
    <definedName name="conflict4050k" hidden="1">{#N/A,"Anonymous",FALSE,"30 30k Table";#N/A,#N/A,FALSE,"30 50k Table";#N/A,#N/A,FALSE,"40 100k Table"}</definedName>
    <definedName name="conflict4050kkk" localSheetId="1" hidden="1">{#N/A,"Anonymous",FALSE,"30 30k Table";#N/A,#N/A,FALSE,"30 50k Table";#N/A,#N/A,FALSE,"40 100k Table"}</definedName>
    <definedName name="conflict4050kkk" localSheetId="17" hidden="1">{#N/A,"Anonymous",FALSE,"30 30k Table";#N/A,#N/A,FALSE,"30 50k Table";#N/A,#N/A,FALSE,"40 100k Table"}</definedName>
    <definedName name="conflict4050kkk" localSheetId="30" hidden="1">{#N/A,"Anonymous",FALSE,"30 30k Table";#N/A,#N/A,FALSE,"30 50k Table";#N/A,#N/A,FALSE,"40 100k Table"}</definedName>
    <definedName name="conflict4050kkk" localSheetId="31" hidden="1">{#N/A,"Anonymous",FALSE,"30 30k Table";#N/A,#N/A,FALSE,"30 50k Table";#N/A,#N/A,FALSE,"40 100k Table"}</definedName>
    <definedName name="conflict4050kkk" localSheetId="19" hidden="1">{#N/A,"Anonymous",FALSE,"30 30k Table";#N/A,#N/A,FALSE,"30 50k Table";#N/A,#N/A,FALSE,"40 100k Table"}</definedName>
    <definedName name="conflict4050kkk" localSheetId="7" hidden="1">{#N/A,"Anonymous",FALSE,"30 30k Table";#N/A,#N/A,FALSE,"30 50k Table";#N/A,#N/A,FALSE,"40 100k Table"}</definedName>
    <definedName name="conflict4050kkk" localSheetId="0" hidden="1">{#N/A,"Anonymous",FALSE,"30 30k Table";#N/A,#N/A,FALSE,"30 50k Table";#N/A,#N/A,FALSE,"40 100k Table"}</definedName>
    <definedName name="conflict4050kkk" localSheetId="10" hidden="1">{#N/A,"Anonymous",FALSE,"30 30k Table";#N/A,#N/A,FALSE,"30 50k Table";#N/A,#N/A,FALSE,"40 100k Table"}</definedName>
    <definedName name="conflict4050kkk" localSheetId="12" hidden="1">{#N/A,"Anonymous",FALSE,"30 30k Table";#N/A,#N/A,FALSE,"30 50k Table";#N/A,#N/A,FALSE,"40 100k Table"}</definedName>
    <definedName name="conflict4050kkk" localSheetId="9" hidden="1">{#N/A,"Anonymous",FALSE,"30 30k Table";#N/A,#N/A,FALSE,"30 50k Table";#N/A,#N/A,FALSE,"40 100k Table"}</definedName>
    <definedName name="conflict4050kkk" hidden="1">{#N/A,"Anonymous",FALSE,"30 30k Table";#N/A,#N/A,FALSE,"30 50k Table";#N/A,#N/A,FALSE,"40 100k Table"}</definedName>
    <definedName name="conflt40100k" localSheetId="1" hidden="1">{#N/A,"Anonymous",FALSE,"30 30k Table";#N/A,#N/A,FALSE,"30 50k Table";#N/A,#N/A,FALSE,"40 100k Table"}</definedName>
    <definedName name="conflt40100k" localSheetId="17" hidden="1">{#N/A,"Anonymous",FALSE,"30 30k Table";#N/A,#N/A,FALSE,"30 50k Table";#N/A,#N/A,FALSE,"40 100k Table"}</definedName>
    <definedName name="conflt40100k" localSheetId="30" hidden="1">{#N/A,"Anonymous",FALSE,"30 30k Table";#N/A,#N/A,FALSE,"30 50k Table";#N/A,#N/A,FALSE,"40 100k Table"}</definedName>
    <definedName name="conflt40100k" localSheetId="31" hidden="1">{#N/A,"Anonymous",FALSE,"30 30k Table";#N/A,#N/A,FALSE,"30 50k Table";#N/A,#N/A,FALSE,"40 100k Table"}</definedName>
    <definedName name="conflt40100k" localSheetId="19" hidden="1">{#N/A,"Anonymous",FALSE,"30 30k Table";#N/A,#N/A,FALSE,"30 50k Table";#N/A,#N/A,FALSE,"40 100k Table"}</definedName>
    <definedName name="conflt40100k" localSheetId="7" hidden="1">{#N/A,"Anonymous",FALSE,"30 30k Table";#N/A,#N/A,FALSE,"30 50k Table";#N/A,#N/A,FALSE,"40 100k Table"}</definedName>
    <definedName name="conflt40100k" localSheetId="0" hidden="1">{#N/A,"Anonymous",FALSE,"30 30k Table";#N/A,#N/A,FALSE,"30 50k Table";#N/A,#N/A,FALSE,"40 100k Table"}</definedName>
    <definedName name="conflt40100k" localSheetId="10" hidden="1">{#N/A,"Anonymous",FALSE,"30 30k Table";#N/A,#N/A,FALSE,"30 50k Table";#N/A,#N/A,FALSE,"40 100k Table"}</definedName>
    <definedName name="conflt40100k" localSheetId="12" hidden="1">{#N/A,"Anonymous",FALSE,"30 30k Table";#N/A,#N/A,FALSE,"30 50k Table";#N/A,#N/A,FALSE,"40 100k Table"}</definedName>
    <definedName name="conflt40100k" localSheetId="9" hidden="1">{#N/A,"Anonymous",FALSE,"30 30k Table";#N/A,#N/A,FALSE,"30 50k Table";#N/A,#N/A,FALSE,"40 100k Table"}</definedName>
    <definedName name="conflt40100k" hidden="1">{#N/A,"Anonymous",FALSE,"30 30k Table";#N/A,#N/A,FALSE,"30 50k Table";#N/A,#N/A,FALSE,"40 100k Table"}</definedName>
    <definedName name="Consolid" localSheetId="1"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30" hidden="1">{#N/A,#N/A,FALSE,"O&amp;M by processes";#N/A,#N/A,FALSE,"Elec Act vs Bud";#N/A,#N/A,FALSE,"G&amp;A";#N/A,#N/A,FALSE,"BGS";#N/A,#N/A,FALSE,"Res Cost"}</definedName>
    <definedName name="Consolid" localSheetId="31"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7" hidden="1">{#N/A,#N/A,FALSE,"O&amp;M by processes";#N/A,#N/A,FALSE,"Elec Act vs Bud";#N/A,#N/A,FALSE,"G&amp;A";#N/A,#N/A,FALSE,"BGS";#N/A,#N/A,FALSE,"Res Cost"}</definedName>
    <definedName name="Consolid" localSheetId="0" hidden="1">{#N/A,#N/A,FALSE,"O&amp;M by processes";#N/A,#N/A,FALSE,"Elec Act vs Bud";#N/A,#N/A,FALSE,"G&amp;A";#N/A,#N/A,FALSE,"BGS";#N/A,#N/A,FALSE,"Res Cost"}</definedName>
    <definedName name="Consolid" localSheetId="10" hidden="1">{#N/A,#N/A,FALSE,"O&amp;M by processes";#N/A,#N/A,FALSE,"Elec Act vs Bud";#N/A,#N/A,FALSE,"G&amp;A";#N/A,#N/A,FALSE,"BGS";#N/A,#N/A,FALSE,"Res Cost"}</definedName>
    <definedName name="Consolid" localSheetId="12"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1"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30" hidden="1">{#N/A,#N/A,FALSE,"O&amp;M by processes";#N/A,#N/A,FALSE,"Elec Act vs Bud";#N/A,#N/A,FALSE,"G&amp;A";#N/A,#N/A,FALSE,"BGS";#N/A,#N/A,FALSE,"Res Cost"}</definedName>
    <definedName name="Consolidated" localSheetId="31"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0" hidden="1">{#N/A,#N/A,FALSE,"O&amp;M by processes";#N/A,#N/A,FALSE,"Elec Act vs Bud";#N/A,#N/A,FALSE,"G&amp;A";#N/A,#N/A,FALSE,"BGS";#N/A,#N/A,FALSE,"Res Cost"}</definedName>
    <definedName name="Consolidated" localSheetId="10" hidden="1">{#N/A,#N/A,FALSE,"O&amp;M by processes";#N/A,#N/A,FALSE,"Elec Act vs Bud";#N/A,#N/A,FALSE,"G&amp;A";#N/A,#N/A,FALSE,"BGS";#N/A,#N/A,FALSE,"Res Cost"}</definedName>
    <definedName name="Consolidated" localSheetId="12"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hidden="1">{#N/A,#N/A,FALSE,"O&amp;M by processes";#N/A,#N/A,FALSE,"Elec Act vs Bud";#N/A,#N/A,FALSE,"G&amp;A";#N/A,#N/A,FALSE,"BGS";#N/A,#N/A,FALSE,"Res Cost"}</definedName>
    <definedName name="corrh">#REF!</definedName>
    <definedName name="corrl">#REF!</definedName>
    <definedName name="Cortez" localSheetId="12">#REF!</definedName>
    <definedName name="Cortez">#REF!</definedName>
    <definedName name="COST">#REF!</definedName>
    <definedName name="COUNTCELL">#REF!</definedName>
    <definedName name="CountryCode">"OFFSET($B$1,0,0,COUNT($B:$B),1)"</definedName>
    <definedName name="cover" localSheetId="31" hidden="1">#REF!</definedName>
    <definedName name="cover" localSheetId="7" hidden="1">#REF!</definedName>
    <definedName name="cover" localSheetId="9" hidden="1">#REF!</definedName>
    <definedName name="cover" hidden="1">#REF!</definedName>
    <definedName name="CPI">#REF!</definedName>
    <definedName name="csadj">#REF!</definedName>
    <definedName name="cscomp">#REF!</definedName>
    <definedName name="csDesignMode">1</definedName>
    <definedName name="CSI.CE" localSheetId="10">#REF!</definedName>
    <definedName name="CSI.CE">#REF!</definedName>
    <definedName name="CurrAnnual2">#REF!</definedName>
    <definedName name="CustomerDeposits">#REF!</definedName>
    <definedName name="customerinput" localSheetId="7">#REF!</definedName>
    <definedName name="customerinput">#REF!</definedName>
    <definedName name="customers">#REF!</definedName>
    <definedName name="cvdsza" localSheetId="1" hidden="1">#REF!</definedName>
    <definedName name="cvdsza" localSheetId="17" hidden="1">#REF!</definedName>
    <definedName name="cvdsza" localSheetId="31" hidden="1">#REF!</definedName>
    <definedName name="cvdsza" localSheetId="7" hidden="1">#REF!</definedName>
    <definedName name="cvdsza" localSheetId="9" hidden="1">#REF!</definedName>
    <definedName name="cvdsza" hidden="1">#REF!</definedName>
    <definedName name="CWIP"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3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 localSheetId="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#REF!</definedName>
    <definedName name="CWI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3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S.CE" localSheetId="10">#REF!</definedName>
    <definedName name="CWS.CE">#REF!</definedName>
    <definedName name="cws_customers">#REF!</definedName>
    <definedName name="Cwvu.GREY_ALL." localSheetId="7" hidden="1">#REF!</definedName>
    <definedName name="Cwvu.GREY_ALL." localSheetId="10" hidden="1">#REF!</definedName>
    <definedName name="Cwvu.GREY_ALL." hidden="1">#REF!</definedName>
    <definedName name="d" localSheetId="1" hidden="1">#REF!</definedName>
    <definedName name="d" localSheetId="30" hidden="1">#REF!</definedName>
    <definedName name="d" localSheetId="31" hidden="1">#REF!</definedName>
    <definedName name="d" localSheetId="7" hidden="1">#REF!</definedName>
    <definedName name="d" localSheetId="0" hidden="1">#REF!</definedName>
    <definedName name="d" localSheetId="10" hidden="1">{#N/A,#N/A,FALSE,"Valuation";#N/A,#N/A,FALSE,"Financial Statements";#N/A,#N/A,FALSE,"MLP Impact";#N/A,#N/A,FALSE,"Inputs";#N/A,#N/A,FALSE,"Contracts";#N/A,#N/A,FALSE,"Financing";#N/A,#N/A,FALSE,"Depreciation";#N/A,#N/A,FALSE,"Income Taxes";#N/A,#N/A,FALSE,"Revenues"}</definedName>
    <definedName name="d" localSheetId="12" hidden="1">{#N/A,#N/A,FALSE,"Valuation";#N/A,#N/A,FALSE,"Financial Statements";#N/A,#N/A,FALSE,"MLP Impact";#N/A,#N/A,FALSE,"Inputs";#N/A,#N/A,FALSE,"Contracts";#N/A,#N/A,FALSE,"Financing";#N/A,#N/A,FALSE,"Depreciation";#N/A,#N/A,FALSE,"Income Taxes";#N/A,#N/A,FALSE,"Revenues"}</definedName>
    <definedName name="d" localSheetId="9" hidden="1">#REF!</definedName>
    <definedName name="d" hidden="1">{#N/A,#N/A,FALSE,"Valuation";#N/A,#N/A,FALSE,"Financial Statements";#N/A,#N/A,FALSE,"MLP Impact";#N/A,#N/A,FALSE,"Inputs";#N/A,#N/A,FALSE,"Contracts";#N/A,#N/A,FALSE,"Financing";#N/A,#N/A,FALSE,"Depreciation";#N/A,#N/A,FALSE,"Income Taxes";#N/A,#N/A,FALSE,"Revenues"}</definedName>
    <definedName name="da" localSheetId="1"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30" hidden="1">{#N/A,#N/A,FALSE,"O&amp;M by processes";#N/A,#N/A,FALSE,"Elec Act vs Bud";#N/A,#N/A,FALSE,"G&amp;A";#N/A,#N/A,FALSE,"BGS";#N/A,#N/A,FALSE,"Res Cost"}</definedName>
    <definedName name="da" localSheetId="31"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7" hidden="1">{#N/A,#N/A,FALSE,"O&amp;M by processes";#N/A,#N/A,FALSE,"Elec Act vs Bud";#N/A,#N/A,FALSE,"G&amp;A";#N/A,#N/A,FALSE,"BGS";#N/A,#N/A,FALSE,"Res Cost"}</definedName>
    <definedName name="da" localSheetId="0" hidden="1">{#N/A,#N/A,FALSE,"O&amp;M by processes";#N/A,#N/A,FALSE,"Elec Act vs Bud";#N/A,#N/A,FALSE,"G&amp;A";#N/A,#N/A,FALSE,"BGS";#N/A,#N/A,FALSE,"Res Cost"}</definedName>
    <definedName name="da" localSheetId="10" hidden="1">{#N/A,#N/A,FALSE,"O&amp;M by processes";#N/A,#N/A,FALSE,"Elec Act vs Bud";#N/A,#N/A,FALSE,"G&amp;A";#N/A,#N/A,FALSE,"BGS";#N/A,#N/A,FALSE,"Res Cost"}</definedName>
    <definedName name="da" localSheetId="12" hidden="1">{#N/A,#N/A,FALSE,"O&amp;M by processes";#N/A,#N/A,FALSE,"Elec Act vs Bud";#N/A,#N/A,FALSE,"G&amp;A";#N/A,#N/A,FALSE,"BGS";#N/A,#N/A,FALSE,"Res Cost"}</definedName>
    <definedName name="da" localSheetId="9" hidden="1">{#N/A,#N/A,FALSE,"O&amp;M by processes";#N/A,#N/A,FALSE,"Elec Act vs Bud";#N/A,#N/A,FALSE,"G&amp;A";#N/A,#N/A,FALSE,"BGS";#N/A,#N/A,FALSE,"Res Cost"}</definedName>
    <definedName name="da" hidden="1">{#N/A,#N/A,FALSE,"O&amp;M by processes";#N/A,#N/A,FALSE,"Elec Act vs Bud";#N/A,#N/A,FALSE,"G&amp;A";#N/A,#N/A,FALSE,"BGS";#N/A,#N/A,FALSE,"Res Cost"}</definedName>
    <definedName name="da3a" localSheetId="1" hidden="1">#REF!</definedName>
    <definedName name="da3a" localSheetId="17" hidden="1">#REF!</definedName>
    <definedName name="da3a" localSheetId="30" hidden="1">#REF!</definedName>
    <definedName name="da3a" localSheetId="31" hidden="1">#REF!</definedName>
    <definedName name="da3a" localSheetId="7" hidden="1">#REF!</definedName>
    <definedName name="da3a" localSheetId="9" hidden="1">#REF!</definedName>
    <definedName name="da3a" hidden="1">#REF!</definedName>
    <definedName name="dada" localSheetId="1"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30" hidden="1">{#N/A,#N/A,FALSE,"O&amp;M by processes";#N/A,#N/A,FALSE,"Elec Act vs Bud";#N/A,#N/A,FALSE,"G&amp;A";#N/A,#N/A,FALSE,"BGS";#N/A,#N/A,FALSE,"Res Cost"}</definedName>
    <definedName name="dada" localSheetId="31"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0" hidden="1">{#N/A,#N/A,FALSE,"O&amp;M by processes";#N/A,#N/A,FALSE,"Elec Act vs Bud";#N/A,#N/A,FALSE,"G&amp;A";#N/A,#N/A,FALSE,"BGS";#N/A,#N/A,FALSE,"Res Cost"}</definedName>
    <definedName name="dada" localSheetId="10" hidden="1">{#N/A,#N/A,FALSE,"O&amp;M by processes";#N/A,#N/A,FALSE,"Elec Act vs Bud";#N/A,#N/A,FALSE,"G&amp;A";#N/A,#N/A,FALSE,"BGS";#N/A,#N/A,FALSE,"Res Cost"}</definedName>
    <definedName name="dada" localSheetId="12"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hidden="1">{#N/A,#N/A,FALSE,"O&amp;M by processes";#N/A,#N/A,FALSE,"Elec Act vs Bud";#N/A,#N/A,FALSE,"G&amp;A";#N/A,#N/A,FALSE,"BGS";#N/A,#N/A,FALSE,"Res Cost"}</definedName>
    <definedName name="dadffadfa" localSheetId="19" hidden="1">#REF!</definedName>
    <definedName name="dadffadfa" hidden="1">#REF!</definedName>
    <definedName name="dafasd" localSheetId="7" hidden="1">{"EM",#N/A,FALSE,"EM";"EM_Quarterly",#N/A,FALSE,"EM";"BS",#N/A,FALSE,"BS";"CF",#N/A,FALSE,"CF"}</definedName>
    <definedName name="dafasd" localSheetId="10" hidden="1">{"EM",#N/A,FALSE,"EM";"EM_Quarterly",#N/A,FALSE,"EM";"BS",#N/A,FALSE,"BS";"CF",#N/A,FALSE,"CF"}</definedName>
    <definedName name="dafasd" localSheetId="12" hidden="1">{"EM",#N/A,FALSE,"EM";"EM_Quarterly",#N/A,FALSE,"EM";"BS",#N/A,FALSE,"BS";"CF",#N/A,FALSE,"CF"}</definedName>
    <definedName name="dafasd" hidden="1">{"EM",#N/A,FALSE,"EM";"EM_Quarterly",#N/A,FALSE,"EM";"BS",#N/A,FALSE,"BS";"CF",#N/A,FALSE,"CF"}</definedName>
    <definedName name="Data" localSheetId="12">#REF!</definedName>
    <definedName name="Data">#REF!</definedName>
    <definedName name="DATA_01" localSheetId="10" hidden="1">#REF!</definedName>
    <definedName name="DATA_01" localSheetId="12" hidden="1">#REF!</definedName>
    <definedName name="DATA_01" hidden="1">#REF!</definedName>
    <definedName name="DATA_02" localSheetId="10" hidden="1">#REF!</definedName>
    <definedName name="DATA_02" hidden="1">#REF!</definedName>
    <definedName name="DATA_03" localSheetId="10" hidden="1">#REF!</definedName>
    <definedName name="DATA_03" hidden="1">#REF!</definedName>
    <definedName name="DATA_04" localSheetId="10" hidden="1">#REF!</definedName>
    <definedName name="DATA_04" hidden="1">#REF!</definedName>
    <definedName name="DATA_05" localSheetId="10" hidden="1">#REF!</definedName>
    <definedName name="DATA_05" hidden="1">#REF!</definedName>
    <definedName name="DATA_06" localSheetId="10" hidden="1">#REF!</definedName>
    <definedName name="DATA_06" hidden="1">#REF!</definedName>
    <definedName name="DATA_07" localSheetId="10" hidden="1">#REF!</definedName>
    <definedName name="DATA_07" hidden="1">#REF!</definedName>
    <definedName name="DATA_08" localSheetId="10" hidden="1">#REF!</definedName>
    <definedName name="DATA_08" hidden="1">#REF!</definedName>
    <definedName name="_xlnm.Database">#REF!</definedName>
    <definedName name="dataset">#REF!</definedName>
    <definedName name="DATE" localSheetId="1">#REF!</definedName>
    <definedName name="DATE" localSheetId="7">#REF!</definedName>
    <definedName name="DATE" localSheetId="0">#REF!</definedName>
    <definedName name="Date">#REF!</definedName>
    <definedName name="Date2">#REF!</definedName>
    <definedName name="days_in_year" localSheetId="7">#REF!</definedName>
    <definedName name="days_in_year" localSheetId="10">#REF!</definedName>
    <definedName name="days_in_year">#REF!</definedName>
    <definedName name="db" localSheetId="30" hidden="1">#REF!</definedName>
    <definedName name="db" localSheetId="31" hidden="1">#REF!</definedName>
    <definedName name="db" localSheetId="7" hidden="1">#REF!</definedName>
    <definedName name="db" localSheetId="9" hidden="1">#REF!</definedName>
    <definedName name="db" hidden="1">#REF!</definedName>
    <definedName name="dd" localSheetId="1" hidden="1">{"Print_Detail",#N/A,FALSE,"Redemption_Maturity Extract"}</definedName>
    <definedName name="dd" localSheetId="17" hidden="1">{"Print_Detail",#N/A,FALSE,"Redemption_Maturity Extract"}</definedName>
    <definedName name="dd" localSheetId="30" hidden="1">{"Print_Detail",#N/A,FALSE,"Redemption_Maturity Extract"}</definedName>
    <definedName name="dd" localSheetId="31" hidden="1">{"Print_Detail",#N/A,FALSE,"Redemption_Maturity Extract"}</definedName>
    <definedName name="dd" localSheetId="19" hidden="1">{"Print_Detail",#N/A,FALSE,"Redemption_Maturity Extract"}</definedName>
    <definedName name="dd" localSheetId="7" hidden="1">{"Print_Detail",#N/A,FALSE,"Redemption_Maturity Extract"}</definedName>
    <definedName name="dd" localSheetId="0" hidden="1">{"Print_Detail",#N/A,FALSE,"Redemption_Maturity Extract"}</definedName>
    <definedName name="dd" localSheetId="10" hidden="1">{"Print_Detail",#N/A,FALSE,"Redemption_Maturity Extract"}</definedName>
    <definedName name="dd" localSheetId="12" hidden="1">{"Print_Detail",#N/A,FALSE,"Redemption_Maturity Extract"}</definedName>
    <definedName name="dd" localSheetId="9" hidden="1">{"Print_Detail",#N/A,FALSE,"Redemption_Maturity Extract"}</definedName>
    <definedName name="dd" hidden="1">{"Print_Detail",#N/A,FALSE,"Redemption_Maturity Extract"}</definedName>
    <definedName name="ddd" localSheetId="1" hidden="1">{"Full",#N/A,FALSE,"Sec MTN B Summary"}</definedName>
    <definedName name="ddd" localSheetId="17" hidden="1">{"Full",#N/A,FALSE,"Sec MTN B Summary"}</definedName>
    <definedName name="ddd" localSheetId="30" hidden="1">{"Full",#N/A,FALSE,"Sec MTN B Summary"}</definedName>
    <definedName name="ddd" localSheetId="31" hidden="1">{"Full",#N/A,FALSE,"Sec MTN B Summary"}</definedName>
    <definedName name="ddd" localSheetId="19" hidden="1">{"Full",#N/A,FALSE,"Sec MTN B Summary"}</definedName>
    <definedName name="ddd" localSheetId="7" hidden="1">{"Full",#N/A,FALSE,"Sec MTN B Summary"}</definedName>
    <definedName name="ddd" localSheetId="0" hidden="1">{"Full",#N/A,FALSE,"Sec MTN B Summary"}</definedName>
    <definedName name="ddd" localSheetId="10" hidden="1">{"EM",#N/A,FALSE,"EM";"EM_Quarterly",#N/A,FALSE,"EM";"BS",#N/A,FALSE,"BS";"CF",#N/A,FALSE,"CF"}</definedName>
    <definedName name="ddd" localSheetId="12" hidden="1">{"EM",#N/A,FALSE,"EM";"EM_Quarterly",#N/A,FALSE,"EM";"BS",#N/A,FALSE,"BS";"CF",#N/A,FALSE,"CF"}</definedName>
    <definedName name="ddd" localSheetId="9" hidden="1">{"Full",#N/A,FALSE,"Sec MTN B Summary"}</definedName>
    <definedName name="ddd" hidden="1">{"EM",#N/A,FALSE,"EM";"EM_Quarterly",#N/A,FALSE,"EM";"BS",#N/A,FALSE,"BS";"CF",#N/A,FALSE,"CF"}</definedName>
    <definedName name="dddd" localSheetId="1" hidden="1">{"RedPrem_InitRed View",#N/A,FALSE,"Sec MTN B Summary"}</definedName>
    <definedName name="dddd" localSheetId="17" hidden="1">{"RedPrem_InitRed View",#N/A,FALSE,"Sec MTN B Summary"}</definedName>
    <definedName name="dddd" localSheetId="30" hidden="1">{"RedPrem_InitRed View",#N/A,FALSE,"Sec MTN B Summary"}</definedName>
    <definedName name="dddd" localSheetId="31" hidden="1">{"RedPrem_InitRed View",#N/A,FALSE,"Sec MTN B Summary"}</definedName>
    <definedName name="dddd" localSheetId="19" hidden="1">{"RedPrem_InitRed View",#N/A,FALSE,"Sec MTN B Summary"}</definedName>
    <definedName name="dddd" localSheetId="7" hidden="1">{"RedPrem_InitRed View",#N/A,FALSE,"Sec MTN B Summary"}</definedName>
    <definedName name="dddd" localSheetId="0" hidden="1">{"RedPrem_InitRed View",#N/A,FALSE,"Sec MTN B Summary"}</definedName>
    <definedName name="dddd" localSheetId="10" hidden="1">{"RedPrem_InitRed View",#N/A,FALSE,"Sec MTN B Summary"}</definedName>
    <definedName name="dddd" localSheetId="12" hidden="1">{"RedPrem_InitRed View",#N/A,FALSE,"Sec MTN B Summary"}</definedName>
    <definedName name="dddd" localSheetId="9" hidden="1">{"RedPrem_InitRed View",#N/A,FALSE,"Sec MTN B Summary"}</definedName>
    <definedName name="dddd" hidden="1">{"RedPrem_InitRed View",#N/A,FALSE,"Sec MTN B Summary"}</definedName>
    <definedName name="dddddd" localSheetId="1" hidden="1">{"Pivot1",#N/A,FALSE,"Redemption_Maturity Extract"}</definedName>
    <definedName name="dddddd" localSheetId="17" hidden="1">{"Pivot1",#N/A,FALSE,"Redemption_Maturity Extract"}</definedName>
    <definedName name="dddddd" localSheetId="30" hidden="1">{"Pivot1",#N/A,FALSE,"Redemption_Maturity Extract"}</definedName>
    <definedName name="dddddd" localSheetId="31" hidden="1">{"Pivot1",#N/A,FALSE,"Redemption_Maturity Extract"}</definedName>
    <definedName name="dddddd" localSheetId="19" hidden="1">{"Pivot1",#N/A,FALSE,"Redemption_Maturity Extract"}</definedName>
    <definedName name="dddddd" localSheetId="7" hidden="1">{"Pivot1",#N/A,FALSE,"Redemption_Maturity Extract"}</definedName>
    <definedName name="dddddd" localSheetId="0" hidden="1">{"Pivot1",#N/A,FALSE,"Redemption_Maturity Extract"}</definedName>
    <definedName name="dddddd" localSheetId="10" hidden="1">{"Pivot1",#N/A,FALSE,"Redemption_Maturity Extract"}</definedName>
    <definedName name="dddddd" localSheetId="12" hidden="1">{"Pivot1",#N/A,FALSE,"Redemption_Maturity Extract"}</definedName>
    <definedName name="dddddd" localSheetId="9" hidden="1">{"Pivot1",#N/A,FALSE,"Redemption_Maturity Extract"}</definedName>
    <definedName name="dddddd" hidden="1">{"Pivot1",#N/A,FALSE,"Redemption_Maturity Extract"}</definedName>
    <definedName name="dddddddd" localSheetId="1" hidden="1">{"Pivot2",#N/A,FALSE,"Redemption_Maturity Extract"}</definedName>
    <definedName name="dddddddd" localSheetId="17" hidden="1">{"Pivot2",#N/A,FALSE,"Redemption_Maturity Extract"}</definedName>
    <definedName name="dddddddd" localSheetId="30" hidden="1">{"Pivot2",#N/A,FALSE,"Redemption_Maturity Extract"}</definedName>
    <definedName name="dddddddd" localSheetId="31" hidden="1">{"Pivot2",#N/A,FALSE,"Redemption_Maturity Extract"}</definedName>
    <definedName name="dddddddd" localSheetId="19" hidden="1">{"Pivot2",#N/A,FALSE,"Redemption_Maturity Extract"}</definedName>
    <definedName name="dddddddd" localSheetId="7" hidden="1">{"Pivot2",#N/A,FALSE,"Redemption_Maturity Extract"}</definedName>
    <definedName name="dddddddd" localSheetId="0" hidden="1">{"Pivot2",#N/A,FALSE,"Redemption_Maturity Extract"}</definedName>
    <definedName name="dddddddd" localSheetId="10" hidden="1">{"Pivot2",#N/A,FALSE,"Redemption_Maturity Extract"}</definedName>
    <definedName name="dddddddd" localSheetId="12" hidden="1">{"Pivot2",#N/A,FALSE,"Redemption_Maturity Extract"}</definedName>
    <definedName name="dddddddd" localSheetId="9" hidden="1">{"Pivot2",#N/A,FALSE,"Redemption_Maturity Extract"}</definedName>
    <definedName name="dddddddd" hidden="1">{"Pivot2",#N/A,FALSE,"Redemption_Maturity Extract"}</definedName>
    <definedName name="ddrfef" localSheetId="1" hidden="1">{"'Sheet1'!$A$1:$O$40"}</definedName>
    <definedName name="ddrfef" localSheetId="17" hidden="1">{"'Sheet1'!$A$1:$O$40"}</definedName>
    <definedName name="ddrfef" localSheetId="30" hidden="1">{"'Sheet1'!$A$1:$O$40"}</definedName>
    <definedName name="ddrfef" localSheetId="31" hidden="1">{"'Sheet1'!$A$1:$O$40"}</definedName>
    <definedName name="ddrfef" localSheetId="19" hidden="1">{"'Sheet1'!$A$1:$O$40"}</definedName>
    <definedName name="ddrfef" localSheetId="7" hidden="1">{"'Sheet1'!$A$1:$O$40"}</definedName>
    <definedName name="ddrfef" localSheetId="0" hidden="1">{"'Sheet1'!$A$1:$O$40"}</definedName>
    <definedName name="ddrfef" localSheetId="10" hidden="1">{"'Sheet1'!$A$1:$O$40"}</definedName>
    <definedName name="ddrfef" localSheetId="12" hidden="1">{"'Sheet1'!$A$1:$O$40"}</definedName>
    <definedName name="ddrfef" localSheetId="9" hidden="1">{"'Sheet1'!$A$1:$O$40"}</definedName>
    <definedName name="ddrfef" hidden="1">{"'Sheet1'!$A$1:$O$40"}</definedName>
    <definedName name="DEBT">#REF!</definedName>
    <definedName name="Debt_Copy" localSheetId="10">#REF!</definedName>
    <definedName name="Debt_Copy">#REF!</definedName>
    <definedName name="Debt_Paste" localSheetId="10">#REF!</definedName>
    <definedName name="Debt_Paste">#REF!</definedName>
    <definedName name="DEBTCOST" localSheetId="7">#REF!</definedName>
    <definedName name="DEBTCOST">#REF!</definedName>
    <definedName name="DeferredCharges">#REF!</definedName>
    <definedName name="DeferredIncomeTaxes">#REF!</definedName>
    <definedName name="delete" localSheetId="1" hidden="1">{#N/A,#N/A,FALSE,"CURRENT"}</definedName>
    <definedName name="delete" localSheetId="17" hidden="1">{#N/A,#N/A,FALSE,"CURRENT"}</definedName>
    <definedName name="delete" localSheetId="30" hidden="1">{#N/A,#N/A,FALSE,"CURRENT"}</definedName>
    <definedName name="delete" localSheetId="31" hidden="1">{#N/A,#N/A,FALSE,"CURRENT"}</definedName>
    <definedName name="delete" localSheetId="19" hidden="1">{#N/A,#N/A,FALSE,"CURRENT"}</definedName>
    <definedName name="delete" localSheetId="7" hidden="1">{#N/A,#N/A,FALSE,"CURRENT"}</definedName>
    <definedName name="delete" localSheetId="0" hidden="1">{#N/A,#N/A,FALSE,"CURRENT"}</definedName>
    <definedName name="delete" localSheetId="10" hidden="1">{"summary",#N/A,FALSE,"PCR DIRECTORY"}</definedName>
    <definedName name="delete" localSheetId="12" hidden="1">{"summary",#N/A,FALSE,"PCR DIRECTORY"}</definedName>
    <definedName name="delete" localSheetId="9" hidden="1">{#N/A,#N/A,FALSE,"CURRENT"}</definedName>
    <definedName name="delete" hidden="1">{"summary",#N/A,FALSE,"PCR DIRECTORY"}</definedName>
    <definedName name="DELETE1" localSheetId="7" hidden="1">{"page1",#N/A,FALSE,"PROFORMA";"page2",#N/A,FALSE,"PROFORMA";"page3",#N/A,FALSE,"PROFORMA";"page4",#N/A,FALSE,"PROFORMA";"page5",#N/A,FALSE,"PROFORMA";"page6",#N/A,FALSE,"PROFORMA";"page7",#N/A,FALSE,"PROFORMA";"page8",#N/A,FALSE,"PROFORMA"}</definedName>
    <definedName name="DELETE1" localSheetId="10" hidden="1">{"page1",#N/A,FALSE,"PROFORMA";"page2",#N/A,FALSE,"PROFORMA";"page3",#N/A,FALSE,"PROFORMA";"page4",#N/A,FALSE,"PROFORMA";"page5",#N/A,FALSE,"PROFORMA";"page6",#N/A,FALSE,"PROFORMA";"page7",#N/A,FALSE,"PROFORMA";"page8",#N/A,FALSE,"PROFORMA"}</definedName>
    <definedName name="DELETE1" localSheetId="12" hidden="1">{"page1",#N/A,FALSE,"PROFORMA";"page2",#N/A,FALSE,"PROFORMA";"page3",#N/A,FALSE,"PROFORMA";"page4",#N/A,FALSE,"PROFORMA";"page5",#N/A,FALSE,"PROFORMA";"page6",#N/A,FALSE,"PROFORMA";"page7",#N/A,FALSE,"PROFORMA";"page8",#N/A,FALSE,"PROFORMA"}</definedName>
    <definedName name="DELETE1" hidden="1">{"page1",#N/A,FALSE,"PROFORMA";"page2",#N/A,FALSE,"PROFORMA";"page3",#N/A,FALSE,"PROFORMA";"page4",#N/A,FALSE,"PROFORMA";"page5",#N/A,FALSE,"PROFORMA";"page6",#N/A,FALSE,"PROFORMA";"page7",#N/A,FALSE,"PROFORMA";"page8",#N/A,FALSE,"PROFORMA"}</definedName>
    <definedName name="DEPR">#REF!</definedName>
    <definedName name="Deprate">#REF!</definedName>
    <definedName name="Deprate2004">#REF!</definedName>
    <definedName name="Deprate2009Order" localSheetId="7">#REF!</definedName>
    <definedName name="Deprate2009Order" localSheetId="10">#REF!</definedName>
    <definedName name="Deprate2009Order">#REF!</definedName>
    <definedName name="Deprate2009Order_Common" localSheetId="10">#REF!</definedName>
    <definedName name="Deprate2009Order_Common">#REF!</definedName>
    <definedName name="DeprateCommon">#REF!</definedName>
    <definedName name="DEPRECIATION">#REF!</definedName>
    <definedName name="des" localSheetId="7" hidden="1">{#N/A,#N/A,FALSE,"Transaction Summary-DTW";#N/A,#N/A,FALSE,"Proforma Five Yr";#N/A,#N/A,FALSE,"Occ and Rate"}</definedName>
    <definedName name="des" localSheetId="10" hidden="1">{#N/A,#N/A,FALSE,"Transaction Summary-DTW";#N/A,#N/A,FALSE,"Proforma Five Yr";#N/A,#N/A,FALSE,"Occ and Rate"}</definedName>
    <definedName name="des" localSheetId="12" hidden="1">{#N/A,#N/A,FALSE,"Transaction Summary-DTW";#N/A,#N/A,FALSE,"Proforma Five Yr";#N/A,#N/A,FALSE,"Occ and Rate"}</definedName>
    <definedName name="des" hidden="1">{#N/A,#N/A,FALSE,"Transaction Summary-DTW";#N/A,#N/A,FALSE,"Proforma Five Yr";#N/A,#N/A,FALSE,"Occ and Rate"}</definedName>
    <definedName name="dfasf" localSheetId="7" hidden="1">{"EM",#N/A,FALSE,"EM";"EM_Quarterly",#N/A,FALSE,"EM";"BS",#N/A,FALSE,"BS";"CF",#N/A,FALSE,"CF"}</definedName>
    <definedName name="dfasf" localSheetId="10" hidden="1">{"EM",#N/A,FALSE,"EM";"EM_Quarterly",#N/A,FALSE,"EM";"BS",#N/A,FALSE,"BS";"CF",#N/A,FALSE,"CF"}</definedName>
    <definedName name="dfasf" localSheetId="12" hidden="1">{"EM",#N/A,FALSE,"EM";"EM_Quarterly",#N/A,FALSE,"EM";"BS",#N/A,FALSE,"BS";"CF",#N/A,FALSE,"CF"}</definedName>
    <definedName name="dfasf" hidden="1">{"EM",#N/A,FALSE,"EM";"EM_Quarterly",#N/A,FALSE,"EM";"BS",#N/A,FALSE,"BS";"CF",#N/A,FALSE,"CF"}</definedName>
    <definedName name="dfg" localSheetId="7" hidden="1">{"SEP",#N/A,FALSE,"SEP"}</definedName>
    <definedName name="dfg" localSheetId="10" hidden="1">{"SEP",#N/A,FALSE,"SEP"}</definedName>
    <definedName name="dfg" localSheetId="12" hidden="1">{"SEP",#N/A,FALSE,"SEP"}</definedName>
    <definedName name="dfg" hidden="1">{"SEP",#N/A,FALSE,"SEP"}</definedName>
    <definedName name="dfghj" localSheetId="1" hidden="1">#REF!</definedName>
    <definedName name="dfghj" localSheetId="30" hidden="1">#REF!</definedName>
    <definedName name="dfghj" localSheetId="31" hidden="1">#REF!</definedName>
    <definedName name="dfghj" localSheetId="7" hidden="1">#REF!</definedName>
    <definedName name="dfghj" localSheetId="9" hidden="1">#REF!</definedName>
    <definedName name="dfghj" hidden="1">#REF!</definedName>
    <definedName name="dfjhdbfhdbf" localSheetId="1" hidden="1">#REF!</definedName>
    <definedName name="dfjhdbfhdbf" localSheetId="30" hidden="1">#REF!</definedName>
    <definedName name="dfjhdbfhdbf" localSheetId="31" hidden="1">#REF!</definedName>
    <definedName name="dfjhdbfhdbf" localSheetId="7" hidden="1">#REF!</definedName>
    <definedName name="dfjhdbfhdbf" localSheetId="9" hidden="1">#REF!</definedName>
    <definedName name="dfjhdbfhdbf" hidden="1">#REF!</definedName>
    <definedName name="dfl" localSheetId="1" hidden="1">#REF!</definedName>
    <definedName name="dfl" localSheetId="30" hidden="1">#REF!</definedName>
    <definedName name="dfl" localSheetId="31" hidden="1">#REF!</definedName>
    <definedName name="dfl" localSheetId="7" hidden="1">#REF!</definedName>
    <definedName name="dfl" localSheetId="9" hidden="1">#REF!</definedName>
    <definedName name="dfl" hidden="1">#REF!</definedName>
    <definedName name="dfsdfsdfsdf" localSheetId="1" hidden="1">#REF!</definedName>
    <definedName name="dfsdfsdfsdf" localSheetId="17" hidden="1">#REF!</definedName>
    <definedName name="dfsdfsdfsdf" localSheetId="30" hidden="1">#REF!</definedName>
    <definedName name="dfsdfsdfsdf" localSheetId="19" hidden="1">#REF!</definedName>
    <definedName name="dfsdfsdfsdf" localSheetId="7" hidden="1">#REF!</definedName>
    <definedName name="dfsdfsdfsdf" localSheetId="9" hidden="1">#REF!</definedName>
    <definedName name="dfsdfsdfsdf" hidden="1">#REF!</definedName>
    <definedName name="dggfgdgdg" localSheetId="1" hidden="1">{#N/A,#N/A,FALSE,"RORMEMO";#N/A,#N/A,FALSE,"RORSUMMARY";#N/A,#N/A,FALSE,"RORDETAIL"}</definedName>
    <definedName name="dggfgdgdg" localSheetId="17" hidden="1">{#N/A,#N/A,FALSE,"RORMEMO";#N/A,#N/A,FALSE,"RORSUMMARY";#N/A,#N/A,FALSE,"RORDETAIL"}</definedName>
    <definedName name="dggfgdgdg" localSheetId="30" hidden="1">{#N/A,#N/A,FALSE,"RORMEMO";#N/A,#N/A,FALSE,"RORSUMMARY";#N/A,#N/A,FALSE,"RORDETAIL"}</definedName>
    <definedName name="dggfgdgdg" localSheetId="31" hidden="1">{#N/A,#N/A,FALSE,"RORMEMO";#N/A,#N/A,FALSE,"RORSUMMARY";#N/A,#N/A,FALSE,"RORDETAIL"}</definedName>
    <definedName name="dggfgdgdg" localSheetId="19" hidden="1">{#N/A,#N/A,FALSE,"RORMEMO";#N/A,#N/A,FALSE,"RORSUMMARY";#N/A,#N/A,FALSE,"RORDETAIL"}</definedName>
    <definedName name="dggfgdgdg" localSheetId="7" hidden="1">{#N/A,#N/A,FALSE,"RORMEMO";#N/A,#N/A,FALSE,"RORSUMMARY";#N/A,#N/A,FALSE,"RORDETAIL"}</definedName>
    <definedName name="dggfgdgdg" localSheetId="0" hidden="1">{#N/A,#N/A,FALSE,"RORMEMO";#N/A,#N/A,FALSE,"RORSUMMARY";#N/A,#N/A,FALSE,"RORDETAIL"}</definedName>
    <definedName name="dggfgdgdg" localSheetId="10" hidden="1">{#N/A,#N/A,FALSE,"RORMEMO";#N/A,#N/A,FALSE,"RORSUMMARY";#N/A,#N/A,FALSE,"RORDETAIL"}</definedName>
    <definedName name="dggfgdgdg" localSheetId="12" hidden="1">{#N/A,#N/A,FALSE,"RORMEMO";#N/A,#N/A,FALSE,"RORSUMMARY";#N/A,#N/A,FALSE,"RORDETAIL"}</definedName>
    <definedName name="dggfgdgdg" localSheetId="9" hidden="1">{#N/A,#N/A,FALSE,"RORMEMO";#N/A,#N/A,FALSE,"RORSUMMARY";#N/A,#N/A,FALSE,"RORDETAIL"}</definedName>
    <definedName name="dggfgdgdg" hidden="1">{#N/A,#N/A,FALSE,"RORMEMO";#N/A,#N/A,FALSE,"RORSUMMARY";#N/A,#N/A,FALSE,"RORDETAIL"}</definedName>
    <definedName name="DIR">#REF!</definedName>
    <definedName name="DisallowedPAA">#REF!</definedName>
    <definedName name="Discount" localSheetId="19" hidden="1">#REF!</definedName>
    <definedName name="Discount" localSheetId="12" hidden="1">#REF!</definedName>
    <definedName name="Discount" localSheetId="9" hidden="1">#REF!</definedName>
    <definedName name="Discount" hidden="1">#REF!</definedName>
    <definedName name="discount2" localSheetId="19" hidden="1">#REF!</definedName>
    <definedName name="discount2" localSheetId="9" hidden="1">#REF!</definedName>
    <definedName name="discount2" hidden="1">#REF!</definedName>
    <definedName name="distr" localSheetId="1" hidden="1">{"wp_h4.2",#N/A,FALSE,"WP_H4.2";"wp_h4.3",#N/A,FALSE,"WP_H4.3"}</definedName>
    <definedName name="distr" localSheetId="17" hidden="1">{"wp_h4.2",#N/A,FALSE,"WP_H4.2";"wp_h4.3",#N/A,FALSE,"WP_H4.3"}</definedName>
    <definedName name="distr" localSheetId="30" hidden="1">{"wp_h4.2",#N/A,FALSE,"WP_H4.2";"wp_h4.3",#N/A,FALSE,"WP_H4.3"}</definedName>
    <definedName name="distr" localSheetId="31" hidden="1">{"wp_h4.2",#N/A,FALSE,"WP_H4.2";"wp_h4.3",#N/A,FALSE,"WP_H4.3"}</definedName>
    <definedName name="distr" localSheetId="19" hidden="1">{"wp_h4.2",#N/A,FALSE,"WP_H4.2";"wp_h4.3",#N/A,FALSE,"WP_H4.3"}</definedName>
    <definedName name="distr" localSheetId="7" hidden="1">{"wp_h4.2",#N/A,FALSE,"WP_H4.2";"wp_h4.3",#N/A,FALSE,"WP_H4.3"}</definedName>
    <definedName name="distr" localSheetId="0" hidden="1">{"wp_h4.2",#N/A,FALSE,"WP_H4.2";"wp_h4.3",#N/A,FALSE,"WP_H4.3"}</definedName>
    <definedName name="distr" localSheetId="10" hidden="1">{"wp_h4.2",#N/A,FALSE,"WP_H4.2";"wp_h4.3",#N/A,FALSE,"WP_H4.3"}</definedName>
    <definedName name="distr" localSheetId="12" hidden="1">{"wp_h4.2",#N/A,FALSE,"WP_H4.2";"wp_h4.3",#N/A,FALSE,"WP_H4.3"}</definedName>
    <definedName name="distr" localSheetId="9" hidden="1">{"wp_h4.2",#N/A,FALSE,"WP_H4.2";"wp_h4.3",#N/A,FALSE,"WP_H4.3"}</definedName>
    <definedName name="distr" hidden="1">{"wp_h4.2",#N/A,FALSE,"WP_H4.2";"wp_h4.3",#N/A,FALSE,"WP_H4.3"}</definedName>
    <definedName name="DIV">#REF!</definedName>
    <definedName name="div1a" localSheetId="12">#REF!</definedName>
    <definedName name="div1a">#REF!</definedName>
    <definedName name="div2a" localSheetId="7">#REF!</definedName>
    <definedName name="div2a">#REF!</definedName>
    <definedName name="DJInd">#REF!</definedName>
    <definedName name="DJUtil">#REF!</definedName>
    <definedName name="dle" localSheetId="1" hidden="1">#REF!</definedName>
    <definedName name="dle" localSheetId="17" hidden="1">#REF!</definedName>
    <definedName name="dle" localSheetId="31" hidden="1">#REF!</definedName>
    <definedName name="dle" localSheetId="7" hidden="1">#REF!</definedName>
    <definedName name="dle" localSheetId="9" hidden="1">#REF!</definedName>
    <definedName name="dle" hidden="1">#REF!</definedName>
    <definedName name="DM.CE" localSheetId="10">#REF!</definedName>
    <definedName name="DM.CE">#REF!</definedName>
    <definedName name="docket">#REF!</definedName>
    <definedName name="Docket_Number">#REF!</definedName>
    <definedName name="Docket2">#REF!</definedName>
    <definedName name="Docket3">#REF!</definedName>
    <definedName name="DocketNo">#REF!</definedName>
    <definedName name="DocumentName" hidden="1">"b1"</definedName>
    <definedName name="DocumentNum" hidden="1">"a1"</definedName>
    <definedName name="dog" localSheetId="7" hidden="1">{#N/A,#N/A,FALSE,"91NOLCB";#N/A,#N/A,FALSE,"92NOLCB";#N/A,#N/A,FALSE,"93NOLCB"}</definedName>
    <definedName name="dog" localSheetId="10" hidden="1">{#N/A,#N/A,FALSE,"91NOLCB";#N/A,#N/A,FALSE,"92NOLCB";#N/A,#N/A,FALSE,"93NOLCB"}</definedName>
    <definedName name="dog" localSheetId="12" hidden="1">{#N/A,#N/A,FALSE,"91NOLCB";#N/A,#N/A,FALSE,"92NOLCB";#N/A,#N/A,FALSE,"93NOLCB"}</definedName>
    <definedName name="dog" hidden="1">{#N/A,#N/A,FALSE,"91NOLCB";#N/A,#N/A,FALSE,"92NOLCB";#N/A,#N/A,FALSE,"93NOLCB"}</definedName>
    <definedName name="dp" localSheetId="1" hidden="1">#REF!</definedName>
    <definedName name="dp" localSheetId="17" hidden="1">#REF!</definedName>
    <definedName name="dp" localSheetId="30" hidden="1">#REF!</definedName>
    <definedName name="dp" localSheetId="31" hidden="1">#REF!</definedName>
    <definedName name="dp" localSheetId="7" hidden="1">#REF!</definedName>
    <definedName name="dp" localSheetId="9" hidden="1">#REF!</definedName>
    <definedName name="dp" hidden="1">#REF!</definedName>
    <definedName name="ds" localSheetId="7" hidden="1">{"EM",#N/A,FALSE,"EM";"EMQuarterly",#N/A,FALSE,"EM";"BS",#N/A,FALSE,"BS";"CF",#N/A,FALSE,"CF"}</definedName>
    <definedName name="ds" localSheetId="10" hidden="1">{"EM",#N/A,FALSE,"EM";"EMQuarterly",#N/A,FALSE,"EM";"BS",#N/A,FALSE,"BS";"CF",#N/A,FALSE,"CF"}</definedName>
    <definedName name="ds" localSheetId="12" hidden="1">{"EM",#N/A,FALSE,"EM";"EMQuarterly",#N/A,FALSE,"EM";"BS",#N/A,FALSE,"BS";"CF",#N/A,FALSE,"CF"}</definedName>
    <definedName name="ds" hidden="1">{"EM",#N/A,FALSE,"EM";"EMQuarterly",#N/A,FALSE,"EM";"BS",#N/A,FALSE,"BS";"CF",#N/A,FALSE,"CF"}</definedName>
    <definedName name="dsac" localSheetId="1" hidden="1">#REF!</definedName>
    <definedName name="dsac" localSheetId="31" hidden="1">#REF!</definedName>
    <definedName name="dsac" localSheetId="7" hidden="1">#REF!</definedName>
    <definedName name="dsac" localSheetId="9" hidden="1">#REF!</definedName>
    <definedName name="dsac" hidden="1">#REF!</definedName>
    <definedName name="dsfsd">#REF!</definedName>
    <definedName name="dslakfjk" localSheetId="1" hidden="1">#REF!</definedName>
    <definedName name="dslakfjk" localSheetId="30" hidden="1">#REF!</definedName>
    <definedName name="dslakfjk" localSheetId="31" hidden="1">#REF!</definedName>
    <definedName name="dslakfjk" localSheetId="7" hidden="1">#REF!</definedName>
    <definedName name="dslakfjk" localSheetId="9" hidden="1">#REF!</definedName>
    <definedName name="dslakfjk" hidden="1">#REF!</definedName>
    <definedName name="dsld" localSheetId="1" hidden="1">#REF!</definedName>
    <definedName name="dsld" localSheetId="30" hidden="1">#REF!</definedName>
    <definedName name="dsld" localSheetId="31" hidden="1">#REF!</definedName>
    <definedName name="dsld" localSheetId="7" hidden="1">#REF!</definedName>
    <definedName name="dsld" localSheetId="9" hidden="1">#REF!</definedName>
    <definedName name="dsld" hidden="1">#REF!</definedName>
    <definedName name="dssa" localSheetId="7" hidden="1">{"EM",#N/A,FALSE,"EM";"EMQuarterly",#N/A,FALSE,"EM";"BS",#N/A,FALSE,"BS";"CF",#N/A,FALSE,"CF"}</definedName>
    <definedName name="dssa" localSheetId="10" hidden="1">{"EM",#N/A,FALSE,"EM";"EMQuarterly",#N/A,FALSE,"EM";"BS",#N/A,FALSE,"BS";"CF",#N/A,FALSE,"CF"}</definedName>
    <definedName name="dssa" localSheetId="12" hidden="1">{"EM",#N/A,FALSE,"EM";"EMQuarterly",#N/A,FALSE,"EM";"BS",#N/A,FALSE,"BS";"CF",#N/A,FALSE,"CF"}</definedName>
    <definedName name="dssa" hidden="1">{"EM",#N/A,FALSE,"EM";"EMQuarterly",#N/A,FALSE,"EM";"BS",#N/A,FALSE,"BS";"CF",#N/A,FALSE,"CF"}</definedName>
    <definedName name="dud" localSheetId="1" hidden="1">{#N/A,#N/A,TRUE,"1990";#N/A,#N/A,TRUE,"1991";#N/A,#N/A,TRUE,"1992";#N/A,#N/A,TRUE,"1993"}</definedName>
    <definedName name="dud" localSheetId="17" hidden="1">{#N/A,#N/A,TRUE,"1990";#N/A,#N/A,TRUE,"1991";#N/A,#N/A,TRUE,"1992";#N/A,#N/A,TRUE,"1993"}</definedName>
    <definedName name="dud" localSheetId="30" hidden="1">{#N/A,#N/A,TRUE,"1990";#N/A,#N/A,TRUE,"1991";#N/A,#N/A,TRUE,"1992";#N/A,#N/A,TRUE,"1993"}</definedName>
    <definedName name="dud" localSheetId="31" hidden="1">{#N/A,#N/A,TRUE,"1990";#N/A,#N/A,TRUE,"1991";#N/A,#N/A,TRUE,"1992";#N/A,#N/A,TRUE,"1993"}</definedName>
    <definedName name="dud" localSheetId="19" hidden="1">{#N/A,#N/A,TRUE,"1990";#N/A,#N/A,TRUE,"1991";#N/A,#N/A,TRUE,"1992";#N/A,#N/A,TRUE,"1993"}</definedName>
    <definedName name="dud" localSheetId="7" hidden="1">{#N/A,#N/A,TRUE,"1990";#N/A,#N/A,TRUE,"1991";#N/A,#N/A,TRUE,"1992";#N/A,#N/A,TRUE,"1993"}</definedName>
    <definedName name="dud" localSheetId="0" hidden="1">{#N/A,#N/A,TRUE,"1990";#N/A,#N/A,TRUE,"1991";#N/A,#N/A,TRUE,"1992";#N/A,#N/A,TRUE,"1993"}</definedName>
    <definedName name="dud" localSheetId="10" hidden="1">{#N/A,#N/A,TRUE,"1990";#N/A,#N/A,TRUE,"1991";#N/A,#N/A,TRUE,"1992";#N/A,#N/A,TRUE,"1993"}</definedName>
    <definedName name="dud" localSheetId="12" hidden="1">{#N/A,#N/A,TRUE,"1990";#N/A,#N/A,TRUE,"1991";#N/A,#N/A,TRUE,"1992";#N/A,#N/A,TRUE,"1993"}</definedName>
    <definedName name="dud" localSheetId="9" hidden="1">{#N/A,#N/A,TRUE,"1990";#N/A,#N/A,TRUE,"1991";#N/A,#N/A,TRUE,"1992";#N/A,#N/A,TRUE,"1993"}</definedName>
    <definedName name="dud" hidden="1">{#N/A,#N/A,TRUE,"1990";#N/A,#N/A,TRUE,"1991";#N/A,#N/A,TRUE,"1992";#N/A,#N/A,TRUE,"1993"}</definedName>
    <definedName name="Durango">#REF!</definedName>
    <definedName name="e"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17"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0"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31"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19"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0" hidden="1">{"PR=O&amp;M per Customer",#N/A,FALSE,"Prod-Ratios";"PR=Customer per Equivalent Employee",#N/A,FALSE,"Prod-Ratios";"PR=Operating Ratio(OI to Revenue)",#N/A,FALSE,"Prod-Ratios";"PR=Return on Net Utility Plant",#N/A,FALSE,"Prod-Ratios";"PR=Revenue per Equivalent Employee",#N/A,FALSE,"Prod-Ratios"}</definedName>
    <definedName name="E" localSheetId="10" hidden="1">{#N/A,#N/A,FALSE,"OUT  AREC"}</definedName>
    <definedName name="E" localSheetId="12" hidden="1">{#N/A,#N/A,FALSE,"OUT  AREC"}</definedName>
    <definedName name="e" localSheetId="9" hidden="1">{"PR=O&amp;M per Customer",#N/A,FALSE,"Prod-Ratios";"PR=Customer per Equivalent Employee",#N/A,FALSE,"Prod-Ratios";"PR=Operating Ratio(OI to Revenue)",#N/A,FALSE,"Prod-Ratios";"PR=Return on Net Utility Plant",#N/A,FALSE,"Prod-Ratios";"PR=Revenue per Equivalent Employee",#N/A,FALSE,"Prod-Ratios"}</definedName>
    <definedName name="E" hidden="1">{#N/A,#N/A,FALSE,"OUT  AREC"}</definedName>
    <definedName name="ebereg"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bere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C" localSheetId="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C" localSheetId="1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C"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C"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cao" localSheetId="1" hidden="1">#REF!</definedName>
    <definedName name="ecao" localSheetId="30" hidden="1">#REF!</definedName>
    <definedName name="ecao" localSheetId="31" hidden="1">#REF!</definedName>
    <definedName name="ecao" localSheetId="7" hidden="1">#REF!</definedName>
    <definedName name="ecao" localSheetId="9" hidden="1">#REF!</definedName>
    <definedName name="ecao" hidden="1">#REF!</definedName>
    <definedName name="ECINPUT" localSheetId="7" hidden="1">{#N/A,#N/A,FALSE,"INPUTDATA";#N/A,#N/A,FALSE,"SUMMARY";#N/A,#N/A,FALSE,"CTAREP";#N/A,#N/A,FALSE,"CTBREP";#N/A,#N/A,FALSE,"TURBEFF";#N/A,#N/A,FALSE,"Condenser Performance"}</definedName>
    <definedName name="ECINPUT" localSheetId="10" hidden="1">{#N/A,#N/A,FALSE,"INPUTDATA";#N/A,#N/A,FALSE,"SUMMARY";#N/A,#N/A,FALSE,"CTAREP";#N/A,#N/A,FALSE,"CTBREP";#N/A,#N/A,FALSE,"TURBEFF";#N/A,#N/A,FALSE,"Condenser Performance"}</definedName>
    <definedName name="ECINPUT" localSheetId="12" hidden="1">{#N/A,#N/A,FALSE,"INPUTDATA";#N/A,#N/A,FALSE,"SUMMARY";#N/A,#N/A,FALSE,"CTAREP";#N/A,#N/A,FALSE,"CTBREP";#N/A,#N/A,FALSE,"TURBEFF";#N/A,#N/A,FALSE,"Condenser Performance"}</definedName>
    <definedName name="ECINPUT" hidden="1">{#N/A,#N/A,FALSE,"INPUTDATA";#N/A,#N/A,FALSE,"SUMMARY";#N/A,#N/A,FALSE,"CTAREP";#N/A,#N/A,FALSE,"CTBREP";#N/A,#N/A,FALSE,"TURBEFF";#N/A,#N/A,FALSE,"Condenser Performance"}</definedName>
    <definedName name="ecsaop" localSheetId="1" hidden="1">#REF!</definedName>
    <definedName name="ecsaop" localSheetId="17" hidden="1">#REF!</definedName>
    <definedName name="ecsaop" localSheetId="30" hidden="1">#REF!</definedName>
    <definedName name="ecsaop" localSheetId="31" hidden="1">#REF!</definedName>
    <definedName name="ecsaop" localSheetId="7" hidden="1">#REF!</definedName>
    <definedName name="ecsaop" localSheetId="9" hidden="1">#REF!</definedName>
    <definedName name="ecsaop" hidden="1">#REF!</definedName>
    <definedName name="edd" localSheetId="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1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3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3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1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1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1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1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3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1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1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1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f" localSheetId="1" hidden="1">{#N/A,"Anonymous",FALSE,"30 30k Table";#N/A,#N/A,FALSE,"30 50k Table";#N/A,#N/A,FALSE,"40 100k Table"}</definedName>
    <definedName name="edf" localSheetId="17" hidden="1">{#N/A,"Anonymous",FALSE,"30 30k Table";#N/A,#N/A,FALSE,"30 50k Table";#N/A,#N/A,FALSE,"40 100k Table"}</definedName>
    <definedName name="edf" localSheetId="30" hidden="1">{#N/A,"Anonymous",FALSE,"30 30k Table";#N/A,#N/A,FALSE,"30 50k Table";#N/A,#N/A,FALSE,"40 100k Table"}</definedName>
    <definedName name="edf" localSheetId="31" hidden="1">{#N/A,"Anonymous",FALSE,"30 30k Table";#N/A,#N/A,FALSE,"30 50k Table";#N/A,#N/A,FALSE,"40 100k Table"}</definedName>
    <definedName name="edf" localSheetId="19" hidden="1">{#N/A,"Anonymous",FALSE,"30 30k Table";#N/A,#N/A,FALSE,"30 50k Table";#N/A,#N/A,FALSE,"40 100k Table"}</definedName>
    <definedName name="edf" localSheetId="7" hidden="1">{#N/A,"Anonymous",FALSE,"30 30k Table";#N/A,#N/A,FALSE,"30 50k Table";#N/A,#N/A,FALSE,"40 100k Table"}</definedName>
    <definedName name="edf" localSheetId="0" hidden="1">{#N/A,"Anonymous",FALSE,"30 30k Table";#N/A,#N/A,FALSE,"30 50k Table";#N/A,#N/A,FALSE,"40 100k Table"}</definedName>
    <definedName name="edf" localSheetId="10" hidden="1">{#N/A,"Anonymous",FALSE,"30 30k Table";#N/A,#N/A,FALSE,"30 50k Table";#N/A,#N/A,FALSE,"40 100k Table"}</definedName>
    <definedName name="edf" localSheetId="12" hidden="1">{#N/A,"Anonymous",FALSE,"30 30k Table";#N/A,#N/A,FALSE,"30 50k Table";#N/A,#N/A,FALSE,"40 100k Table"}</definedName>
    <definedName name="edf" localSheetId="9" hidden="1">{#N/A,"Anonymous",FALSE,"30 30k Table";#N/A,#N/A,FALSE,"30 50k Table";#N/A,#N/A,FALSE,"40 100k Table"}</definedName>
    <definedName name="edf" hidden="1">{#N/A,"Anonymous",FALSE,"30 30k Table";#N/A,#N/A,FALSE,"30 50k Table";#N/A,#N/A,FALSE,"40 100k Table"}</definedName>
    <definedName name="EEE" localSheetId="12">#REF!</definedName>
    <definedName name="EEE">#REF!</definedName>
    <definedName name="EEEE"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3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localSheetId="10" hidden="1">{#N/A,#N/A,FALSE,"O&amp;M by processes";#N/A,#N/A,FALSE,"Elec Act vs Bud";#N/A,#N/A,FALSE,"G&amp;A";#N/A,#N/A,FALSE,"BGS";#N/A,#N/A,FALSE,"Res Cost"}</definedName>
    <definedName name="eeee" localSheetId="12" hidden="1">{#N/A,#N/A,FALSE,"O&amp;M by processes";#N/A,#N/A,FALSE,"Elec Act vs Bud";#N/A,#N/A,FALSE,"G&amp;A";#N/A,#N/A,FALSE,"BGS";#N/A,#N/A,FALSE,"Res Cost"}</definedName>
    <definedName name="EEEE"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ee" hidden="1">{#N/A,#N/A,FALSE,"O&amp;M by processes";#N/A,#N/A,FALSE,"Elec Act vs Bud";#N/A,#N/A,FALSE,"G&amp;A";#N/A,#N/A,FALSE,"BGS";#N/A,#N/A,FALSE,"Res Cost"}</definedName>
    <definedName name="eegfdbbdgre"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egfdbbdgre"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nd_Bal" localSheetId="10">#REF!</definedName>
    <definedName name="End_Bal">#REF!</definedName>
    <definedName name="end_balance">OFFSET(#REF!,1,0,COUNTA(#REF!),1)</definedName>
    <definedName name="EntityComboCacheDate" hidden="1">39099</definedName>
    <definedName name="EntityComboCacheTestDate" hidden="1">39099</definedName>
    <definedName name="epsrec">#REF!</definedName>
    <definedName name="eq" localSheetId="1" hidden="1">#REF!</definedName>
    <definedName name="eq" localSheetId="31" hidden="1">#REF!</definedName>
    <definedName name="eq" localSheetId="7" hidden="1">#REF!</definedName>
    <definedName name="eq" localSheetId="9" hidden="1">#REF!</definedName>
    <definedName name="eq" hidden="1">#REF!</definedName>
    <definedName name="er" localSheetId="1" hidden="1">{TRUE,TRUE,-1.25,-15.5,484.5,279.75,FALSE,FALSE,TRUE,TRUE,0,3,#N/A,1,#N/A,6.54545454545454,15.55,1,FALSE,FALSE,3,TRUE,1,FALSE,100,"Swvu.WP1.","ACwvu.WP1.",1,FALSE,FALSE,0.25,0.25,0.25,0.25,1,"","&amp;L&amp;D &amp;T NBW&amp;C&amp;P&amp;R&amp;F",FALSE,FALSE,FALSE,FALSE,1,100,#N/A,#N/A,FALSE,FALSE,#N/A,#N/A,FALSE,FALSE}</definedName>
    <definedName name="er" localSheetId="17" hidden="1">{TRUE,TRUE,-1.25,-15.5,484.5,279.75,FALSE,FALSE,TRUE,TRUE,0,3,#N/A,1,#N/A,6.54545454545454,15.55,1,FALSE,FALSE,3,TRUE,1,FALSE,100,"Swvu.WP1.","ACwvu.WP1.",1,FALSE,FALSE,0.25,0.25,0.25,0.25,1,"","&amp;L&amp;D &amp;T NBW&amp;C&amp;P&amp;R&amp;F",FALSE,FALSE,FALSE,FALSE,1,100,#N/A,#N/A,FALSE,FALSE,#N/A,#N/A,FALSE,FALSE}</definedName>
    <definedName name="er" localSheetId="30" hidden="1">{TRUE,TRUE,-1.25,-15.5,484.5,279.75,FALSE,FALSE,TRUE,TRUE,0,3,#N/A,1,#N/A,6.54545454545454,15.55,1,FALSE,FALSE,3,TRUE,1,FALSE,100,"Swvu.WP1.","ACwvu.WP1.",1,FALSE,FALSE,0.25,0.25,0.25,0.25,1,"","&amp;L&amp;D &amp;T NBW&amp;C&amp;P&amp;R&amp;F",FALSE,FALSE,FALSE,FALSE,1,100,#N/A,#N/A,FALSE,FALSE,#N/A,#N/A,FALSE,FALSE}</definedName>
    <definedName name="er" localSheetId="31" hidden="1">{TRUE,TRUE,-1.25,-15.5,484.5,279.75,FALSE,FALSE,TRUE,TRUE,0,3,#N/A,1,#N/A,6.54545454545454,15.55,1,FALSE,FALSE,3,TRUE,1,FALSE,100,"Swvu.WP1.","ACwvu.WP1.",1,FALSE,FALSE,0.25,0.25,0.25,0.25,1,"","&amp;L&amp;D &amp;T NBW&amp;C&amp;P&amp;R&amp;F",FALSE,FALSE,FALSE,FALSE,1,100,#N/A,#N/A,FALSE,FALSE,#N/A,#N/A,FALSE,FALSE}</definedName>
    <definedName name="er" localSheetId="19" hidden="1">{TRUE,TRUE,-1.25,-15.5,484.5,279.75,FALSE,FALSE,TRUE,TRUE,0,3,#N/A,1,#N/A,6.54545454545454,15.55,1,FALSE,FALSE,3,TRUE,1,FALSE,100,"Swvu.WP1.","ACwvu.WP1.",1,FALSE,FALSE,0.25,0.25,0.25,0.25,1,"","&amp;L&amp;D &amp;T NBW&amp;C&amp;P&amp;R&amp;F",FALSE,FALSE,FALSE,FALSE,1,100,#N/A,#N/A,FALSE,FALSE,#N/A,#N/A,FALSE,FALSE}</definedName>
    <definedName name="er" localSheetId="7" hidden="1">{TRUE,TRUE,-1.25,-15.5,484.5,279.75,FALSE,FALSE,TRUE,TRUE,0,3,#N/A,1,#N/A,6.54545454545454,15.55,1,FALSE,FALSE,3,TRUE,1,FALSE,100,"Swvu.WP1.","ACwvu.WP1.",1,FALSE,FALSE,0.25,0.25,0.25,0.25,1,"","&amp;L&amp;D &amp;T NBW&amp;C&amp;P&amp;R&amp;F",FALSE,FALSE,FALSE,FALSE,1,100,#N/A,#N/A,FALSE,FALSE,#N/A,#N/A,FALSE,FALSE}</definedName>
    <definedName name="er" localSheetId="0" hidden="1">{TRUE,TRUE,-1.25,-15.5,484.5,279.75,FALSE,FALSE,TRUE,TRUE,0,3,#N/A,1,#N/A,6.54545454545454,15.55,1,FALSE,FALSE,3,TRUE,1,FALSE,100,"Swvu.WP1.","ACwvu.WP1.",1,FALSE,FALSE,0.25,0.25,0.25,0.25,1,"","&amp;L&amp;D &amp;T NBW&amp;C&amp;P&amp;R&amp;F",FALSE,FALSE,FALSE,FALSE,1,100,#N/A,#N/A,FALSE,FALSE,#N/A,#N/A,FALSE,FALSE}</definedName>
    <definedName name="er" localSheetId="10" hidden="1">{TRUE,TRUE,-1.25,-15.5,484.5,279.75,FALSE,FALSE,TRUE,TRUE,0,3,#N/A,1,#N/A,6.54545454545454,15.55,1,FALSE,FALSE,3,TRUE,1,FALSE,100,"Swvu.WP1.","ACwvu.WP1.",1,FALSE,FALSE,0.25,0.25,0.25,0.25,1,"","&amp;L&amp;D &amp;T NBW&amp;C&amp;P&amp;R&amp;F",FALSE,FALSE,FALSE,FALSE,1,100,#N/A,#N/A,FALSE,FALSE,#N/A,#N/A,FALSE,FALSE}</definedName>
    <definedName name="er" localSheetId="12" hidden="1">{TRUE,TRUE,-1.25,-15.5,484.5,279.75,FALSE,FALSE,TRUE,TRUE,0,3,#N/A,1,#N/A,6.54545454545454,15.55,1,FALSE,FALSE,3,TRUE,1,FALSE,100,"Swvu.WP1.","ACwvu.WP1.",1,FALSE,FALSE,0.25,0.25,0.25,0.25,1,"","&amp;L&amp;D &amp;T NBW&amp;C&amp;P&amp;R&amp;F",FALSE,FALSE,FALSE,FALSE,1,100,#N/A,#N/A,FALSE,FALSE,#N/A,#N/A,FALSE,FALSE}</definedName>
    <definedName name="er" localSheetId="9" hidden="1">{TRUE,TRUE,-1.25,-15.5,484.5,279.75,FALSE,FALSE,TRUE,TRUE,0,3,#N/A,1,#N/A,6.54545454545454,15.55,1,FALSE,FALSE,3,TRUE,1,FALSE,100,"Swvu.WP1.","ACwvu.WP1.",1,FALSE,FALSE,0.25,0.25,0.25,0.25,1,"","&amp;L&amp;D &amp;T NBW&amp;C&amp;P&amp;R&amp;F",FALSE,FALSE,FALSE,FALSE,1,100,#N/A,#N/A,FALSE,FALSE,#N/A,#N/A,FALSE,FALSE}</definedName>
    <definedName name="er" hidden="1">{TRUE,TRUE,-1.25,-15.5,484.5,279.75,FALSE,FALSE,TRUE,TRUE,0,3,#N/A,1,#N/A,6.54545454545454,15.55,1,FALSE,FALSE,3,TRUE,1,FALSE,100,"Swvu.WP1.","ACwvu.WP1.",1,FALSE,FALSE,0.25,0.25,0.25,0.25,1,"","&amp;L&amp;D &amp;T NBW&amp;C&amp;P&amp;R&amp;F",FALSE,FALSE,FALSE,FALSE,1,100,#N/A,#N/A,FALSE,FALSE,#N/A,#N/A,FALSE,FALSE}</definedName>
    <definedName name="ergfdgeg" localSheetId="1" hidden="1">{"print2",#N/A,FALSE,"D21CUSTS"}</definedName>
    <definedName name="ergfdgeg" localSheetId="17" hidden="1">{"print2",#N/A,FALSE,"D21CUSTS"}</definedName>
    <definedName name="ergfdgeg" localSheetId="30" hidden="1">{"print2",#N/A,FALSE,"D21CUSTS"}</definedName>
    <definedName name="ergfdgeg" localSheetId="31" hidden="1">{"print2",#N/A,FALSE,"D21CUSTS"}</definedName>
    <definedName name="ergfdgeg" localSheetId="19" hidden="1">{"print2",#N/A,FALSE,"D21CUSTS"}</definedName>
    <definedName name="ergfdgeg" localSheetId="7" hidden="1">{"print2",#N/A,FALSE,"D21CUSTS"}</definedName>
    <definedName name="ergfdgeg" localSheetId="0" hidden="1">{"print2",#N/A,FALSE,"D21CUSTS"}</definedName>
    <definedName name="ergfdgeg" localSheetId="10" hidden="1">{"print2",#N/A,FALSE,"D21CUSTS"}</definedName>
    <definedName name="ergfdgeg" localSheetId="12" hidden="1">{"print2",#N/A,FALSE,"D21CUSTS"}</definedName>
    <definedName name="ergfdgeg" localSheetId="9" hidden="1">{"print2",#N/A,FALSE,"D21CUSTS"}</definedName>
    <definedName name="ergfdgeg" hidden="1">{"print2",#N/A,FALSE,"D21CUSTS"}</definedName>
    <definedName name="ert" localSheetId="1" hidden="1">#REF!</definedName>
    <definedName name="ert" localSheetId="17" hidden="1">#REF!</definedName>
    <definedName name="ert" localSheetId="30" hidden="1">#REF!</definedName>
    <definedName name="ert" localSheetId="31" hidden="1">#REF!</definedName>
    <definedName name="ert" localSheetId="7" hidden="1">#REF!</definedName>
    <definedName name="ert" localSheetId="9" hidden="1">#REF!</definedName>
    <definedName name="ert" hidden="1">#REF!</definedName>
    <definedName name="ertertertet" localSheetId="1" hidden="1">{#N/A,#N/A,FALSE,"GLDwnLoad"}</definedName>
    <definedName name="ertertertet" localSheetId="17" hidden="1">{#N/A,#N/A,FALSE,"GLDwnLoad"}</definedName>
    <definedName name="ertertertet" localSheetId="30" hidden="1">{#N/A,#N/A,FALSE,"GLDwnLoad"}</definedName>
    <definedName name="ertertertet" localSheetId="31" hidden="1">{#N/A,#N/A,FALSE,"GLDwnLoad"}</definedName>
    <definedName name="ertertertet" localSheetId="19" hidden="1">{#N/A,#N/A,FALSE,"GLDwnLoad"}</definedName>
    <definedName name="ertertertet" localSheetId="7" hidden="1">{#N/A,#N/A,FALSE,"GLDwnLoad"}</definedName>
    <definedName name="ertertertet" localSheetId="0" hidden="1">{#N/A,#N/A,FALSE,"GLDwnLoad"}</definedName>
    <definedName name="ertertertet" localSheetId="10" hidden="1">{#N/A,#N/A,FALSE,"GLDwnLoad"}</definedName>
    <definedName name="ertertertet" localSheetId="12" hidden="1">{#N/A,#N/A,FALSE,"GLDwnLoad"}</definedName>
    <definedName name="ertertertet" localSheetId="9" hidden="1">{#N/A,#N/A,FALSE,"GLDwnLoad"}</definedName>
    <definedName name="ertertertet" hidden="1">{#N/A,#N/A,FALSE,"GLDwnLoad"}</definedName>
    <definedName name="ertyu" localSheetId="1" hidden="1">#REF!</definedName>
    <definedName name="ertyu" localSheetId="30" hidden="1">#REF!</definedName>
    <definedName name="ertyu" localSheetId="31" hidden="1">#REF!</definedName>
    <definedName name="ertyu" localSheetId="7" hidden="1">#REF!</definedName>
    <definedName name="ertyu" localSheetId="9" hidden="1">#REF!</definedName>
    <definedName name="ertyu" hidden="1">#REF!</definedName>
    <definedName name="esdateno.21" localSheetId="7">#REF!</definedName>
    <definedName name="esdateno.21">#REF!</definedName>
    <definedName name="etertretee" localSheetId="1" hidden="1">{#N/A,#N/A,FALSE,"GLDwnLoad"}</definedName>
    <definedName name="etertretee" localSheetId="17" hidden="1">{#N/A,#N/A,FALSE,"GLDwnLoad"}</definedName>
    <definedName name="etertretee" localSheetId="30" hidden="1">{#N/A,#N/A,FALSE,"GLDwnLoad"}</definedName>
    <definedName name="etertretee" localSheetId="31" hidden="1">{#N/A,#N/A,FALSE,"GLDwnLoad"}</definedName>
    <definedName name="etertretee" localSheetId="19" hidden="1">{#N/A,#N/A,FALSE,"GLDwnLoad"}</definedName>
    <definedName name="etertretee" localSheetId="7" hidden="1">{#N/A,#N/A,FALSE,"GLDwnLoad"}</definedName>
    <definedName name="etertretee" localSheetId="0" hidden="1">{#N/A,#N/A,FALSE,"GLDwnLoad"}</definedName>
    <definedName name="etertretee" localSheetId="10" hidden="1">{#N/A,#N/A,FALSE,"GLDwnLoad"}</definedName>
    <definedName name="etertretee" localSheetId="12" hidden="1">{#N/A,#N/A,FALSE,"GLDwnLoad"}</definedName>
    <definedName name="etertretee" localSheetId="9" hidden="1">{#N/A,#N/A,FALSE,"GLDwnLoad"}</definedName>
    <definedName name="etertretee" hidden="1">{#N/A,#N/A,FALSE,"GLDwnLoad"}</definedName>
    <definedName name="etretete" localSheetId="1" hidden="1">{"print3",#N/A,FALSE,"D21CUSTS"}</definedName>
    <definedName name="etretete" localSheetId="17" hidden="1">{"print3",#N/A,FALSE,"D21CUSTS"}</definedName>
    <definedName name="etretete" localSheetId="30" hidden="1">{"print3",#N/A,FALSE,"D21CUSTS"}</definedName>
    <definedName name="etretete" localSheetId="31" hidden="1">{"print3",#N/A,FALSE,"D21CUSTS"}</definedName>
    <definedName name="etretete" localSheetId="19" hidden="1">{"print3",#N/A,FALSE,"D21CUSTS"}</definedName>
    <definedName name="etretete" localSheetId="7" hidden="1">{"print3",#N/A,FALSE,"D21CUSTS"}</definedName>
    <definedName name="etretete" localSheetId="0" hidden="1">{"print3",#N/A,FALSE,"D21CUSTS"}</definedName>
    <definedName name="etretete" localSheetId="10" hidden="1">{"print3",#N/A,FALSE,"D21CUSTS"}</definedName>
    <definedName name="etretete" localSheetId="12" hidden="1">{"print3",#N/A,FALSE,"D21CUSTS"}</definedName>
    <definedName name="etretete" localSheetId="9" hidden="1">{"print3",#N/A,FALSE,"D21CUSTS"}</definedName>
    <definedName name="etretete" hidden="1">{"print3",#N/A,FALSE,"D21CUSTS"}</definedName>
    <definedName name="etretrtehdhe"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1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3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1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1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1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localSheetId="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rtehdhe"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wretrete"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1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3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1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1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1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localSheetId="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etwretrete"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orig"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tertet" localSheetId="1" hidden="1">{#N/A,#N/A,FALSE,"OTHERINPUTS";#N/A,#N/A,FALSE,"DITRATEINPUTS";#N/A,#N/A,FALSE,"SUPPLIEDADJINPUT";#N/A,#N/A,FALSE,"TIMINGDIFFINPUTS";#N/A,#N/A,FALSE,"COSSINPUT";#N/A,#N/A,FALSE,"BR&amp;SUPADJ."}</definedName>
    <definedName name="etrtertet" localSheetId="17" hidden="1">{#N/A,#N/A,FALSE,"OTHERINPUTS";#N/A,#N/A,FALSE,"DITRATEINPUTS";#N/A,#N/A,FALSE,"SUPPLIEDADJINPUT";#N/A,#N/A,FALSE,"TIMINGDIFFINPUTS";#N/A,#N/A,FALSE,"COSSINPUT";#N/A,#N/A,FALSE,"BR&amp;SUPADJ."}</definedName>
    <definedName name="etrtertet" localSheetId="30" hidden="1">{#N/A,#N/A,FALSE,"OTHERINPUTS";#N/A,#N/A,FALSE,"DITRATEINPUTS";#N/A,#N/A,FALSE,"SUPPLIEDADJINPUT";#N/A,#N/A,FALSE,"TIMINGDIFFINPUTS";#N/A,#N/A,FALSE,"COSSINPUT";#N/A,#N/A,FALSE,"BR&amp;SUPADJ."}</definedName>
    <definedName name="etrtertet" localSheetId="31" hidden="1">{#N/A,#N/A,FALSE,"OTHERINPUTS";#N/A,#N/A,FALSE,"DITRATEINPUTS";#N/A,#N/A,FALSE,"SUPPLIEDADJINPUT";#N/A,#N/A,FALSE,"TIMINGDIFFINPUTS";#N/A,#N/A,FALSE,"COSSINPUT";#N/A,#N/A,FALSE,"BR&amp;SUPADJ."}</definedName>
    <definedName name="etrtertet" localSheetId="19" hidden="1">{#N/A,#N/A,FALSE,"OTHERINPUTS";#N/A,#N/A,FALSE,"DITRATEINPUTS";#N/A,#N/A,FALSE,"SUPPLIEDADJINPUT";#N/A,#N/A,FALSE,"TIMINGDIFFINPUTS";#N/A,#N/A,FALSE,"COSSINPUT";#N/A,#N/A,FALSE,"BR&amp;SUPADJ."}</definedName>
    <definedName name="etrtertet" localSheetId="7" hidden="1">{#N/A,#N/A,FALSE,"OTHERINPUTS";#N/A,#N/A,FALSE,"DITRATEINPUTS";#N/A,#N/A,FALSE,"SUPPLIEDADJINPUT";#N/A,#N/A,FALSE,"TIMINGDIFFINPUTS";#N/A,#N/A,FALSE,"COSSINPUT";#N/A,#N/A,FALSE,"BR&amp;SUPADJ."}</definedName>
    <definedName name="etrtertet" localSheetId="0" hidden="1">{#N/A,#N/A,FALSE,"OTHERINPUTS";#N/A,#N/A,FALSE,"DITRATEINPUTS";#N/A,#N/A,FALSE,"SUPPLIEDADJINPUT";#N/A,#N/A,FALSE,"TIMINGDIFFINPUTS";#N/A,#N/A,FALSE,"COSSINPUT";#N/A,#N/A,FALSE,"BR&amp;SUPADJ."}</definedName>
    <definedName name="etrtertet" localSheetId="10" hidden="1">{#N/A,#N/A,FALSE,"OTHERINPUTS";#N/A,#N/A,FALSE,"DITRATEINPUTS";#N/A,#N/A,FALSE,"SUPPLIEDADJINPUT";#N/A,#N/A,FALSE,"TIMINGDIFFINPUTS";#N/A,#N/A,FALSE,"COSSINPUT";#N/A,#N/A,FALSE,"BR&amp;SUPADJ."}</definedName>
    <definedName name="etrtertet" localSheetId="12" hidden="1">{#N/A,#N/A,FALSE,"OTHERINPUTS";#N/A,#N/A,FALSE,"DITRATEINPUTS";#N/A,#N/A,FALSE,"SUPPLIEDADJINPUT";#N/A,#N/A,FALSE,"TIMINGDIFFINPUTS";#N/A,#N/A,FALSE,"COSSINPUT";#N/A,#N/A,FALSE,"BR&amp;SUPADJ."}</definedName>
    <definedName name="etrtertet" localSheetId="9" hidden="1">{#N/A,#N/A,FALSE,"OTHERINPUTS";#N/A,#N/A,FALSE,"DITRATEINPUTS";#N/A,#N/A,FALSE,"SUPPLIEDADJINPUT";#N/A,#N/A,FALSE,"TIMINGDIFFINPUTS";#N/A,#N/A,FALSE,"COSSINPUT";#N/A,#N/A,FALSE,"BR&amp;SUPADJ."}</definedName>
    <definedName name="etrtertet" hidden="1">{#N/A,#N/A,FALSE,"OTHERINPUTS";#N/A,#N/A,FALSE,"DITRATEINPUTS";#N/A,#N/A,FALSE,"SUPPLIEDADJINPUT";#N/A,#N/A,FALSE,"TIMINGDIFFINPUTS";#N/A,#N/A,FALSE,"COSSINPUT";#N/A,#N/A,FALSE,"BR&amp;SUPADJ."}</definedName>
    <definedName name="etrtete" localSheetId="1" hidden="1">{#N/A,#N/A,FALSE,"OTHERINPUTS";#N/A,#N/A,FALSE,"SUPPLIEDADJINPUT";#N/A,#N/A,FALSE,"BR&amp;SUPADJ."}</definedName>
    <definedName name="etrtete" localSheetId="17" hidden="1">{#N/A,#N/A,FALSE,"OTHERINPUTS";#N/A,#N/A,FALSE,"SUPPLIEDADJINPUT";#N/A,#N/A,FALSE,"BR&amp;SUPADJ."}</definedName>
    <definedName name="etrtete" localSheetId="30" hidden="1">{#N/A,#N/A,FALSE,"OTHERINPUTS";#N/A,#N/A,FALSE,"SUPPLIEDADJINPUT";#N/A,#N/A,FALSE,"BR&amp;SUPADJ."}</definedName>
    <definedName name="etrtete" localSheetId="31" hidden="1">{#N/A,#N/A,FALSE,"OTHERINPUTS";#N/A,#N/A,FALSE,"SUPPLIEDADJINPUT";#N/A,#N/A,FALSE,"BR&amp;SUPADJ."}</definedName>
    <definedName name="etrtete" localSheetId="19" hidden="1">{#N/A,#N/A,FALSE,"OTHERINPUTS";#N/A,#N/A,FALSE,"SUPPLIEDADJINPUT";#N/A,#N/A,FALSE,"BR&amp;SUPADJ."}</definedName>
    <definedName name="etrtete" localSheetId="7" hidden="1">{#N/A,#N/A,FALSE,"OTHERINPUTS";#N/A,#N/A,FALSE,"SUPPLIEDADJINPUT";#N/A,#N/A,FALSE,"BR&amp;SUPADJ."}</definedName>
    <definedName name="etrtete" localSheetId="0" hidden="1">{#N/A,#N/A,FALSE,"OTHERINPUTS";#N/A,#N/A,FALSE,"SUPPLIEDADJINPUT";#N/A,#N/A,FALSE,"BR&amp;SUPADJ."}</definedName>
    <definedName name="etrtete" localSheetId="10" hidden="1">{#N/A,#N/A,FALSE,"OTHERINPUTS";#N/A,#N/A,FALSE,"SUPPLIEDADJINPUT";#N/A,#N/A,FALSE,"BR&amp;SUPADJ."}</definedName>
    <definedName name="etrtete" localSheetId="12" hidden="1">{#N/A,#N/A,FALSE,"OTHERINPUTS";#N/A,#N/A,FALSE,"SUPPLIEDADJINPUT";#N/A,#N/A,FALSE,"BR&amp;SUPADJ."}</definedName>
    <definedName name="etrtete" localSheetId="9" hidden="1">{#N/A,#N/A,FALSE,"OTHERINPUTS";#N/A,#N/A,FALSE,"SUPPLIEDADJINPUT";#N/A,#N/A,FALSE,"BR&amp;SUPADJ."}</definedName>
    <definedName name="etrtete" hidden="1">{#N/A,#N/A,FALSE,"OTHERINPUTS";#N/A,#N/A,FALSE,"SUPPLIEDADJINPUT";#N/A,#N/A,FALSE,"BR&amp;SUPADJ."}</definedName>
    <definedName name="ev.Calculation" localSheetId="1" hidden="1">-4105</definedName>
    <definedName name="ev.Calculation" localSheetId="7" hidden="1">-4105</definedName>
    <definedName name="ev.Calculation" localSheetId="0" hidden="1">-4105</definedName>
    <definedName name="ev.Calculation" localSheetId="9" hidden="1">-4105</definedName>
    <definedName name="ev.Calculation" hidden="1">-4135</definedName>
    <definedName name="ev.Initialized" hidden="1">FALSE</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localSheetId="1" hidden="1">1</definedName>
    <definedName name="EV__EXPOPTIONS__" localSheetId="7" hidden="1">1</definedName>
    <definedName name="EV__EXPOPTIONS__" localSheetId="0" hidden="1">1</definedName>
    <definedName name="EV__EXPOPTIONS__" localSheetId="9" hidden="1">1</definedName>
    <definedName name="EV__EXPOPTIONS__" hidden="1">0</definedName>
    <definedName name="EV__LASTREFTIME__" localSheetId="1" hidden="1">39198.5712152778</definedName>
    <definedName name="EV__LASTREFTIME__" localSheetId="7" hidden="1">39198.5712152778</definedName>
    <definedName name="EV__LASTREFTIME__" localSheetId="0" hidden="1">39198.5712152778</definedName>
    <definedName name="EV__LASTREFTIME__" localSheetId="9" hidden="1">39198.5712152778</definedName>
    <definedName name="EV__LASTREFTIME__" hidden="1">38693.6935185185</definedName>
    <definedName name="EV__LOCKEDCVW__BGE_FP" hidden="1">"INCOMESTATEMENT,ACTUAL,ALL_COMPANIES,NO_ORG,TOTALADJ,2002.TOTAL,PERIODIC,"</definedName>
    <definedName name="EV__LOCKEDCVW__CAPITAL" hidden="1">"ACTUAL,3XXXXX,CAPITAL_EXP_TYPES,MAJOR_CATEGORY,FACTORS,TOTAL_PORTFOLIO,2002.TOTAL,PERIODIC,"</definedName>
    <definedName name="EV__LOCKEDCVW__CPA" hidden="1">"O_M,ALL_ACTIVITIES,ACTUAL,ALL_SPENDERS,ALL_EXPTYPES,ALL_PROCESSES,OM_MAJOR_CATEGORY,2005.TOTAL,PERIODIC,"</definedName>
    <definedName name="EV__LOCKEDCVW__FINANCE" hidden="1">"Balance_Sheet,ACTUAL,All_Sources,All_Cost_Centers,All_InterCo,USD,2008.TOTAL,PERIODIC,"</definedName>
    <definedName name="EV__LOCKEDCVW__FINANCE_ETC" hidden="1">"Net_Income,ACTUAL,283,All_DS,All_InterCo,USD,2011.Sep,PERIODIC,"</definedName>
    <definedName name="EV__LOCKEDCVW__FINANCE_ETP" hidden="1">"Balance_Sheet,ACTUAL,All_Companies,All_DS,2008.TOTAL,Periodic,"</definedName>
    <definedName name="EV__LOCKEDCVW__FINANCE_HP" hidden="1">"Total_AP_Affiliates,ACTUAL,C_PROP_CONS,External,2010.Q3,YTD,"</definedName>
    <definedName name="EV__LOCKEDCVW__FINANCE_REG" hidden="1">"Balance_Sheet,ACTUAL,ALL_COMPANIES,All_DS,All_InterCo,2008.TOTAL,Periodic,"</definedName>
    <definedName name="EV__LOCKEDCVW__FINANCE_RGNC" hidden="1">"RGNC_Balance_Sheet,ACTUAL,RGNCGPLP_CONSOL,All_DS,All_InterCo,All_Orders,2010.TOTAL,PERIODIC,"</definedName>
    <definedName name="EV__LOCKEDCVW__FINANCIALREPORTING" hidden="1">"Total_Partner_Equity,ACTUAL,c0060,All_Sources,All_Cost_Centers,2008.SEP,YTD,"</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HCM_ETC" hidden="1">"MeritIncreasePct,BUDGET,CC_410152,NoEmployee,2011.DEC,PERIODIC,"</definedName>
    <definedName name="EV__LOCKEDCVW__HCM_REG" hidden="1">"TotalLabor_NoDet,BUDGETINPUT,OPSENG_DEPTS,AllEmployees,2010.TOTAL,PERIODIC,"</definedName>
    <definedName name="EV__LOCKEDCVW__LEGALAPP" hidden="1">"BalanceSheet,F_ERR,ACTUAL,C_CGGROUP,All_InterCo,CGGROUP,2005.TOTAL,All_Sources,PERIODIC,"</definedName>
    <definedName name="EV__LOCKEDCVW__LRATE" hidden="1">"ACTUAL,DZD,Avg,Global,2005.TOTAL,PERIODIC,"</definedName>
    <definedName name="EV__LOCKEDCVW__MARGINPLANNING_ETC" hidden="1">"11100,FCST_INPUT,MR_HPL,ALL_CUST,MP_Amount,All_InterCo,ALL_SRVC,2011.ANN,PERIODIC,"</definedName>
    <definedName name="EV__LOCKEDCVW__OWNERSHIP" hidden="1">"ACTUAL,C_CGGROUP,All_InterCo,CGGROUP,PCON,2005.TOTAL,PERIODIC,"</definedName>
    <definedName name="EV__LOCKEDCVW__PROJECT" hidden="1">"ACTUAL,TotWithAdj,MgmtReporting,150000,AllProjects,AllRFEProjects,LC,2004.TOTAL,PERIODIC,"</definedName>
    <definedName name="EV__LOCKEDCVW__PROJECT_ETC" hidden="1">"AllProjExp,AllProjects,All_Subtype,2011.TOTAL,AllTypes,BUDGETINPUT,410,YTD,"</definedName>
    <definedName name="EV__LOCKEDCVW__PROJECT_REG" hidden="1">"ProjectTotal,BUDGETINPUT,EAST,AllProjects,PIPELINE_INTEGRITY,2011.TOTAL,AllTypes,PERIODIC,"</definedName>
    <definedName name="EV__LOCKEDCVW__RATE" hidden="1">"ACTUAL,AllCurrencies,AVG,RateInput,2004.TOTAL,PERIODIC,"</definedName>
    <definedName name="EV__LOCKEDCVW__SLR" hidden="1">"2005_ORIGBUDGET,ALL_EXPTYPES,IN_UNIT,ALL_COMPANIES,ALL_EMPLOYEES,ALL_SPENDERS,2006.TOTAL,PERIODIC,"</definedName>
    <definedName name="EV__LOCKEDCVW__STAFF_PLANNING" hidden="1">"ALL_STAT_ACCOUNTS,ACTUAL,BGE_CC,ALL_EXP_RESOURCES,ALL_RESOURCES,2002.TOTAL,PERIODIC,"</definedName>
    <definedName name="EV__LOCKSTATUS__" localSheetId="1" hidden="1">1</definedName>
    <definedName name="EV__LOCKSTATUS__" localSheetId="7" hidden="1">1</definedName>
    <definedName name="EV__LOCKSTATUS__" localSheetId="0" hidden="1">1</definedName>
    <definedName name="EV__LOCKSTATUS__" localSheetId="9" hidden="1">1</definedName>
    <definedName name="EV__LOCKSTATUS__" hidden="1">4</definedName>
    <definedName name="EV__MAXEXPCOLS__" hidden="1">100</definedName>
    <definedName name="EV__MAXEXPROWS__" localSheetId="1" hidden="1">20000</definedName>
    <definedName name="EV__MAXEXPROWS__" localSheetId="7" hidden="1">20000</definedName>
    <definedName name="EV__MAXEXPROWS__" localSheetId="0" hidden="1">20000</definedName>
    <definedName name="EV__MAXEXPROWS__" localSheetId="9" hidden="1">20000</definedName>
    <definedName name="EV__MAXEXPROWS__" hidden="1">1000</definedName>
    <definedName name="EV__MEMORYCVW__" hidden="1">0</definedName>
    <definedName name="EV__WBEVMODE__" localSheetId="1" hidden="1">0</definedName>
    <definedName name="EV__WBEVMODE__" localSheetId="7" hidden="1">0</definedName>
    <definedName name="EV__WBEVMODE__" localSheetId="0" hidden="1">0</definedName>
    <definedName name="EV__WBEVMODE__" localSheetId="9" hidden="1">0</definedName>
    <definedName name="EV__WBEVMODE__" hidden="1">1</definedName>
    <definedName name="EV__WBREFOPTIONS__" localSheetId="1" hidden="1">134217799</definedName>
    <definedName name="EV__WBREFOPTIONS__" localSheetId="7" hidden="1">134217799</definedName>
    <definedName name="EV__WBREFOPTIONS__" localSheetId="0" hidden="1">134217799</definedName>
    <definedName name="EV__WBREFOPTIONS__" localSheetId="9" hidden="1">134217799</definedName>
    <definedName name="EV__WBREFOPTIONS__" hidden="1">134217743</definedName>
    <definedName name="EV__WBVERSION__" hidden="1">0</definedName>
    <definedName name="EV__WSINFO__" hidden="1">"osoft"</definedName>
    <definedName name="ewqwe" localSheetId="1" hidden="1">#REF!</definedName>
    <definedName name="ewqwe" localSheetId="30" hidden="1">#REF!</definedName>
    <definedName name="ewqwe" localSheetId="31" hidden="1">#REF!</definedName>
    <definedName name="ewqwe" localSheetId="7" hidden="1">#REF!</definedName>
    <definedName name="ewqwe" localSheetId="9" hidden="1">#REF!</definedName>
    <definedName name="ewqwe" hidden="1">#REF!</definedName>
    <definedName name="exdate" localSheetId="7">#REF!</definedName>
    <definedName name="exdate">#REF!</definedName>
    <definedName name="EXECCOMP" localSheetId="7">#REF!</definedName>
    <definedName name="EXECCOMP">#REF!</definedName>
    <definedName name="EXH1A">#REF!</definedName>
    <definedName name="exhb_capm_coc">#REF!</definedName>
    <definedName name="exhb_capm_roe">#REF!</definedName>
    <definedName name="ExistingRates">#REF!</definedName>
    <definedName name="exp.div.a">#REF!</definedName>
    <definedName name="exp.div.b">#REF!</definedName>
    <definedName name="exproe">#REF!</definedName>
    <definedName name="Extra_Pay" localSheetId="7">#REF!</definedName>
    <definedName name="Extra_Pay" localSheetId="10">#REF!</definedName>
    <definedName name="Extra_Pay">#REF!</definedName>
    <definedName name="f" localSheetId="1" hidden="1">#REF!</definedName>
    <definedName name="f" localSheetId="31" hidden="1">#REF!</definedName>
    <definedName name="f" localSheetId="7" hidden="1">#REF!</definedName>
    <definedName name="f" localSheetId="9" hidden="1">#REF!</definedName>
    <definedName name="f" hidden="1">#REF!</definedName>
    <definedName name="FC.CE" localSheetId="10">#REF!</definedName>
    <definedName name="FC.CE">#REF!</definedName>
    <definedName name="fdafafdfdafdfafds" localSheetId="19" hidden="1">#REF!</definedName>
    <definedName name="fdafafdfdafdfafds" hidden="1">#REF!</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s" localSheetId="7" hidden="1">{"CASHFLOW",#N/A,FALSE,"CF";"TAX",#N/A,FALSE,"CF"}</definedName>
    <definedName name="fds" localSheetId="10" hidden="1">{"CASHFLOW",#N/A,FALSE,"CF";"TAX",#N/A,FALSE,"CF"}</definedName>
    <definedName name="fds" localSheetId="12" hidden="1">{"CASHFLOW",#N/A,FALSE,"CF";"TAX",#N/A,FALSE,"CF"}</definedName>
    <definedName name="fds" hidden="1">{"CASHFLOW",#N/A,FALSE,"CF";"TAX",#N/A,FALSE,"CF"}</definedName>
    <definedName name="fdsa" localSheetId="7" hidden="1">{"Contracts",#N/A,FALSE,"Contracts";"cccont",#N/A,FALSE,"Contracts"}</definedName>
    <definedName name="fdsa" localSheetId="10" hidden="1">{"Contracts",#N/A,FALSE,"Contracts";"cccont",#N/A,FALSE,"Contracts"}</definedName>
    <definedName name="fdsa" localSheetId="12" hidden="1">{"Contracts",#N/A,FALSE,"Contracts";"cccont",#N/A,FALSE,"Contracts"}</definedName>
    <definedName name="fdsa" hidden="1">{"Contracts",#N/A,FALSE,"Contracts";"cccont",#N/A,FALSE,"Contracts"}</definedName>
    <definedName name="fdv" localSheetId="1" hidden="1">#REF!</definedName>
    <definedName name="fdv" localSheetId="30" hidden="1">#REF!</definedName>
    <definedName name="fdv" localSheetId="31" hidden="1">#REF!</definedName>
    <definedName name="fdv" localSheetId="7" hidden="1">#REF!</definedName>
    <definedName name="fdv" localSheetId="9" hidden="1">#REF!</definedName>
    <definedName name="fdv" hidden="1">#REF!</definedName>
    <definedName name="fer" localSheetId="7" hidden="1">{2;#N/A;"R13C16:R17C16";#N/A;"R13C14:R17C15";FALSE;FALSE;FALSE;95;#N/A;#N/A;"R13C19";#N/A;FALSE;FALSE;FALSE;FALSE;#N/A;"";#N/A;FALSE;"";"";#N/A;#N/A;#N/A}</definedName>
    <definedName name="fer" localSheetId="10" hidden="1">{2;#N/A;"R13C16:R17C16";#N/A;"R13C14:R17C15";FALSE;FALSE;FALSE;95;#N/A;#N/A;"R13C19";#N/A;FALSE;FALSE;FALSE;FALSE;#N/A;"";#N/A;FALSE;"";"";#N/A;#N/A;#N/A}</definedName>
    <definedName name="fer" localSheetId="12" hidden="1">{2;#N/A;"R13C16:R17C16";#N/A;"R13C14:R17C15";FALSE;FALSE;FALSE;95;#N/A;#N/A;"R13C19";#N/A;FALSE;FALSE;FALSE;FALSE;#N/A;"";#N/A;FALSE;"";"";#N/A;#N/A;#N/A}</definedName>
    <definedName name="fer" hidden="1">{2;#N/A;"R13C16:R17C16";#N/A;"R13C14:R17C15";FALSE;FALSE;FALSE;95;#N/A;#N/A;"R13C19";#N/A;FALSE;FALSE;FALSE;FALSE;#N/A;"";#N/A;FALSE;"";"";#N/A;#N/A;#N/A}</definedName>
    <definedName name="ff" localSheetId="1" hidden="1">#REF!</definedName>
    <definedName name="ff" localSheetId="30" hidden="1">#REF!</definedName>
    <definedName name="ff" localSheetId="31" hidden="1">#REF!</definedName>
    <definedName name="ff" localSheetId="7" hidden="1">#REF!</definedName>
    <definedName name="ff" localSheetId="9" hidden="1">#REF!</definedName>
    <definedName name="ff" hidden="1">#REF!</definedName>
    <definedName name="fff" localSheetId="1" hidden="1">#REF!</definedName>
    <definedName name="fff" localSheetId="30" hidden="1">#REF!</definedName>
    <definedName name="fff" localSheetId="31" hidden="1">#REF!</definedName>
    <definedName name="fff" localSheetId="7" hidden="1">#REF!</definedName>
    <definedName name="fff" localSheetId="9" hidden="1">#REF!</definedName>
    <definedName name="fff" hidden="1">#REF!</definedName>
    <definedName name="fffff" localSheetId="30" hidden="1">#REF!</definedName>
    <definedName name="fffff" localSheetId="31" hidden="1">#REF!</definedName>
    <definedName name="fffff" localSheetId="7" hidden="1">#REF!</definedName>
    <definedName name="fffff" hidden="1">#REF!</definedName>
    <definedName name="ffffff" localSheetId="31" hidden="1">#REF!</definedName>
    <definedName name="ffffff" localSheetId="7" hidden="1">#REF!</definedName>
    <definedName name="ffffff" hidden="1">#REF!</definedName>
    <definedName name="fffffffffffffffffffff" localSheetId="31" hidden="1">#REF!</definedName>
    <definedName name="fffffffffffffffffffff" localSheetId="7" hidden="1">#REF!</definedName>
    <definedName name="fffffffffffffffffffff" hidden="1">#REF!</definedName>
    <definedName name="ffggfgfgf" localSheetId="1" hidden="1">{#N/A,#N/A,FALSE,"SCA";#N/A,#N/A,FALSE,"NCA";#N/A,#N/A,FALSE,"SAZ";#N/A,#N/A,FALSE,"CAZ";#N/A,#N/A,FALSE,"SNV";#N/A,#N/A,FALSE,"NNV";#N/A,#N/A,FALSE,"PP";#N/A,#N/A,FALSE,"SA"}</definedName>
    <definedName name="ffggfgfgf" localSheetId="17" hidden="1">{#N/A,#N/A,FALSE,"SCA";#N/A,#N/A,FALSE,"NCA";#N/A,#N/A,FALSE,"SAZ";#N/A,#N/A,FALSE,"CAZ";#N/A,#N/A,FALSE,"SNV";#N/A,#N/A,FALSE,"NNV";#N/A,#N/A,FALSE,"PP";#N/A,#N/A,FALSE,"SA"}</definedName>
    <definedName name="ffggfgfgf" localSheetId="30" hidden="1">{#N/A,#N/A,FALSE,"SCA";#N/A,#N/A,FALSE,"NCA";#N/A,#N/A,FALSE,"SAZ";#N/A,#N/A,FALSE,"CAZ";#N/A,#N/A,FALSE,"SNV";#N/A,#N/A,FALSE,"NNV";#N/A,#N/A,FALSE,"PP";#N/A,#N/A,FALSE,"SA"}</definedName>
    <definedName name="ffggfgfgf" localSheetId="31" hidden="1">{#N/A,#N/A,FALSE,"SCA";#N/A,#N/A,FALSE,"NCA";#N/A,#N/A,FALSE,"SAZ";#N/A,#N/A,FALSE,"CAZ";#N/A,#N/A,FALSE,"SNV";#N/A,#N/A,FALSE,"NNV";#N/A,#N/A,FALSE,"PP";#N/A,#N/A,FALSE,"SA"}</definedName>
    <definedName name="ffggfgfgf" localSheetId="19" hidden="1">{#N/A,#N/A,FALSE,"SCA";#N/A,#N/A,FALSE,"NCA";#N/A,#N/A,FALSE,"SAZ";#N/A,#N/A,FALSE,"CAZ";#N/A,#N/A,FALSE,"SNV";#N/A,#N/A,FALSE,"NNV";#N/A,#N/A,FALSE,"PP";#N/A,#N/A,FALSE,"SA"}</definedName>
    <definedName name="ffggfgfgf" localSheetId="7" hidden="1">{#N/A,#N/A,FALSE,"SCA";#N/A,#N/A,FALSE,"NCA";#N/A,#N/A,FALSE,"SAZ";#N/A,#N/A,FALSE,"CAZ";#N/A,#N/A,FALSE,"SNV";#N/A,#N/A,FALSE,"NNV";#N/A,#N/A,FALSE,"PP";#N/A,#N/A,FALSE,"SA"}</definedName>
    <definedName name="ffggfgfgf" localSheetId="0" hidden="1">{#N/A,#N/A,FALSE,"SCA";#N/A,#N/A,FALSE,"NCA";#N/A,#N/A,FALSE,"SAZ";#N/A,#N/A,FALSE,"CAZ";#N/A,#N/A,FALSE,"SNV";#N/A,#N/A,FALSE,"NNV";#N/A,#N/A,FALSE,"PP";#N/A,#N/A,FALSE,"SA"}</definedName>
    <definedName name="ffggfgfgf" localSheetId="10" hidden="1">{#N/A,#N/A,FALSE,"SCA";#N/A,#N/A,FALSE,"NCA";#N/A,#N/A,FALSE,"SAZ";#N/A,#N/A,FALSE,"CAZ";#N/A,#N/A,FALSE,"SNV";#N/A,#N/A,FALSE,"NNV";#N/A,#N/A,FALSE,"PP";#N/A,#N/A,FALSE,"SA"}</definedName>
    <definedName name="ffggfgfgf" localSheetId="12" hidden="1">{#N/A,#N/A,FALSE,"SCA";#N/A,#N/A,FALSE,"NCA";#N/A,#N/A,FALSE,"SAZ";#N/A,#N/A,FALSE,"CAZ";#N/A,#N/A,FALSE,"SNV";#N/A,#N/A,FALSE,"NNV";#N/A,#N/A,FALSE,"PP";#N/A,#N/A,FALSE,"SA"}</definedName>
    <definedName name="ffggfgfgf" localSheetId="9" hidden="1">{#N/A,#N/A,FALSE,"SCA";#N/A,#N/A,FALSE,"NCA";#N/A,#N/A,FALSE,"SAZ";#N/A,#N/A,FALSE,"CAZ";#N/A,#N/A,FALSE,"SNV";#N/A,#N/A,FALSE,"NNV";#N/A,#N/A,FALSE,"PP";#N/A,#N/A,FALSE,"SA"}</definedName>
    <definedName name="ffggfgfgf" hidden="1">{#N/A,#N/A,FALSE,"SCA";#N/A,#N/A,FALSE,"NCA";#N/A,#N/A,FALSE,"SAZ";#N/A,#N/A,FALSE,"CAZ";#N/A,#N/A,FALSE,"SNV";#N/A,#N/A,FALSE,"NNV";#N/A,#N/A,FALSE,"PP";#N/A,#N/A,FALSE,"SA"}</definedName>
    <definedName name="ffkf" localSheetId="1" hidden="1">#REF!</definedName>
    <definedName name="ffkf" localSheetId="30" hidden="1">#REF!</definedName>
    <definedName name="ffkf" localSheetId="31" hidden="1">#REF!</definedName>
    <definedName name="ffkf" localSheetId="7" hidden="1">#REF!</definedName>
    <definedName name="ffkf" localSheetId="9" hidden="1">#REF!</definedName>
    <definedName name="ffkf" hidden="1">#REF!</definedName>
    <definedName name="fhjmyuu" localSheetId="1" hidden="1">{"print1",#N/A,FALSE,"D21CUSTS";"print2",#N/A,FALSE,"D21CUSTS";"print3",#N/A,FALSE,"D21CUSTS";"print4",#N/A,FALSE,"D21CUSTS"}</definedName>
    <definedName name="fhjmyuu" localSheetId="17" hidden="1">{"print1",#N/A,FALSE,"D21CUSTS";"print2",#N/A,FALSE,"D21CUSTS";"print3",#N/A,FALSE,"D21CUSTS";"print4",#N/A,FALSE,"D21CUSTS"}</definedName>
    <definedName name="fhjmyuu" localSheetId="30" hidden="1">{"print1",#N/A,FALSE,"D21CUSTS";"print2",#N/A,FALSE,"D21CUSTS";"print3",#N/A,FALSE,"D21CUSTS";"print4",#N/A,FALSE,"D21CUSTS"}</definedName>
    <definedName name="fhjmyuu" localSheetId="31" hidden="1">{"print1",#N/A,FALSE,"D21CUSTS";"print2",#N/A,FALSE,"D21CUSTS";"print3",#N/A,FALSE,"D21CUSTS";"print4",#N/A,FALSE,"D21CUSTS"}</definedName>
    <definedName name="fhjmyuu" localSheetId="19" hidden="1">{"print1",#N/A,FALSE,"D21CUSTS";"print2",#N/A,FALSE,"D21CUSTS";"print3",#N/A,FALSE,"D21CUSTS";"print4",#N/A,FALSE,"D21CUSTS"}</definedName>
    <definedName name="fhjmyuu" localSheetId="7" hidden="1">{"print1",#N/A,FALSE,"D21CUSTS";"print2",#N/A,FALSE,"D21CUSTS";"print3",#N/A,FALSE,"D21CUSTS";"print4",#N/A,FALSE,"D21CUSTS"}</definedName>
    <definedName name="fhjmyuu" localSheetId="0" hidden="1">{"print1",#N/A,FALSE,"D21CUSTS";"print2",#N/A,FALSE,"D21CUSTS";"print3",#N/A,FALSE,"D21CUSTS";"print4",#N/A,FALSE,"D21CUSTS"}</definedName>
    <definedName name="fhjmyuu" localSheetId="10" hidden="1">{"print1",#N/A,FALSE,"D21CUSTS";"print2",#N/A,FALSE,"D21CUSTS";"print3",#N/A,FALSE,"D21CUSTS";"print4",#N/A,FALSE,"D21CUSTS"}</definedName>
    <definedName name="fhjmyuu" localSheetId="12" hidden="1">{"print1",#N/A,FALSE,"D21CUSTS";"print2",#N/A,FALSE,"D21CUSTS";"print3",#N/A,FALSE,"D21CUSTS";"print4",#N/A,FALSE,"D21CUSTS"}</definedName>
    <definedName name="fhjmyuu" localSheetId="9" hidden="1">{"print1",#N/A,FALSE,"D21CUSTS";"print2",#N/A,FALSE,"D21CUSTS";"print3",#N/A,FALSE,"D21CUSTS";"print4",#N/A,FALSE,"D21CUSTS"}</definedName>
    <definedName name="fhjmyuu" hidden="1">{"print1",#N/A,FALSE,"D21CUSTS";"print2",#N/A,FALSE,"D21CUSTS";"print3",#N/A,FALSE,"D21CUSTS";"print4",#N/A,FALSE,"D21CUSTS"}</definedName>
    <definedName name="FICA">#REF!</definedName>
    <definedName name="FICARate">#REF!</definedName>
    <definedName name="Finance__WSC.Work.Papers.WSC.Other.Prepayments" localSheetId="7">#REF!</definedName>
    <definedName name="Finance__WSC.Work.Papers.WSC.Other.Prepayments" localSheetId="10">#REF!</definedName>
    <definedName name="Finance__WSC.Work.Papers.WSC.Other.Prepayments">#REF!</definedName>
    <definedName name="First.Conflict" localSheetId="1" hidden="1">{#N/A,#N/A,TRUE,"1 (2)";#N/A,#N/A,TRUE,"2";#N/A,#N/A,TRUE,"3"}</definedName>
    <definedName name="First.Conflict" localSheetId="17" hidden="1">{#N/A,#N/A,TRUE,"1 (2)";#N/A,#N/A,TRUE,"2";#N/A,#N/A,TRUE,"3"}</definedName>
    <definedName name="First.Conflict" localSheetId="30" hidden="1">{#N/A,#N/A,TRUE,"1 (2)";#N/A,#N/A,TRUE,"2";#N/A,#N/A,TRUE,"3"}</definedName>
    <definedName name="First.Conflict" localSheetId="31" hidden="1">{#N/A,#N/A,TRUE,"1 (2)";#N/A,#N/A,TRUE,"2";#N/A,#N/A,TRUE,"3"}</definedName>
    <definedName name="First.Conflict" localSheetId="19" hidden="1">{#N/A,#N/A,TRUE,"1 (2)";#N/A,#N/A,TRUE,"2";#N/A,#N/A,TRUE,"3"}</definedName>
    <definedName name="First.Conflict" localSheetId="7" hidden="1">{#N/A,#N/A,TRUE,"1 (2)";#N/A,#N/A,TRUE,"2";#N/A,#N/A,TRUE,"3"}</definedName>
    <definedName name="First.Conflict" localSheetId="0" hidden="1">{#N/A,#N/A,TRUE,"1 (2)";#N/A,#N/A,TRUE,"2";#N/A,#N/A,TRUE,"3"}</definedName>
    <definedName name="First.Conflict" localSheetId="10" hidden="1">{#N/A,#N/A,TRUE,"1 (2)";#N/A,#N/A,TRUE,"2";#N/A,#N/A,TRUE,"3"}</definedName>
    <definedName name="First.Conflict" localSheetId="12" hidden="1">{#N/A,#N/A,TRUE,"1 (2)";#N/A,#N/A,TRUE,"2";#N/A,#N/A,TRUE,"3"}</definedName>
    <definedName name="First.Conflict" localSheetId="9" hidden="1">{#N/A,#N/A,TRUE,"1 (2)";#N/A,#N/A,TRUE,"2";#N/A,#N/A,TRUE,"3"}</definedName>
    <definedName name="First.Conflict" hidden="1">{#N/A,#N/A,TRUE,"1 (2)";#N/A,#N/A,TRUE,"2";#N/A,#N/A,TRUE,"3"}</definedName>
    <definedName name="First.conflict2" localSheetId="1" hidden="1">{#N/A,#N/A,TRUE,"1 (2)";#N/A,#N/A,TRUE,"2";#N/A,#N/A,TRUE,"3"}</definedName>
    <definedName name="First.conflict2" localSheetId="17" hidden="1">{#N/A,#N/A,TRUE,"1 (2)";#N/A,#N/A,TRUE,"2";#N/A,#N/A,TRUE,"3"}</definedName>
    <definedName name="First.conflict2" localSheetId="30" hidden="1">{#N/A,#N/A,TRUE,"1 (2)";#N/A,#N/A,TRUE,"2";#N/A,#N/A,TRUE,"3"}</definedName>
    <definedName name="First.conflict2" localSheetId="31" hidden="1">{#N/A,#N/A,TRUE,"1 (2)";#N/A,#N/A,TRUE,"2";#N/A,#N/A,TRUE,"3"}</definedName>
    <definedName name="First.conflict2" localSheetId="19" hidden="1">{#N/A,#N/A,TRUE,"1 (2)";#N/A,#N/A,TRUE,"2";#N/A,#N/A,TRUE,"3"}</definedName>
    <definedName name="First.conflict2" localSheetId="7" hidden="1">{#N/A,#N/A,TRUE,"1 (2)";#N/A,#N/A,TRUE,"2";#N/A,#N/A,TRUE,"3"}</definedName>
    <definedName name="First.conflict2" localSheetId="0" hidden="1">{#N/A,#N/A,TRUE,"1 (2)";#N/A,#N/A,TRUE,"2";#N/A,#N/A,TRUE,"3"}</definedName>
    <definedName name="First.conflict2" localSheetId="10" hidden="1">{#N/A,#N/A,TRUE,"1 (2)";#N/A,#N/A,TRUE,"2";#N/A,#N/A,TRUE,"3"}</definedName>
    <definedName name="First.conflict2" localSheetId="12" hidden="1">{#N/A,#N/A,TRUE,"1 (2)";#N/A,#N/A,TRUE,"2";#N/A,#N/A,TRUE,"3"}</definedName>
    <definedName name="First.conflict2" localSheetId="9" hidden="1">{#N/A,#N/A,TRUE,"1 (2)";#N/A,#N/A,TRUE,"2";#N/A,#N/A,TRUE,"3"}</definedName>
    <definedName name="First.conflict2" hidden="1">{#N/A,#N/A,TRUE,"1 (2)";#N/A,#N/A,TRUE,"2";#N/A,#N/A,TRUE,"3"}</definedName>
    <definedName name="First.Conflict2006" localSheetId="1" hidden="1">{#N/A,#N/A,TRUE,"1 (2)";#N/A,#N/A,TRUE,"2";#N/A,#N/A,TRUE,"3"}</definedName>
    <definedName name="First.Conflict2006" localSheetId="17" hidden="1">{#N/A,#N/A,TRUE,"1 (2)";#N/A,#N/A,TRUE,"2";#N/A,#N/A,TRUE,"3"}</definedName>
    <definedName name="First.Conflict2006" localSheetId="30" hidden="1">{#N/A,#N/A,TRUE,"1 (2)";#N/A,#N/A,TRUE,"2";#N/A,#N/A,TRUE,"3"}</definedName>
    <definedName name="First.Conflict2006" localSheetId="31" hidden="1">{#N/A,#N/A,TRUE,"1 (2)";#N/A,#N/A,TRUE,"2";#N/A,#N/A,TRUE,"3"}</definedName>
    <definedName name="First.Conflict2006" localSheetId="19" hidden="1">{#N/A,#N/A,TRUE,"1 (2)";#N/A,#N/A,TRUE,"2";#N/A,#N/A,TRUE,"3"}</definedName>
    <definedName name="First.Conflict2006" localSheetId="7" hidden="1">{#N/A,#N/A,TRUE,"1 (2)";#N/A,#N/A,TRUE,"2";#N/A,#N/A,TRUE,"3"}</definedName>
    <definedName name="First.Conflict2006" localSheetId="0" hidden="1">{#N/A,#N/A,TRUE,"1 (2)";#N/A,#N/A,TRUE,"2";#N/A,#N/A,TRUE,"3"}</definedName>
    <definedName name="First.Conflict2006" localSheetId="10" hidden="1">{#N/A,#N/A,TRUE,"1 (2)";#N/A,#N/A,TRUE,"2";#N/A,#N/A,TRUE,"3"}</definedName>
    <definedName name="First.Conflict2006" localSheetId="12" hidden="1">{#N/A,#N/A,TRUE,"1 (2)";#N/A,#N/A,TRUE,"2";#N/A,#N/A,TRUE,"3"}</definedName>
    <definedName name="First.Conflict2006" localSheetId="9" hidden="1">{#N/A,#N/A,TRUE,"1 (2)";#N/A,#N/A,TRUE,"2";#N/A,#N/A,TRUE,"3"}</definedName>
    <definedName name="First.Conflict2006" hidden="1">{#N/A,#N/A,TRUE,"1 (2)";#N/A,#N/A,TRUE,"2";#N/A,#N/A,TRUE,"3"}</definedName>
    <definedName name="fkfkf" localSheetId="1" hidden="1">#REF!</definedName>
    <definedName name="fkfkf" localSheetId="30" hidden="1">#REF!</definedName>
    <definedName name="fkfkf" localSheetId="31" hidden="1">#REF!</definedName>
    <definedName name="fkfkf" localSheetId="7" hidden="1">#REF!</definedName>
    <definedName name="fkfkf" localSheetId="9" hidden="1">#REF!</definedName>
    <definedName name="fkfkf" hidden="1">#REF!</definedName>
    <definedName name="FL.1" localSheetId="10">#REF!</definedName>
    <definedName name="FL.1">#REF!</definedName>
    <definedName name="FL.3" localSheetId="10">#REF!</definedName>
    <definedName name="FL.3">#REF!</definedName>
    <definedName name="FL.5" localSheetId="10">#REF!</definedName>
    <definedName name="FL.5">#REF!</definedName>
    <definedName name="FL.CE" localSheetId="10">#REF!</definedName>
    <definedName name="FL.CE">#REF!</definedName>
    <definedName name="FL.CEP" localSheetId="10">#REF!</definedName>
    <definedName name="FL.CEP">#REF!</definedName>
    <definedName name="Florida_CSR_Allocation" localSheetId="10">#REF!</definedName>
    <definedName name="Florida_CSR_Allocation">#REF!</definedName>
    <definedName name="forecast_year">#REF!</definedName>
    <definedName name="forget"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forget"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pfl" localSheetId="1" hidden="1">#REF!</definedName>
    <definedName name="fpfl" localSheetId="31" hidden="1">#REF!</definedName>
    <definedName name="fpfl" localSheetId="7" hidden="1">#REF!</definedName>
    <definedName name="fpfl" localSheetId="9" hidden="1">#REF!</definedName>
    <definedName name="fpfl" hidden="1">#REF!</definedName>
    <definedName name="FRED" localSheetId="7" hidden="1">{"SEP",#N/A,FALSE,"SEP"}</definedName>
    <definedName name="FRED" localSheetId="10" hidden="1">{"SEP",#N/A,FALSE,"SEP"}</definedName>
    <definedName name="FRED" localSheetId="12" hidden="1">{"SEP",#N/A,FALSE,"SEP"}</definedName>
    <definedName name="FRED" hidden="1">{"SEP",#N/A,FALSE,"SEP"}</definedName>
    <definedName name="FRED2" localSheetId="7" hidden="1">{"SEP",#N/A,FALSE,"SEP"}</definedName>
    <definedName name="FRED2" localSheetId="10" hidden="1">{"SEP",#N/A,FALSE,"SEP"}</definedName>
    <definedName name="FRED2" localSheetId="12" hidden="1">{"SEP",#N/A,FALSE,"SEP"}</definedName>
    <definedName name="FRED2" hidden="1">{"SEP",#N/A,FALSE,"SEP"}</definedName>
    <definedName name="FRED3" localSheetId="7" hidden="1">{"SEP",#N/A,FALSE,"SEP"}</definedName>
    <definedName name="FRED3" localSheetId="10" hidden="1">{"SEP",#N/A,FALSE,"SEP"}</definedName>
    <definedName name="FRED3" localSheetId="12" hidden="1">{"SEP",#N/A,FALSE,"SEP"}</definedName>
    <definedName name="FRED3" hidden="1">{"SEP",#N/A,FALSE,"SEP"}</definedName>
    <definedName name="Fremont" localSheetId="12">#REF!</definedName>
    <definedName name="Fremont">#REF!</definedName>
    <definedName name="fs" localSheetId="7" hidden="1">{"Contracts",#N/A,FALSE,"Contracts";"cccont",#N/A,FALSE,"Contracts"}</definedName>
    <definedName name="fs" localSheetId="10" hidden="1">{"Contracts",#N/A,FALSE,"Contracts";"cccont",#N/A,FALSE,"Contracts"}</definedName>
    <definedName name="fs" localSheetId="12" hidden="1">{"Contracts",#N/A,FALSE,"Contracts";"cccont",#N/A,FALSE,"Contracts"}</definedName>
    <definedName name="fs" hidden="1">{"Contracts",#N/A,FALSE,"Contracts";"cccont",#N/A,FALSE,"Contracts"}</definedName>
    <definedName name="fuckioff"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Cycle" localSheetId="17" hidden="1">{#N/A,#N/A,FALSE,"AltFuel"}</definedName>
    <definedName name="FuelCycle" localSheetId="30" hidden="1">{#N/A,#N/A,FALSE,"AltFuel"}</definedName>
    <definedName name="FuelCycle" localSheetId="31" hidden="1">{#N/A,#N/A,FALSE,"AltFuel"}</definedName>
    <definedName name="FuelCycle" localSheetId="19" hidden="1">{#N/A,#N/A,FALSE,"AltFuel"}</definedName>
    <definedName name="FuelCycle" localSheetId="7" hidden="1">{#N/A,#N/A,FALSE,"AltFuel"}</definedName>
    <definedName name="FuelCycle" localSheetId="0" hidden="1">{#N/A,#N/A,FALSE,"AltFuel"}</definedName>
    <definedName name="FuelCycle" localSheetId="10" hidden="1">{#N/A,#N/A,FALSE,"AltFuel"}</definedName>
    <definedName name="FuelCycle" localSheetId="12" hidden="1">{#N/A,#N/A,FALSE,"AltFuel"}</definedName>
    <definedName name="FuelCycle" localSheetId="9" hidden="1">{#N/A,#N/A,FALSE,"AltFuel"}</definedName>
    <definedName name="FuelCycle" hidden="1">{#N/A,#N/A,FALSE,"AltFuel"}</definedName>
    <definedName name="Full_Print" localSheetId="10">#REF!</definedName>
    <definedName name="Full_Print">#REF!</definedName>
    <definedName name="FUTA">#REF!</definedName>
    <definedName name="fvgbn" localSheetId="1" hidden="1">#REF!</definedName>
    <definedName name="fvgbn" localSheetId="31" hidden="1">#REF!</definedName>
    <definedName name="fvgbn" localSheetId="7" hidden="1">#REF!</definedName>
    <definedName name="fvgbn" localSheetId="9" hidden="1">#REF!</definedName>
    <definedName name="fvgbn" hidden="1">#REF!</definedName>
    <definedName name="g" localSheetId="1" hidden="1">{#N/A,#N/A,FALSE,"O&amp;M by processes";#N/A,#N/A,FALSE,"Elec Act vs Bud";#N/A,#N/A,FALSE,"G&amp;A";#N/A,#N/A,FALSE,"BGS";#N/A,#N/A,FALSE,"Res Cost"}</definedName>
    <definedName name="g" localSheetId="17" hidden="1">{#N/A,#N/A,FALSE,"O&amp;M by processes";#N/A,#N/A,FALSE,"Elec Act vs Bud";#N/A,#N/A,FALSE,"G&amp;A";#N/A,#N/A,FALSE,"BGS";#N/A,#N/A,FALSE,"Res Cost"}</definedName>
    <definedName name="g" localSheetId="30" hidden="1">{#N/A,#N/A,FALSE,"O&amp;M by processes";#N/A,#N/A,FALSE,"Elec Act vs Bud";#N/A,#N/A,FALSE,"G&amp;A";#N/A,#N/A,FALSE,"BGS";#N/A,#N/A,FALSE,"Res Cost"}</definedName>
    <definedName name="g" localSheetId="31" hidden="1">{#N/A,#N/A,FALSE,"O&amp;M by processes";#N/A,#N/A,FALSE,"Elec Act vs Bud";#N/A,#N/A,FALSE,"G&amp;A";#N/A,#N/A,FALSE,"BGS";#N/A,#N/A,FALSE,"Res Cost"}</definedName>
    <definedName name="g" localSheetId="19" hidden="1">{#N/A,#N/A,FALSE,"O&amp;M by processes";#N/A,#N/A,FALSE,"Elec Act vs Bud";#N/A,#N/A,FALSE,"G&amp;A";#N/A,#N/A,FALSE,"BGS";#N/A,#N/A,FALSE,"Res Cost"}</definedName>
    <definedName name="g" localSheetId="7" hidden="1">{#N/A,#N/A,FALSE,"O&amp;M by processes";#N/A,#N/A,FALSE,"Elec Act vs Bud";#N/A,#N/A,FALSE,"G&amp;A";#N/A,#N/A,FALSE,"BGS";#N/A,#N/A,FALSE,"Res Cost"}</definedName>
    <definedName name="g" localSheetId="0" hidden="1">{#N/A,#N/A,FALSE,"O&amp;M by processes";#N/A,#N/A,FALSE,"Elec Act vs Bud";#N/A,#N/A,FALSE,"G&amp;A";#N/A,#N/A,FALSE,"BGS";#N/A,#N/A,FALSE,"Res Cost"}</definedName>
    <definedName name="G" localSheetId="10" hidden="1">{#N/A,#N/A,FALSE,"Aging Summary";#N/A,#N/A,FALSE,"Ratio Analysis";#N/A,#N/A,FALSE,"Test 120 Day Accts";#N/A,#N/A,FALSE,"Tickmarks"}</definedName>
    <definedName name="G" localSheetId="12" hidden="1">{#N/A,#N/A,FALSE,"Aging Summary";#N/A,#N/A,FALSE,"Ratio Analysis";#N/A,#N/A,FALSE,"Test 120 Day Accts";#N/A,#N/A,FALSE,"Tickmarks"}</definedName>
    <definedName name="g" localSheetId="9" hidden="1">{#N/A,#N/A,FALSE,"O&amp;M by processes";#N/A,#N/A,FALSE,"Elec Act vs Bud";#N/A,#N/A,FALSE,"G&amp;A";#N/A,#N/A,FALSE,"BGS";#N/A,#N/A,FALSE,"Res Cost"}</definedName>
    <definedName name="G" hidden="1">{#N/A,#N/A,FALSE,"Aging Summary";#N/A,#N/A,FALSE,"Ratio Analysis";#N/A,#N/A,FALSE,"Test 120 Day Accts";#N/A,#N/A,FALSE,"Tickmarks"}</definedName>
    <definedName name="GA.1">#REF!</definedName>
    <definedName name="GA.3" localSheetId="10">#REF!</definedName>
    <definedName name="GA.3">#REF!</definedName>
    <definedName name="GA.5" localSheetId="10">#REF!</definedName>
    <definedName name="GA.5">#REF!</definedName>
    <definedName name="GA.CE" localSheetId="10">#REF!</definedName>
    <definedName name="GA.CE">#REF!</definedName>
    <definedName name="GA.CEP" localSheetId="10">#REF!</definedName>
    <definedName name="GA.CEP">#REF!</definedName>
    <definedName name="Gas.calc" localSheetId="1" hidden="1">{"ARK_JURIS_FAC",#N/A,FALSE,"Ark_Fuel&amp;Rev"}</definedName>
    <definedName name="Gas.calc" localSheetId="17" hidden="1">{"ARK_JURIS_FAC",#N/A,FALSE,"Ark_Fuel&amp;Rev"}</definedName>
    <definedName name="Gas.calc" localSheetId="30" hidden="1">{"ARK_JURIS_FAC",#N/A,FALSE,"Ark_Fuel&amp;Rev"}</definedName>
    <definedName name="Gas.calc" localSheetId="31" hidden="1">{"ARK_JURIS_FAC",#N/A,FALSE,"Ark_Fuel&amp;Rev"}</definedName>
    <definedName name="Gas.calc" localSheetId="19" hidden="1">{"ARK_JURIS_FAC",#N/A,FALSE,"Ark_Fuel&amp;Rev"}</definedName>
    <definedName name="Gas.calc" localSheetId="7" hidden="1">{"ARK_JURIS_FAC",#N/A,FALSE,"Ark_Fuel&amp;Rev"}</definedName>
    <definedName name="Gas.calc" localSheetId="0" hidden="1">{"ARK_JURIS_FAC",#N/A,FALSE,"Ark_Fuel&amp;Rev"}</definedName>
    <definedName name="Gas.calc" localSheetId="10" hidden="1">{"ARK_JURIS_FAC",#N/A,FALSE,"Ark_Fuel&amp;Rev"}</definedName>
    <definedName name="Gas.calc" localSheetId="12" hidden="1">{"ARK_JURIS_FAC",#N/A,FALSE,"Ark_Fuel&amp;Rev"}</definedName>
    <definedName name="Gas.calc" localSheetId="9" hidden="1">{"ARK_JURIS_FAC",#N/A,FALSE,"Ark_Fuel&amp;Rev"}</definedName>
    <definedName name="Gas.calc" hidden="1">{"ARK_JURIS_FAC",#N/A,FALSE,"Ark_Fuel&amp;Rev"}</definedName>
    <definedName name="gegerrtetetr" localSheetId="1" hidden="1">{#N/A,#N/A,FALSE,"GLDwnLoad"}</definedName>
    <definedName name="gegerrtetetr" localSheetId="17" hidden="1">{#N/A,#N/A,FALSE,"GLDwnLoad"}</definedName>
    <definedName name="gegerrtetetr" localSheetId="30" hidden="1">{#N/A,#N/A,FALSE,"GLDwnLoad"}</definedName>
    <definedName name="gegerrtetetr" localSheetId="31" hidden="1">{#N/A,#N/A,FALSE,"GLDwnLoad"}</definedName>
    <definedName name="gegerrtetetr" localSheetId="19" hidden="1">{#N/A,#N/A,FALSE,"GLDwnLoad"}</definedName>
    <definedName name="gegerrtetetr" localSheetId="7" hidden="1">{#N/A,#N/A,FALSE,"GLDwnLoad"}</definedName>
    <definedName name="gegerrtetetr" localSheetId="0" hidden="1">{#N/A,#N/A,FALSE,"GLDwnLoad"}</definedName>
    <definedName name="gegerrtetetr" localSheetId="10" hidden="1">{#N/A,#N/A,FALSE,"GLDwnLoad"}</definedName>
    <definedName name="gegerrtetetr" localSheetId="12" hidden="1">{#N/A,#N/A,FALSE,"GLDwnLoad"}</definedName>
    <definedName name="gegerrtetetr" localSheetId="9" hidden="1">{#N/A,#N/A,FALSE,"GLDwnLoad"}</definedName>
    <definedName name="gegerrtetetr" hidden="1">{#N/A,#N/A,FALSE,"GLDwnLoad"}</definedName>
    <definedName name="gfgfgf" localSheetId="1" hidden="1">{"pb",#N/A,FALSE,"Sheet3";"pd",#N/A,FALSE,"Sheet3";"pe",#N/A,FALSE,"Sheet3"}</definedName>
    <definedName name="gfgfgf" localSheetId="17" hidden="1">{"pb",#N/A,FALSE,"Sheet3";"pd",#N/A,FALSE,"Sheet3";"pe",#N/A,FALSE,"Sheet3"}</definedName>
    <definedName name="gfgfgf" localSheetId="30" hidden="1">{"pb",#N/A,FALSE,"Sheet3";"pd",#N/A,FALSE,"Sheet3";"pe",#N/A,FALSE,"Sheet3"}</definedName>
    <definedName name="gfgfgf" localSheetId="31" hidden="1">{"pb",#N/A,FALSE,"Sheet3";"pd",#N/A,FALSE,"Sheet3";"pe",#N/A,FALSE,"Sheet3"}</definedName>
    <definedName name="gfgfgf" localSheetId="19" hidden="1">{"pb",#N/A,FALSE,"Sheet3";"pd",#N/A,FALSE,"Sheet3";"pe",#N/A,FALSE,"Sheet3"}</definedName>
    <definedName name="gfgfgf" localSheetId="7" hidden="1">{"pb",#N/A,FALSE,"Sheet3";"pd",#N/A,FALSE,"Sheet3";"pe",#N/A,FALSE,"Sheet3"}</definedName>
    <definedName name="gfgfgf" localSheetId="0" hidden="1">{"pb",#N/A,FALSE,"Sheet3";"pd",#N/A,FALSE,"Sheet3";"pe",#N/A,FALSE,"Sheet3"}</definedName>
    <definedName name="gfgfgf" localSheetId="10" hidden="1">{"pb",#N/A,FALSE,"Sheet3";"pd",#N/A,FALSE,"Sheet3";"pe",#N/A,FALSE,"Sheet3"}</definedName>
    <definedName name="gfgfgf" localSheetId="12" hidden="1">{"pb",#N/A,FALSE,"Sheet3";"pd",#N/A,FALSE,"Sheet3";"pe",#N/A,FALSE,"Sheet3"}</definedName>
    <definedName name="gfgfgf" localSheetId="9" hidden="1">{"pb",#N/A,FALSE,"Sheet3";"pd",#N/A,FALSE,"Sheet3";"pe",#N/A,FALSE,"Sheet3"}</definedName>
    <definedName name="gfgfgf" hidden="1">{"pb",#N/A,FALSE,"Sheet3";"pd",#N/A,FALSE,"Sheet3";"pe",#N/A,FALSE,"Sheet3"}</definedName>
    <definedName name="gfhj" localSheetId="1" hidden="1">#REF!</definedName>
    <definedName name="gfhj" localSheetId="30" hidden="1">#REF!</definedName>
    <definedName name="gfhj" localSheetId="31" hidden="1">#REF!</definedName>
    <definedName name="gfhj" localSheetId="7" hidden="1">#REF!</definedName>
    <definedName name="gfhj" localSheetId="9" hidden="1">#REF!</definedName>
    <definedName name="gfhj" hidden="1">#REF!</definedName>
    <definedName name="GGG" localSheetId="7">#REF!</definedName>
    <definedName name="GGG">#REF!</definedName>
    <definedName name="gggggg" localSheetId="1" hidden="1">#REF!</definedName>
    <definedName name="gggggg" localSheetId="30" hidden="1">#REF!</definedName>
    <definedName name="gggggg" localSheetId="31" hidden="1">#REF!</definedName>
    <definedName name="gggggg" localSheetId="7" hidden="1">#REF!</definedName>
    <definedName name="gggggg" localSheetId="9" hidden="1">#REF!</definedName>
    <definedName name="gggggg" hidden="1">#REF!</definedName>
    <definedName name="gggggggggg" localSheetId="7" hidden="1">{#N/A,#N/A,FALSE,"Aging Summary";#N/A,#N/A,FALSE,"Ratio Analysis";#N/A,#N/A,FALSE,"Test 120 Day Accts";#N/A,#N/A,FALSE,"Tickmarks"}</definedName>
    <definedName name="gggggggggg" localSheetId="10" hidden="1">{#N/A,#N/A,FALSE,"Aging Summary";#N/A,#N/A,FALSE,"Ratio Analysis";#N/A,#N/A,FALSE,"Test 120 Day Accts";#N/A,#N/A,FALSE,"Tickmarks"}</definedName>
    <definedName name="gggggggggg" localSheetId="12" hidden="1">{#N/A,#N/A,FALSE,"Aging Summary";#N/A,#N/A,FALSE,"Ratio Analysis";#N/A,#N/A,FALSE,"Test 120 Day Accts";#N/A,#N/A,FALSE,"Tickmarks"}</definedName>
    <definedName name="gggggggggg" hidden="1">{#N/A,#N/A,FALSE,"Aging Summary";#N/A,#N/A,FALSE,"Ratio Analysis";#N/A,#N/A,FALSE,"Test 120 Day Accts";#N/A,#N/A,FALSE,"Tickmarks"}</definedName>
    <definedName name="ghjk" localSheetId="31" hidden="1">#REF!</definedName>
    <definedName name="ghjk" localSheetId="7" hidden="1">#REF!</definedName>
    <definedName name="ghjk" localSheetId="9" hidden="1">#REF!</definedName>
    <definedName name="ghjk" hidden="1">#REF!</definedName>
    <definedName name="gita" localSheetId="1"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30" hidden="1">{#N/A,#N/A,FALSE,"O&amp;M by processes";#N/A,#N/A,FALSE,"Elec Act vs Bud";#N/A,#N/A,FALSE,"G&amp;A";#N/A,#N/A,FALSE,"BGS";#N/A,#N/A,FALSE,"Res Cost"}</definedName>
    <definedName name="gita" localSheetId="31"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7" hidden="1">{#N/A,#N/A,FALSE,"O&amp;M by processes";#N/A,#N/A,FALSE,"Elec Act vs Bud";#N/A,#N/A,FALSE,"G&amp;A";#N/A,#N/A,FALSE,"BGS";#N/A,#N/A,FALSE,"Res Cost"}</definedName>
    <definedName name="gita" localSheetId="0" hidden="1">{#N/A,#N/A,FALSE,"O&amp;M by processes";#N/A,#N/A,FALSE,"Elec Act vs Bud";#N/A,#N/A,FALSE,"G&amp;A";#N/A,#N/A,FALSE,"BGS";#N/A,#N/A,FALSE,"Res Cost"}</definedName>
    <definedName name="gita" localSheetId="10" hidden="1">{#N/A,#N/A,FALSE,"O&amp;M by processes";#N/A,#N/A,FALSE,"Elec Act vs Bud";#N/A,#N/A,FALSE,"G&amp;A";#N/A,#N/A,FALSE,"BGS";#N/A,#N/A,FALSE,"Res Cost"}</definedName>
    <definedName name="gita" localSheetId="12"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1"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30" hidden="1">{#N/A,#N/A,FALSE,"O&amp;M by processes";#N/A,#N/A,FALSE,"Elec Act vs Bud";#N/A,#N/A,FALSE,"G&amp;A";#N/A,#N/A,FALSE,"BGS";#N/A,#N/A,FALSE,"Res Cost"}</definedName>
    <definedName name="gitah" localSheetId="31"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0" hidden="1">{#N/A,#N/A,FALSE,"O&amp;M by processes";#N/A,#N/A,FALSE,"Elec Act vs Bud";#N/A,#N/A,FALSE,"G&amp;A";#N/A,#N/A,FALSE,"BGS";#N/A,#N/A,FALSE,"Res Cost"}</definedName>
    <definedName name="gitah" localSheetId="10" hidden="1">{#N/A,#N/A,FALSE,"O&amp;M by processes";#N/A,#N/A,FALSE,"Elec Act vs Bud";#N/A,#N/A,FALSE,"G&amp;A";#N/A,#N/A,FALSE,"BGS";#N/A,#N/A,FALSE,"Res Cost"}</definedName>
    <definedName name="gitah" localSheetId="12"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hidden="1">{#N/A,#N/A,FALSE,"O&amp;M by processes";#N/A,#N/A,FALSE,"Elec Act vs Bud";#N/A,#N/A,FALSE,"G&amp;A";#N/A,#N/A,FALSE,"BGS";#N/A,#N/A,FALSE,"Res Cost"}</definedName>
    <definedName name="GN.CE">#REF!</definedName>
    <definedName name="goaway" localSheetId="1" hidden="1">{#N/A,#N/A,TRUE,"TAXPROV";#N/A,#N/A,TRUE,"FLOWTHRU";#N/A,#N/A,TRUE,"SCHEDULE M'S";#N/A,#N/A,TRUE,"PLANT M'S";#N/A,#N/A,TRUE,"TAXJE"}</definedName>
    <definedName name="goaway" localSheetId="17" hidden="1">{#N/A,#N/A,TRUE,"TAXPROV";#N/A,#N/A,TRUE,"FLOWTHRU";#N/A,#N/A,TRUE,"SCHEDULE M'S";#N/A,#N/A,TRUE,"PLANT M'S";#N/A,#N/A,TRUE,"TAXJE"}</definedName>
    <definedName name="goaway" localSheetId="30" hidden="1">{#N/A,#N/A,TRUE,"TAXPROV";#N/A,#N/A,TRUE,"FLOWTHRU";#N/A,#N/A,TRUE,"SCHEDULE M'S";#N/A,#N/A,TRUE,"PLANT M'S";#N/A,#N/A,TRUE,"TAXJE"}</definedName>
    <definedName name="goaway" localSheetId="31" hidden="1">{#N/A,#N/A,TRUE,"TAXPROV";#N/A,#N/A,TRUE,"FLOWTHRU";#N/A,#N/A,TRUE,"SCHEDULE M'S";#N/A,#N/A,TRUE,"PLANT M'S";#N/A,#N/A,TRUE,"TAXJE"}</definedName>
    <definedName name="goaway" localSheetId="19" hidden="1">{#N/A,#N/A,TRUE,"TAXPROV";#N/A,#N/A,TRUE,"FLOWTHRU";#N/A,#N/A,TRUE,"SCHEDULE M'S";#N/A,#N/A,TRUE,"PLANT M'S";#N/A,#N/A,TRUE,"TAXJE"}</definedName>
    <definedName name="goaway" localSheetId="7" hidden="1">{#N/A,#N/A,TRUE,"TAXPROV";#N/A,#N/A,TRUE,"FLOWTHRU";#N/A,#N/A,TRUE,"SCHEDULE M'S";#N/A,#N/A,TRUE,"PLANT M'S";#N/A,#N/A,TRUE,"TAXJE"}</definedName>
    <definedName name="goaway" localSheetId="0" hidden="1">{#N/A,#N/A,TRUE,"TAXPROV";#N/A,#N/A,TRUE,"FLOWTHRU";#N/A,#N/A,TRUE,"SCHEDULE M'S";#N/A,#N/A,TRUE,"PLANT M'S";#N/A,#N/A,TRUE,"TAXJE"}</definedName>
    <definedName name="goaway" localSheetId="10" hidden="1">{#N/A,#N/A,TRUE,"TAXPROV";#N/A,#N/A,TRUE,"FLOWTHRU";#N/A,#N/A,TRUE,"SCHEDULE M'S";#N/A,#N/A,TRUE,"PLANT M'S";#N/A,#N/A,TRUE,"TAXJE"}</definedName>
    <definedName name="goaway" localSheetId="12" hidden="1">{#N/A,#N/A,TRUE,"TAXPROV";#N/A,#N/A,TRUE,"FLOWTHRU";#N/A,#N/A,TRUE,"SCHEDULE M'S";#N/A,#N/A,TRUE,"PLANT M'S";#N/A,#N/A,TRUE,"TAXJE"}</definedName>
    <definedName name="goaway" localSheetId="9" hidden="1">{#N/A,#N/A,TRUE,"TAXPROV";#N/A,#N/A,TRUE,"FLOWTHRU";#N/A,#N/A,TRUE,"SCHEDULE M'S";#N/A,#N/A,TRUE,"PLANT M'S";#N/A,#N/A,TRUE,"TAXJE"}</definedName>
    <definedName name="goaway" hidden="1">{#N/A,#N/A,TRUE,"TAXPROV";#N/A,#N/A,TRUE,"FLOWTHRU";#N/A,#N/A,TRUE,"SCHEDULE M'S";#N/A,#N/A,TRUE,"PLANT M'S";#N/A,#N/A,TRUE,"TAXJE"}</definedName>
    <definedName name="GOEXP" localSheetId="12">#REF!</definedName>
    <definedName name="GOEXP">#REF!</definedName>
    <definedName name="GOEXP_PROFORMA" localSheetId="12">#REF!</definedName>
    <definedName name="GOEXP_PROFORMA">#REF!</definedName>
    <definedName name="gONE" localSheetId="12">#REF!</definedName>
    <definedName name="gONE">#REF!</definedName>
    <definedName name="gONE_3">#REF!</definedName>
    <definedName name="gONE_4">#REF!</definedName>
    <definedName name="GOPLANT">#REF!</definedName>
    <definedName name="GOPLANT_PROFORMA">#REF!</definedName>
    <definedName name="got" localSheetId="1" hidden="1">#REF!</definedName>
    <definedName name="got" localSheetId="30" hidden="1">#REF!</definedName>
    <definedName name="got" localSheetId="31" hidden="1">#REF!</definedName>
    <definedName name="got" localSheetId="7" hidden="1">#REF!</definedName>
    <definedName name="got" localSheetId="9" hidden="1">#REF!</definedName>
    <definedName name="got" hidden="1">#REF!</definedName>
    <definedName name="GROWTH" localSheetId="7">#REF!</definedName>
    <definedName name="GROWTH">#REF!</definedName>
    <definedName name="GROWTH_Table">#REF!</definedName>
    <definedName name="growth1st01">#REF!</definedName>
    <definedName name="growth1st02">#REF!</definedName>
    <definedName name="growth1st03">#REF!</definedName>
    <definedName name="growth1st04">#REF!</definedName>
    <definedName name="growth1st05">#REF!</definedName>
    <definedName name="growth1st06">#REF!</definedName>
    <definedName name="growth1st07">#REF!</definedName>
    <definedName name="growth1st08">#REF!</definedName>
    <definedName name="growth1st09">#REF!</definedName>
    <definedName name="growth1st10">#REF!</definedName>
    <definedName name="growth1st11">#REF!</definedName>
    <definedName name="growth1st12">#REF!</definedName>
    <definedName name="growth1st13">#REF!</definedName>
    <definedName name="growth1st14">#REF!</definedName>
    <definedName name="growth1st15">#REF!</definedName>
    <definedName name="growth1st16">#REF!</definedName>
    <definedName name="growth1st17">#REF!</definedName>
    <definedName name="growth1st18">#REF!</definedName>
    <definedName name="growth1st19">#REF!</definedName>
    <definedName name="growth1st20">#REF!</definedName>
    <definedName name="growth1st21">#REF!</definedName>
    <definedName name="growth1st22">#REF!</definedName>
    <definedName name="growth1st23">#REF!</definedName>
    <definedName name="growth1st24">#REF!</definedName>
    <definedName name="growth1st25">#REF!</definedName>
    <definedName name="growthnum21" localSheetId="7">#REF!</definedName>
    <definedName name="growthnum21">#REF!</definedName>
    <definedName name="GrowthSS01" localSheetId="7">#REF!</definedName>
    <definedName name="GrowthSS01">#REF!</definedName>
    <definedName name="GrowthSS02" localSheetId="7">#REF!</definedName>
    <definedName name="GrowthSS02">#REF!</definedName>
    <definedName name="GrowthSS03" localSheetId="7">#REF!</definedName>
    <definedName name="GrowthSS03">#REF!</definedName>
    <definedName name="GrowthSS04" localSheetId="7">#REF!</definedName>
    <definedName name="GrowthSS04">#REF!</definedName>
    <definedName name="GrowthSS05">#REF!</definedName>
    <definedName name="GrowthSS06">#REF!</definedName>
    <definedName name="GrowthSS07">#REF!</definedName>
    <definedName name="GrowthSS08">#REF!</definedName>
    <definedName name="GrowthSS09">#REF!</definedName>
    <definedName name="GrowthSS10">#REF!</definedName>
    <definedName name="GrowthSS11">#REF!</definedName>
    <definedName name="GrowthSS12">#REF!</definedName>
    <definedName name="GrowthSS13">#REF!</definedName>
    <definedName name="GrowthSS14">#REF!</definedName>
    <definedName name="GrowthSS15">#REF!</definedName>
    <definedName name="GrowthSS16">#REF!</definedName>
    <definedName name="GrowthSS17">#REF!</definedName>
    <definedName name="GrowthSS18">#REF!</definedName>
    <definedName name="GrowthSS19">#REF!</definedName>
    <definedName name="GrowthSS20">#REF!</definedName>
    <definedName name="GrowthSS21">#REF!</definedName>
    <definedName name="GrowthSS22">#REF!</definedName>
    <definedName name="GrowthSS23">#REF!</definedName>
    <definedName name="GrowthSS24">#REF!</definedName>
    <definedName name="GrowthSS25">#REF!</definedName>
    <definedName name="GrowthTrans01">#REF!</definedName>
    <definedName name="GrowthTrans02">#REF!</definedName>
    <definedName name="GrowthTrans03">#REF!</definedName>
    <definedName name="GrowthTrans04">#REF!</definedName>
    <definedName name="GrowthTrans05">#REF!</definedName>
    <definedName name="GrowthTrans06">#REF!</definedName>
    <definedName name="GrowthTrans07">#REF!</definedName>
    <definedName name="GrowthTrans08">#REF!</definedName>
    <definedName name="GrowthTrans09">#REF!</definedName>
    <definedName name="GrowthTrans10">#REF!</definedName>
    <definedName name="GrowthTrans11">#REF!</definedName>
    <definedName name="GrowthTrans12">#REF!</definedName>
    <definedName name="GrowthTrans13">#REF!</definedName>
    <definedName name="GrowthTrans14">#REF!</definedName>
    <definedName name="GrowthTrans15">#REF!</definedName>
    <definedName name="GrowthTrans16">#REF!</definedName>
    <definedName name="GrowthTrans17">#REF!</definedName>
    <definedName name="GrowthTrans18">#REF!</definedName>
    <definedName name="GrowthTrans19">#REF!</definedName>
    <definedName name="GrowthTrans20">#REF!</definedName>
    <definedName name="GrowthTrans21">#REF!</definedName>
    <definedName name="GrowthTrans22">#REF!</definedName>
    <definedName name="GrowthTrans23">#REF!</definedName>
    <definedName name="GrowthTrans24">#REF!</definedName>
    <definedName name="GrowthTrans25">#REF!</definedName>
    <definedName name="GT.CE" localSheetId="7">#REF!</definedName>
    <definedName name="GT.CE" localSheetId="10">#REF!</definedName>
    <definedName name="GT.CE">#REF!</definedName>
    <definedName name="H_3">#REF!</definedName>
    <definedName name="hafdhert" localSheetId="7" hidden="1">{"SEP",#N/A,FALSE,"SEP"}</definedName>
    <definedName name="hafdhert" localSheetId="10" hidden="1">{"SEP",#N/A,FALSE,"SEP"}</definedName>
    <definedName name="hafdhert" localSheetId="12" hidden="1">{"SEP",#N/A,FALSE,"SEP"}</definedName>
    <definedName name="hafdhert" hidden="1">{"SEP",#N/A,FALSE,"SEP"}</definedName>
    <definedName name="haha" localSheetId="1" hidden="1">{"OMPA_FAC",#N/A,FALSE,"OMPA FAC"}</definedName>
    <definedName name="haha" localSheetId="17" hidden="1">{"OMPA_FAC",#N/A,FALSE,"OMPA FAC"}</definedName>
    <definedName name="haha" localSheetId="30" hidden="1">{"OMPA_FAC",#N/A,FALSE,"OMPA FAC"}</definedName>
    <definedName name="haha" localSheetId="31" hidden="1">{"OMPA_FAC",#N/A,FALSE,"OMPA FAC"}</definedName>
    <definedName name="haha" localSheetId="19" hidden="1">{"OMPA_FAC",#N/A,FALSE,"OMPA FAC"}</definedName>
    <definedName name="haha" localSheetId="7" hidden="1">{"OMPA_FAC",#N/A,FALSE,"OMPA FAC"}</definedName>
    <definedName name="haha" localSheetId="0" hidden="1">{"OMPA_FAC",#N/A,FALSE,"OMPA FAC"}</definedName>
    <definedName name="haha" localSheetId="10" hidden="1">{"OMPA_FAC",#N/A,FALSE,"OMPA FAC"}</definedName>
    <definedName name="haha" localSheetId="12" hidden="1">{"OMPA_FAC",#N/A,FALSE,"OMPA FAC"}</definedName>
    <definedName name="haha" localSheetId="9" hidden="1">{"OMPA_FAC",#N/A,FALSE,"OMPA FAC"}</definedName>
    <definedName name="haha" hidden="1">{"OMPA_FAC",#N/A,FALSE,"OMPA FAC"}</definedName>
    <definedName name="half">#REF!</definedName>
    <definedName name="halves_per_year" localSheetId="10">#REF!</definedName>
    <definedName name="halves_per_year">#REF!</definedName>
    <definedName name="hatrf" localSheetId="7" hidden="1">{"SEP",#N/A,FALSE,"SEP"}</definedName>
    <definedName name="hatrf" localSheetId="10" hidden="1">{"SEP",#N/A,FALSE,"SEP"}</definedName>
    <definedName name="hatrf" localSheetId="12" hidden="1">{"SEP",#N/A,FALSE,"SEP"}</definedName>
    <definedName name="hatrf" hidden="1">{"SEP",#N/A,FALSE,"SEP"}</definedName>
    <definedName name="hd" localSheetId="7" hidden="1">{#N/A,#N/A,FALSE,"Aging Summary";#N/A,#N/A,FALSE,"Ratio Analysis";#N/A,#N/A,FALSE,"Test 120 Day Accts";#N/A,#N/A,FALSE,"Tickmarks"}</definedName>
    <definedName name="hd" localSheetId="10" hidden="1">{#N/A,#N/A,FALSE,"Aging Summary";#N/A,#N/A,FALSE,"Ratio Analysis";#N/A,#N/A,FALSE,"Test 120 Day Accts";#N/A,#N/A,FALSE,"Tickmarks"}</definedName>
    <definedName name="hd" localSheetId="12" hidden="1">{#N/A,#N/A,FALSE,"Aging Summary";#N/A,#N/A,FALSE,"Ratio Analysis";#N/A,#N/A,FALSE,"Test 120 Day Accts";#N/A,#N/A,FALSE,"Tickmarks"}</definedName>
    <definedName name="hd" hidden="1">{#N/A,#N/A,FALSE,"Aging Summary";#N/A,#N/A,FALSE,"Ratio Analysis";#N/A,#N/A,FALSE,"Test 120 Day Accts";#N/A,#N/A,FALSE,"Tickmarks"}</definedName>
    <definedName name="Header_Row">ROW(#REF!)</definedName>
    <definedName name="HealthIns">#REF!</definedName>
    <definedName name="henry">#REF!</definedName>
    <definedName name="hhhdffg"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1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3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1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1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1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localSheetId="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dffg"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hh" localSheetId="1" hidden="1">#REF!</definedName>
    <definedName name="hhhhh" localSheetId="30" hidden="1">#REF!</definedName>
    <definedName name="hhhhh" localSheetId="31" hidden="1">#REF!</definedName>
    <definedName name="hhhhh" localSheetId="7" hidden="1">#REF!</definedName>
    <definedName name="hhhhh" localSheetId="9" hidden="1">#REF!</definedName>
    <definedName name="hhhhh" hidden="1">#REF!</definedName>
    <definedName name="hi" localSheetId="7" hidden="1">{#N/A,#N/A,FALSE,"Aging Summary";#N/A,#N/A,FALSE,"Ratio Analysis";#N/A,#N/A,FALSE,"Test 120 Day Accts";#N/A,#N/A,FALSE,"Tickmarks"}</definedName>
    <definedName name="hi" localSheetId="10" hidden="1">{#N/A,#N/A,FALSE,"Aging Summary";#N/A,#N/A,FALSE,"Ratio Analysis";#N/A,#N/A,FALSE,"Test 120 Day Accts";#N/A,#N/A,FALSE,"Tickmarks"}</definedName>
    <definedName name="hi" localSheetId="12" hidden="1">{#N/A,#N/A,FALSE,"Aging Summary";#N/A,#N/A,FALSE,"Ratio Analysis";#N/A,#N/A,FALSE,"Test 120 Day Accts";#N/A,#N/A,FALSE,"Tickmarks"}</definedName>
    <definedName name="hi" hidden="1">{#N/A,#N/A,FALSE,"Aging Summary";#N/A,#N/A,FALSE,"Ratio Analysis";#N/A,#N/A,FALSE,"Test 120 Day Accts";#N/A,#N/A,FALSE,"Tickmarks"}</definedName>
    <definedName name="Histogram" localSheetId="12">#REF!</definedName>
    <definedName name="Histogram">#REF!</definedName>
    <definedName name="hldgpd" localSheetId="7">#REF!</definedName>
    <definedName name="hldgpd" localSheetId="12">#REF!</definedName>
    <definedName name="hldgpd">#REF!</definedName>
    <definedName name="HMMM"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3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localSheetId="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n._I006" localSheetId="30" hidden="1">#REF!</definedName>
    <definedName name="hn._I006" localSheetId="31" hidden="1">#REF!</definedName>
    <definedName name="hn._I006" hidden="1">#REF!</definedName>
    <definedName name="hn._I018" localSheetId="30" hidden="1">#REF!</definedName>
    <definedName name="hn._I018" localSheetId="31" hidden="1">#REF!</definedName>
    <definedName name="hn._I018" localSheetId="7" hidden="1">#REF!</definedName>
    <definedName name="hn._I018" localSheetId="12" hidden="1">#REF!</definedName>
    <definedName name="hn._I018" localSheetId="9" hidden="1">#REF!</definedName>
    <definedName name="hn._I018" hidden="1">#REF!</definedName>
    <definedName name="hn._I024" localSheetId="30" hidden="1">#REF!</definedName>
    <definedName name="hn._I024" localSheetId="31" hidden="1">#REF!</definedName>
    <definedName name="hn._I024" localSheetId="7" hidden="1">#REF!</definedName>
    <definedName name="hn._I024" localSheetId="9" hidden="1">#REF!</definedName>
    <definedName name="hn._I024" hidden="1">#REF!</definedName>
    <definedName name="hn._I028" localSheetId="31" hidden="1">#REF!</definedName>
    <definedName name="hn._I028" localSheetId="7" hidden="1">#REF!</definedName>
    <definedName name="hn._I028" hidden="1">#REF!</definedName>
    <definedName name="hn._I029" localSheetId="31" hidden="1">#REF!</definedName>
    <definedName name="hn._I029" localSheetId="7" hidden="1">#REF!</definedName>
    <definedName name="hn._I029" hidden="1">#REF!</definedName>
    <definedName name="hn._I030" localSheetId="31" hidden="1">#REF!</definedName>
    <definedName name="hn._I030" localSheetId="7" hidden="1">#REF!</definedName>
    <definedName name="hn._I030" hidden="1">#REF!</definedName>
    <definedName name="hn._I031" localSheetId="31" hidden="1">#REF!</definedName>
    <definedName name="hn._I031" localSheetId="7" hidden="1">#REF!</definedName>
    <definedName name="hn._I031" hidden="1">#REF!</definedName>
    <definedName name="hn._I059" localSheetId="31" hidden="1">#REF!</definedName>
    <definedName name="hn._I059" localSheetId="7" hidden="1">#REF!</definedName>
    <definedName name="hn._I059" hidden="1">#REF!</definedName>
    <definedName name="hn._I071" localSheetId="31" hidden="1">#REF!</definedName>
    <definedName name="hn._I071" localSheetId="7" hidden="1">#REF!</definedName>
    <definedName name="hn._I071" hidden="1">#REF!</definedName>
    <definedName name="hn._I075" localSheetId="31" hidden="1">#REF!</definedName>
    <definedName name="hn._I075" localSheetId="7" hidden="1">#REF!</definedName>
    <definedName name="hn._I075" hidden="1">#REF!</definedName>
    <definedName name="hn._I083" localSheetId="31" hidden="1">#REF!</definedName>
    <definedName name="hn._I083" localSheetId="7" hidden="1">#REF!</definedName>
    <definedName name="hn._I083" hidden="1">#REF!</definedName>
    <definedName name="hn._I085" localSheetId="31" hidden="1">#REF!</definedName>
    <definedName name="hn._I085" localSheetId="7" hidden="1">#REF!</definedName>
    <definedName name="hn._I085" hidden="1">#REF!</definedName>
    <definedName name="hn._P001" localSheetId="31" hidden="1">#REF!</definedName>
    <definedName name="hn._P001" localSheetId="7" hidden="1">#REF!</definedName>
    <definedName name="hn._P001" hidden="1">#REF!</definedName>
    <definedName name="hn._P004" localSheetId="31" hidden="1">#REF!</definedName>
    <definedName name="hn._P004" localSheetId="7" hidden="1">#REF!</definedName>
    <definedName name="hn._P004" hidden="1">#REF!</definedName>
    <definedName name="hn._P014" localSheetId="31" hidden="1">#REF!</definedName>
    <definedName name="hn._P014" localSheetId="7" hidden="1">#REF!</definedName>
    <definedName name="hn._P014" hidden="1">#REF!</definedName>
    <definedName name="hn._P016" localSheetId="31" hidden="1">#REF!</definedName>
    <definedName name="hn._P016" localSheetId="7" hidden="1">#REF!</definedName>
    <definedName name="hn._P016" hidden="1">#REF!</definedName>
    <definedName name="hn._P021" localSheetId="31" hidden="1">#REF!</definedName>
    <definedName name="hn._P021" localSheetId="7" hidden="1">#REF!</definedName>
    <definedName name="hn._P021" hidden="1">#REF!</definedName>
    <definedName name="hn._P024" localSheetId="31" hidden="1">#REF!</definedName>
    <definedName name="hn._P024" localSheetId="7" hidden="1">#REF!</definedName>
    <definedName name="hn._P024" hidden="1">#REF!</definedName>
    <definedName name="hn.Add015" localSheetId="31" hidden="1">#REF!</definedName>
    <definedName name="hn.Add015" localSheetId="7" hidden="1">#REF!</definedName>
    <definedName name="hn.Add015" hidden="1">#REF!</definedName>
    <definedName name="hn.Delete015" localSheetId="17" hidden="1">#REF!,#REF!,#REF!,#REF!,#REF!</definedName>
    <definedName name="hn.Delete015" localSheetId="30" hidden="1">#REF!,#REF!,#REF!,#REF!,#REF!</definedName>
    <definedName name="hn.Delete015" localSheetId="31" hidden="1">#REF!,#REF!,#REF!,#REF!,#REF!</definedName>
    <definedName name="hn.Delete015" localSheetId="7" hidden="1">#REF!,#REF!,#REF!,#REF!,#REF!</definedName>
    <definedName name="hn.Delete015" localSheetId="12" hidden="1">#REF!,#REF!,#REF!,#REF!,#REF!</definedName>
    <definedName name="hn.Delete015" localSheetId="9" hidden="1">#REF!,#REF!,#REF!,#REF!,#REF!</definedName>
    <definedName name="hn.Delete015" hidden="1">#REF!,#REF!,#REF!,#REF!,#REF!</definedName>
    <definedName name="hn.ExtDb" hidden="1">FALSE</definedName>
    <definedName name="hn.ModelType" hidden="1">"DEAL"</definedName>
    <definedName name="hn.ModelVersion" hidden="1">1</definedName>
    <definedName name="hn.NoUpload" hidden="1">0</definedName>
    <definedName name="hn.PrivateLTMYear" localSheetId="30" hidden="1">#REF!</definedName>
    <definedName name="hn.PrivateLTMYear" localSheetId="31" hidden="1">#REF!</definedName>
    <definedName name="hn.PrivateLTMYear" localSheetId="7" hidden="1">#REF!</definedName>
    <definedName name="hn.PrivateLTMYear" localSheetId="12" hidden="1">#REF!</definedName>
    <definedName name="hn.PrivateLTMYear" localSheetId="9" hidden="1">#REF!</definedName>
    <definedName name="hn.PrivateLTMYear" hidden="1">#REF!</definedName>
    <definedName name="hn.RolledForward" hidden="1">FALSE</definedName>
    <definedName name="hours_per_day" localSheetId="7">#REF!</definedName>
    <definedName name="hours_per_day" localSheetId="10">#REF!</definedName>
    <definedName name="hours_per_day">#REF!</definedName>
    <definedName name="HR.CE" localSheetId="10">#REF!</definedName>
    <definedName name="HR.CE">#REF!</definedName>
    <definedName name="hrehehr" localSheetId="1" hidden="1">{"caz2",#N/A,FALSE,"Central Arizona 2";"saz2",#N/A,FALSE,"Southern Arizona 2";"snv2",#N/A,FALSE,"Southern Nevada 2";"nnv2",#N/A,FALSE,"Northern Nevada 2";"sca2",#N/A,FALSE,"Southern California 2";"nca2",#N/A,FALSE,"Northern California 2";"pai2",#N/A,FALSE,"Paiute 2"}</definedName>
    <definedName name="hrehehr" localSheetId="17" hidden="1">{"caz2",#N/A,FALSE,"Central Arizona 2";"saz2",#N/A,FALSE,"Southern Arizona 2";"snv2",#N/A,FALSE,"Southern Nevada 2";"nnv2",#N/A,FALSE,"Northern Nevada 2";"sca2",#N/A,FALSE,"Southern California 2";"nca2",#N/A,FALSE,"Northern California 2";"pai2",#N/A,FALSE,"Paiute 2"}</definedName>
    <definedName name="hrehehr" localSheetId="30" hidden="1">{"caz2",#N/A,FALSE,"Central Arizona 2";"saz2",#N/A,FALSE,"Southern Arizona 2";"snv2",#N/A,FALSE,"Southern Nevada 2";"nnv2",#N/A,FALSE,"Northern Nevada 2";"sca2",#N/A,FALSE,"Southern California 2";"nca2",#N/A,FALSE,"Northern California 2";"pai2",#N/A,FALSE,"Paiute 2"}</definedName>
    <definedName name="hrehehr" localSheetId="31" hidden="1">{"caz2",#N/A,FALSE,"Central Arizona 2";"saz2",#N/A,FALSE,"Southern Arizona 2";"snv2",#N/A,FALSE,"Southern Nevada 2";"nnv2",#N/A,FALSE,"Northern Nevada 2";"sca2",#N/A,FALSE,"Southern California 2";"nca2",#N/A,FALSE,"Northern California 2";"pai2",#N/A,FALSE,"Paiute 2"}</definedName>
    <definedName name="hrehehr" localSheetId="19" hidden="1">{"caz2",#N/A,FALSE,"Central Arizona 2";"saz2",#N/A,FALSE,"Southern Arizona 2";"snv2",#N/A,FALSE,"Southern Nevada 2";"nnv2",#N/A,FALSE,"Northern Nevada 2";"sca2",#N/A,FALSE,"Southern California 2";"nca2",#N/A,FALSE,"Northern California 2";"pai2",#N/A,FALSE,"Paiute 2"}</definedName>
    <definedName name="hrehehr" localSheetId="7" hidden="1">{"caz2",#N/A,FALSE,"Central Arizona 2";"saz2",#N/A,FALSE,"Southern Arizona 2";"snv2",#N/A,FALSE,"Southern Nevada 2";"nnv2",#N/A,FALSE,"Northern Nevada 2";"sca2",#N/A,FALSE,"Southern California 2";"nca2",#N/A,FALSE,"Northern California 2";"pai2",#N/A,FALSE,"Paiute 2"}</definedName>
    <definedName name="hrehehr" localSheetId="0" hidden="1">{"caz2",#N/A,FALSE,"Central Arizona 2";"saz2",#N/A,FALSE,"Southern Arizona 2";"snv2",#N/A,FALSE,"Southern Nevada 2";"nnv2",#N/A,FALSE,"Northern Nevada 2";"sca2",#N/A,FALSE,"Southern California 2";"nca2",#N/A,FALSE,"Northern California 2";"pai2",#N/A,FALSE,"Paiute 2"}</definedName>
    <definedName name="hrehehr" localSheetId="10" hidden="1">{"caz2",#N/A,FALSE,"Central Arizona 2";"saz2",#N/A,FALSE,"Southern Arizona 2";"snv2",#N/A,FALSE,"Southern Nevada 2";"nnv2",#N/A,FALSE,"Northern Nevada 2";"sca2",#N/A,FALSE,"Southern California 2";"nca2",#N/A,FALSE,"Northern California 2";"pai2",#N/A,FALSE,"Paiute 2"}</definedName>
    <definedName name="hrehehr" localSheetId="12" hidden="1">{"caz2",#N/A,FALSE,"Central Arizona 2";"saz2",#N/A,FALSE,"Southern Arizona 2";"snv2",#N/A,FALSE,"Southern Nevada 2";"nnv2",#N/A,FALSE,"Northern Nevada 2";"sca2",#N/A,FALSE,"Southern California 2";"nca2",#N/A,FALSE,"Northern California 2";"pai2",#N/A,FALSE,"Paiute 2"}</definedName>
    <definedName name="hrehehr" localSheetId="9" hidden="1">{"caz2",#N/A,FALSE,"Central Arizona 2";"saz2",#N/A,FALSE,"Southern Arizona 2";"snv2",#N/A,FALSE,"Southern Nevada 2";"nnv2",#N/A,FALSE,"Northern Nevada 2";"sca2",#N/A,FALSE,"Southern California 2";"nca2",#N/A,FALSE,"Northern California 2";"pai2",#N/A,FALSE,"Paiute 2"}</definedName>
    <definedName name="hrehehr" hidden="1">{"caz2",#N/A,FALSE,"Central Arizona 2";"saz2",#N/A,FALSE,"Southern Arizona 2";"snv2",#N/A,FALSE,"Southern Nevada 2";"nnv2",#N/A,FALSE,"Northern Nevada 2";"sca2",#N/A,FALSE,"Southern California 2";"nca2",#N/A,FALSE,"Northern California 2";"pai2",#N/A,FALSE,"Paiute 2"}</definedName>
    <definedName name="HTML_CodePage" localSheetId="1" hidden="1">1252</definedName>
    <definedName name="HTML_CodePage" localSheetId="7" hidden="1">1252</definedName>
    <definedName name="HTML_CodePage" localSheetId="0" hidden="1">1252</definedName>
    <definedName name="HTML_CodePage" localSheetId="9" hidden="1">1252</definedName>
    <definedName name="HTML_CodePage" hidden="1">437</definedName>
    <definedName name="HTML_Control" localSheetId="1" hidden="1">{"'Sheet1'!$A$1:$O$40"}</definedName>
    <definedName name="HTML_Control" localSheetId="17" hidden="1">{"'Sheet1'!$A$1:$O$40"}</definedName>
    <definedName name="HTML_Control" localSheetId="30" hidden="1">{"'Sheet1'!$A$1:$O$40"}</definedName>
    <definedName name="HTML_Control" localSheetId="31" hidden="1">{"'Sheet1'!$A$1:$O$40"}</definedName>
    <definedName name="HTML_Control" localSheetId="19" hidden="1">{"'Sheet1'!$A$1:$O$40"}</definedName>
    <definedName name="HTML_Control" localSheetId="7" hidden="1">{"'Sheet1'!$A$1:$O$40"}</definedName>
    <definedName name="HTML_Control" localSheetId="0" hidden="1">{"'Sheet1'!$A$1:$O$40"}</definedName>
    <definedName name="HTML_Control" localSheetId="10" hidden="1">{"'Sheet1'!$A$1:$J$121"}</definedName>
    <definedName name="HTML_Control" localSheetId="12" hidden="1">{"'Sheet1'!$A$1:$J$121"}</definedName>
    <definedName name="HTML_Control" localSheetId="9" hidden="1">{"'Sheet1'!$A$1:$O$40"}</definedName>
    <definedName name="HTML_Control" hidden="1">{"'Sheet1'!$A$1:$J$121"}</definedName>
    <definedName name="HTML_Description" hidden="1">""</definedName>
    <definedName name="HTML_Email" hidden="1">""</definedName>
    <definedName name="HTML_Header" hidden="1">"Sheet1"</definedName>
    <definedName name="HTML_LastUpdate" localSheetId="1" hidden="1">"2/5/99"</definedName>
    <definedName name="HTML_LastUpdate" localSheetId="7" hidden="1">"2/5/99"</definedName>
    <definedName name="HTML_LastUpdate" localSheetId="0" hidden="1">"2/5/99"</definedName>
    <definedName name="HTML_LastUpdate" localSheetId="9" hidden="1">"2/5/99"</definedName>
    <definedName name="HTML_LastUpdate" hidden="1">"7/18/00"</definedName>
    <definedName name="HTML_LineAfter" localSheetId="1" hidden="1">TRUE</definedName>
    <definedName name="HTML_LineAfter" localSheetId="7" hidden="1">TRUE</definedName>
    <definedName name="HTML_LineAfter" localSheetId="0" hidden="1">TRUE</definedName>
    <definedName name="HTML_LineAfter" localSheetId="9" hidden="1">TRUE</definedName>
    <definedName name="HTML_LineAfter" hidden="1">FALSE</definedName>
    <definedName name="HTML_LineBefore" localSheetId="1" hidden="1">TRUE</definedName>
    <definedName name="HTML_LineBefore" localSheetId="7" hidden="1">TRUE</definedName>
    <definedName name="HTML_LineBefore" localSheetId="0" hidden="1">TRUE</definedName>
    <definedName name="HTML_LineBefore" localSheetId="9" hidden="1">TRUE</definedName>
    <definedName name="HTML_LineBefore" hidden="1">FALSE</definedName>
    <definedName name="HTML_Name" localSheetId="1" hidden="1">"Aswath Damodaran"</definedName>
    <definedName name="HTML_Name" localSheetId="7" hidden="1">"Aswath Damodaran"</definedName>
    <definedName name="HTML_Name" localSheetId="0" hidden="1">"Aswath Damodaran"</definedName>
    <definedName name="HTML_Name" localSheetId="9" hidden="1">"Aswath Damodaran"</definedName>
    <definedName name="HTML_Name" hidden="1">"KWest"</definedName>
    <definedName name="HTML_OBDlg2" hidden="1">TRUE</definedName>
    <definedName name="HTML_OBDlg4" hidden="1">TRUE</definedName>
    <definedName name="HTML_OS" localSheetId="1" hidden="1">1</definedName>
    <definedName name="HTML_OS" localSheetId="7" hidden="1">1</definedName>
    <definedName name="HTML_OS" localSheetId="0" hidden="1">1</definedName>
    <definedName name="HTML_OS" localSheetId="9" hidden="1">1</definedName>
    <definedName name="HTML_OS" hidden="1">0</definedName>
    <definedName name="HTML_PathFile" hidden="1">"S:\Shared\Monthly Ld Report\DPL\JunePrelim.htm"</definedName>
    <definedName name="HTML_PathFileMac" hidden="1">"Macintosh HD:HomePageStuff:pc:datasets:implprem.html"</definedName>
    <definedName name="HTML_Title" localSheetId="1" hidden="1">"S&amp;P Implied Equity Premiums"</definedName>
    <definedName name="HTML_Title" localSheetId="7" hidden="1">"S&amp;P Implied Equity Premiums"</definedName>
    <definedName name="HTML_Title" localSheetId="0" hidden="1">"S&amp;P Implied Equity Premiums"</definedName>
    <definedName name="HTML_Title" localSheetId="9" hidden="1">"S&amp;P Implied Equity Premiums"</definedName>
    <definedName name="HTML_Title" hidden="1">"DPL_June_Prelim"</definedName>
    <definedName name="HTML1_1" hidden="1">"[RiskPremiumUS]Sheet1!$A$1:$M$38"</definedName>
    <definedName name="HTML1_10" hidden="1">""</definedName>
    <definedName name="HTML1_11" hidden="1">1</definedName>
    <definedName name="HTML1_12" localSheetId="1" hidden="1">"Zip 100:New_Home_Page:datafile:implpr.html"</definedName>
    <definedName name="HTML1_12" localSheetId="7" hidden="1">"Zip 100:New_Home_Page:datafile:implpr.html"</definedName>
    <definedName name="HTML1_12" localSheetId="0" hidden="1">"Zip 100:New_Home_Page:datafile:implpr.html"</definedName>
    <definedName name="HTML1_12" localSheetId="9" hidden="1">"Zip 100:New_Home_Page:datafile:implpr.html"</definedName>
    <definedName name="HTML1_12" hidden="1">"Aswath:Adobe SiteMill™ 1.0.2:MyHomePage:FCFF3.html"</definedName>
    <definedName name="HTML1_2" hidden="1">1</definedName>
    <definedName name="HTML1_3" localSheetId="1" hidden="1">"RiskPremiumUS"</definedName>
    <definedName name="HTML1_3" localSheetId="7" hidden="1">"RiskPremiumUS"</definedName>
    <definedName name="HTML1_3" localSheetId="0" hidden="1">"RiskPremiumUS"</definedName>
    <definedName name="HTML1_3" localSheetId="9" hidden="1">"RiskPremiumUS"</definedName>
    <definedName name="HTML1_3" hidden="1">"FCFF3"</definedName>
    <definedName name="HTML1_4" localSheetId="1" hidden="1">"Implied Risk Premiums for US"</definedName>
    <definedName name="HTML1_4" localSheetId="7" hidden="1">"Implied Risk Premiums for US"</definedName>
    <definedName name="HTML1_4" localSheetId="0" hidden="1">"Implied Risk Premiums for US"</definedName>
    <definedName name="HTML1_4" localSheetId="9" hidden="1">"Implied Risk Premiums for US"</definedName>
    <definedName name="HTML1_4" hidden="1">"Three-Stage FCFF Model"</definedName>
    <definedName name="HTML1_5" hidden="1">""</definedName>
    <definedName name="HTML1_6" hidden="1">-4146</definedName>
    <definedName name="HTML1_7" hidden="1">-4146</definedName>
    <definedName name="HTML1_8" localSheetId="1" hidden="1">"3/19/97"</definedName>
    <definedName name="HTML1_8" localSheetId="7" hidden="1">"3/19/97"</definedName>
    <definedName name="HTML1_8" localSheetId="0" hidden="1">"3/19/97"</definedName>
    <definedName name="HTML1_8" localSheetId="9" hidden="1">"3/19/97"</definedName>
    <definedName name="HTML1_8" hidden="1">"10/22/96"</definedName>
    <definedName name="HTML1_9" hidden="1">"Aswath Damodaran"</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"[histret.xls]Sheet1!$A$1:$G$85"</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definedName>
    <definedName name="i" localSheetId="1" hidden="1">{"Support Net Plant=Net Utility Plant",#N/A,FALSE,"Net Plant"}</definedName>
    <definedName name="i" localSheetId="17" hidden="1">{"Support Net Plant=Net Utility Plant",#N/A,FALSE,"Net Plant"}</definedName>
    <definedName name="i" localSheetId="30" hidden="1">{"Support Net Plant=Net Utility Plant",#N/A,FALSE,"Net Plant"}</definedName>
    <definedName name="i" localSheetId="31" hidden="1">{"Support Net Plant=Net Utility Plant",#N/A,FALSE,"Net Plant"}</definedName>
    <definedName name="i" localSheetId="19" hidden="1">{"Support Net Plant=Net Utility Plant",#N/A,FALSE,"Net Plant"}</definedName>
    <definedName name="i" localSheetId="7" hidden="1">{"Support Net Plant=Net Utility Plant",#N/A,FALSE,"Net Plant"}</definedName>
    <definedName name="i" localSheetId="0" hidden="1">{"Support Net Plant=Net Utility Plant",#N/A,FALSE,"Net Plant"}</definedName>
    <definedName name="i" localSheetId="10" hidden="1">{"Support Net Plant=Net Utility Plant",#N/A,FALSE,"Net Plant"}</definedName>
    <definedName name="i" localSheetId="12" hidden="1">{"Support Net Plant=Net Utility Plant",#N/A,FALSE,"Net Plant"}</definedName>
    <definedName name="i" localSheetId="9" hidden="1">{"Support Net Plant=Net Utility Plant",#N/A,FALSE,"Net Plant"}</definedName>
    <definedName name="i" hidden="1">{"Support Net Plant=Net Utility Plant",#N/A,FALSE,"Net Plant"}</definedName>
    <definedName name="ifch" localSheetId="1" hidden="1">#REF!</definedName>
    <definedName name="ifch" localSheetId="30" hidden="1">#REF!</definedName>
    <definedName name="ifch" localSheetId="31" hidden="1">#REF!</definedName>
    <definedName name="ifch" localSheetId="7" hidden="1">#REF!</definedName>
    <definedName name="ifch" localSheetId="9" hidden="1">#REF!</definedName>
    <definedName name="ifch" hidden="1">#REF!</definedName>
    <definedName name="IL.1" localSheetId="10">#REF!</definedName>
    <definedName name="IL.1">#REF!</definedName>
    <definedName name="IL.3" localSheetId="10">#REF!</definedName>
    <definedName name="IL.3">#REF!</definedName>
    <definedName name="IL.5" localSheetId="10">#REF!</definedName>
    <definedName name="IL.5">#REF!</definedName>
    <definedName name="IL.CE" localSheetId="10">#REF!</definedName>
    <definedName name="IL.CE">#REF!</definedName>
    <definedName name="IL.CEP" localSheetId="10">#REF!</definedName>
    <definedName name="IL.CEP">#REF!</definedName>
    <definedName name="Img_ML_3c7g1a7g" hidden="1">"IMG_3"</definedName>
    <definedName name="Img_ML_7g5e5e2b" hidden="1">"IMG_3"</definedName>
    <definedName name="Img_ML_8h7g4d4d" hidden="1">"IMG_3"</definedName>
    <definedName name="Img_Production_Breakdown" hidden="1">"IMG_3"</definedName>
    <definedName name="IN.3">#REF!</definedName>
    <definedName name="IN.5" localSheetId="10">#REF!</definedName>
    <definedName name="IN.5">#REF!</definedName>
    <definedName name="IN.CE" localSheetId="10">#REF!</definedName>
    <definedName name="IN.CE">#REF!</definedName>
    <definedName name="IN.CEP" localSheetId="10">#REF!</definedName>
    <definedName name="IN.CEP">#REF!</definedName>
    <definedName name="INCLUDE_ADJUSTMENTS__0_NO__1_YES">"ADJ2"</definedName>
    <definedName name="IncomeStatement" localSheetId="17" hidden="1">{#N/A,#N/A,FALSE,"FinStateUS"}</definedName>
    <definedName name="IncomeStatement" localSheetId="30" hidden="1">{#N/A,#N/A,FALSE,"FinStateUS"}</definedName>
    <definedName name="IncomeStatement" localSheetId="31" hidden="1">{#N/A,#N/A,FALSE,"FinStateUS"}</definedName>
    <definedName name="IncomeStatement" localSheetId="19" hidden="1">{#N/A,#N/A,FALSE,"FinStateUS"}</definedName>
    <definedName name="IncomeStatement" localSheetId="7" hidden="1">{#N/A,#N/A,FALSE,"FinStateUS"}</definedName>
    <definedName name="IncomeStatement" localSheetId="0" hidden="1">{#N/A,#N/A,FALSE,"FinStateUS"}</definedName>
    <definedName name="IncomeStatement" localSheetId="10" hidden="1">{#N/A,#N/A,FALSE,"FinStateUS"}</definedName>
    <definedName name="IncomeStatement" localSheetId="12" hidden="1">{#N/A,#N/A,FALSE,"FinStateUS"}</definedName>
    <definedName name="IncomeStatement" localSheetId="9" hidden="1">{#N/A,#N/A,FALSE,"FinStateUS"}</definedName>
    <definedName name="IncomeStatement" hidden="1">{#N/A,#N/A,FALSE,"FinStateUS"}</definedName>
    <definedName name="IncomeStatement6Years" localSheetId="17" hidden="1">{"IncStatement 6 years",#N/A,FALSE,"FinStateUS"}</definedName>
    <definedName name="IncomeStatement6Years" localSheetId="30" hidden="1">{"IncStatement 6 years",#N/A,FALSE,"FinStateUS"}</definedName>
    <definedName name="IncomeStatement6Years" localSheetId="31" hidden="1">{"IncStatement 6 years",#N/A,FALSE,"FinStateUS"}</definedName>
    <definedName name="IncomeStatement6Years" localSheetId="19" hidden="1">{"IncStatement 6 years",#N/A,FALSE,"FinStateUS"}</definedName>
    <definedName name="IncomeStatement6Years" localSheetId="7" hidden="1">{"IncStatement 6 years",#N/A,FALSE,"FinStateUS"}</definedName>
    <definedName name="IncomeStatement6Years" localSheetId="0" hidden="1">{"IncStatement 6 years",#N/A,FALSE,"FinStateUS"}</definedName>
    <definedName name="IncomeStatement6Years" localSheetId="10" hidden="1">{"IncStatement 6 years",#N/A,FALSE,"FinStateUS"}</definedName>
    <definedName name="IncomeStatement6Years" localSheetId="12" hidden="1">{"IncStatement 6 years",#N/A,FALSE,"FinStateUS"}</definedName>
    <definedName name="IncomeStatement6Years" localSheetId="9" hidden="1">{"IncStatement 6 years",#N/A,FALSE,"FinStateUS"}</definedName>
    <definedName name="IncomeStatement6Years" hidden="1">{"IncStatement 6 years",#N/A,FALSE,"FinStateUS"}</definedName>
    <definedName name="Incremental" localSheetId="7" hidden="1">{"'Sheet1'!$A$1:$J$121"}</definedName>
    <definedName name="Incremental" localSheetId="10" hidden="1">{"'Sheet1'!$A$1:$J$121"}</definedName>
    <definedName name="Incremental" localSheetId="12" hidden="1">{"'Sheet1'!$A$1:$J$121"}</definedName>
    <definedName name="Incremental" hidden="1">{"'Sheet1'!$A$1:$J$121"}</definedName>
    <definedName name="ind" localSheetId="7" hidden="1">{"group detail",#N/A,FALSE,"Hourly Detail"}</definedName>
    <definedName name="ind" localSheetId="10" hidden="1">{"group detail",#N/A,FALSE,"Hourly Detail"}</definedName>
    <definedName name="ind" localSheetId="12" hidden="1">{"group detail",#N/A,FALSE,"Hourly Detail"}</definedName>
    <definedName name="ind" hidden="1">{"group detail",#N/A,FALSE,"Hourly Detail"}</definedName>
    <definedName name="index" localSheetId="12">#REF!</definedName>
    <definedName name="index">#REF!</definedName>
    <definedName name="index_name" localSheetId="12">OFFSET(#REF!,10,0,COUNTA(#REF!),1)</definedName>
    <definedName name="index_name">OFFSET(#REF!,10,0,COUNTA(#REF!),1)</definedName>
    <definedName name="Inflation" localSheetId="19" hidden="1">#REF!</definedName>
    <definedName name="Inflation" localSheetId="12" hidden="1">#REF!</definedName>
    <definedName name="Inflation" localSheetId="9" hidden="1">#REF!</definedName>
    <definedName name="Inflation" hidden="1">#REF!</definedName>
    <definedName name="INPUT" localSheetId="7">#REF!</definedName>
    <definedName name="INPUT">#REF!</definedName>
    <definedName name="Int" localSheetId="7">#REF!</definedName>
    <definedName name="Int" localSheetId="10">#REF!</definedName>
    <definedName name="Int">#REF!</definedName>
    <definedName name="Interest_Rate" localSheetId="10">#REF!</definedName>
    <definedName name="Interest_Rate">#REF!</definedName>
    <definedName name="IntroPrintArea" localSheetId="10" hidden="1">#REF!</definedName>
    <definedName name="IntroPrintArea" hidden="1">#REF!</definedName>
    <definedName name="INTSYNCH">#REF!</definedName>
    <definedName name="Inv" localSheetId="7" hidden="1">{"SEP",#N/A,FALSE,"SEP"}</definedName>
    <definedName name="Inv" localSheetId="10" hidden="1">{"SEP",#N/A,FALSE,"SEP"}</definedName>
    <definedName name="Inv" localSheetId="12" hidden="1">{"SEP",#N/A,FALSE,"SEP"}</definedName>
    <definedName name="Inv" hidden="1">{"SEP",#N/A,FALSE,"SEP"}</definedName>
    <definedName name="ipo" localSheetId="7" hidden="1">{#N/A,#N/A,FALSE,"Aging Summary";#N/A,#N/A,FALSE,"Ratio Analysis";#N/A,#N/A,FALSE,"Test 120 Day Accts";#N/A,#N/A,FALSE,"Tickmarks"}</definedName>
    <definedName name="ipo" localSheetId="10" hidden="1">{#N/A,#N/A,FALSE,"Aging Summary";#N/A,#N/A,FALSE,"Ratio Analysis";#N/A,#N/A,FALSE,"Test 120 Day Accts";#N/A,#N/A,FALSE,"Tickmarks"}</definedName>
    <definedName name="ipo" localSheetId="12" hidden="1">{#N/A,#N/A,FALSE,"Aging Summary";#N/A,#N/A,FALSE,"Ratio Analysis";#N/A,#N/A,FALSE,"Test 120 Day Accts";#N/A,#N/A,FALSE,"Tickmarks"}</definedName>
    <definedName name="ipo" hidden="1">{#N/A,#N/A,FALSE,"Aging Summary";#N/A,#N/A,FALSE,"Ratio Analysis";#N/A,#N/A,FALSE,"Test 120 Day Accts";#N/A,#N/A,FALSE,"Tickmarks"}</definedName>
    <definedName name="ipowAC" localSheetId="1" hidden="1">#REF!</definedName>
    <definedName name="ipowAC" localSheetId="30" hidden="1">#REF!</definedName>
    <definedName name="ipowAC" localSheetId="31" hidden="1">#REF!</definedName>
    <definedName name="ipowAC" localSheetId="7" hidden="1">#REF!</definedName>
    <definedName name="ipowAC" localSheetId="9" hidden="1">#REF!</definedName>
    <definedName name="ipowAC"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"c1349"</definedName>
    <definedName name="IQ_BV_SHARE" hidden="1">"c100"</definedName>
    <definedName name="IQ_BV_SHARE_ACT_OR_EST_REUT" hidden="1">"c5477"</definedName>
    <definedName name="IQ_BV_SHARE_EST_REUT" hidden="1">"c5439"</definedName>
    <definedName name="IQ_BV_SHARE_HIGH_EST_REUT" hidden="1">"c5441"</definedName>
    <definedName name="IQ_BV_SHARE_LOW_EST_REUT" hidden="1">"c5442"</definedName>
    <definedName name="IQ_BV_SHARE_MEDIAN_EST_REUT" hidden="1">"c5440"</definedName>
    <definedName name="IQ_BV_SHARE_NUM_EST_REUT" hidden="1">"c5443"</definedName>
    <definedName name="IQ_BV_SHARE_STDDEV_EST_REUT" hidden="1">"c5444"</definedName>
    <definedName name="IQ_BV_STDDEV_EST_REUT" hidden="1">"c5408"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REUT" hidden="1">"c5474"</definedName>
    <definedName name="IQ_CAPEX_BNK" hidden="1">"c110"</definedName>
    <definedName name="IQ_CAPEX_BR" hidden="1">"c111"</definedName>
    <definedName name="IQ_CAPEX_EST_REUT" hidden="1">"c3969"</definedName>
    <definedName name="IQ_CAPEX_FIN" hidden="1">"c112"</definedName>
    <definedName name="IQ_CAPEX_HIGH_EST_REUT" hidden="1">"c3971"</definedName>
    <definedName name="IQ_CAPEX_INS" hidden="1">"c113"</definedName>
    <definedName name="IQ_CAPEX_LOW_EST_REUT" hidden="1">"c3972"</definedName>
    <definedName name="IQ_CAPEX_MEDIAN_EST_REUT" hidden="1">"c3970"</definedName>
    <definedName name="IQ_CAPEX_NUM_EST_REUT" hidden="1">"c3973"</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REUT" hidden="1">"c5463"</definedName>
    <definedName name="IQ_CFPS_EST_REUT" hidden="1">"c3844"</definedName>
    <definedName name="IQ_CFPS_HIGH_EST_REUT" hidden="1">"c3846"</definedName>
    <definedName name="IQ_CFPS_LOW_EST_REUT" hidden="1">"c3847"</definedName>
    <definedName name="IQ_CFPS_MEDIAN_EST_REUT" hidden="1">"c3845"</definedName>
    <definedName name="IQ_CFPS_NUM_EST_REUT" hidden="1">"c3848"</definedName>
    <definedName name="IQ_CFPS_STDDEV_EST_REUT" hidden="1">"c3849"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REUT" hidden="1">"c5464"</definedName>
    <definedName name="IQ_DPS_EST_BOTTOM_UP_REUT" hidden="1">"c5501"</definedName>
    <definedName name="IQ_DPS_EST_REUT" hidden="1">"c3851"</definedName>
    <definedName name="IQ_DPS_HIGH_EST_REUT" hidden="1">"c3853"</definedName>
    <definedName name="IQ_DPS_LOW_EST_REUT" hidden="1">"c3854"</definedName>
    <definedName name="IQ_DPS_MEDIAN_EST_REUT" hidden="1">"c3852"</definedName>
    <definedName name="IQ_DPS_NUM_EST_REUT" hidden="1">"c3855"</definedName>
    <definedName name="IQ_DPS_STDDEV_EST_REUT" hidden="1">"c3856"</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REUT" hidden="1">"c5465"</definedName>
    <definedName name="IQ_EBIT_EQ_INC" hidden="1">"c3498"</definedName>
    <definedName name="IQ_EBIT_EQ_INC_EXCL_SBC" hidden="1">"c3502"</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HIGH_EST_REUT" hidden="1">"c5335"</definedName>
    <definedName name="IQ_EBIT_INT" hidden="1">"c360"</definedName>
    <definedName name="IQ_EBIT_LOW_EST_REUT" hidden="1">"c5336"</definedName>
    <definedName name="IQ_EBIT_MARGIN" hidden="1">"c359"</definedName>
    <definedName name="IQ_EBIT_MEDIAN_EST_REUT" hidden="1">"c5334"</definedName>
    <definedName name="IQ_EBIT_NUM_EST_REUT" hidden="1">"c5337"</definedName>
    <definedName name="IQ_EBIT_OVER_IE" hidden="1">"c1369"</definedName>
    <definedName name="IQ_EBIT_SBC_ACT_OR_EST" hidden="1">"c4316"</definedName>
    <definedName name="IQ_EBIT_SBC_GW_ACT_OR_EST" hidden="1">"c4320"</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REUT" hidden="1">"c5460"</definedName>
    <definedName name="IQ_EPS_EST" hidden="1">"c399"</definedName>
    <definedName name="IQ_EPS_EST_1" hidden="1">"IQ_EPS_EST_1"</definedName>
    <definedName name="IQ_EPS_EST_BOTTOM_UP_REUT" hidden="1">"c5497"</definedName>
    <definedName name="IQ_EPS_EST_REUT" hidden="1">"c5453"</definedName>
    <definedName name="IQ_EPS_GW_ACT_OR_EST_REUT" hidden="1">"c5469"</definedName>
    <definedName name="IQ_EPS_GW_EST" hidden="1">"c1737"</definedName>
    <definedName name="IQ_EPS_GW_EST_BOTTOM_UP_REUT" hidden="1">"c5499"</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_REUT" hidden="1">"c5470"</definedName>
    <definedName name="IQ_EPS_REPORTED_EST" hidden="1">"c1744"</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 hidden="1">"c5409"</definedName>
    <definedName name="IQ_EST_ACT_BV_SHARE_REUT" hidden="1">"c5445"</definedName>
    <definedName name="IQ_EST_ACT_CAPEX_REUT" hidden="1">"c3975"</definedName>
    <definedName name="IQ_EST_ACT_CFPS_REUT" hidden="1">"c3850"</definedName>
    <definedName name="IQ_EST_ACT_DPS_REUT" hidden="1">"c3857"</definedName>
    <definedName name="IQ_EST_ACT_EBIT_REUT" hidden="1">"c5339"</definedName>
    <definedName name="IQ_EST_ACT_EBITDA_REUT" hidden="1">"c3836"</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FFO_REUT" hidden="1">"c3843"</definedName>
    <definedName name="IQ_EST_ACT_NAV_SHARE_REUT" hidden="1">"c5616"</definedName>
    <definedName name="IQ_EST_ACT_NET_DEBT_REUT" hidden="1">"c5446"</definedName>
    <definedName name="IQ_EST_ACT_NI_GW_REUT" hidden="1">"c5381"</definedName>
    <definedName name="IQ_EST_ACT_NI_REPORTED_REUT" hidden="1">"c5388"</definedName>
    <definedName name="IQ_EST_ACT_NI_REUT" hidden="1">"c5374"</definedName>
    <definedName name="IQ_EST_ACT_OPER_INC_REUT" hidden="1">"c5346"</definedName>
    <definedName name="IQ_EST_ACT_PRETAX_GW_INC_REUT" hidden="1">"c5360"</definedName>
    <definedName name="IQ_EST_ACT_PRETAX_INC_REUT" hidden="1">"c5353"</definedName>
    <definedName name="IQ_EST_ACT_PRETAX_REPORT_INC_REUT" hidden="1">"c5367"</definedName>
    <definedName name="IQ_EST_ACT_RETURN_ASSETS_REUT" hidden="1">"c3996"</definedName>
    <definedName name="IQ_EST_ACT_RETURN_EQUITY_REUT" hidden="1">"c3989"</definedName>
    <definedName name="IQ_EST_ACT_REV_REUT" hidden="1">"c3835"</definedName>
    <definedName name="IQ_EST_BV_DIFF_REUT" hidden="1">"c5433"</definedName>
    <definedName name="IQ_EST_BV_SURPRISE_PERCENT_REUT" hidden="1">"c5434"</definedName>
    <definedName name="IQ_EST_CAPEX_GROWTH_1YR_REUT" hidden="1">"c5447"</definedName>
    <definedName name="IQ_EST_CAPEX_GROWTH_2YR_REUT" hidden="1">"c5448"</definedName>
    <definedName name="IQ_EST_CAPEX_GROWTH_Q_1YR_REUT" hidden="1">"c5449"</definedName>
    <definedName name="IQ_EST_CAPEX_SEQ_GROWTH_Q_REUT" hidden="1">"c5450"</definedName>
    <definedName name="IQ_EST_CFPS_DIFF_REUT" hidden="1">"c3892"</definedName>
    <definedName name="IQ_EST_CFPS_GROWTH_1YR_REUT" hidden="1">"c3878"</definedName>
    <definedName name="IQ_EST_CFPS_GROWTH_2YR_REUT" hidden="1">"c3879"</definedName>
    <definedName name="IQ_EST_CFPS_GROWTH_Q_1YR_REUT" hidden="1">"c3880"</definedName>
    <definedName name="IQ_EST_CFPS_SEQ_GROWTH_Q_REUT" hidden="1">"c3881"</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PS_DIFF_REUT" hidden="1">"c3894"</definedName>
    <definedName name="IQ_EST_DPS_GROWTH_1YR_REUT" hidden="1">"c3882"</definedName>
    <definedName name="IQ_EST_DPS_GROWTH_2YR_REUT" hidden="1">"c3883"</definedName>
    <definedName name="IQ_EST_DPS_GROWTH_Q_1YR_REUT" hidden="1">"c3884"</definedName>
    <definedName name="IQ_EST_DPS_SEQ_GROWTH_Q_REUT" hidden="1">"c3885"</definedName>
    <definedName name="IQ_EST_DPS_SURPRISE_PERCENT_REUT" hidden="1">"c3895"</definedName>
    <definedName name="IQ_EST_EBIT_DIFF_REUT" hidden="1">"c5413"</definedName>
    <definedName name="IQ_EST_EBIT_SURPRISE_PERCENT_REUT" hidden="1">"c5414"</definedName>
    <definedName name="IQ_EST_EBITDA_DIFF_REUT" hidden="1">"c3888"</definedName>
    <definedName name="IQ_EST_EBITDA_GROWTH_1YR_REUT" hidden="1">"c3864"</definedName>
    <definedName name="IQ_EST_EBITDA_GROWTH_2YR_REUT" hidden="1">"c3865"</definedName>
    <definedName name="IQ_EST_EBITDA_GROWTH_Q_1YR_REUT" hidden="1">"c3866"</definedName>
    <definedName name="IQ_EST_EBITDA_SEQ_GROWTH_Q_REUT" hidden="1">"c3867"</definedName>
    <definedName name="IQ_EST_EBITDA_SURPRISE_PERCENT_REUT" hidden="1">"c3889"</definedName>
    <definedName name="IQ_EST_EPS_DIFF_REUT" hidden="1">"c5458"</definedName>
    <definedName name="IQ_EST_EPS_GROWTH_1YR" hidden="1">"c1636"</definedName>
    <definedName name="IQ_EST_EPS_GROWTH_1YR_REUT" hidden="1">"c3646"</definedName>
    <definedName name="IQ_EST_EPS_GROWTH_2YR_REUT" hidden="1">"c3858"</definedName>
    <definedName name="IQ_EST_EPS_GROWTH_5YR" hidden="1">"c1655"</definedName>
    <definedName name="IQ_EST_EPS_GROWTH_5YR_BOTTOM_UP_REUT" hidden="1">"c5495"</definedName>
    <definedName name="IQ_EST_EPS_GROWTH_5YR_HIGH_REUT" hidden="1">"c5322"</definedName>
    <definedName name="IQ_EST_EPS_GROWTH_5YR_LOW_REUT" hidden="1">"c5323"</definedName>
    <definedName name="IQ_EST_EPS_GROWTH_5YR_MEDIAN_REUT" hidden="1">"c5321"</definedName>
    <definedName name="IQ_EST_EPS_GROWTH_5YR_NUM_REUT" hidden="1">"c5324"</definedName>
    <definedName name="IQ_EST_EPS_GROWTH_5YR_REUT" hidden="1">"c3633"</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EQ_GROWTH_Q_REUT" hidden="1">"c3859"</definedName>
    <definedName name="IQ_EST_EPS_SURPRISE" hidden="1">"c1635"</definedName>
    <definedName name="IQ_EST_EPS_SURPRISE_PERCENT_REUT" hidden="1">"c5459"</definedName>
    <definedName name="IQ_EST_FFO_DIFF_REUT" hidden="1">"c3890"</definedName>
    <definedName name="IQ_EST_FFO_GROWTH_1YR_REUT" hidden="1">"c3874"</definedName>
    <definedName name="IQ_EST_FFO_GROWTH_2YR_REUT" hidden="1">"c3875"</definedName>
    <definedName name="IQ_EST_FFO_GROWTH_Q_1YR_REUT" hidden="1">"c3876"</definedName>
    <definedName name="IQ_EST_FFO_SEQ_GROWTH_Q_REUT" hidden="1">"c3877"</definedName>
    <definedName name="IQ_EST_FFO_SURPRISE_PERCENT_REUT" hidden="1">"c3891"</definedName>
    <definedName name="IQ_EST_FOOTNOTE_REUT" hidden="1">"c5478"</definedName>
    <definedName name="IQ_EST_NI_DIFF_REUT" hidden="1">"c5423"</definedName>
    <definedName name="IQ_EST_NI_GW_DIFF_REUT" hidden="1">"c5425"</definedName>
    <definedName name="IQ_EST_NI_GW_SURPRISE_PERCENT_REUT" hidden="1">"c5426"</definedName>
    <definedName name="IQ_EST_NI_REPORT_DIFF_REUT" hidden="1">"c5427"</definedName>
    <definedName name="IQ_EST_NI_REPORT_SURPRISE_PERCENT_REUT" hidden="1">"c5428"</definedName>
    <definedName name="IQ_EST_NI_SURPRISE_PERCENT_REUT" hidden="1">"c5424"</definedName>
    <definedName name="IQ_EST_NUM_BUY_REUT" hidden="1">"c3869"</definedName>
    <definedName name="IQ_EST_NUM_HIGH_REC_REUT" hidden="1">"c3870"</definedName>
    <definedName name="IQ_EST_NUM_HIGHEST_REC_REUT" hidden="1">"c3869"</definedName>
    <definedName name="IQ_EST_NUM_HOLD_REUT" hidden="1">"c3871"</definedName>
    <definedName name="IQ_EST_NUM_LOW_REC_REUT" hidden="1">"c3872"</definedName>
    <definedName name="IQ_EST_NUM_LOWEST_REC_REUT" hidden="1">"c3873"</definedName>
    <definedName name="IQ_EST_NUM_NEUTRAL_REC_REUT" hidden="1">"c3871"</definedName>
    <definedName name="IQ_EST_NUM_NO_OPINION_REUT" hidden="1">"c3868"</definedName>
    <definedName name="IQ_EST_NUM_OUTPERFORM_REUT" hidden="1">"c3870"</definedName>
    <definedName name="IQ_EST_NUM_SELL_REUT" hidden="1">"c3873"</definedName>
    <definedName name="IQ_EST_NUM_UNDERPERFORM_REUT" hidden="1">"c3872"</definedName>
    <definedName name="IQ_EST_OPER_INC_DIFF_REUT" hidden="1">"c5415"</definedName>
    <definedName name="IQ_EST_OPER_INC_SURPRISE_PERCENT_REUT" hidden="1">"c5416"</definedName>
    <definedName name="IQ_EST_PRE_TAX_DIFF_REUT" hidden="1">"c5417"</definedName>
    <definedName name="IQ_EST_PRE_TAX_GW_DIFF_REUT" hidden="1">"c5419"</definedName>
    <definedName name="IQ_EST_PRE_TAX_GW_SURPRISE_PERCENT_REUT" hidden="1">"c5420"</definedName>
    <definedName name="IQ_EST_PRE_TAX_REPORT_DIFF_REUT" hidden="1">"c5421"</definedName>
    <definedName name="IQ_EST_PRE_TAX_REPORT_SURPRISE_PERCENT_REUT" hidden="1">"c5422"</definedName>
    <definedName name="IQ_EST_PRE_TAX_SURPRISE_PERCENT_REUT" hidden="1">"c5418"</definedName>
    <definedName name="IQ_EST_REV_DIFF_REUT" hidden="1">"c3886"</definedName>
    <definedName name="IQ_EST_REV_GROWTH_1YR_REUT" hidden="1">"c3860"</definedName>
    <definedName name="IQ_EST_REV_GROWTH_2YR_REUT" hidden="1">"c3861"</definedName>
    <definedName name="IQ_EST_REV_GROWTH_Q_1YR_REUT" hidden="1">"c3862"</definedName>
    <definedName name="IQ_EST_REV_SEQ_GROWTH_Q_REUT" hidden="1">"c3863"</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"test"</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PAYOUT_RATIO" hidden="1">"c3492"</definedName>
    <definedName name="IQ_FFO_SHARE_ACT_OR_EST" hidden="1">"c4446"</definedName>
    <definedName name="IQ_FFO_STDDEV_EST_REUT" hidden="1">"c3842"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1" hidden="1">40164.5046875</definedName>
    <definedName name="IQ_NAMES_REVISION_DATE_" localSheetId="7" hidden="1">40164.5046875</definedName>
    <definedName name="IQ_NAMES_REVISION_DATE_" localSheetId="0" hidden="1">40164.5046875</definedName>
    <definedName name="IQ_NAMES_REVISION_DATE_" localSheetId="9" hidden="1">40164.5046875</definedName>
    <definedName name="IQ_NAMES_REVISION_DATE_" hidden="1">44377.2572106481</definedName>
    <definedName name="IQ_NAV_ACT_OR_EST" hidden="1">"c2225"</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REUT" hidden="1">"c5473"</definedName>
    <definedName name="IQ_NET_DEBT_EBITDA" hidden="1">"c750"</definedName>
    <definedName name="IQ_NET_DEBT_EBITDA_CAPEX" hidden="1">"c2949"</definedName>
    <definedName name="IQ_NET_DEBT_EST_REUT" hidden="1">"c3976"</definedName>
    <definedName name="IQ_NET_DEBT_HIGH_EST_REUT" hidden="1">"c3978"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_REUT" hidden="1">"c3979"</definedName>
    <definedName name="IQ_NET_DEBT_MEDIAN_EST_REUT" hidden="1">"c3977"</definedName>
    <definedName name="IQ_NET_DEBT_NUM_EST_REUT" hidden="1">"c3980"</definedName>
    <definedName name="IQ_NET_DEBT_STDDEV_EST_REUT" hidden="1">"c3981"</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_REUT" hidden="1">"c5368"</definedName>
    <definedName name="IQ_NI_GW_EST_REUT" hidden="1">"c5375"</definedName>
    <definedName name="IQ_NI_GW_HIGH_EST_REUT" hidden="1">"c5377"</definedName>
    <definedName name="IQ_NI_GW_LOW_EST_REUT" hidden="1">"c5378"</definedName>
    <definedName name="IQ_NI_GW_MEDIAN_EST_REUT" hidden="1">"c5376"</definedName>
    <definedName name="IQ_NI_GW_NUM_EST_REUT" hidden="1">"c5379"</definedName>
    <definedName name="IQ_NI_GW_STDDEV_EST_REUT" hidden="1">"c5380"</definedName>
    <definedName name="IQ_NI_HIGH_EST_REUT" hidden="1">"c5370"</definedName>
    <definedName name="IQ_NI_LOW_EST_REUT" hidden="1">"c5371"</definedName>
    <definedName name="IQ_NI_MARGIN" hidden="1">"c794"</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_REUT" hidden="1">"c5372"</definedName>
    <definedName name="IQ_NI_REPORTED_EST_REUT" hidden="1">"c5382"</definedName>
    <definedName name="IQ_NI_REPORTED_HIGH_EST_REUT" hidden="1">"c5384"</definedName>
    <definedName name="IQ_NI_REPORTED_LOW_EST_REUT" hidden="1">"c5385"</definedName>
    <definedName name="IQ_NI_REPORTED_MEDIAN_EST_REUT" hidden="1">"c5383"</definedName>
    <definedName name="IQ_NI_REPORTED_NUM_EST_REUT" hidden="1">"c5386"</definedName>
    <definedName name="IQ_NI_REPORTED_STDDEV_EST_REUT" hidden="1">"c5387"</definedName>
    <definedName name="IQ_NI_SBC_ACT_OR_EST" hidden="1">"c4474"</definedName>
    <definedName name="IQ_NI_SBC_GW_ACT_OR_EST" hidden="1">"c4478"</definedName>
    <definedName name="IQ_NI_SFAS" hidden="1">"c795"</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REUT" hidden="1">"c5466"</definedName>
    <definedName name="IQ_OPER_INC_BR" hidden="1">"c850"</definedName>
    <definedName name="IQ_OPER_INC_EST_REUT" hidden="1">"c5340"</definedName>
    <definedName name="IQ_OPER_INC_FIN" hidden="1">"c851"</definedName>
    <definedName name="IQ_OPER_INC_HIGH_EST_REUT" hidden="1">"c5342"</definedName>
    <definedName name="IQ_OPER_INC_INS" hidden="1">"c852"</definedName>
    <definedName name="IQ_OPER_INC_LOW_EST_REUT" hidden="1">"c5343"</definedName>
    <definedName name="IQ_OPER_INC_MARGIN" hidden="1">"c1448"</definedName>
    <definedName name="IQ_OPER_INC_MEDIAN_EST_REUT" hidden="1">"c5341"</definedName>
    <definedName name="IQ_OPER_INC_NUM_EST_REUT" hidden="1">"c5344"</definedName>
    <definedName name="IQ_OPER_INC_RE" hidden="1">"c6240"</definedName>
    <definedName name="IQ_OPER_INC_REIT" hidden="1">"c853"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_REUT" hidden="1">"c3959"</definedName>
    <definedName name="IQ_PERCENT_CHANGE_EST_5YR_GROWTH_RATE_18MONTHS_REUT" hidden="1">"c3960"</definedName>
    <definedName name="IQ_PERCENT_CHANGE_EST_5YR_GROWTH_RATE_3MONTHS_REUT" hidden="1">"c3956"</definedName>
    <definedName name="IQ_PERCENT_CHANGE_EST_5YR_GROWTH_RATE_6MONTHS_REUT" hidden="1">"c3957"</definedName>
    <definedName name="IQ_PERCENT_CHANGE_EST_5YR_GROWTH_RATE_9MONTHS_REUT" hidden="1">"c3958"</definedName>
    <definedName name="IQ_PERCENT_CHANGE_EST_5YR_GROWTH_RATE_DAY_REUT" hidden="1">"c3954"</definedName>
    <definedName name="IQ_PERCENT_CHANGE_EST_5YR_GROWTH_RATE_MONTH_REUT" hidden="1">"c3955"</definedName>
    <definedName name="IQ_PERCENT_CHANGE_EST_5YR_GROWTH_RATE_WEEK_REUT" hidden="1">"c5435"</definedName>
    <definedName name="IQ_PERCENT_CHANGE_EST_CFPS_12MONTHS_REUT" hidden="1">"c3924"</definedName>
    <definedName name="IQ_PERCENT_CHANGE_EST_CFPS_18MONTHS_REUT" hidden="1">"c3925"</definedName>
    <definedName name="IQ_PERCENT_CHANGE_EST_CFPS_3MONTHS_REUT" hidden="1">"c3921"</definedName>
    <definedName name="IQ_PERCENT_CHANGE_EST_CFPS_6MONTHS_REUT" hidden="1">"c3922"</definedName>
    <definedName name="IQ_PERCENT_CHANGE_EST_CFPS_9MONTHS_REUT" hidden="1">"c3923"</definedName>
    <definedName name="IQ_PERCENT_CHANGE_EST_CFPS_DAY_REUT" hidden="1">"c3919"</definedName>
    <definedName name="IQ_PERCENT_CHANGE_EST_CFPS_MONTH_REUT" hidden="1">"c3920"</definedName>
    <definedName name="IQ_PERCENT_CHANGE_EST_CFPS_WEEK_REUT" hidden="1">"c3962"</definedName>
    <definedName name="IQ_PERCENT_CHANGE_EST_DPS_12MONTHS_REUT" hidden="1">"c3931"</definedName>
    <definedName name="IQ_PERCENT_CHANGE_EST_DPS_18MONTHS_REUT" hidden="1">"c3932"</definedName>
    <definedName name="IQ_PERCENT_CHANGE_EST_DPS_3MONTHS_REUT" hidden="1">"c3928"</definedName>
    <definedName name="IQ_PERCENT_CHANGE_EST_DPS_6MONTHS_REUT" hidden="1">"c3929"</definedName>
    <definedName name="IQ_PERCENT_CHANGE_EST_DPS_9MONTHS_REUT" hidden="1">"c3930"</definedName>
    <definedName name="IQ_PERCENT_CHANGE_EST_DPS_DAY_REUT" hidden="1">"c3926"</definedName>
    <definedName name="IQ_PERCENT_CHANGE_EST_DPS_MONTH_REUT" hidden="1">"c3927"</definedName>
    <definedName name="IQ_PERCENT_CHANGE_EST_DPS_WEEK_REUT" hidden="1">"c3963"</definedName>
    <definedName name="IQ_PERCENT_CHANGE_EST_EBITDA_12MONTHS_REUT" hidden="1">"c3917"</definedName>
    <definedName name="IQ_PERCENT_CHANGE_EST_EBITDA_18MONTHS_REUT" hidden="1">"c3918"</definedName>
    <definedName name="IQ_PERCENT_CHANGE_EST_EBITDA_3MONTHS_REUT" hidden="1">"c3914"</definedName>
    <definedName name="IQ_PERCENT_CHANGE_EST_EBITDA_6MONTHS_REUT" hidden="1">"c3915"</definedName>
    <definedName name="IQ_PERCENT_CHANGE_EST_EBITDA_9MONTHS_REUT" hidden="1">"c3916"</definedName>
    <definedName name="IQ_PERCENT_CHANGE_EST_EBITDA_DAY_REUT" hidden="1">"c3912"</definedName>
    <definedName name="IQ_PERCENT_CHANGE_EST_EBITDA_MONTH_REUT" hidden="1">"c3913"</definedName>
    <definedName name="IQ_PERCENT_CHANGE_EST_EBITDA_WEEK_REUT" hidden="1">"c3961"</definedName>
    <definedName name="IQ_PERCENT_CHANGE_EST_EPS_12MONTHS_REUT" hidden="1">"c3902"</definedName>
    <definedName name="IQ_PERCENT_CHANGE_EST_EPS_18MONTHS_REUT" hidden="1">"c3903"</definedName>
    <definedName name="IQ_PERCENT_CHANGE_EST_EPS_3MONTHS_REUT" hidden="1">"c3899"</definedName>
    <definedName name="IQ_PERCENT_CHANGE_EST_EPS_6MONTHS_REUT" hidden="1">"c3900"</definedName>
    <definedName name="IQ_PERCENT_CHANGE_EST_EPS_9MONTHS_REUT" hidden="1">"c3901"</definedName>
    <definedName name="IQ_PERCENT_CHANGE_EST_EPS_DAY_REUT" hidden="1">"c3896"</definedName>
    <definedName name="IQ_PERCENT_CHANGE_EST_EPS_MONTH_REUT" hidden="1">"c3898"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WEEK" hidden="1">"c1823"</definedName>
    <definedName name="IQ_PERCENT_CHANGE_EST_FFO_WEEK_CIQ" hidden="1">"c3795"</definedName>
    <definedName name="IQ_PERCENT_CHANGE_EST_FFO_WEEK_REUT" hidden="1">"c3964"</definedName>
    <definedName name="IQ_PERCENT_CHANGE_EST_PRICE_TARGET_12MONTHS_REUT" hidden="1">"c3952"</definedName>
    <definedName name="IQ_PERCENT_CHANGE_EST_PRICE_TARGET_18MONTHS_REUT" hidden="1">"c3953"</definedName>
    <definedName name="IQ_PERCENT_CHANGE_EST_PRICE_TARGET_3MONTHS_REUT" hidden="1">"c3949"</definedName>
    <definedName name="IQ_PERCENT_CHANGE_EST_PRICE_TARGET_6MONTHS_REUT" hidden="1">"c3950"</definedName>
    <definedName name="IQ_PERCENT_CHANGE_EST_PRICE_TARGET_9MONTHS_REUT" hidden="1">"c3951"</definedName>
    <definedName name="IQ_PERCENT_CHANGE_EST_PRICE_TARGET_DAY_REUT" hidden="1">"c3947"</definedName>
    <definedName name="IQ_PERCENT_CHANGE_EST_PRICE_TARGET_MONTH_REUT" hidden="1">"c3948"</definedName>
    <definedName name="IQ_PERCENT_CHANGE_EST_PRICE_TARGET_WEEK_REUT" hidden="1">"c3967"</definedName>
    <definedName name="IQ_PERCENT_CHANGE_EST_RECO_12MONTHS_REUT" hidden="1">"c3945"</definedName>
    <definedName name="IQ_PERCENT_CHANGE_EST_RECO_18MONTHS_REUT" hidden="1">"c3946"</definedName>
    <definedName name="IQ_PERCENT_CHANGE_EST_RECO_3MONTHS_REUT" hidden="1">"c3942"</definedName>
    <definedName name="IQ_PERCENT_CHANGE_EST_RECO_6MONTHS_REUT" hidden="1">"c3943"</definedName>
    <definedName name="IQ_PERCENT_CHANGE_EST_RECO_9MONTHS_REUT" hidden="1">"c3944"</definedName>
    <definedName name="IQ_PERCENT_CHANGE_EST_RECO_DAY_REUT" hidden="1">"c3940"</definedName>
    <definedName name="IQ_PERCENT_CHANGE_EST_RECO_MONTH_REUT" hidden="1">"c3941"</definedName>
    <definedName name="IQ_PERCENT_CHANGE_EST_RECO_WEEK_REUT" hidden="1">"c3966"</definedName>
    <definedName name="IQ_PERCENT_CHANGE_EST_REV_12MONTHS_REUT" hidden="1">"c3910"</definedName>
    <definedName name="IQ_PERCENT_CHANGE_EST_REV_18MONTHS_REUT" hidden="1">"c3911"</definedName>
    <definedName name="IQ_PERCENT_CHANGE_EST_REV_3MONTHS_REUT" hidden="1">"c3907"</definedName>
    <definedName name="IQ_PERCENT_CHANGE_EST_REV_6MONTHS_REUT" hidden="1">"c3908"</definedName>
    <definedName name="IQ_PERCENT_CHANGE_EST_REV_9MONTHS_REUT" hidden="1">"c3909"</definedName>
    <definedName name="IQ_PERCENT_CHANGE_EST_REV_DAY_REUT" hidden="1">"c3904"</definedName>
    <definedName name="IQ_PERCENT_CHANGE_EST_REV_MONTH_REUT" hidden="1">"c3906"</definedName>
    <definedName name="IQ_PERCENT_CHANGE_EST_REV_WEEK_REUT" hidden="1">"c3905"</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_REUT" hidden="1">"c3968"</definedName>
    <definedName name="IQ_PRE_OPEN_COST" hidden="1">"c1040"</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_REUT" hidden="1">"c5354"</definedName>
    <definedName name="IQ_PRETAX_GW_INC_HIGH_EST_REUT" hidden="1">"c5356"</definedName>
    <definedName name="IQ_PRETAX_GW_INC_LOW_EST_REUT" hidden="1">"c5357"</definedName>
    <definedName name="IQ_PRETAX_GW_INC_MEDIAN_EST_REUT" hidden="1">"c5355"</definedName>
    <definedName name="IQ_PRETAX_GW_INC_NUM_EST_REUT" hidden="1">"c5358"</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_REUT" hidden="1">"c5347"</definedName>
    <definedName name="IQ_PRETAX_INC_HIGH_EST_REUT" hidden="1">"c5349"</definedName>
    <definedName name="IQ_PRETAX_INC_LOW_EST_REUT" hidden="1">"c5350"</definedName>
    <definedName name="IQ_PRETAX_INC_MEDIAN_EST_REUT" hidden="1">"c5348"</definedName>
    <definedName name="IQ_PRETAX_INC_NUM_EST_REUT" hidden="1">"c5351"</definedName>
    <definedName name="IQ_PRETAX_INC_STDDEV_EST_REUT" hidden="1">"c5352"</definedName>
    <definedName name="IQ_PRETAX_REPORT_INC_EST_REUT" hidden="1">"c5361"</definedName>
    <definedName name="IQ_PRETAX_REPORT_INC_HIGH_EST_REUT" hidden="1">"c5363"</definedName>
    <definedName name="IQ_PRETAX_REPORT_INC_LOW_EST_REUT" hidden="1">"c5364"</definedName>
    <definedName name="IQ_PRETAX_REPORT_INC_MEDIAN_EST_REUT" hidden="1">"c5362"</definedName>
    <definedName name="IQ_PRETAX_REPORT_INC_NUM_EST_REUT" hidden="1">"c5365"</definedName>
    <definedName name="IQ_PRETAX_REPORT_INC_STDDEV_EST_REUT" hidden="1">"c5366"</definedName>
    <definedName name="IQ_PRETAX_RETURN_ASSETS_FDIC" hidden="1">"c6731"</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BOTTOM_UP_REUT" hidden="1">"c5494"</definedName>
    <definedName name="IQ_PRICE_TARGET_REUT" hidden="1">"c3631"</definedName>
    <definedName name="IQ_PRICEDATE" hidden="1">"c1069"</definedName>
    <definedName name="IQ_PRICEDATETIME" hidden="1">"IQ_PRICEDATETIME"</definedName>
    <definedName name="IQ_PRICING_DATE" hidden="1">"c1613"</definedName>
    <definedName name="IQ_PRIMARY_EPS_TYPE_REUT" hidden="1">"c5481"</definedName>
    <definedName name="IQ_PRIMARY_INDUSTRY" hidden="1">"c1070"</definedName>
    <definedName name="IQ_PRINCIPAL_AMT" hidden="1">"c2157"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REUT" hidden="1">"c5475"</definedName>
    <definedName name="IQ_RETURN_ASSETS_BANK" hidden="1">"c1114"</definedName>
    <definedName name="IQ_RETURN_ASSETS_BROK" hidden="1">"c1115"</definedName>
    <definedName name="IQ_RETURN_ASSETS_EST_REUT" hidden="1">"c3990"</definedName>
    <definedName name="IQ_RETURN_ASSETS_FDIC" hidden="1">"c6730"</definedName>
    <definedName name="IQ_RETURN_ASSETS_FS" hidden="1">"c1116"</definedName>
    <definedName name="IQ_RETURN_ASSETS_HIGH_EST_REUT" hidden="1">"c3992"</definedName>
    <definedName name="IQ_RETURN_ASSETS_LOW_EST_REUT" hidden="1">"c3993"</definedName>
    <definedName name="IQ_RETURN_ASSETS_MEDIAN_EST_REUT" hidden="1">"c3991"</definedName>
    <definedName name="IQ_RETURN_ASSETS_NUM_EST_REUT" hidden="1">"c3994"</definedName>
    <definedName name="IQ_RETURN_ASSETS_STDDEV_EST_REUT" hidden="1">"c3995"</definedName>
    <definedName name="IQ_RETURN_CAPITAL" hidden="1">"c1117"</definedName>
    <definedName name="IQ_RETURN_EQUITY" hidden="1">"c1118"</definedName>
    <definedName name="IQ_RETURN_EQUITY_ACT_OR_EST_REUT" hidden="1">"c5476"</definedName>
    <definedName name="IQ_RETURN_EQUITY_BANK" hidden="1">"c1119"</definedName>
    <definedName name="IQ_RETURN_EQUITY_BROK" hidden="1">"c1120"</definedName>
    <definedName name="IQ_RETURN_EQUITY_EST_REUT" hidden="1">"c3983"</definedName>
    <definedName name="IQ_RETURN_EQUITY_FDIC" hidden="1">"c6732"</definedName>
    <definedName name="IQ_RETURN_EQUITY_FS" hidden="1">"c1121"</definedName>
    <definedName name="IQ_RETURN_EQUITY_HIGH_EST_REUT" hidden="1">"c3985"</definedName>
    <definedName name="IQ_RETURN_EQUITY_LOW_EST_REUT" hidden="1">"c3986"</definedName>
    <definedName name="IQ_RETURN_EQUITY_MEDIAN_EST_REUT" hidden="1">"c3984"</definedName>
    <definedName name="IQ_RETURN_EQUITY_NUM_EST_REUT" hidden="1">"c3987"</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_REUT" hidden="1">"c5461"</definedName>
    <definedName name="IQ_REVENUE_EST" hidden="1">"c1126"</definedName>
    <definedName name="IQ_REVENUE_EST_1" hidden="1">"IQ_REVENUE_EST_1"</definedName>
    <definedName name="IQ_REVENUE_EST_BOTTOM_UP_REUT" hidden="1">"c5496"</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1</definedName>
    <definedName name="IQRG15" hidden="1">"$G$16:$G$268"</definedName>
    <definedName name="iQShowHideColumns" hidden="1">"iQShowQuarterlyAnnual"</definedName>
    <definedName name="IsColHidden" hidden="1">FALSE</definedName>
    <definedName name="IsLTMColHidden" hidden="1">FALSE</definedName>
    <definedName name="iuy" localSheetId="1" hidden="1">#REF!</definedName>
    <definedName name="iuy" localSheetId="30" hidden="1">#REF!</definedName>
    <definedName name="iuy" localSheetId="31" hidden="1">#REF!</definedName>
    <definedName name="iuy" localSheetId="7" hidden="1">#REF!</definedName>
    <definedName name="iuy" localSheetId="9" hidden="1">#REF!</definedName>
    <definedName name="iuy" hidden="1">#REF!</definedName>
    <definedName name="iuyt" localSheetId="1" hidden="1">#REF!</definedName>
    <definedName name="iuyt" localSheetId="30" hidden="1">#REF!</definedName>
    <definedName name="iuyt" localSheetId="31" hidden="1">#REF!</definedName>
    <definedName name="iuyt" localSheetId="7" hidden="1">#REF!</definedName>
    <definedName name="iuyt" localSheetId="9" hidden="1">#REF!</definedName>
    <definedName name="iuyt" hidden="1">#REF!</definedName>
    <definedName name="j" localSheetId="1" hidden="1">#REF!</definedName>
    <definedName name="j" localSheetId="30" hidden="1">#REF!</definedName>
    <definedName name="j" localSheetId="31" hidden="1">#REF!</definedName>
    <definedName name="j" localSheetId="7" hidden="1">#REF!</definedName>
    <definedName name="j" localSheetId="0" hidden="1">#REF!</definedName>
    <definedName name="j" localSheetId="10" hidden="1">{"group detail",#N/A,FALSE,"Hourly Detail"}</definedName>
    <definedName name="j" localSheetId="12" hidden="1">{"group detail",#N/A,FALSE,"Hourly Detail"}</definedName>
    <definedName name="j" localSheetId="9" hidden="1">#REF!</definedName>
    <definedName name="j" hidden="1">{"group detail",#N/A,FALSE,"Hourly Detail"}</definedName>
    <definedName name="jdn" localSheetId="30" hidden="1">#REF!</definedName>
    <definedName name="jdn" localSheetId="31" hidden="1">#REF!</definedName>
    <definedName name="jdn" localSheetId="7" hidden="1">#REF!</definedName>
    <definedName name="jdn" localSheetId="9" hidden="1">#REF!</definedName>
    <definedName name="jdn" hidden="1">#REF!</definedName>
    <definedName name="je" localSheetId="1" hidden="1">{#N/A,#N/A,FALSE,"SCA";#N/A,#N/A,FALSE,"NCA";#N/A,#N/A,FALSE,"SAZ";#N/A,#N/A,FALSE,"CAZ";#N/A,#N/A,FALSE,"SNV";#N/A,#N/A,FALSE,"NNV";#N/A,#N/A,FALSE,"PP";#N/A,#N/A,FALSE,"SA"}</definedName>
    <definedName name="je" localSheetId="17" hidden="1">{#N/A,#N/A,FALSE,"SCA";#N/A,#N/A,FALSE,"NCA";#N/A,#N/A,FALSE,"SAZ";#N/A,#N/A,FALSE,"CAZ";#N/A,#N/A,FALSE,"SNV";#N/A,#N/A,FALSE,"NNV";#N/A,#N/A,FALSE,"PP";#N/A,#N/A,FALSE,"SA"}</definedName>
    <definedName name="je" localSheetId="30" hidden="1">{#N/A,#N/A,FALSE,"SCA";#N/A,#N/A,FALSE,"NCA";#N/A,#N/A,FALSE,"SAZ";#N/A,#N/A,FALSE,"CAZ";#N/A,#N/A,FALSE,"SNV";#N/A,#N/A,FALSE,"NNV";#N/A,#N/A,FALSE,"PP";#N/A,#N/A,FALSE,"SA"}</definedName>
    <definedName name="je" localSheetId="31" hidden="1">{#N/A,#N/A,FALSE,"SCA";#N/A,#N/A,FALSE,"NCA";#N/A,#N/A,FALSE,"SAZ";#N/A,#N/A,FALSE,"CAZ";#N/A,#N/A,FALSE,"SNV";#N/A,#N/A,FALSE,"NNV";#N/A,#N/A,FALSE,"PP";#N/A,#N/A,FALSE,"SA"}</definedName>
    <definedName name="je" localSheetId="19" hidden="1">{#N/A,#N/A,FALSE,"SCA";#N/A,#N/A,FALSE,"NCA";#N/A,#N/A,FALSE,"SAZ";#N/A,#N/A,FALSE,"CAZ";#N/A,#N/A,FALSE,"SNV";#N/A,#N/A,FALSE,"NNV";#N/A,#N/A,FALSE,"PP";#N/A,#N/A,FALSE,"SA"}</definedName>
    <definedName name="je" localSheetId="7" hidden="1">{#N/A,#N/A,FALSE,"SCA";#N/A,#N/A,FALSE,"NCA";#N/A,#N/A,FALSE,"SAZ";#N/A,#N/A,FALSE,"CAZ";#N/A,#N/A,FALSE,"SNV";#N/A,#N/A,FALSE,"NNV";#N/A,#N/A,FALSE,"PP";#N/A,#N/A,FALSE,"SA"}</definedName>
    <definedName name="je" localSheetId="0" hidden="1">{#N/A,#N/A,FALSE,"SCA";#N/A,#N/A,FALSE,"NCA";#N/A,#N/A,FALSE,"SAZ";#N/A,#N/A,FALSE,"CAZ";#N/A,#N/A,FALSE,"SNV";#N/A,#N/A,FALSE,"NNV";#N/A,#N/A,FALSE,"PP";#N/A,#N/A,FALSE,"SA"}</definedName>
    <definedName name="je" localSheetId="10" hidden="1">{#N/A,#N/A,FALSE,"SCA";#N/A,#N/A,FALSE,"NCA";#N/A,#N/A,FALSE,"SAZ";#N/A,#N/A,FALSE,"CAZ";#N/A,#N/A,FALSE,"SNV";#N/A,#N/A,FALSE,"NNV";#N/A,#N/A,FALSE,"PP";#N/A,#N/A,FALSE,"SA"}</definedName>
    <definedName name="je" localSheetId="12" hidden="1">{#N/A,#N/A,FALSE,"SCA";#N/A,#N/A,FALSE,"NCA";#N/A,#N/A,FALSE,"SAZ";#N/A,#N/A,FALSE,"CAZ";#N/A,#N/A,FALSE,"SNV";#N/A,#N/A,FALSE,"NNV";#N/A,#N/A,FALSE,"PP";#N/A,#N/A,FALSE,"SA"}</definedName>
    <definedName name="je" localSheetId="9" hidden="1">{#N/A,#N/A,FALSE,"SCA";#N/A,#N/A,FALSE,"NCA";#N/A,#N/A,FALSE,"SAZ";#N/A,#N/A,FALSE,"CAZ";#N/A,#N/A,FALSE,"SNV";#N/A,#N/A,FALSE,"NNV";#N/A,#N/A,FALSE,"PP";#N/A,#N/A,FALSE,"SA"}</definedName>
    <definedName name="je" hidden="1">{#N/A,#N/A,FALSE,"SCA";#N/A,#N/A,FALSE,"NCA";#N/A,#N/A,FALSE,"SAZ";#N/A,#N/A,FALSE,"CAZ";#N/A,#N/A,FALSE,"SNV";#N/A,#N/A,FALSE,"NNV";#N/A,#N/A,FALSE,"PP";#N/A,#N/A,FALSE,"SA"}</definedName>
    <definedName name="jfd" localSheetId="7" hidden="1">{"group detail",#N/A,FALSE,"Hourly Detail"}</definedName>
    <definedName name="jfd" localSheetId="10" hidden="1">{"group detail",#N/A,FALSE,"Hourly Detail"}</definedName>
    <definedName name="jfd" localSheetId="12" hidden="1">{"group detail",#N/A,FALSE,"Hourly Detail"}</definedName>
    <definedName name="jfd" hidden="1">{"group detail",#N/A,FALSE,"Hourly Detail"}</definedName>
    <definedName name="jh" localSheetId="7" hidden="1">{#N/A,#N/A,FALSE,"Aging Summary";#N/A,#N/A,FALSE,"Ratio Analysis";#N/A,#N/A,FALSE,"Test 120 Day Accts";#N/A,#N/A,FALSE,"Tickmarks"}</definedName>
    <definedName name="jh" localSheetId="10" hidden="1">{#N/A,#N/A,FALSE,"Aging Summary";#N/A,#N/A,FALSE,"Ratio Analysis";#N/A,#N/A,FALSE,"Test 120 Day Accts";#N/A,#N/A,FALSE,"Tickmarks"}</definedName>
    <definedName name="jh" localSheetId="12" hidden="1">{#N/A,#N/A,FALSE,"Aging Summary";#N/A,#N/A,FALSE,"Ratio Analysis";#N/A,#N/A,FALSE,"Test 120 Day Accts";#N/A,#N/A,FALSE,"Tickmarks"}</definedName>
    <definedName name="jh" hidden="1">{#N/A,#N/A,FALSE,"Aging Summary";#N/A,#N/A,FALSE,"Ratio Analysis";#N/A,#N/A,FALSE,"Test 120 Day Accts";#N/A,#N/A,FALSE,"Tickmarks"}</definedName>
    <definedName name="jhlkqFL" localSheetId="1" hidden="1">{"'Sheet1'!$A$1:$O$40"}</definedName>
    <definedName name="jhlkqFL" localSheetId="17" hidden="1">{"'Sheet1'!$A$1:$O$40"}</definedName>
    <definedName name="jhlkqFL" localSheetId="30" hidden="1">{"'Sheet1'!$A$1:$O$40"}</definedName>
    <definedName name="jhlkqFL" localSheetId="31" hidden="1">{"'Sheet1'!$A$1:$O$40"}</definedName>
    <definedName name="jhlkqFL" localSheetId="19" hidden="1">{"'Sheet1'!$A$1:$O$40"}</definedName>
    <definedName name="jhlkqFL" localSheetId="7" hidden="1">{"'Sheet1'!$A$1:$O$40"}</definedName>
    <definedName name="jhlkqFL" localSheetId="0" hidden="1">{"'Sheet1'!$A$1:$O$40"}</definedName>
    <definedName name="jhlkqFL" localSheetId="10" hidden="1">{"'Sheet1'!$A$1:$O$40"}</definedName>
    <definedName name="jhlkqFL" localSheetId="12" hidden="1">{"'Sheet1'!$A$1:$O$40"}</definedName>
    <definedName name="jhlkqFL" localSheetId="9" hidden="1">{"'Sheet1'!$A$1:$O$40"}</definedName>
    <definedName name="jhlkqFL" hidden="1">{"'Sheet1'!$A$1:$O$40"}</definedName>
    <definedName name="jkdf" localSheetId="1" hidden="1">#REF!</definedName>
    <definedName name="jkdf" localSheetId="30" hidden="1">#REF!</definedName>
    <definedName name="jkdf" localSheetId="31" hidden="1">#REF!</definedName>
    <definedName name="jkdf" localSheetId="7" hidden="1">#REF!</definedName>
    <definedName name="jkdf" localSheetId="9" hidden="1">#REF!</definedName>
    <definedName name="jkdf" hidden="1">#REF!</definedName>
    <definedName name="jkdsac" localSheetId="1" hidden="1">#REF!</definedName>
    <definedName name="jkdsac" localSheetId="30" hidden="1">#REF!</definedName>
    <definedName name="jkdsac" localSheetId="31" hidden="1">#REF!</definedName>
    <definedName name="jkdsac" localSheetId="7" hidden="1">#REF!</definedName>
    <definedName name="jkdsac" localSheetId="9" hidden="1">#REF!</definedName>
    <definedName name="jkdsac" hidden="1">#REF!</definedName>
    <definedName name="jkfoo" localSheetId="1" hidden="1">#REF!</definedName>
    <definedName name="jkfoo" localSheetId="30" hidden="1">#REF!</definedName>
    <definedName name="jkfoo" localSheetId="31" hidden="1">#REF!</definedName>
    <definedName name="jkfoo" localSheetId="7" hidden="1">#REF!</definedName>
    <definedName name="jkfoo" localSheetId="9" hidden="1">#REF!</definedName>
    <definedName name="jkfoo" hidden="1">#REF!</definedName>
    <definedName name="jkrhtr" localSheetId="1" hidden="1">{"print1",#N/A,FALSE,"D21CUSTS"}</definedName>
    <definedName name="jkrhtr" localSheetId="17" hidden="1">{"print1",#N/A,FALSE,"D21CUSTS"}</definedName>
    <definedName name="jkrhtr" localSheetId="30" hidden="1">{"print1",#N/A,FALSE,"D21CUSTS"}</definedName>
    <definedName name="jkrhtr" localSheetId="31" hidden="1">{"print1",#N/A,FALSE,"D21CUSTS"}</definedName>
    <definedName name="jkrhtr" localSheetId="19" hidden="1">{"print1",#N/A,FALSE,"D21CUSTS"}</definedName>
    <definedName name="jkrhtr" localSheetId="7" hidden="1">{"print1",#N/A,FALSE,"D21CUSTS"}</definedName>
    <definedName name="jkrhtr" localSheetId="0" hidden="1">{"print1",#N/A,FALSE,"D21CUSTS"}</definedName>
    <definedName name="jkrhtr" localSheetId="10" hidden="1">{"print1",#N/A,FALSE,"D21CUSTS"}</definedName>
    <definedName name="jkrhtr" localSheetId="12" hidden="1">{"print1",#N/A,FALSE,"D21CUSTS"}</definedName>
    <definedName name="jkrhtr" localSheetId="9" hidden="1">{"print1",#N/A,FALSE,"D21CUSTS"}</definedName>
    <definedName name="jkrhtr" hidden="1">{"print1",#N/A,FALSE,"D21CUSTS"}</definedName>
    <definedName name="jktrjhjhjh"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1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3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1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1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1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localSheetId="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ktrjhjhjh"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rththtr" localSheetId="1" hidden="1">{#N/A,#N/A,FALSE,"OTHERINPUTS";#N/A,#N/A,FALSE,"SUPPLIEDADJINPUT";#N/A,#N/A,FALSE,"BR&amp;SUPADJ."}</definedName>
    <definedName name="jrththtr" localSheetId="17" hidden="1">{#N/A,#N/A,FALSE,"OTHERINPUTS";#N/A,#N/A,FALSE,"SUPPLIEDADJINPUT";#N/A,#N/A,FALSE,"BR&amp;SUPADJ."}</definedName>
    <definedName name="jrththtr" localSheetId="30" hidden="1">{#N/A,#N/A,FALSE,"OTHERINPUTS";#N/A,#N/A,FALSE,"SUPPLIEDADJINPUT";#N/A,#N/A,FALSE,"BR&amp;SUPADJ."}</definedName>
    <definedName name="jrththtr" localSheetId="31" hidden="1">{#N/A,#N/A,FALSE,"OTHERINPUTS";#N/A,#N/A,FALSE,"SUPPLIEDADJINPUT";#N/A,#N/A,FALSE,"BR&amp;SUPADJ."}</definedName>
    <definedName name="jrththtr" localSheetId="19" hidden="1">{#N/A,#N/A,FALSE,"OTHERINPUTS";#N/A,#N/A,FALSE,"SUPPLIEDADJINPUT";#N/A,#N/A,FALSE,"BR&amp;SUPADJ."}</definedName>
    <definedName name="jrththtr" localSheetId="7" hidden="1">{#N/A,#N/A,FALSE,"OTHERINPUTS";#N/A,#N/A,FALSE,"SUPPLIEDADJINPUT";#N/A,#N/A,FALSE,"BR&amp;SUPADJ."}</definedName>
    <definedName name="jrththtr" localSheetId="0" hidden="1">{#N/A,#N/A,FALSE,"OTHERINPUTS";#N/A,#N/A,FALSE,"SUPPLIEDADJINPUT";#N/A,#N/A,FALSE,"BR&amp;SUPADJ."}</definedName>
    <definedName name="jrththtr" localSheetId="10" hidden="1">{#N/A,#N/A,FALSE,"OTHERINPUTS";#N/A,#N/A,FALSE,"SUPPLIEDADJINPUT";#N/A,#N/A,FALSE,"BR&amp;SUPADJ."}</definedName>
    <definedName name="jrththtr" localSheetId="12" hidden="1">{#N/A,#N/A,FALSE,"OTHERINPUTS";#N/A,#N/A,FALSE,"SUPPLIEDADJINPUT";#N/A,#N/A,FALSE,"BR&amp;SUPADJ."}</definedName>
    <definedName name="jrththtr" localSheetId="9" hidden="1">{#N/A,#N/A,FALSE,"OTHERINPUTS";#N/A,#N/A,FALSE,"SUPPLIEDADJINPUT";#N/A,#N/A,FALSE,"BR&amp;SUPADJ."}</definedName>
    <definedName name="jrththtr" hidden="1">{#N/A,#N/A,FALSE,"OTHERINPUTS";#N/A,#N/A,FALSE,"SUPPLIEDADJINPUT";#N/A,#N/A,FALSE,"BR&amp;SUPADJ."}</definedName>
    <definedName name="jseqf" localSheetId="1" hidden="1">#REF!</definedName>
    <definedName name="jseqf" localSheetId="30" hidden="1">#REF!</definedName>
    <definedName name="jseqf" localSheetId="31" hidden="1">#REF!</definedName>
    <definedName name="jseqf" localSheetId="7" hidden="1">#REF!</definedName>
    <definedName name="jseqf" localSheetId="9" hidden="1">#REF!</definedName>
    <definedName name="jseqf" hidden="1">#REF!</definedName>
    <definedName name="JUL00" localSheetId="7" hidden="1">{"SEP",#N/A,FALSE,"SEP"}</definedName>
    <definedName name="JUL00" localSheetId="10" hidden="1">{"SEP",#N/A,FALSE,"SEP"}</definedName>
    <definedName name="JUL00" localSheetId="12" hidden="1">{"SEP",#N/A,FALSE,"SEP"}</definedName>
    <definedName name="JUL00" hidden="1">{"SEP",#N/A,FALSE,"SEP"}</definedName>
    <definedName name="JUN00" localSheetId="7" hidden="1">{"SEP",#N/A,FALSE,"SEP"}</definedName>
    <definedName name="JUN00" localSheetId="10" hidden="1">{"SEP",#N/A,FALSE,"SEP"}</definedName>
    <definedName name="JUN00" localSheetId="12" hidden="1">{"SEP",#N/A,FALSE,"SEP"}</definedName>
    <definedName name="JUN00" hidden="1">{"SEP",#N/A,FALSE,"SEP"}</definedName>
    <definedName name="JURISDICTION">#REF!</definedName>
    <definedName name="JurisdictionalFactor" localSheetId="7">#REF!</definedName>
    <definedName name="JurisdictionalFactor" localSheetId="12">#REF!</definedName>
    <definedName name="JurisdictionalFactor">#REF!</definedName>
    <definedName name="jz" localSheetId="1" hidden="1">#REF!</definedName>
    <definedName name="jz" localSheetId="30" hidden="1">#REF!</definedName>
    <definedName name="jz" localSheetId="31" hidden="1">#REF!</definedName>
    <definedName name="jz" localSheetId="7" hidden="1">#REF!</definedName>
    <definedName name="jz" localSheetId="9" hidden="1">#REF!</definedName>
    <definedName name="jz" hidden="1">#REF!</definedName>
    <definedName name="jzs" localSheetId="1" hidden="1">#REF!</definedName>
    <definedName name="jzs" localSheetId="31" hidden="1">#REF!</definedName>
    <definedName name="jzs" localSheetId="7" hidden="1">#REF!</definedName>
    <definedName name="jzs" localSheetId="9" hidden="1">#REF!</definedName>
    <definedName name="jzs" hidden="1">#REF!</definedName>
    <definedName name="k" localSheetId="1" hidden="1">#REF!</definedName>
    <definedName name="k" localSheetId="31" hidden="1">#REF!</definedName>
    <definedName name="k" localSheetId="7" hidden="1">#REF!</definedName>
    <definedName name="k" localSheetId="0" hidden="1">#REF!</definedName>
    <definedName name="k" localSheetId="10" hidden="1">{"12 months",#N/A,FALSE,"Hourly"}</definedName>
    <definedName name="k" localSheetId="12" hidden="1">{"12 months",#N/A,FALSE,"Hourly"}</definedName>
    <definedName name="k" localSheetId="9" hidden="1">#REF!</definedName>
    <definedName name="k" hidden="1">{"12 months",#N/A,FALSE,"Hourly"}</definedName>
    <definedName name="k.1" localSheetId="12">#REF!</definedName>
    <definedName name="k.1">#REF!</definedName>
    <definedName name="k.10" localSheetId="12">#REF!</definedName>
    <definedName name="k.10">#REF!</definedName>
    <definedName name="k.11" localSheetId="12">#REF!</definedName>
    <definedName name="k.11">#REF!</definedName>
    <definedName name="k.12">#REF!</definedName>
    <definedName name="k.13">#REF!</definedName>
    <definedName name="k.14">#REF!</definedName>
    <definedName name="k.15">#REF!</definedName>
    <definedName name="k.16">#REF!</definedName>
    <definedName name="k.17">#REF!</definedName>
    <definedName name="k.18">#REF!</definedName>
    <definedName name="k.19">#REF!</definedName>
    <definedName name="k.2">#REF!</definedName>
    <definedName name="k.20">#REF!</definedName>
    <definedName name="k.21">#REF!</definedName>
    <definedName name="k.22">#REF!</definedName>
    <definedName name="k.23">#REF!</definedName>
    <definedName name="k.24">#REF!</definedName>
    <definedName name="k.25">#REF!</definedName>
    <definedName name="k.26">#REF!</definedName>
    <definedName name="k.27">#REF!</definedName>
    <definedName name="k.28">#REF!</definedName>
    <definedName name="k.29">#REF!</definedName>
    <definedName name="k.3">#REF!</definedName>
    <definedName name="k.30">#REF!</definedName>
    <definedName name="k.31">#REF!</definedName>
    <definedName name="k.32">#REF!</definedName>
    <definedName name="k.33">#REF!</definedName>
    <definedName name="k.4">#REF!</definedName>
    <definedName name="k.5">#REF!</definedName>
    <definedName name="k.6">#REF!</definedName>
    <definedName name="k.7">#REF!</definedName>
    <definedName name="k.8">#REF!</definedName>
    <definedName name="k.9">#REF!</definedName>
    <definedName name="K2_WBEVMODE" hidden="1">0</definedName>
    <definedName name="kal" localSheetId="1" hidden="1">#REF!</definedName>
    <definedName name="kal" localSheetId="30" hidden="1">#REF!</definedName>
    <definedName name="kal" localSheetId="31" hidden="1">#REF!</definedName>
    <definedName name="kal" localSheetId="7" hidden="1">#REF!</definedName>
    <definedName name="kal" localSheetId="9" hidden="1">#REF!</definedName>
    <definedName name="kal" hidden="1">#REF!</definedName>
    <definedName name="kasy" localSheetId="7" hidden="1">{"Contracts",#N/A,FALSE,"Contracts";"cccont",#N/A,FALSE,"Contracts"}</definedName>
    <definedName name="kasy" localSheetId="10" hidden="1">{"Contracts",#N/A,FALSE,"Contracts";"cccont",#N/A,FALSE,"Contracts"}</definedName>
    <definedName name="kasy" localSheetId="12" hidden="1">{"Contracts",#N/A,FALSE,"Contracts";"cccont",#N/A,FALSE,"Contracts"}</definedName>
    <definedName name="kasy" hidden="1">{"Contracts",#N/A,FALSE,"Contracts";"cccont",#N/A,FALSE,"Contracts"}</definedName>
    <definedName name="Kate" localSheetId="7" hidden="1">{"CASHFLOW",#N/A,FALSE,"CF";"TAX",#N/A,FALSE,"CF"}</definedName>
    <definedName name="Kate" localSheetId="10" hidden="1">{"CASHFLOW",#N/A,FALSE,"CF";"TAX",#N/A,FALSE,"CF"}</definedName>
    <definedName name="Kate" localSheetId="12" hidden="1">{"CASHFLOW",#N/A,FALSE,"CF";"TAX",#N/A,FALSE,"CF"}</definedName>
    <definedName name="Kate" hidden="1">{"CASHFLOW",#N/A,FALSE,"CF";"TAX",#N/A,FALSE,"CF"}</definedName>
    <definedName name="kate2" localSheetId="7" hidden="1">{"Contracts",#N/A,FALSE,"Contracts";"cccont",#N/A,FALSE,"Contracts"}</definedName>
    <definedName name="kate2" localSheetId="10" hidden="1">{"Contracts",#N/A,FALSE,"Contracts";"cccont",#N/A,FALSE,"Contracts"}</definedName>
    <definedName name="kate2" localSheetId="12" hidden="1">{"Contracts",#N/A,FALSE,"Contracts";"cccont",#N/A,FALSE,"Contracts"}</definedName>
    <definedName name="kate2" hidden="1">{"Contracts",#N/A,FALSE,"Contracts";"cccont",#N/A,FALSE,"Contracts"}</definedName>
    <definedName name="kate3" localSheetId="7" hidden="1">{"BALANCESHEET",#N/A,FALSE,"BS"}</definedName>
    <definedName name="kate3" localSheetId="10" hidden="1">{"BALANCESHEET",#N/A,FALSE,"BS"}</definedName>
    <definedName name="kate3" localSheetId="12" hidden="1">{"BALANCESHEET",#N/A,FALSE,"BS"}</definedName>
    <definedName name="kate3" hidden="1">{"BALANCESHEET",#N/A,FALSE,"BS"}</definedName>
    <definedName name="katie" localSheetId="7" hidden="1">{"CASHFLOW",#N/A,FALSE,"CF";"TAX",#N/A,FALSE,"CF"}</definedName>
    <definedName name="katie" localSheetId="10" hidden="1">{"CASHFLOW",#N/A,FALSE,"CF";"TAX",#N/A,FALSE,"CF"}</definedName>
    <definedName name="katie" localSheetId="12" hidden="1">{"CASHFLOW",#N/A,FALSE,"CF";"TAX",#N/A,FALSE,"CF"}</definedName>
    <definedName name="katie" hidden="1">{"CASHFLOW",#N/A,FALSE,"CF";"TAX",#N/A,FALSE,"CF"}</definedName>
    <definedName name="kaw" localSheetId="1" hidden="1">#REF!</definedName>
    <definedName name="kaw" localSheetId="30" hidden="1">#REF!</definedName>
    <definedName name="kaw" localSheetId="31" hidden="1">#REF!</definedName>
    <definedName name="kaw" localSheetId="7" hidden="1">#REF!</definedName>
    <definedName name="kaw" localSheetId="9" hidden="1">#REF!</definedName>
    <definedName name="kaw" hidden="1">#REF!</definedName>
    <definedName name="Kcgeq01">#REF!</definedName>
    <definedName name="Kcgeq02">#REF!</definedName>
    <definedName name="Kcgeq03">#REF!</definedName>
    <definedName name="Kcgeq04">#REF!</definedName>
    <definedName name="Kcgeq05">#REF!</definedName>
    <definedName name="Kcgeq06">#REF!</definedName>
    <definedName name="Kcgeq08">#REF!</definedName>
    <definedName name="kdkd" localSheetId="1" hidden="1">#REF!</definedName>
    <definedName name="kdkd" localSheetId="30" hidden="1">#REF!</definedName>
    <definedName name="kdkd" localSheetId="31" hidden="1">#REF!</definedName>
    <definedName name="kdkd" localSheetId="7" hidden="1">#REF!</definedName>
    <definedName name="kdkd" localSheetId="9" hidden="1">#REF!</definedName>
    <definedName name="kdkd" hidden="1">#REF!</definedName>
    <definedName name="kdkjrt" localSheetId="1" hidden="1">#REF!</definedName>
    <definedName name="kdkjrt" localSheetId="30" hidden="1">#REF!</definedName>
    <definedName name="kdkjrt" localSheetId="31" hidden="1">#REF!</definedName>
    <definedName name="kdkjrt" localSheetId="7" hidden="1">#REF!</definedName>
    <definedName name="kdkjrt" localSheetId="9" hidden="1">#REF!</definedName>
    <definedName name="kdkjrt" hidden="1">#REF!</definedName>
    <definedName name="kdsfj" localSheetId="1" hidden="1">#REF!</definedName>
    <definedName name="kdsfj" localSheetId="31" hidden="1">#REF!</definedName>
    <definedName name="kdsfj" localSheetId="7" hidden="1">#REF!</definedName>
    <definedName name="kdsfj" localSheetId="9" hidden="1">#REF!</definedName>
    <definedName name="kdsfj" hidden="1">#REF!</definedName>
    <definedName name="kfdlsg" localSheetId="31" hidden="1">#REF!</definedName>
    <definedName name="kfdlsg" localSheetId="7" hidden="1">#REF!</definedName>
    <definedName name="kfdlsg" hidden="1">#REF!</definedName>
    <definedName name="kfkf" localSheetId="31" hidden="1">#REF!</definedName>
    <definedName name="kfkf" localSheetId="7" hidden="1">#REF!</definedName>
    <definedName name="kfkf" hidden="1">#REF!</definedName>
    <definedName name="kfkfkf" localSheetId="31" hidden="1">#REF!</definedName>
    <definedName name="kfkfkf" localSheetId="7" hidden="1">#REF!</definedName>
    <definedName name="kfkfkf" hidden="1">#REF!</definedName>
    <definedName name="kfkfkfkf" localSheetId="31" hidden="1">#REF!</definedName>
    <definedName name="kfkfkfkf" localSheetId="7" hidden="1">#REF!</definedName>
    <definedName name="kfkfkfkf" hidden="1">#REF!</definedName>
    <definedName name="kfkfkfl" localSheetId="31" hidden="1">#REF!</definedName>
    <definedName name="kfkfkfl" localSheetId="7" hidden="1">#REF!</definedName>
    <definedName name="kfkfkfl" hidden="1">#REF!</definedName>
    <definedName name="kfkfksm" localSheetId="31" hidden="1">#REF!</definedName>
    <definedName name="kfkfksm" localSheetId="7" hidden="1">#REF!</definedName>
    <definedName name="kfkfksm" hidden="1">#REF!</definedName>
    <definedName name="KI" localSheetId="17" hidden="1">#REF!,#REF!</definedName>
    <definedName name="KI" localSheetId="30" hidden="1">#REF!,#REF!</definedName>
    <definedName name="KI" localSheetId="31" hidden="1">#REF!,#REF!</definedName>
    <definedName name="KI" localSheetId="7" hidden="1">#REF!,#REF!</definedName>
    <definedName name="KI" localSheetId="12" hidden="1">#REF!,#REF!</definedName>
    <definedName name="KI" localSheetId="9" hidden="1">#REF!,#REF!</definedName>
    <definedName name="KI" hidden="1">#REF!,#REF!</definedName>
    <definedName name="KILL.CE" localSheetId="10">#REF!</definedName>
    <definedName name="KILL.CE">#REF!</definedName>
    <definedName name="KIRK" localSheetId="12">#REF!</definedName>
    <definedName name="KIRK">#REF!</definedName>
    <definedName name="Kirk_Plant">#REF!</definedName>
    <definedName name="kiujh" localSheetId="1" hidden="1">#REF!</definedName>
    <definedName name="kiujh" localSheetId="17" hidden="1">#REF!</definedName>
    <definedName name="kiujh" localSheetId="31" hidden="1">#REF!</definedName>
    <definedName name="kiujh" localSheetId="7" hidden="1">#REF!</definedName>
    <definedName name="kiujh" localSheetId="9" hidden="1">#REF!</definedName>
    <definedName name="kiujh" hidden="1">#REF!</definedName>
    <definedName name="kjfdjfei" localSheetId="1" hidden="1">{#N/A,#N/A,FALSE,"OTHERINPUTS";#N/A,#N/A,FALSE,"DITRATEINPUTS";#N/A,#N/A,FALSE,"SUPPLIEDADJINPUT";#N/A,#N/A,FALSE,"TIMINGDIFFINPUTS";#N/A,#N/A,FALSE,"BR&amp;SUPADJ."}</definedName>
    <definedName name="kjfdjfei" localSheetId="17" hidden="1">{#N/A,#N/A,FALSE,"OTHERINPUTS";#N/A,#N/A,FALSE,"DITRATEINPUTS";#N/A,#N/A,FALSE,"SUPPLIEDADJINPUT";#N/A,#N/A,FALSE,"TIMINGDIFFINPUTS";#N/A,#N/A,FALSE,"BR&amp;SUPADJ."}</definedName>
    <definedName name="kjfdjfei" localSheetId="30" hidden="1">{#N/A,#N/A,FALSE,"OTHERINPUTS";#N/A,#N/A,FALSE,"DITRATEINPUTS";#N/A,#N/A,FALSE,"SUPPLIEDADJINPUT";#N/A,#N/A,FALSE,"TIMINGDIFFINPUTS";#N/A,#N/A,FALSE,"BR&amp;SUPADJ."}</definedName>
    <definedName name="kjfdjfei" localSheetId="31" hidden="1">{#N/A,#N/A,FALSE,"OTHERINPUTS";#N/A,#N/A,FALSE,"DITRATEINPUTS";#N/A,#N/A,FALSE,"SUPPLIEDADJINPUT";#N/A,#N/A,FALSE,"TIMINGDIFFINPUTS";#N/A,#N/A,FALSE,"BR&amp;SUPADJ."}</definedName>
    <definedName name="kjfdjfei" localSheetId="19" hidden="1">{#N/A,#N/A,FALSE,"OTHERINPUTS";#N/A,#N/A,FALSE,"DITRATEINPUTS";#N/A,#N/A,FALSE,"SUPPLIEDADJINPUT";#N/A,#N/A,FALSE,"TIMINGDIFFINPUTS";#N/A,#N/A,FALSE,"BR&amp;SUPADJ."}</definedName>
    <definedName name="kjfdjfei" localSheetId="7" hidden="1">{#N/A,#N/A,FALSE,"OTHERINPUTS";#N/A,#N/A,FALSE,"DITRATEINPUTS";#N/A,#N/A,FALSE,"SUPPLIEDADJINPUT";#N/A,#N/A,FALSE,"TIMINGDIFFINPUTS";#N/A,#N/A,FALSE,"BR&amp;SUPADJ."}</definedName>
    <definedName name="kjfdjfei" localSheetId="0" hidden="1">{#N/A,#N/A,FALSE,"OTHERINPUTS";#N/A,#N/A,FALSE,"DITRATEINPUTS";#N/A,#N/A,FALSE,"SUPPLIEDADJINPUT";#N/A,#N/A,FALSE,"TIMINGDIFFINPUTS";#N/A,#N/A,FALSE,"BR&amp;SUPADJ."}</definedName>
    <definedName name="kjfdjfei" localSheetId="10" hidden="1">{#N/A,#N/A,FALSE,"OTHERINPUTS";#N/A,#N/A,FALSE,"DITRATEINPUTS";#N/A,#N/A,FALSE,"SUPPLIEDADJINPUT";#N/A,#N/A,FALSE,"TIMINGDIFFINPUTS";#N/A,#N/A,FALSE,"BR&amp;SUPADJ."}</definedName>
    <definedName name="kjfdjfei" localSheetId="12" hidden="1">{#N/A,#N/A,FALSE,"OTHERINPUTS";#N/A,#N/A,FALSE,"DITRATEINPUTS";#N/A,#N/A,FALSE,"SUPPLIEDADJINPUT";#N/A,#N/A,FALSE,"TIMINGDIFFINPUTS";#N/A,#N/A,FALSE,"BR&amp;SUPADJ."}</definedName>
    <definedName name="kjfdjfei" localSheetId="9" hidden="1">{#N/A,#N/A,FALSE,"OTHERINPUTS";#N/A,#N/A,FALSE,"DITRATEINPUTS";#N/A,#N/A,FALSE,"SUPPLIEDADJINPUT";#N/A,#N/A,FALSE,"TIMINGDIFFINPUTS";#N/A,#N/A,FALSE,"BR&amp;SUPADJ."}</definedName>
    <definedName name="kjfdjfei" hidden="1">{#N/A,#N/A,FALSE,"OTHERINPUTS";#N/A,#N/A,FALSE,"DITRATEINPUTS";#N/A,#N/A,FALSE,"SUPPLIEDADJINPUT";#N/A,#N/A,FALSE,"TIMINGDIFFINPUTS";#N/A,#N/A,FALSE,"BR&amp;SUPADJ."}</definedName>
    <definedName name="kjfjffnnf" localSheetId="1" hidden="1">#REF!</definedName>
    <definedName name="kjfjffnnf" localSheetId="30" hidden="1">#REF!</definedName>
    <definedName name="kjfjffnnf" localSheetId="31" hidden="1">#REF!</definedName>
    <definedName name="kjfjffnnf" localSheetId="7" hidden="1">#REF!</definedName>
    <definedName name="kjfjffnnf" localSheetId="9" hidden="1">#REF!</definedName>
    <definedName name="kjfjffnnf" hidden="1">#REF!</definedName>
    <definedName name="kjhg" localSheetId="1" hidden="1">#REF!</definedName>
    <definedName name="kjhg" localSheetId="31" hidden="1">#REF!</definedName>
    <definedName name="kjhg" localSheetId="7" hidden="1">#REF!</definedName>
    <definedName name="kjhg" localSheetId="9" hidden="1">#REF!</definedName>
    <definedName name="kjhg" hidden="1">#REF!</definedName>
    <definedName name="kjhgf" localSheetId="1" hidden="1">#REF!</definedName>
    <definedName name="kjhgf" localSheetId="31" hidden="1">#REF!</definedName>
    <definedName name="kjhgf" localSheetId="7" hidden="1">#REF!</definedName>
    <definedName name="kjhgf" localSheetId="9" hidden="1">#REF!</definedName>
    <definedName name="kjhgf" hidden="1">#REF!</definedName>
    <definedName name="kjk" localSheetId="1" hidden="1">#REF!</definedName>
    <definedName name="kjk" localSheetId="30" hidden="1">#REF!</definedName>
    <definedName name="kjk" localSheetId="19" hidden="1">#REF!</definedName>
    <definedName name="kjk" localSheetId="7" hidden="1">#REF!</definedName>
    <definedName name="kjk" localSheetId="9" hidden="1">#REF!</definedName>
    <definedName name="kjk" hidden="1">#REF!</definedName>
    <definedName name="kjzd" localSheetId="1" hidden="1">#REF!</definedName>
    <definedName name="kjzd" localSheetId="30" hidden="1">#REF!</definedName>
    <definedName name="kjzd" localSheetId="31" hidden="1">#REF!</definedName>
    <definedName name="kjzd" localSheetId="7" hidden="1">#REF!</definedName>
    <definedName name="kjzd" localSheetId="9" hidden="1">#REF!</definedName>
    <definedName name="kjzd" hidden="1">#REF!</definedName>
    <definedName name="kk"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kkk" localSheetId="1" hidden="1">#REF!</definedName>
    <definedName name="kkkkk" localSheetId="17" hidden="1">#REF!</definedName>
    <definedName name="kkkkk" localSheetId="30" hidden="1">#REF!</definedName>
    <definedName name="kkkkk" localSheetId="31" hidden="1">#REF!</definedName>
    <definedName name="kkkkk" localSheetId="7" hidden="1">#REF!</definedName>
    <definedName name="kkkkk" localSheetId="9" hidden="1">#REF!</definedName>
    <definedName name="kkkkk" hidden="1">#REF!</definedName>
    <definedName name="KL" localSheetId="31" hidden="1">#REF!</definedName>
    <definedName name="KL" localSheetId="7" hidden="1">#REF!</definedName>
    <definedName name="KL" localSheetId="9" hidden="1">#REF!</definedName>
    <definedName name="KL" hidden="1">#REF!</definedName>
    <definedName name="kldk" localSheetId="1" hidden="1">#REF!</definedName>
    <definedName name="kldk" localSheetId="31" hidden="1">#REF!</definedName>
    <definedName name="kldk" localSheetId="7" hidden="1">#REF!</definedName>
    <definedName name="kldk" localSheetId="9" hidden="1">#REF!</definedName>
    <definedName name="kldk" hidden="1">#REF!</definedName>
    <definedName name="klfeqw" localSheetId="1" hidden="1">#REF!</definedName>
    <definedName name="klfeqw" localSheetId="31" hidden="1">#REF!</definedName>
    <definedName name="klfeqw" localSheetId="7" hidden="1">#REF!</definedName>
    <definedName name="klfeqw" hidden="1">#REF!</definedName>
    <definedName name="ko" localSheetId="7" hidden="1">{#N/A,#N/A,FALSE,"Aging Summary";#N/A,#N/A,FALSE,"Ratio Analysis";#N/A,#N/A,FALSE,"Test 120 Day Accts";#N/A,#N/A,FALSE,"Tickmarks"}</definedName>
    <definedName name="ko" localSheetId="10" hidden="1">{#N/A,#N/A,FALSE,"Aging Summary";#N/A,#N/A,FALSE,"Ratio Analysis";#N/A,#N/A,FALSE,"Test 120 Day Accts";#N/A,#N/A,FALSE,"Tickmarks"}</definedName>
    <definedName name="ko" localSheetId="12" hidden="1">{#N/A,#N/A,FALSE,"Aging Summary";#N/A,#N/A,FALSE,"Ratio Analysis";#N/A,#N/A,FALSE,"Test 120 Day Accts";#N/A,#N/A,FALSE,"Tickmarks"}</definedName>
    <definedName name="ko" hidden="1">{#N/A,#N/A,FALSE,"Aging Summary";#N/A,#N/A,FALSE,"Ratio Analysis";#N/A,#N/A,FALSE,"Test 120 Day Accts";#N/A,#N/A,FALSE,"Tickmarks"}</definedName>
    <definedName name="kqwh" localSheetId="31" hidden="1">#REF!</definedName>
    <definedName name="kqwh" localSheetId="7" hidden="1">#REF!</definedName>
    <definedName name="kqwh" localSheetId="9" hidden="1">#REF!</definedName>
    <definedName name="kqwh" hidden="1">#REF!</definedName>
    <definedName name="ksadfl" localSheetId="31" hidden="1">#REF!</definedName>
    <definedName name="ksadfl" localSheetId="7" hidden="1">#REF!</definedName>
    <definedName name="ksadfl" hidden="1">#REF!</definedName>
    <definedName name="ku" localSheetId="1" hidden="1">{#N/A,#N/A,FALSE,"SCA";#N/A,#N/A,FALSE,"NCA";#N/A,#N/A,FALSE,"SAZ";#N/A,#N/A,FALSE,"CAZ";#N/A,#N/A,FALSE,"SNV";#N/A,#N/A,FALSE,"NNV";#N/A,#N/A,FALSE,"PP";#N/A,#N/A,FALSE,"SA"}</definedName>
    <definedName name="ku" localSheetId="17" hidden="1">{#N/A,#N/A,FALSE,"SCA";#N/A,#N/A,FALSE,"NCA";#N/A,#N/A,FALSE,"SAZ";#N/A,#N/A,FALSE,"CAZ";#N/A,#N/A,FALSE,"SNV";#N/A,#N/A,FALSE,"NNV";#N/A,#N/A,FALSE,"PP";#N/A,#N/A,FALSE,"SA"}</definedName>
    <definedName name="ku" localSheetId="30" hidden="1">{#N/A,#N/A,FALSE,"SCA";#N/A,#N/A,FALSE,"NCA";#N/A,#N/A,FALSE,"SAZ";#N/A,#N/A,FALSE,"CAZ";#N/A,#N/A,FALSE,"SNV";#N/A,#N/A,FALSE,"NNV";#N/A,#N/A,FALSE,"PP";#N/A,#N/A,FALSE,"SA"}</definedName>
    <definedName name="ku" localSheetId="31" hidden="1">{#N/A,#N/A,FALSE,"SCA";#N/A,#N/A,FALSE,"NCA";#N/A,#N/A,FALSE,"SAZ";#N/A,#N/A,FALSE,"CAZ";#N/A,#N/A,FALSE,"SNV";#N/A,#N/A,FALSE,"NNV";#N/A,#N/A,FALSE,"PP";#N/A,#N/A,FALSE,"SA"}</definedName>
    <definedName name="ku" localSheetId="19" hidden="1">{#N/A,#N/A,FALSE,"SCA";#N/A,#N/A,FALSE,"NCA";#N/A,#N/A,FALSE,"SAZ";#N/A,#N/A,FALSE,"CAZ";#N/A,#N/A,FALSE,"SNV";#N/A,#N/A,FALSE,"NNV";#N/A,#N/A,FALSE,"PP";#N/A,#N/A,FALSE,"SA"}</definedName>
    <definedName name="ku" localSheetId="7" hidden="1">{#N/A,#N/A,FALSE,"SCA";#N/A,#N/A,FALSE,"NCA";#N/A,#N/A,FALSE,"SAZ";#N/A,#N/A,FALSE,"CAZ";#N/A,#N/A,FALSE,"SNV";#N/A,#N/A,FALSE,"NNV";#N/A,#N/A,FALSE,"PP";#N/A,#N/A,FALSE,"SA"}</definedName>
    <definedName name="ku" localSheetId="0" hidden="1">{#N/A,#N/A,FALSE,"SCA";#N/A,#N/A,FALSE,"NCA";#N/A,#N/A,FALSE,"SAZ";#N/A,#N/A,FALSE,"CAZ";#N/A,#N/A,FALSE,"SNV";#N/A,#N/A,FALSE,"NNV";#N/A,#N/A,FALSE,"PP";#N/A,#N/A,FALSE,"SA"}</definedName>
    <definedName name="ku" localSheetId="10" hidden="1">{#N/A,#N/A,FALSE,"SCA";#N/A,#N/A,FALSE,"NCA";#N/A,#N/A,FALSE,"SAZ";#N/A,#N/A,FALSE,"CAZ";#N/A,#N/A,FALSE,"SNV";#N/A,#N/A,FALSE,"NNV";#N/A,#N/A,FALSE,"PP";#N/A,#N/A,FALSE,"SA"}</definedName>
    <definedName name="ku" localSheetId="12" hidden="1">{#N/A,#N/A,FALSE,"SCA";#N/A,#N/A,FALSE,"NCA";#N/A,#N/A,FALSE,"SAZ";#N/A,#N/A,FALSE,"CAZ";#N/A,#N/A,FALSE,"SNV";#N/A,#N/A,FALSE,"NNV";#N/A,#N/A,FALSE,"PP";#N/A,#N/A,FALSE,"SA"}</definedName>
    <definedName name="ku" localSheetId="9" hidden="1">{#N/A,#N/A,FALSE,"SCA";#N/A,#N/A,FALSE,"NCA";#N/A,#N/A,FALSE,"SAZ";#N/A,#N/A,FALSE,"CAZ";#N/A,#N/A,FALSE,"SNV";#N/A,#N/A,FALSE,"NNV";#N/A,#N/A,FALSE,"PP";#N/A,#N/A,FALSE,"SA"}</definedName>
    <definedName name="ku" hidden="1">{#N/A,#N/A,FALSE,"SCA";#N/A,#N/A,FALSE,"NCA";#N/A,#N/A,FALSE,"SAZ";#N/A,#N/A,FALSE,"CAZ";#N/A,#N/A,FALSE,"SNV";#N/A,#N/A,FALSE,"NNV";#N/A,#N/A,FALSE,"PP";#N/A,#N/A,FALSE,"SA"}</definedName>
    <definedName name="kw" localSheetId="1" hidden="1">#REF!</definedName>
    <definedName name="kw" localSheetId="30" hidden="1">#REF!</definedName>
    <definedName name="kw" localSheetId="31" hidden="1">#REF!</definedName>
    <definedName name="kw" localSheetId="7" hidden="1">#REF!</definedName>
    <definedName name="kw" localSheetId="9" hidden="1">#REF!</definedName>
    <definedName name="kw" hidden="1">#REF!</definedName>
    <definedName name="kyd.Dim.01." hidden="1">"bbflfit1:store_ms"</definedName>
    <definedName name="kyd.NumLevels.01." hidden="1">2</definedName>
    <definedName name="kyd.ParentName.01." hidden="1">"Total"</definedName>
    <definedName name="kyd.PrintActionOptn." hidden="1">1</definedName>
    <definedName name="kyd.PrintParent.01." hidden="1">TRUE</definedName>
    <definedName name="kz" localSheetId="1" hidden="1">#REF!</definedName>
    <definedName name="kz" localSheetId="31" hidden="1">#REF!</definedName>
    <definedName name="kz" localSheetId="7" hidden="1">#REF!</definedName>
    <definedName name="kz" localSheetId="9" hidden="1">#REF!</definedName>
    <definedName name="kz" hidden="1">#REF!</definedName>
    <definedName name="l" localSheetId="1" hidden="1">#REF!</definedName>
    <definedName name="l" localSheetId="31" hidden="1">#REF!</definedName>
    <definedName name="l" localSheetId="7" hidden="1">#REF!</definedName>
    <definedName name="l" localSheetId="0" hidden="1">#REF!</definedName>
    <definedName name="l" localSheetId="10" hidden="1">{"SEP",#N/A,FALSE,"SEP"}</definedName>
    <definedName name="l" localSheetId="12" hidden="1">{"SEP",#N/A,FALSE,"SEP"}</definedName>
    <definedName name="l" localSheetId="9" hidden="1">#REF!</definedName>
    <definedName name="l" hidden="1">{"SEP",#N/A,FALSE,"SEP"}</definedName>
    <definedName name="LA.1">#REF!</definedName>
    <definedName name="LA.3" localSheetId="10">#REF!</definedName>
    <definedName name="LA.3">#REF!</definedName>
    <definedName name="LA.5" localSheetId="10">#REF!</definedName>
    <definedName name="LA.5">#REF!</definedName>
    <definedName name="LA.CE" localSheetId="10">#REF!</definedName>
    <definedName name="LA.CE">#REF!</definedName>
    <definedName name="LA.CEP" localSheetId="10">#REF!</definedName>
    <definedName name="LA.CEP">#REF!</definedName>
    <definedName name="Last_Row" localSheetId="7">IF('3.1 Income Approach'!Values_Entered,Header_Row+'3.1 Income Approach'!Number_of_Payments,Header_Row)</definedName>
    <definedName name="Last_Row" localSheetId="10">IF('WP Cost HW and Useful Life'!Values_Entered,Header_Row+'WP Cost HW and Useful Life'!Number_of_Payments,Header_Row)</definedName>
    <definedName name="Last_Row" localSheetId="12">IF('WP Cost HW M'!Values_Entered,Header_Row+'WP Cost HW M'!Number_of_Payments,Header_Row)</definedName>
    <definedName name="Last_Row">IF(Values_Entered,Header_Row+Number_of_Payments,Header_Row)</definedName>
    <definedName name="LastListUpdate">0</definedName>
    <definedName name="LDCs" localSheetId="7">#REF!</definedName>
    <definedName name="LDCs" localSheetId="12">#REF!</definedName>
    <definedName name="LDCs">#REF!</definedName>
    <definedName name="LEX" localSheetId="10">#REF!</definedName>
    <definedName name="LEX">#REF!</definedName>
    <definedName name="LEXINGTON" localSheetId="10">#REF!</definedName>
    <definedName name="LEXINGTON">#REF!</definedName>
    <definedName name="LEXINGTON2" localSheetId="10">#REF!</definedName>
    <definedName name="LEXINGTON2">#REF!</definedName>
    <definedName name="lfkfjnn" localSheetId="1" hidden="1">#REF!</definedName>
    <definedName name="lfkfjnn" localSheetId="31" hidden="1">#REF!</definedName>
    <definedName name="lfkfjnn" localSheetId="7" hidden="1">#REF!</definedName>
    <definedName name="lfkfjnn" localSheetId="9" hidden="1">#REF!</definedName>
    <definedName name="lfkfjnn" hidden="1">#REF!</definedName>
    <definedName name="LH.CE" localSheetId="10">#REF!</definedName>
    <definedName name="LH.CE">#REF!</definedName>
    <definedName name="Library" hidden="1">"a1"</definedName>
    <definedName name="limcount" hidden="1">1</definedName>
    <definedName name="Line" localSheetId="12">#REF!</definedName>
    <definedName name="Line">#REF!</definedName>
    <definedName name="List_Indexation" localSheetId="10">#REF!</definedName>
    <definedName name="List_Indexation" localSheetId="12">#REF!</definedName>
    <definedName name="List_Indexation">#REF!</definedName>
    <definedName name="ListOffset" hidden="1">1</definedName>
    <definedName name="LisYearEnd">#REF!</definedName>
    <definedName name="Litigated_BaseROEs_2006" localSheetId="7">#REF!</definedName>
    <definedName name="Litigated_BaseROEs_2006" localSheetId="12">#REF!</definedName>
    <definedName name="Litigated_BaseROEs_2006">#REF!</definedName>
    <definedName name="Litigated_BaseROEs_2007" localSheetId="7">#REF!</definedName>
    <definedName name="Litigated_BaseROEs_2007">#REF!</definedName>
    <definedName name="Litigated_BaseROEs_2008" localSheetId="7">#REF!</definedName>
    <definedName name="Litigated_BaseROEs_2008">#REF!</definedName>
    <definedName name="Litigated_BaseROEs_2009">#REF!</definedName>
    <definedName name="Litigated_BaseROEs_2010">#REF!</definedName>
    <definedName name="Litigated_BaseROEs_2011">#REF!</definedName>
    <definedName name="Litigated_BaseROEs_2012">#REF!</definedName>
    <definedName name="Litigated_BaseROEs_2013">#REF!</definedName>
    <definedName name="Litigated_BaseROEs_2014">#REF!</definedName>
    <definedName name="lkajsdfg" localSheetId="31" hidden="1">#REF!</definedName>
    <definedName name="lkajsdfg" localSheetId="7" hidden="1">#REF!</definedName>
    <definedName name="lkajsdfg" localSheetId="9" hidden="1">#REF!</definedName>
    <definedName name="lkajsdfg" hidden="1">#REF!</definedName>
    <definedName name="lkjh" localSheetId="31" hidden="1">#REF!</definedName>
    <definedName name="lkjh" localSheetId="7" hidden="1">#REF!</definedName>
    <definedName name="lkjh" localSheetId="9" hidden="1">#REF!</definedName>
    <definedName name="lkjh" hidden="1">#REF!</definedName>
    <definedName name="lkjkju"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3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jkju"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ohsvd" localSheetId="1" hidden="1">#REF!</definedName>
    <definedName name="lkohsvd" localSheetId="30" hidden="1">#REF!</definedName>
    <definedName name="lkohsvd" localSheetId="31" hidden="1">#REF!</definedName>
    <definedName name="lkohsvd" localSheetId="7" hidden="1">#REF!</definedName>
    <definedName name="lkohsvd" localSheetId="9" hidden="1">#REF!</definedName>
    <definedName name="lkohsvd" hidden="1">#REF!</definedName>
    <definedName name="ll"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lll"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lll"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lll" hidden="1">{#N/A,#N/A,FALSE,"Australia";#N/A,#N/A,FALSE,"Austria";#N/A,#N/A,FALSE,"Belgium";#N/A,#N/A,FALSE,"Canada";#N/A,#N/A,FALSE,"France";#N/A,#N/A,FALSE,"Germany";#N/A,#N/A,FALSE,"Hong Kong";#N/A,#N/A,FALSE,"Italy";#N/A,#N/A,FALSE,"Japan";#N/A,#N/A,FALSE,"Korea";#N/A,#N/A,FALSE,"Mexico";#N/A,#N/A,FALSE,"Poland";#N/A,#N/A,FALSE,"Spain";#N/A,#N/A,FALSE,"Switzerland";#N/A,#N/A,FALSE,"UK"}</definedName>
    <definedName name="llllllllll" localSheetId="1" hidden="1">#REF!</definedName>
    <definedName name="llllllllll" localSheetId="31" hidden="1">#REF!</definedName>
    <definedName name="llllllllll" localSheetId="7" hidden="1">#REF!</definedName>
    <definedName name="llllllllll" localSheetId="9" hidden="1">#REF!</definedName>
    <definedName name="llllllllll" hidden="1">#REF!</definedName>
    <definedName name="Loan_Amount" localSheetId="10">#REF!</definedName>
    <definedName name="Loan_Amount">#REF!</definedName>
    <definedName name="Loan_Start" localSheetId="10">#REF!</definedName>
    <definedName name="Loan_Start">#REF!</definedName>
    <definedName name="Loan_Years" localSheetId="10">#REF!</definedName>
    <definedName name="Loan_Years">#REF!</definedName>
    <definedName name="loke" localSheetId="31" hidden="1">#REF!</definedName>
    <definedName name="loke" localSheetId="7" hidden="1">#REF!</definedName>
    <definedName name="loke" hidden="1">#REF!</definedName>
    <definedName name="Look1Area" localSheetId="10">#REF!</definedName>
    <definedName name="Look1Area">#REF!</definedName>
    <definedName name="Look2Area" localSheetId="10">#REF!</definedName>
    <definedName name="Look2Area">#REF!</definedName>
    <definedName name="Look3Area" localSheetId="10">#REF!</definedName>
    <definedName name="Look3Area">#REF!</definedName>
    <definedName name="Look4Area" localSheetId="10">#REF!</definedName>
    <definedName name="Look4Area">#REF!</definedName>
    <definedName name="Look5Area" localSheetId="10">#REF!</definedName>
    <definedName name="Look5Area">#REF!</definedName>
    <definedName name="lpo" localSheetId="7" hidden="1">{#N/A,#N/A,FALSE,"Aging Summary";#N/A,#N/A,FALSE,"Ratio Analysis";#N/A,#N/A,FALSE,"Test 120 Day Accts";#N/A,#N/A,FALSE,"Tickmarks"}</definedName>
    <definedName name="lpo" localSheetId="10" hidden="1">{#N/A,#N/A,FALSE,"Aging Summary";#N/A,#N/A,FALSE,"Ratio Analysis";#N/A,#N/A,FALSE,"Test 120 Day Accts";#N/A,#N/A,FALSE,"Tickmarks"}</definedName>
    <definedName name="lpo" localSheetId="12" hidden="1">{#N/A,#N/A,FALSE,"Aging Summary";#N/A,#N/A,FALSE,"Ratio Analysis";#N/A,#N/A,FALSE,"Test 120 Day Accts";#N/A,#N/A,FALSE,"Tickmarks"}</definedName>
    <definedName name="lpo" hidden="1">{#N/A,#N/A,FALSE,"Aging Summary";#N/A,#N/A,FALSE,"Ratio Analysis";#N/A,#N/A,FALSE,"Test 120 Day Accts";#N/A,#N/A,FALSE,"Tickmarks"}</definedName>
    <definedName name="lpoicea" localSheetId="31" hidden="1">#REF!</definedName>
    <definedName name="lpoicea" localSheetId="7" hidden="1">#REF!</definedName>
    <definedName name="lpoicea" localSheetId="9" hidden="1">#REF!</definedName>
    <definedName name="lpoicea" hidden="1">#REF!</definedName>
    <definedName name="ls"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s"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TD_Rate">#REF!</definedName>
    <definedName name="LTDcostrate" localSheetId="7">#REF!</definedName>
    <definedName name="LTDcostrate" localSheetId="12">#REF!</definedName>
    <definedName name="LTDcostrate">#REF!</definedName>
    <definedName name="LUI.CE" localSheetId="7">#REF!</definedName>
    <definedName name="LUI.CE" localSheetId="10">#REF!</definedName>
    <definedName name="LUI.CE">#REF!</definedName>
    <definedName name="LUS.CE" localSheetId="10">#REF!</definedName>
    <definedName name="LUS.CE">#REF!</definedName>
    <definedName name="LW.CE" localSheetId="10">#REF!</definedName>
    <definedName name="LW.CE">#REF!</definedName>
    <definedName name="m" localSheetId="1">#REF!</definedName>
    <definedName name="m" localSheetId="7">#REF!</definedName>
    <definedName name="m" localSheetId="0">#REF!</definedName>
    <definedName name="m" localSheetId="10" hidden="1">{"SEP",#N/A,FALSE,"SEP"}</definedName>
    <definedName name="m" localSheetId="12" hidden="1">{"SEP",#N/A,FALSE,"SEP"}</definedName>
    <definedName name="m" hidden="1">{"SEP",#N/A,FALSE,"SEP"}</definedName>
    <definedName name="ma_months">24</definedName>
    <definedName name="Macro_Delta" localSheetId="10">#REF!</definedName>
    <definedName name="Macro_Delta">#REF!</definedName>
    <definedName name="MAINT" localSheetId="10">#REF!</definedName>
    <definedName name="MAINT">#REF!</definedName>
    <definedName name="Market_Return">#REF!</definedName>
    <definedName name="MASS.CE" localSheetId="10">#REF!</definedName>
    <definedName name="MASS.CE">#REF!</definedName>
    <definedName name="MB">#REF!</definedName>
    <definedName name="MB_PCH_Assessment_FooterType" hidden="1">"NONE"</definedName>
    <definedName name="MB_PCH_Gen_Ind_FooterType" hidden="1">"NONE"</definedName>
    <definedName name="MB_PCH_Sector_Specific_FooterType" hidden="1">"NONE"</definedName>
    <definedName name="MCSI.CE" localSheetId="10">#REF!</definedName>
    <definedName name="MCSI.CE">#REF!</definedName>
    <definedName name="MD.1" localSheetId="10">#REF!</definedName>
    <definedName name="MD.1">#REF!</definedName>
    <definedName name="MD.3" localSheetId="10">#REF!</definedName>
    <definedName name="MD.3">#REF!</definedName>
    <definedName name="MD.5" localSheetId="10">#REF!</definedName>
    <definedName name="MD.5">#REF!</definedName>
    <definedName name="MD.CE" localSheetId="10">#REF!</definedName>
    <definedName name="MD.CE">#REF!</definedName>
    <definedName name="MD.CEP" localSheetId="10">#REF!</definedName>
    <definedName name="MD.CEP">#REF!</definedName>
    <definedName name="MED.CE" localSheetId="10">#REF!</definedName>
    <definedName name="MED.CE">#REF!</definedName>
    <definedName name="Medicare">#REF!</definedName>
    <definedName name="MENU" localSheetId="7">#REF!</definedName>
    <definedName name="MENU">#REF!</definedName>
    <definedName name="MEWarning" hidden="1">0</definedName>
    <definedName name="MG.CE" localSheetId="7">#REF!</definedName>
    <definedName name="MG.CE" localSheetId="10">#REF!</definedName>
    <definedName name="MG.CE">#REF!</definedName>
    <definedName name="MH">#REF!</definedName>
    <definedName name="MID.C.CE" localSheetId="10">#REF!</definedName>
    <definedName name="MID.C.CE">#REF!</definedName>
    <definedName name="million" localSheetId="10">#REF!</definedName>
    <definedName name="million">#REF!</definedName>
    <definedName name="MinPeriod">#REF!</definedName>
    <definedName name="misc" localSheetId="1" hidden="1">#REF!</definedName>
    <definedName name="misc" localSheetId="30" hidden="1">#REF!</definedName>
    <definedName name="misc" localSheetId="31" hidden="1">#REF!</definedName>
    <definedName name="misc" localSheetId="7" hidden="1">#REF!</definedName>
    <definedName name="misc" localSheetId="0" hidden="1">#REF!</definedName>
    <definedName name="MISC" localSheetId="10">#REF!</definedName>
    <definedName name="misc" localSheetId="9" hidden="1">#REF!</definedName>
    <definedName name="MISC">#REF!</definedName>
    <definedName name="mlaw" localSheetId="1" hidden="1">#REF!</definedName>
    <definedName name="mlaw" localSheetId="31" hidden="1">#REF!</definedName>
    <definedName name="mlaw" localSheetId="7" hidden="1">#REF!</definedName>
    <definedName name="mlaw" localSheetId="9" hidden="1">#REF!</definedName>
    <definedName name="mlaw" hidden="1">#REF!</definedName>
    <definedName name="MLNK070a989b374a434e9e8f5593f8e3a2d8" localSheetId="10" hidden="1">#REF!</definedName>
    <definedName name="MLNK070a989b374a434e9e8f5593f8e3a2d8" hidden="1">#REF!</definedName>
    <definedName name="MLNK07df229e1e7e451aa8c7d055e69b8cc3" localSheetId="10" hidden="1">#REF!</definedName>
    <definedName name="MLNK07df229e1e7e451aa8c7d055e69b8cc3" hidden="1">#REF!</definedName>
    <definedName name="MLNK0888a47078c14347a91a3f0b293e3245" localSheetId="10" hidden="1">#REF!</definedName>
    <definedName name="MLNK0888a47078c14347a91a3f0b293e3245" hidden="1">#REF!</definedName>
    <definedName name="MLNK0ae7424fe6594babb898e0adaa7b06d8" localSheetId="10" hidden="1">#REF!</definedName>
    <definedName name="MLNK0ae7424fe6594babb898e0adaa7b06d8" hidden="1">#REF!</definedName>
    <definedName name="MLNK0b344b2964d34786b02dbcf4540edda2" localSheetId="10" hidden="1">#REF!</definedName>
    <definedName name="MLNK0b344b2964d34786b02dbcf4540edda2" hidden="1">#REF!</definedName>
    <definedName name="MLNK0c076b68b7e44719beb0a429ae2b1b12" localSheetId="10" hidden="1">#REF!</definedName>
    <definedName name="MLNK0c076b68b7e44719beb0a429ae2b1b12" hidden="1">#REF!</definedName>
    <definedName name="MLNK0fad7198b3854da38788239ee4c3469f" localSheetId="10" hidden="1">#REF!</definedName>
    <definedName name="MLNK0fad7198b3854da38788239ee4c3469f" hidden="1">#REF!</definedName>
    <definedName name="MLNK0fccd33c41b143998fc3b39ec9fbeb3c" localSheetId="10" hidden="1">#REF!</definedName>
    <definedName name="MLNK0fccd33c41b143998fc3b39ec9fbeb3c" hidden="1">#REF!</definedName>
    <definedName name="MLNK10b2080138584c4a8d262dfe3364abef" localSheetId="10" hidden="1">#REF!</definedName>
    <definedName name="MLNK10b2080138584c4a8d262dfe3364abef" hidden="1">#REF!</definedName>
    <definedName name="MLNK1762710677584c73a1c04d549681f499" localSheetId="10" hidden="1">#REF!</definedName>
    <definedName name="MLNK1762710677584c73a1c04d549681f499" hidden="1">#REF!</definedName>
    <definedName name="MLNK1a8a7409ba554c9392b5948d1e673901" localSheetId="10" hidden="1">#REF!</definedName>
    <definedName name="MLNK1a8a7409ba554c9392b5948d1e673901" hidden="1">#REF!</definedName>
    <definedName name="MLNK1af2e9ef85ef4a7b929f4bb0acac120f" localSheetId="10" hidden="1">#REF!</definedName>
    <definedName name="MLNK1af2e9ef85ef4a7b929f4bb0acac120f" hidden="1">#REF!</definedName>
    <definedName name="MLNK1b06b69afbbc48d2a8f4ee3beef69192" localSheetId="10" hidden="1">#REF!</definedName>
    <definedName name="MLNK1b06b69afbbc48d2a8f4ee3beef69192" hidden="1">#REF!</definedName>
    <definedName name="MLNK1c9bc3dab1f341fdab33034a18eee567" localSheetId="10" hidden="1">#REF!</definedName>
    <definedName name="MLNK1c9bc3dab1f341fdab33034a18eee567" hidden="1">#REF!</definedName>
    <definedName name="MLNK1e45f6c0482a417db4f6100784d6d8a7" localSheetId="10" hidden="1">#REF!</definedName>
    <definedName name="MLNK1e45f6c0482a417db4f6100784d6d8a7" hidden="1">#REF!</definedName>
    <definedName name="MLNK1e7c8a1c34444ace8841b844921ea339" localSheetId="10" hidden="1">#REF!</definedName>
    <definedName name="MLNK1e7c8a1c34444ace8841b844921ea339" hidden="1">#REF!</definedName>
    <definedName name="MLNK1f17f197cceb4ea6bef26d65f6c8884a" localSheetId="10" hidden="1">#REF!</definedName>
    <definedName name="MLNK1f17f197cceb4ea6bef26d65f6c8884a" hidden="1">#REF!</definedName>
    <definedName name="MLNK226f86a1a4514863ae46e6b5808a78e5" localSheetId="10" hidden="1">#REF!</definedName>
    <definedName name="MLNK226f86a1a4514863ae46e6b5808a78e5" hidden="1">#REF!</definedName>
    <definedName name="MLNK2312164d93674689be920ac93cf50429" localSheetId="10" hidden="1">#REF!</definedName>
    <definedName name="MLNK2312164d93674689be920ac93cf50429" hidden="1">#REF!</definedName>
    <definedName name="MLNK24e185160f3f444581f23c587b4923e0" localSheetId="10" hidden="1">#REF!</definedName>
    <definedName name="MLNK24e185160f3f444581f23c587b4923e0" hidden="1">#REF!</definedName>
    <definedName name="MLNK299f33c3a152431eaff13d7158b0c0c6" localSheetId="10" hidden="1">#REF!</definedName>
    <definedName name="MLNK299f33c3a152431eaff13d7158b0c0c6" hidden="1">#REF!</definedName>
    <definedName name="MLNK2a9e490c9731472da9f47eb79981e4fb" localSheetId="10" hidden="1">#REF!</definedName>
    <definedName name="MLNK2a9e490c9731472da9f47eb79981e4fb" hidden="1">#REF!</definedName>
    <definedName name="MLNK2d2e1ab971d840a6990e7681c9fa13ab" localSheetId="10" hidden="1">#REF!</definedName>
    <definedName name="MLNK2d2e1ab971d840a6990e7681c9fa13ab" hidden="1">#REF!</definedName>
    <definedName name="MLNK2d717dd6e0094aeeada898bfd9f6255e" localSheetId="10" hidden="1">#REF!</definedName>
    <definedName name="MLNK2d717dd6e0094aeeada898bfd9f6255e" hidden="1">#REF!</definedName>
    <definedName name="MLNK2f10557ec27d486bb709eed3d3bc888d" localSheetId="10" hidden="1">#REF!</definedName>
    <definedName name="MLNK2f10557ec27d486bb709eed3d3bc888d" hidden="1">#REF!</definedName>
    <definedName name="MLNK2fe7d74aed3047da8ab86b810850d346" localSheetId="10" hidden="1">#REF!</definedName>
    <definedName name="MLNK2fe7d74aed3047da8ab86b810850d346" hidden="1">#REF!</definedName>
    <definedName name="MLNK32911cfac1564d95854d9bd58e0ec896" localSheetId="10" hidden="1">#REF!</definedName>
    <definedName name="MLNK32911cfac1564d95854d9bd58e0ec896" hidden="1">#REF!</definedName>
    <definedName name="MLNK35d9b4f8fbbf47cb9665ba3a210d078a" localSheetId="10" hidden="1">#REF!</definedName>
    <definedName name="MLNK35d9b4f8fbbf47cb9665ba3a210d078a" hidden="1">#REF!</definedName>
    <definedName name="MLNK366c81ae052f4edfb44092e537d53eae" localSheetId="10" hidden="1">#REF!</definedName>
    <definedName name="MLNK366c81ae052f4edfb44092e537d53eae" hidden="1">#REF!</definedName>
    <definedName name="MLNK38f9fe599a2c422da3f55e02507e650c" localSheetId="10" hidden="1">#REF!</definedName>
    <definedName name="MLNK38f9fe599a2c422da3f55e02507e650c" hidden="1">#REF!</definedName>
    <definedName name="MLNK3991d23d1ae84ac49122e73f85fd961d" localSheetId="10" hidden="1">#REF!</definedName>
    <definedName name="MLNK3991d23d1ae84ac49122e73f85fd961d" hidden="1">#REF!</definedName>
    <definedName name="MLNK3a00b75e54d044e9a2b993303a22d9a9" localSheetId="10" hidden="1">#REF!</definedName>
    <definedName name="MLNK3a00b75e54d044e9a2b993303a22d9a9" hidden="1">#REF!</definedName>
    <definedName name="MLNK3c167846f4ee4c0aacca49c9828d5000" localSheetId="10" hidden="1">#REF!</definedName>
    <definedName name="MLNK3c167846f4ee4c0aacca49c9828d5000" hidden="1">#REF!</definedName>
    <definedName name="MLNK3e7029fcc5df445e9f9f1f03de8fcd1d" localSheetId="10" hidden="1">#REF!</definedName>
    <definedName name="MLNK3e7029fcc5df445e9f9f1f03de8fcd1d" hidden="1">#REF!</definedName>
    <definedName name="MLNK3f5e859d10554fb6890c442f4c23a60f" localSheetId="10" hidden="1">#REF!</definedName>
    <definedName name="MLNK3f5e859d10554fb6890c442f4c23a60f" hidden="1">#REF!</definedName>
    <definedName name="MLNK3fbd8e5ae05a45f7a67932cc1c12bb6e" localSheetId="10" hidden="1">#REF!</definedName>
    <definedName name="MLNK3fbd8e5ae05a45f7a67932cc1c12bb6e" hidden="1">#REF!</definedName>
    <definedName name="MLNK41c02c29832e4a13a701fdafdf492ab7" localSheetId="10" hidden="1">#REF!</definedName>
    <definedName name="MLNK41c02c29832e4a13a701fdafdf492ab7" hidden="1">#REF!</definedName>
    <definedName name="MLNK432a8f391b4a4fdfbe6e5e1072b26fb9" localSheetId="10" hidden="1">#REF!</definedName>
    <definedName name="MLNK432a8f391b4a4fdfbe6e5e1072b26fb9" hidden="1">#REF!</definedName>
    <definedName name="MLNK45d9b5c75e024b2c96dc3c1e8d768153" localSheetId="10" hidden="1">#REF!</definedName>
    <definedName name="MLNK45d9b5c75e024b2c96dc3c1e8d768153" hidden="1">#REF!</definedName>
    <definedName name="MLNK464a1258f5b54af3a7c51ea29ad05910" localSheetId="10" hidden="1">#REF!</definedName>
    <definedName name="MLNK464a1258f5b54af3a7c51ea29ad05910" hidden="1">#REF!</definedName>
    <definedName name="MLNK492b52bd411447a6a3d5c4ede96d2e58" localSheetId="10" hidden="1">#REF!</definedName>
    <definedName name="MLNK492b52bd411447a6a3d5c4ede96d2e58" hidden="1">#REF!</definedName>
    <definedName name="MLNK4ad8ab9b774b47bdb428991529c5dc7d" localSheetId="10" hidden="1">#REF!</definedName>
    <definedName name="MLNK4ad8ab9b774b47bdb428991529c5dc7d" hidden="1">#REF!</definedName>
    <definedName name="MLNK4e64759b38de4ac3923399dfc343f623" localSheetId="10" hidden="1">#REF!</definedName>
    <definedName name="MLNK4e64759b38de4ac3923399dfc343f623" hidden="1">#REF!</definedName>
    <definedName name="MLNK4e92d76dfffa415b95b16ede63358645" localSheetId="10" hidden="1">#REF!</definedName>
    <definedName name="MLNK4e92d76dfffa415b95b16ede63358645" hidden="1">#REF!</definedName>
    <definedName name="MLNK4ff8202367ec4fa1b629d31c37688784" localSheetId="10" hidden="1">#REF!</definedName>
    <definedName name="MLNK4ff8202367ec4fa1b629d31c37688784" hidden="1">#REF!</definedName>
    <definedName name="MLNK5250cbe9547d4213af1ada6e07533d89" localSheetId="10" hidden="1">#REF!</definedName>
    <definedName name="MLNK5250cbe9547d4213af1ada6e07533d89" hidden="1">#REF!</definedName>
    <definedName name="MLNK5572176d04e14fd6aade82c6e66ab52c" localSheetId="10" hidden="1">#REF!</definedName>
    <definedName name="MLNK5572176d04e14fd6aade82c6e66ab52c" hidden="1">#REF!</definedName>
    <definedName name="MLNK55fbf9edabed41db8d8978ffe48761e6" localSheetId="10" hidden="1">#REF!</definedName>
    <definedName name="MLNK55fbf9edabed41db8d8978ffe48761e6" hidden="1">#REF!</definedName>
    <definedName name="MLNK5c8918c9fd1e41468fb531c858ece6c1" localSheetId="10" hidden="1">#REF!</definedName>
    <definedName name="MLNK5c8918c9fd1e41468fb531c858ece6c1" hidden="1">#REF!</definedName>
    <definedName name="MLNK5c89d40980b945e6b68a237d51e427bb" localSheetId="10" hidden="1">#REF!</definedName>
    <definedName name="MLNK5c89d40980b945e6b68a237d51e427bb" hidden="1">#REF!</definedName>
    <definedName name="MLNK5ceb65e73eca4226b7648a05877227fb" localSheetId="10" hidden="1">#REF!</definedName>
    <definedName name="MLNK5ceb65e73eca4226b7648a05877227fb" hidden="1">#REF!</definedName>
    <definedName name="MLNK5da94e8e17854f56a2c4b1aff73adeba" localSheetId="10" hidden="1">#REF!</definedName>
    <definedName name="MLNK5da94e8e17854f56a2c4b1aff73adeba" hidden="1">#REF!</definedName>
    <definedName name="MLNK60545edf69684db48f9da2a98a48f1fc" localSheetId="10" hidden="1">#REF!</definedName>
    <definedName name="MLNK60545edf69684db48f9da2a98a48f1fc" hidden="1">#REF!</definedName>
    <definedName name="MLNK64c899ea4049469fbdcbf16088f0a260" localSheetId="10" hidden="1">#REF!</definedName>
    <definedName name="MLNK64c899ea4049469fbdcbf16088f0a260" hidden="1">#REF!</definedName>
    <definedName name="MLNK67ef834a7f1b4a06acef12a4ce5ad496" localSheetId="10" hidden="1">#REF!</definedName>
    <definedName name="MLNK67ef834a7f1b4a06acef12a4ce5ad496" hidden="1">#REF!</definedName>
    <definedName name="MLNK68a50ea5bea34e22a4b9dd1deb5dbfc1" localSheetId="10" hidden="1">#REF!</definedName>
    <definedName name="MLNK68a50ea5bea34e22a4b9dd1deb5dbfc1" hidden="1">#REF!</definedName>
    <definedName name="MLNK68b87fb067994487a8b7c14bf3eb3ccb" localSheetId="10" hidden="1">#REF!</definedName>
    <definedName name="MLNK68b87fb067994487a8b7c14bf3eb3ccb" hidden="1">#REF!</definedName>
    <definedName name="MLNK6c676c5a11694e1c9a2af52fa38eccd6" localSheetId="10" hidden="1">#REF!</definedName>
    <definedName name="MLNK6c676c5a11694e1c9a2af52fa38eccd6" hidden="1">#REF!</definedName>
    <definedName name="MLNK6ec3788db2914515990738a463c4c2fe" localSheetId="10" hidden="1">#REF!</definedName>
    <definedName name="MLNK6ec3788db2914515990738a463c4c2fe" hidden="1">#REF!</definedName>
    <definedName name="MLNK6fa5781a79f04bfc8eab75bf2bfff982" localSheetId="10" hidden="1">#REF!</definedName>
    <definedName name="MLNK6fa5781a79f04bfc8eab75bf2bfff982" hidden="1">#REF!</definedName>
    <definedName name="MLNK734c0b2f9f834be4be6f928494397193" localSheetId="10" hidden="1">#REF!</definedName>
    <definedName name="MLNK734c0b2f9f834be4be6f928494397193" hidden="1">#REF!</definedName>
    <definedName name="MLNK73521656131148ecad9b85b751b1724c" localSheetId="10" hidden="1">#REF!</definedName>
    <definedName name="MLNK73521656131148ecad9b85b751b1724c" hidden="1">#REF!</definedName>
    <definedName name="MLNK7451fed7afe3493c9ee539be3a278825" localSheetId="10" hidden="1">#REF!</definedName>
    <definedName name="MLNK7451fed7afe3493c9ee539be3a278825" hidden="1">#REF!</definedName>
    <definedName name="MLNK75fbd90061594f05ad753de7d5f132ac" localSheetId="10" hidden="1">#REF!</definedName>
    <definedName name="MLNK75fbd90061594f05ad753de7d5f132ac" hidden="1">#REF!</definedName>
    <definedName name="MLNK785d69451b7144b28102e03af0f0ead2" localSheetId="10" hidden="1">#REF!</definedName>
    <definedName name="MLNK785d69451b7144b28102e03af0f0ead2" hidden="1">#REF!</definedName>
    <definedName name="MLNK7bbe7ad82a68439e8d71595dcfb959a1" localSheetId="10" hidden="1">#REF!</definedName>
    <definedName name="MLNK7bbe7ad82a68439e8d71595dcfb959a1" hidden="1">#REF!</definedName>
    <definedName name="MLNK7d393c3c154447c1a4091cd2270b1c37" localSheetId="10" hidden="1">#REF!</definedName>
    <definedName name="MLNK7d393c3c154447c1a4091cd2270b1c37" hidden="1">#REF!</definedName>
    <definedName name="MLNK7d95794e392f4ec8b2a9495e73359b7e" localSheetId="10" hidden="1">#REF!</definedName>
    <definedName name="MLNK7d95794e392f4ec8b2a9495e73359b7e" hidden="1">#REF!</definedName>
    <definedName name="MLNK80a29139e7b44fea81ba5945fbbfd927" localSheetId="10" hidden="1">#REF!</definedName>
    <definedName name="MLNK80a29139e7b44fea81ba5945fbbfd927" hidden="1">#REF!</definedName>
    <definedName name="MLNK825ba750f3104bc1ad86ab3e0159dbc0" localSheetId="10" hidden="1">#REF!</definedName>
    <definedName name="MLNK825ba750f3104bc1ad86ab3e0159dbc0" hidden="1">#REF!</definedName>
    <definedName name="MLNK8349678bbac245ffb45ae51e1139c577" localSheetId="10" hidden="1">#REF!</definedName>
    <definedName name="MLNK8349678bbac245ffb45ae51e1139c577" hidden="1">#REF!</definedName>
    <definedName name="MLNK887db99085d84117b3b95d88bb619415" localSheetId="10" hidden="1">#REF!</definedName>
    <definedName name="MLNK887db99085d84117b3b95d88bb619415" hidden="1">#REF!</definedName>
    <definedName name="MLNK88ee0aa808554cf290af85836f682e57" localSheetId="10" hidden="1">#REF!</definedName>
    <definedName name="MLNK88ee0aa808554cf290af85836f682e57" hidden="1">#REF!</definedName>
    <definedName name="MLNK8ca492d29f0f4c9b9be047f486adc7e9" localSheetId="10" hidden="1">#REF!</definedName>
    <definedName name="MLNK8ca492d29f0f4c9b9be047f486adc7e9" hidden="1">#REF!</definedName>
    <definedName name="MLNK8f1efab6b12442519b5f87b4628e8f6e" localSheetId="10" hidden="1">#REF!</definedName>
    <definedName name="MLNK8f1efab6b12442519b5f87b4628e8f6e" hidden="1">#REF!</definedName>
    <definedName name="MLNK8fda6690caf04c9292b1c86e7b4e87f2" localSheetId="10" hidden="1">#REF!</definedName>
    <definedName name="MLNK8fda6690caf04c9292b1c86e7b4e87f2" hidden="1">#REF!</definedName>
    <definedName name="MLNK920c1f416daa4925bfdb4c05c60f5a3f" localSheetId="10" hidden="1">#REF!</definedName>
    <definedName name="MLNK920c1f416daa4925bfdb4c05c60f5a3f" hidden="1">#REF!</definedName>
    <definedName name="MLNK9534d1297c2546aba937062c0c943cf4" localSheetId="10" hidden="1">#REF!</definedName>
    <definedName name="MLNK9534d1297c2546aba937062c0c943cf4" hidden="1">#REF!</definedName>
    <definedName name="MLNK96b8ec1905064700888b89cd804e2d23" localSheetId="10" hidden="1">#REF!</definedName>
    <definedName name="MLNK96b8ec1905064700888b89cd804e2d23" hidden="1">#REF!</definedName>
    <definedName name="MLNK97c0b53c35d841f8930aed3aad168e82" localSheetId="10" hidden="1">#REF!</definedName>
    <definedName name="MLNK97c0b53c35d841f8930aed3aad168e82" hidden="1">#REF!</definedName>
    <definedName name="MLNK99099002af6d41159f3a78238f536359" localSheetId="10" hidden="1">#REF!</definedName>
    <definedName name="MLNK99099002af6d41159f3a78238f536359" hidden="1">#REF!</definedName>
    <definedName name="MLNK99198b9c31294a86b4b03a0cfb0de53b" localSheetId="10" hidden="1">#REF!</definedName>
    <definedName name="MLNK99198b9c31294a86b4b03a0cfb0de53b" hidden="1">#REF!</definedName>
    <definedName name="MLNK998a90cd11e246fd8751f2a00a4375ca" localSheetId="10" hidden="1">#REF!</definedName>
    <definedName name="MLNK998a90cd11e246fd8751f2a00a4375ca" hidden="1">#REF!</definedName>
    <definedName name="MLNK9af9e1ed36fa44d98901f826c8d558b9" localSheetId="10" hidden="1">#REF!</definedName>
    <definedName name="MLNK9af9e1ed36fa44d98901f826c8d558b9" hidden="1">#REF!</definedName>
    <definedName name="MLNK9cd0875f014c463d95fae45e00ea6b1c" localSheetId="10" hidden="1">#REF!</definedName>
    <definedName name="MLNK9cd0875f014c463d95fae45e00ea6b1c" hidden="1">#REF!</definedName>
    <definedName name="MLNK9d255fd78ae04dc0ae840b538838dcb5" localSheetId="10" hidden="1">#REF!</definedName>
    <definedName name="MLNK9d255fd78ae04dc0ae840b538838dcb5" hidden="1">#REF!</definedName>
    <definedName name="MLNKa0a540906bac46c2bf5606b6662ededb" localSheetId="10" hidden="1">#REF!</definedName>
    <definedName name="MLNKa0a540906bac46c2bf5606b6662ededb" hidden="1">#REF!</definedName>
    <definedName name="MLNKa309c14b7e694ca4baf83351738a4d4a" localSheetId="10" hidden="1">#REF!</definedName>
    <definedName name="MLNKa309c14b7e694ca4baf83351738a4d4a" hidden="1">#REF!</definedName>
    <definedName name="MLNKa35a24ed819e48229478fa3b05a1f34f" localSheetId="10" hidden="1">#REF!</definedName>
    <definedName name="MLNKa35a24ed819e48229478fa3b05a1f34f" hidden="1">#REF!</definedName>
    <definedName name="MLNKa6d13a9e64bc4881990773a439ceec44" localSheetId="10" hidden="1">#REF!</definedName>
    <definedName name="MLNKa6d13a9e64bc4881990773a439ceec44" hidden="1">#REF!</definedName>
    <definedName name="MLNKa761013f98eb43559c118872d310b58b" localSheetId="10" hidden="1">#REF!</definedName>
    <definedName name="MLNKa761013f98eb43559c118872d310b58b" hidden="1">#REF!</definedName>
    <definedName name="MLNKa7d2bbb3bc874002819a04a6b0e79ca0" localSheetId="10" hidden="1">#REF!</definedName>
    <definedName name="MLNKa7d2bbb3bc874002819a04a6b0e79ca0" hidden="1">#REF!</definedName>
    <definedName name="MLNKabd9964c778d4bba9f38f1d1a71d6667" localSheetId="10" hidden="1">#REF!</definedName>
    <definedName name="MLNKabd9964c778d4bba9f38f1d1a71d6667" hidden="1">#REF!</definedName>
    <definedName name="MLNKae8c5709dac04ee8a7fa36217dda1ae2" localSheetId="10" hidden="1">#REF!</definedName>
    <definedName name="MLNKae8c5709dac04ee8a7fa36217dda1ae2" hidden="1">#REF!</definedName>
    <definedName name="MLNKb219f68b02ed42b9a1c742f69e7f0a64" localSheetId="10" hidden="1">#REF!</definedName>
    <definedName name="MLNKb219f68b02ed42b9a1c742f69e7f0a64" hidden="1">#REF!</definedName>
    <definedName name="MLNKb3d2083039d648e59c10e3f6e3bc80f0" localSheetId="10" hidden="1">#REF!</definedName>
    <definedName name="MLNKb3d2083039d648e59c10e3f6e3bc80f0" hidden="1">#REF!</definedName>
    <definedName name="MLNKb469108113104789b704f7b586d0d2a3" localSheetId="10" hidden="1">#REF!</definedName>
    <definedName name="MLNKb469108113104789b704f7b586d0d2a3" hidden="1">#REF!</definedName>
    <definedName name="MLNKba81290ad47b404cba494acc66c804a2" localSheetId="10" hidden="1">#REF!</definedName>
    <definedName name="MLNKba81290ad47b404cba494acc66c804a2" hidden="1">#REF!</definedName>
    <definedName name="MLNKbb56678a8f384990a90f7f601f40dbb8" localSheetId="10" hidden="1">#REF!</definedName>
    <definedName name="MLNKbb56678a8f384990a90f7f601f40dbb8" hidden="1">#REF!</definedName>
    <definedName name="MLNKbe47ecdfbba143be92556b732736df0e" localSheetId="10" hidden="1">#REF!</definedName>
    <definedName name="MLNKbe47ecdfbba143be92556b732736df0e" hidden="1">#REF!</definedName>
    <definedName name="MLNKc2818e18d4f14d45ad2954842982bfdd" localSheetId="10" hidden="1">#REF!</definedName>
    <definedName name="MLNKc2818e18d4f14d45ad2954842982bfdd" hidden="1">#REF!</definedName>
    <definedName name="MLNKc36d5e9a7ad94d6cb483ee176bea5df4" localSheetId="10" hidden="1">#REF!</definedName>
    <definedName name="MLNKc36d5e9a7ad94d6cb483ee176bea5df4" hidden="1">#REF!</definedName>
    <definedName name="MLNKc4e4832755344c2c9903d9cec1d41bf8" localSheetId="10" hidden="1">#REF!</definedName>
    <definedName name="MLNKc4e4832755344c2c9903d9cec1d41bf8" hidden="1">#REF!</definedName>
    <definedName name="MLNKc924bd9bdf6848e2af3d247542b01d73" localSheetId="10" hidden="1">#REF!</definedName>
    <definedName name="MLNKc924bd9bdf6848e2af3d247542b01d73" hidden="1">#REF!</definedName>
    <definedName name="MLNKd7343389794841998582c9ceb729aef7" localSheetId="10" hidden="1">#REF!</definedName>
    <definedName name="MLNKd7343389794841998582c9ceb729aef7" hidden="1">#REF!</definedName>
    <definedName name="MLNKd7d8e2042d7344f2bd6b1b060e8ef132" localSheetId="10" hidden="1">#REF!</definedName>
    <definedName name="MLNKd7d8e2042d7344f2bd6b1b060e8ef132" hidden="1">#REF!</definedName>
    <definedName name="MLNKd888d95e326a4bd2ac161f61c905f51a" localSheetId="10" hidden="1">#REF!</definedName>
    <definedName name="MLNKd888d95e326a4bd2ac161f61c905f51a" hidden="1">#REF!</definedName>
    <definedName name="MLNKd8dd3ce1721d42dc84fce36732d9bfab" localSheetId="10" hidden="1">#REF!</definedName>
    <definedName name="MLNKd8dd3ce1721d42dc84fce36732d9bfab" hidden="1">#REF!</definedName>
    <definedName name="MLNKd8faa1f2c2d9485492eb29ea65d6e104" localSheetId="10" hidden="1">#REF!</definedName>
    <definedName name="MLNKd8faa1f2c2d9485492eb29ea65d6e104" hidden="1">#REF!</definedName>
    <definedName name="MLNKda3384412c434c44aabe441745ea7fb5" localSheetId="10" hidden="1">#REF!</definedName>
    <definedName name="MLNKda3384412c434c44aabe441745ea7fb5" hidden="1">#REF!</definedName>
    <definedName name="MLNKdad2f01b11ca4960add32243fc05ba81" localSheetId="10" hidden="1">#REF!</definedName>
    <definedName name="MLNKdad2f01b11ca4960add32243fc05ba81" hidden="1">#REF!</definedName>
    <definedName name="MLNKdb04d646bef84ba8bdeefce6818f0df0" localSheetId="10" hidden="1">#REF!</definedName>
    <definedName name="MLNKdb04d646bef84ba8bdeefce6818f0df0" hidden="1">#REF!</definedName>
    <definedName name="MLNKdb3fc9d886c142d68e98655f27ad0da4" localSheetId="10" hidden="1">#REF!</definedName>
    <definedName name="MLNKdb3fc9d886c142d68e98655f27ad0da4" hidden="1">#REF!</definedName>
    <definedName name="MLNKdbfef0b02f5e4e5d806354107085db55" localSheetId="10" hidden="1">#REF!</definedName>
    <definedName name="MLNKdbfef0b02f5e4e5d806354107085db55" hidden="1">#REF!</definedName>
    <definedName name="MLNKdd89e07370df45648b0408fcbd7fc154" localSheetId="10" hidden="1">#REF!</definedName>
    <definedName name="MLNKdd89e07370df45648b0408fcbd7fc154" hidden="1">#REF!</definedName>
    <definedName name="MLNKe7bbbe0426dd4274ad12493e80133263" localSheetId="10" hidden="1">#REF!</definedName>
    <definedName name="MLNKe7bbbe0426dd4274ad12493e80133263" hidden="1">#REF!</definedName>
    <definedName name="MLNKe942c2d891c84020a28a6c68c1795058" localSheetId="10" hidden="1">#REF!</definedName>
    <definedName name="MLNKe942c2d891c84020a28a6c68c1795058" hidden="1">#REF!</definedName>
    <definedName name="MLNKe999d63e533f4581ab847b3682de8de7" localSheetId="10" hidden="1">#REF!</definedName>
    <definedName name="MLNKe999d63e533f4581ab847b3682de8de7" hidden="1">#REF!</definedName>
    <definedName name="MLNKea549b65dbfd487ba3a702edf4a0ec91" localSheetId="10" hidden="1">#REF!</definedName>
    <definedName name="MLNKea549b65dbfd487ba3a702edf4a0ec91" hidden="1">#REF!</definedName>
    <definedName name="MLNKec2b360c481f4ad59e9775815ad282eb" localSheetId="10" hidden="1">#REF!</definedName>
    <definedName name="MLNKec2b360c481f4ad59e9775815ad282eb" hidden="1">#REF!</definedName>
    <definedName name="MLNKef890f5df9164bff9344f6128b5a606d" localSheetId="10" hidden="1">#REF!</definedName>
    <definedName name="MLNKef890f5df9164bff9344f6128b5a606d" hidden="1">#REF!</definedName>
    <definedName name="MLNKf12387b4a5aa438b8b393c0d27748089" localSheetId="10" hidden="1">#REF!</definedName>
    <definedName name="MLNKf12387b4a5aa438b8b393c0d27748089" hidden="1">#REF!</definedName>
    <definedName name="MLNKf17ae5ae5e9542158dc5c75ba6eceabe" localSheetId="10" hidden="1">#REF!</definedName>
    <definedName name="MLNKf17ae5ae5e9542158dc5c75ba6eceabe" hidden="1">#REF!</definedName>
    <definedName name="MLNKf3f46a67d1154d9f8cbb321cc230073b" localSheetId="10" hidden="1">#REF!</definedName>
    <definedName name="MLNKf3f46a67d1154d9f8cbb321cc230073b" hidden="1">#REF!</definedName>
    <definedName name="MLNKf90801931e6f484fa7ba875bcc808050" localSheetId="10" hidden="1">#REF!</definedName>
    <definedName name="MLNKf90801931e6f484fa7ba875bcc808050" hidden="1">#REF!</definedName>
    <definedName name="MLNKfcfbf29706ce4dd0bfb11d9cf310bf20" localSheetId="10" hidden="1">#REF!</definedName>
    <definedName name="MLNKfcfbf29706ce4dd0bfb11d9cf310bf20" hidden="1">#REF!</definedName>
    <definedName name="mmmmm" localSheetId="7" hidden="1">{#N/A,#N/A,FALSE,"SUMMARY";#N/A,#N/A,FALSE,"INPUTDATA";#N/A,#N/A,FALSE,"Condenser Performance"}</definedName>
    <definedName name="mmmmm" localSheetId="10" hidden="1">{#N/A,#N/A,FALSE,"SUMMARY";#N/A,#N/A,FALSE,"INPUTDATA";#N/A,#N/A,FALSE,"Condenser Performance"}</definedName>
    <definedName name="mmmmm" localSheetId="12" hidden="1">{#N/A,#N/A,FALSE,"SUMMARY";#N/A,#N/A,FALSE,"INPUTDATA";#N/A,#N/A,FALSE,"Condenser Performance"}</definedName>
    <definedName name="mmmmm" hidden="1">{#N/A,#N/A,FALSE,"SUMMARY";#N/A,#N/A,FALSE,"INPUTDATA";#N/A,#N/A,FALSE,"Condenser Performance"}</definedName>
    <definedName name="mnbv" localSheetId="1" hidden="1">#REF!</definedName>
    <definedName name="mnbv" localSheetId="31" hidden="1">#REF!</definedName>
    <definedName name="mnbv" localSheetId="7" hidden="1">#REF!</definedName>
    <definedName name="mnbv" localSheetId="12" hidden="1">#REF!</definedName>
    <definedName name="mnbv" hidden="1">#REF!</definedName>
    <definedName name="mnkp" localSheetId="31" hidden="1">#REF!</definedName>
    <definedName name="mnkp" localSheetId="7" hidden="1">#REF!</definedName>
    <definedName name="mnkp" hidden="1">#REF!</definedName>
    <definedName name="mo" localSheetId="31" hidden="1">#REF!</definedName>
    <definedName name="mo" localSheetId="7" hidden="1">#REF!</definedName>
    <definedName name="mo" hidden="1">#REF!</definedName>
    <definedName name="model_name" localSheetId="10">#REF!</definedName>
    <definedName name="model_name">#REF!</definedName>
    <definedName name="model_periodicity" localSheetId="10">#REF!</definedName>
    <definedName name="model_periodicity">#REF!</definedName>
    <definedName name="model_start" localSheetId="10">#REF!</definedName>
    <definedName name="model_start">#REF!</definedName>
    <definedName name="mol" localSheetId="30" hidden="1">#REF!</definedName>
    <definedName name="mol" localSheetId="31" hidden="1">#REF!</definedName>
    <definedName name="mol" localSheetId="7" hidden="1">#REF!</definedName>
    <definedName name="mol" hidden="1">#REF!</definedName>
    <definedName name="molp" localSheetId="30" hidden="1">#REF!</definedName>
    <definedName name="molp" localSheetId="31" hidden="1">#REF!</definedName>
    <definedName name="molp" localSheetId="7" hidden="1">#REF!</definedName>
    <definedName name="molp" hidden="1">#REF!</definedName>
    <definedName name="months_per_period" localSheetId="10">#REF!</definedName>
    <definedName name="months_per_period">#REF!</definedName>
    <definedName name="months_per_quarter" localSheetId="10">#REF!</definedName>
    <definedName name="months_per_quarter">#REF!</definedName>
    <definedName name="months_per_year" localSheetId="10">#REF!</definedName>
    <definedName name="months_per_year">#REF!</definedName>
    <definedName name="Moodys" localSheetId="7">#REF!</definedName>
    <definedName name="Moodys">#REF!</definedName>
    <definedName name="mrh">#REF!</definedName>
    <definedName name="MS">#REF!</definedName>
    <definedName name="MS.1" localSheetId="10">#REF!</definedName>
    <definedName name="MS.1">#REF!</definedName>
    <definedName name="MS.3" localSheetId="10">#REF!</definedName>
    <definedName name="MS.3">#REF!</definedName>
    <definedName name="MS.5" localSheetId="10">#REF!</definedName>
    <definedName name="MS.5">#REF!</definedName>
    <definedName name="MS.CE" localSheetId="10">#REF!</definedName>
    <definedName name="MS.CE">#REF!</definedName>
    <definedName name="MS.CEP" localSheetId="10">#REF!</definedName>
    <definedName name="MS.CEP">#REF!</definedName>
    <definedName name="MS_Plant">#REF!</definedName>
    <definedName name="munirate">#REF!</definedName>
    <definedName name="myty" localSheetId="1" hidden="1">{#N/A,#N/A,FALSE,"GLDwnLoad"}</definedName>
    <definedName name="myty" localSheetId="17" hidden="1">{#N/A,#N/A,FALSE,"GLDwnLoad"}</definedName>
    <definedName name="myty" localSheetId="30" hidden="1">{#N/A,#N/A,FALSE,"GLDwnLoad"}</definedName>
    <definedName name="myty" localSheetId="31" hidden="1">{#N/A,#N/A,FALSE,"GLDwnLoad"}</definedName>
    <definedName name="myty" localSheetId="19" hidden="1">{#N/A,#N/A,FALSE,"GLDwnLoad"}</definedName>
    <definedName name="myty" localSheetId="7" hidden="1">{#N/A,#N/A,FALSE,"GLDwnLoad"}</definedName>
    <definedName name="myty" localSheetId="0" hidden="1">{#N/A,#N/A,FALSE,"GLDwnLoad"}</definedName>
    <definedName name="myty" localSheetId="10" hidden="1">{#N/A,#N/A,FALSE,"GLDwnLoad"}</definedName>
    <definedName name="myty" localSheetId="12" hidden="1">{#N/A,#N/A,FALSE,"GLDwnLoad"}</definedName>
    <definedName name="myty" localSheetId="9" hidden="1">{#N/A,#N/A,FALSE,"GLDwnLoad"}</definedName>
    <definedName name="myty" hidden="1">{#N/A,#N/A,FALSE,"GLDwnLoad"}</definedName>
    <definedName name="myuyj" localSheetId="1" hidden="1">{#N/A,#N/A,FALSE,"GLDwnLoad"}</definedName>
    <definedName name="myuyj" localSheetId="17" hidden="1">{#N/A,#N/A,FALSE,"GLDwnLoad"}</definedName>
    <definedName name="myuyj" localSheetId="30" hidden="1">{#N/A,#N/A,FALSE,"GLDwnLoad"}</definedName>
    <definedName name="myuyj" localSheetId="31" hidden="1">{#N/A,#N/A,FALSE,"GLDwnLoad"}</definedName>
    <definedName name="myuyj" localSheetId="19" hidden="1">{#N/A,#N/A,FALSE,"GLDwnLoad"}</definedName>
    <definedName name="myuyj" localSheetId="7" hidden="1">{#N/A,#N/A,FALSE,"GLDwnLoad"}</definedName>
    <definedName name="myuyj" localSheetId="0" hidden="1">{#N/A,#N/A,FALSE,"GLDwnLoad"}</definedName>
    <definedName name="myuyj" localSheetId="10" hidden="1">{#N/A,#N/A,FALSE,"GLDwnLoad"}</definedName>
    <definedName name="myuyj" localSheetId="12" hidden="1">{#N/A,#N/A,FALSE,"GLDwnLoad"}</definedName>
    <definedName name="myuyj" localSheetId="9" hidden="1">{#N/A,#N/A,FALSE,"GLDwnLoad"}</definedName>
    <definedName name="myuyj" hidden="1">{#N/A,#N/A,FALSE,"GLDwnLoad"}</definedName>
    <definedName name="n" localSheetId="1" hidden="1">{"Assumption-Description",#N/A,FALSE,"Assumptions"}</definedName>
    <definedName name="n" localSheetId="17" hidden="1">{"Assumption-Description",#N/A,FALSE,"Assumptions"}</definedName>
    <definedName name="n" localSheetId="30" hidden="1">{"Assumption-Description",#N/A,FALSE,"Assumptions"}</definedName>
    <definedName name="n" localSheetId="31" hidden="1">{"Assumption-Description",#N/A,FALSE,"Assumptions"}</definedName>
    <definedName name="n" localSheetId="19" hidden="1">{"Assumption-Description",#N/A,FALSE,"Assumptions"}</definedName>
    <definedName name="n" localSheetId="7" hidden="1">{"Assumption-Description",#N/A,FALSE,"Assumptions"}</definedName>
    <definedName name="n" localSheetId="0" hidden="1">{"Assumption-Description",#N/A,FALSE,"Assumptions"}</definedName>
    <definedName name="n" localSheetId="1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 localSheetId="9" hidden="1">{"Assumption-Description",#N/A,FALSE,"Assumptions"}</definedName>
    <definedName name="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_3">#REF!</definedName>
    <definedName name="n_4">#REF!</definedName>
    <definedName name="NADA" localSheetId="1" hidden="1">{"caz2",#N/A,FALSE,"Central Arizona 2";"saz2",#N/A,FALSE,"Southern Arizona 2";"snv2",#N/A,FALSE,"Southern Nevada 2";"nnv2",#N/A,FALSE,"Northern Nevada 2";"sca2",#N/A,FALSE,"Southern California 2";"nca2",#N/A,FALSE,"Northern California 2";"pai2",#N/A,FALSE,"Paiute 2"}</definedName>
    <definedName name="NADA" localSheetId="17" hidden="1">{"caz2",#N/A,FALSE,"Central Arizona 2";"saz2",#N/A,FALSE,"Southern Arizona 2";"snv2",#N/A,FALSE,"Southern Nevada 2";"nnv2",#N/A,FALSE,"Northern Nevada 2";"sca2",#N/A,FALSE,"Southern California 2";"nca2",#N/A,FALSE,"Northern California 2";"pai2",#N/A,FALSE,"Paiute 2"}</definedName>
    <definedName name="NADA" localSheetId="30" hidden="1">{"caz2",#N/A,FALSE,"Central Arizona 2";"saz2",#N/A,FALSE,"Southern Arizona 2";"snv2",#N/A,FALSE,"Southern Nevada 2";"nnv2",#N/A,FALSE,"Northern Nevada 2";"sca2",#N/A,FALSE,"Southern California 2";"nca2",#N/A,FALSE,"Northern California 2";"pai2",#N/A,FALSE,"Paiute 2"}</definedName>
    <definedName name="NADA" localSheetId="31" hidden="1">{"caz2",#N/A,FALSE,"Central Arizona 2";"saz2",#N/A,FALSE,"Southern Arizona 2";"snv2",#N/A,FALSE,"Southern Nevada 2";"nnv2",#N/A,FALSE,"Northern Nevada 2";"sca2",#N/A,FALSE,"Southern California 2";"nca2",#N/A,FALSE,"Northern California 2";"pai2",#N/A,FALSE,"Paiute 2"}</definedName>
    <definedName name="NADA" localSheetId="19" hidden="1">{"caz2",#N/A,FALSE,"Central Arizona 2";"saz2",#N/A,FALSE,"Southern Arizona 2";"snv2",#N/A,FALSE,"Southern Nevada 2";"nnv2",#N/A,FALSE,"Northern Nevada 2";"sca2",#N/A,FALSE,"Southern California 2";"nca2",#N/A,FALSE,"Northern California 2";"pai2",#N/A,FALSE,"Paiute 2"}</definedName>
    <definedName name="NADA" localSheetId="7" hidden="1">{"caz2",#N/A,FALSE,"Central Arizona 2";"saz2",#N/A,FALSE,"Southern Arizona 2";"snv2",#N/A,FALSE,"Southern Nevada 2";"nnv2",#N/A,FALSE,"Northern Nevada 2";"sca2",#N/A,FALSE,"Southern California 2";"nca2",#N/A,FALSE,"Northern California 2";"pai2",#N/A,FALSE,"Paiute 2"}</definedName>
    <definedName name="NADA" localSheetId="0" hidden="1">{"caz2",#N/A,FALSE,"Central Arizona 2";"saz2",#N/A,FALSE,"Southern Arizona 2";"snv2",#N/A,FALSE,"Southern Nevada 2";"nnv2",#N/A,FALSE,"Northern Nevada 2";"sca2",#N/A,FALSE,"Southern California 2";"nca2",#N/A,FALSE,"Northern California 2";"pai2",#N/A,FALSE,"Paiute 2"}</definedName>
    <definedName name="nada" localSheetId="10" hidden="1">{2;#N/A;"R13C16:R17C16";#N/A;"R13C14:R17C15";FALSE;FALSE;FALSE;95;#N/A;#N/A;"R13C19";#N/A;FALSE;FALSE;FALSE;FALSE;#N/A;"";#N/A;FALSE;"";"";#N/A;#N/A;#N/A}</definedName>
    <definedName name="nada" localSheetId="12" hidden="1">{2;#N/A;"R13C16:R17C16";#N/A;"R13C14:R17C15";FALSE;FALSE;FALSE;95;#N/A;#N/A;"R13C19";#N/A;FALSE;FALSE;FALSE;FALSE;#N/A;"";#N/A;FALSE;"";"";#N/A;#N/A;#N/A}</definedName>
    <definedName name="NADA" localSheetId="9" hidden="1">{"caz2",#N/A,FALSE,"Central Arizona 2";"saz2",#N/A,FALSE,"Southern Arizona 2";"snv2",#N/A,FALSE,"Southern Nevada 2";"nnv2",#N/A,FALSE,"Northern Nevada 2";"sca2",#N/A,FALSE,"Southern California 2";"nca2",#N/A,FALSE,"Northern California 2";"pai2",#N/A,FALSE,"Paiute 2"}</definedName>
    <definedName name="nada" hidden="1">{2;#N/A;"R13C16:R17C16";#N/A;"R13C14:R17C15";FALSE;FALSE;FALSE;95;#N/A;#N/A;"R13C19";#N/A;FALSE;FALSE;FALSE;FALSE;#N/A;"";#N/A;FALSE;"";"";#N/A;#N/A;#N/A}</definedName>
    <definedName name="name" localSheetId="12">#REF!</definedName>
    <definedName name="name">#REF!</definedName>
    <definedName name="name2"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localSheetId="10" hidden="1">{#N/A,#N/A,FALSE,"Valuation";#N/A,#N/A,FALSE,"MLP Impact"}</definedName>
    <definedName name="name2" localSheetId="12" hidden="1">{#N/A,#N/A,FALSE,"Valuation";#N/A,#N/A,FALSE,"MLP Impact"}</definedName>
    <definedName name="name2"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2" hidden="1">{#N/A,#N/A,FALSE,"Valuation";#N/A,#N/A,FALSE,"MLP Impact"}</definedName>
    <definedName name="name3" localSheetId="7" hidden="1">{#N/A,#N/A,FALSE,"VOLUMES";#N/A,#N/A,FALSE,"REVENUES";#N/A,#N/A,FALSE,"VALUATION"}</definedName>
    <definedName name="name3" localSheetId="10" hidden="1">{#N/A,#N/A,FALSE,"VOLUMES";#N/A,#N/A,FALSE,"REVENUES";#N/A,#N/A,FALSE,"VALUATION"}</definedName>
    <definedName name="name3" localSheetId="12" hidden="1">{#N/A,#N/A,FALSE,"VOLUMES";#N/A,#N/A,FALSE,"REVENUES";#N/A,#N/A,FALSE,"VALUATION"}</definedName>
    <definedName name="name3" hidden="1">{#N/A,#N/A,FALSE,"VOLUMES";#N/A,#N/A,FALSE,"REVENUES";#N/A,#N/A,FALSE,"VALUATION"}</definedName>
    <definedName name="name4" localSheetId="7" hidden="1">{"SourcesUses",#N/A,TRUE,"CFMODEL";"TransOverview",#N/A,TRUE,"CFMODEL"}</definedName>
    <definedName name="name4" localSheetId="10" hidden="1">{"SourcesUses",#N/A,TRUE,"CFMODEL";"TransOverview",#N/A,TRUE,"CFMODEL"}</definedName>
    <definedName name="name4" localSheetId="12" hidden="1">{"SourcesUses",#N/A,TRUE,"CFMODEL";"TransOverview",#N/A,TRUE,"CFMODEL"}</definedName>
    <definedName name="name4" hidden="1">{"SourcesUses",#N/A,TRUE,"CFMODEL";"TransOverview",#N/A,TRUE,"CFMODEL"}</definedName>
    <definedName name="namefield" localSheetId="1" hidden="1">#REF!</definedName>
    <definedName name="namefield" localSheetId="30" hidden="1">#REF!</definedName>
    <definedName name="namefield" localSheetId="31" hidden="1">#REF!</definedName>
    <definedName name="namefield" localSheetId="7" hidden="1">#REF!</definedName>
    <definedName name="namefield" localSheetId="9" hidden="1">#REF!</definedName>
    <definedName name="namefield" hidden="1">#REF!</definedName>
    <definedName name="naow" localSheetId="1" hidden="1">#REF!</definedName>
    <definedName name="naow" localSheetId="17" hidden="1">#REF!</definedName>
    <definedName name="naow" localSheetId="30" hidden="1">#REF!</definedName>
    <definedName name="naow" localSheetId="31" hidden="1">#REF!</definedName>
    <definedName name="naow" localSheetId="7" hidden="1">#REF!</definedName>
    <definedName name="naow" localSheetId="9" hidden="1">#REF!</definedName>
    <definedName name="naow" hidden="1">#REF!</definedName>
    <definedName name="nbeo" localSheetId="1" hidden="1">#REF!</definedName>
    <definedName name="nbeo" localSheetId="31" hidden="1">#REF!</definedName>
    <definedName name="nbeo" localSheetId="7" hidden="1">#REF!</definedName>
    <definedName name="nbeo" localSheetId="9" hidden="1">#REF!</definedName>
    <definedName name="nbeo" hidden="1">#REF!</definedName>
    <definedName name="nbw" localSheetId="31" hidden="1">#REF!</definedName>
    <definedName name="nbw" localSheetId="7" hidden="1">#REF!</definedName>
    <definedName name="nbw" hidden="1">#REF!</definedName>
    <definedName name="NC.1" localSheetId="10">#REF!</definedName>
    <definedName name="NC.1">#REF!</definedName>
    <definedName name="NC.3" localSheetId="10">#REF!</definedName>
    <definedName name="NC.3">#REF!</definedName>
    <definedName name="NC.5" localSheetId="10">#REF!</definedName>
    <definedName name="NC.5">#REF!</definedName>
    <definedName name="NC.CE" localSheetId="10">#REF!</definedName>
    <definedName name="NC.CE">#REF!</definedName>
    <definedName name="NC.CEP" localSheetId="10">#REF!</definedName>
    <definedName name="NC.CEP">#REF!</definedName>
    <definedName name="NEadit">#REF!</definedName>
    <definedName name="NEadv">#REF!</definedName>
    <definedName name="NEcash">#REF!</definedName>
    <definedName name="NEcwip">#REF!</definedName>
    <definedName name="NEdep">#REF!</definedName>
    <definedName name="NEmatsup">#REF!</definedName>
    <definedName name="NEplant">#REF!</definedName>
    <definedName name="NEpp">#REF!</definedName>
    <definedName name="NEST" localSheetId="7">#REF!</definedName>
    <definedName name="NEST">#REF!</definedName>
    <definedName name="NEstorg">#REF!</definedName>
    <definedName name="new" localSheetId="1" hidden="1">{"Summary",#N/A,FALSE,"Options "}</definedName>
    <definedName name="new" localSheetId="17" hidden="1">{"Summary",#N/A,FALSE,"Options "}</definedName>
    <definedName name="new" localSheetId="30" hidden="1">{"Summary",#N/A,FALSE,"Options "}</definedName>
    <definedName name="new" localSheetId="31" hidden="1">{"Summary",#N/A,FALSE,"Options "}</definedName>
    <definedName name="new" localSheetId="19" hidden="1">{"Summary",#N/A,FALSE,"Options "}</definedName>
    <definedName name="new" localSheetId="7" hidden="1">{"Summary",#N/A,FALSE,"Options "}</definedName>
    <definedName name="new" localSheetId="0" hidden="1">{"Summary",#N/A,FALSE,"Options "}</definedName>
    <definedName name="new" localSheetId="10" hidden="1">{"Summary",#N/A,FALSE,"Options "}</definedName>
    <definedName name="new" localSheetId="12" hidden="1">{"Summary",#N/A,FALSE,"Options "}</definedName>
    <definedName name="new" localSheetId="9" hidden="1">{"Summary",#N/A,FALSE,"Options "}</definedName>
    <definedName name="new" hidden="1">{"Summary",#N/A,FALSE,"Options "}</definedName>
    <definedName name="New_Account_balance">#REF!</definedName>
    <definedName name="New_Account_Name">#REF!</definedName>
    <definedName name="New_Account_Number">#REF!</definedName>
    <definedName name="NEW_ALLOCATION_TABLE">#REF!</definedName>
    <definedName name="NEW_COMPANY_NAME">#REF!</definedName>
    <definedName name="NEW_COMPANY_TITLE">#REF!</definedName>
    <definedName name="NEW_DOCKET_NUMBER">#REF!</definedName>
    <definedName name="NEW_SEWER_CUSTOMERS">#REF!</definedName>
    <definedName name="NEW_TB">#REF!</definedName>
    <definedName name="NEW_TEST_YEAR_END_DATE">#REF!</definedName>
    <definedName name="NEW_WATER_CUSTOMER">#REF!</definedName>
    <definedName name="newest"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newest"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newest" hidden="1">{#N/A,#N/A,FALSE,"Australia";#N/A,#N/A,FALSE,"Austria";#N/A,#N/A,FALSE,"Belgium";#N/A,#N/A,FALSE,"Canada";#N/A,#N/A,FALSE,"France";#N/A,#N/A,FALSE,"Germany";#N/A,#N/A,FALSE,"Hong Kong";#N/A,#N/A,FALSE,"Italy";#N/A,#N/A,FALSE,"Japan";#N/A,#N/A,FALSE,"Korea";#N/A,#N/A,FALSE,"Mexico";#N/A,#N/A,FALSE,"Poland";#N/A,#N/A,FALSE,"Spain";#N/A,#N/A,FALSE,"Switzerland";#N/A,#N/A,FALSE,"UK"}</definedName>
    <definedName name="newname" localSheetId="7" hidden="1">{#N/A,#N/A,FALSE,"CAP 1998";#N/A,#N/A,FALSE,"CAP 1999";#N/A,#N/A,FALSE,"CAP 2000";#N/A,#N/A,FALSE,"CAP_2001";#N/A,#N/A,FALSE,"CAP_2002";#N/A,#N/A,FALSE,"MAINT_1998";#N/A,#N/A,FALSE,"MAINT_1999";#N/A,#N/A,FALSE,"MAINT_2000";#N/A,#N/A,FALSE,"MAINT_2001";#N/A,#N/A,FALSE,"MAINT_2002"}</definedName>
    <definedName name="newname" localSheetId="10" hidden="1">{#N/A,#N/A,FALSE,"CAP 1998";#N/A,#N/A,FALSE,"CAP 1999";#N/A,#N/A,FALSE,"CAP 2000";#N/A,#N/A,FALSE,"CAP_2001";#N/A,#N/A,FALSE,"CAP_2002";#N/A,#N/A,FALSE,"MAINT_1998";#N/A,#N/A,FALSE,"MAINT_1999";#N/A,#N/A,FALSE,"MAINT_2000";#N/A,#N/A,FALSE,"MAINT_2001";#N/A,#N/A,FALSE,"MAINT_2002"}</definedName>
    <definedName name="newname" localSheetId="12"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fgh">#REF!</definedName>
    <definedName name="nfgl">#REF!</definedName>
    <definedName name="niPO" localSheetId="1" hidden="1">#REF!</definedName>
    <definedName name="niPO" localSheetId="31" hidden="1">#REF!</definedName>
    <definedName name="niPO" localSheetId="7" hidden="1">#REF!</definedName>
    <definedName name="niPO" localSheetId="9" hidden="1">#REF!</definedName>
    <definedName name="niPO" hidden="1">#REF!</definedName>
    <definedName name="nipxre" localSheetId="31" hidden="1">#REF!</definedName>
    <definedName name="nipxre" localSheetId="7" hidden="1">#REF!</definedName>
    <definedName name="nipxre" localSheetId="9" hidden="1">#REF!</definedName>
    <definedName name="nipxre" hidden="1">#REF!</definedName>
    <definedName name="nixre" localSheetId="31" hidden="1">#REF!</definedName>
    <definedName name="nixre" localSheetId="7" hidden="1">#REF!</definedName>
    <definedName name="nixre" hidden="1">#REF!</definedName>
    <definedName name="nk" localSheetId="31" hidden="1">#REF!</definedName>
    <definedName name="nk" localSheetId="7" hidden="1">#REF!</definedName>
    <definedName name="nk" hidden="1">#REF!</definedName>
    <definedName name="nki" localSheetId="31" hidden="1">#REF!</definedName>
    <definedName name="nki" localSheetId="7" hidden="1">#REF!</definedName>
    <definedName name="nki" hidden="1">#REF!</definedName>
    <definedName name="nkiw" localSheetId="31" hidden="1">#REF!</definedName>
    <definedName name="nkiw" localSheetId="7" hidden="1">#REF!</definedName>
    <definedName name="nkiw" hidden="1">#REF!</definedName>
    <definedName name="nKLqw" localSheetId="31" hidden="1">#REF!</definedName>
    <definedName name="nKLqw" localSheetId="7" hidden="1">#REF!</definedName>
    <definedName name="nKLqw" hidden="1">#REF!</definedName>
    <definedName name="nkse" localSheetId="31" hidden="1">#REF!</definedName>
    <definedName name="nkse" localSheetId="7" hidden="1">#REF!</definedName>
    <definedName name="nkse" hidden="1">#REF!</definedName>
    <definedName name="nkw" localSheetId="31" hidden="1">#REF!</definedName>
    <definedName name="nkw" localSheetId="7" hidden="1">#REF!</definedName>
    <definedName name="nkw" hidden="1">#REF!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N" localSheetId="1" hidden="1">#REF!</definedName>
    <definedName name="NMN" localSheetId="17" hidden="1">#REF!</definedName>
    <definedName name="NMN" localSheetId="30" hidden="1">#REF!</definedName>
    <definedName name="NMN" localSheetId="31" hidden="1">#REF!</definedName>
    <definedName name="NMN" localSheetId="7" hidden="1">#REF!</definedName>
    <definedName name="NMN" localSheetId="9" hidden="1">#REF!</definedName>
    <definedName name="NMN" hidden="1">#REF!</definedName>
    <definedName name="nmop" localSheetId="1" hidden="1">#REF!</definedName>
    <definedName name="nmop" localSheetId="31" hidden="1">#REF!</definedName>
    <definedName name="nmop" localSheetId="7" hidden="1">#REF!</definedName>
    <definedName name="nmop" localSheetId="9" hidden="1">#REF!</definedName>
    <definedName name="nmop" hidden="1">#REF!</definedName>
    <definedName name="nmwqi" localSheetId="1" hidden="1">#REF!</definedName>
    <definedName name="nmwqi" localSheetId="31" hidden="1">#REF!</definedName>
    <definedName name="nmwqi" localSheetId="7" hidden="1">#REF!</definedName>
    <definedName name="nmwqi" localSheetId="9" hidden="1">#REF!</definedName>
    <definedName name="nmwqi" hidden="1">#REF!</definedName>
    <definedName name="nnnn" localSheetId="7" hidden="1">{#N/A,#N/A,FALSE,"T COST";#N/A,#N/A,FALSE,"COST_FH"}</definedName>
    <definedName name="nnnn" localSheetId="10" hidden="1">{#N/A,#N/A,FALSE,"T COST";#N/A,#N/A,FALSE,"COST_FH"}</definedName>
    <definedName name="nnnn" localSheetId="12" hidden="1">{#N/A,#N/A,FALSE,"T COST";#N/A,#N/A,FALSE,"COST_FH"}</definedName>
    <definedName name="nnnn" hidden="1">{#N/A,#N/A,FALSE,"T COST";#N/A,#N/A,FALSE,"COST_FH"}</definedName>
    <definedName name="nnnnnnn" localSheetId="31" hidden="1">#REF!</definedName>
    <definedName name="nnnnnnn" localSheetId="7" hidden="1">#REF!</definedName>
    <definedName name="nnnnnnn" localSheetId="9" hidden="1">#REF!</definedName>
    <definedName name="nnnnnnn" hidden="1">#REF!</definedName>
    <definedName name="no" localSheetId="31" hidden="1">#REF!</definedName>
    <definedName name="no" localSheetId="7" hidden="1">#REF!</definedName>
    <definedName name="no" hidden="1">#REF!</definedName>
    <definedName name="no.1" localSheetId="7">#REF!</definedName>
    <definedName name="no.1">#REF!</definedName>
    <definedName name="no.10" localSheetId="7">#REF!</definedName>
    <definedName name="no.10">#REF!</definedName>
    <definedName name="no.11" localSheetId="7">#REF!</definedName>
    <definedName name="no.11">#REF!</definedName>
    <definedName name="no.12" localSheetId="7">#REF!</definedName>
    <definedName name="no.12">#REF!</definedName>
    <definedName name="no.13" localSheetId="7">#REF!</definedName>
    <definedName name="no.13">#REF!</definedName>
    <definedName name="no.14" localSheetId="7">#REF!</definedName>
    <definedName name="no.14">#REF!</definedName>
    <definedName name="no.15" localSheetId="7">#REF!</definedName>
    <definedName name="no.15">#REF!</definedName>
    <definedName name="no.16" localSheetId="7">#REF!</definedName>
    <definedName name="no.16">#REF!</definedName>
    <definedName name="no.17" localSheetId="7">#REF!</definedName>
    <definedName name="no.17">#REF!</definedName>
    <definedName name="no.18" localSheetId="7">#REF!</definedName>
    <definedName name="no.18">#REF!</definedName>
    <definedName name="no.19" localSheetId="7">#REF!</definedName>
    <definedName name="no.19">#REF!</definedName>
    <definedName name="no.2" localSheetId="7">#REF!</definedName>
    <definedName name="no.2">#REF!</definedName>
    <definedName name="no.20" localSheetId="7">#REF!</definedName>
    <definedName name="no.20">#REF!</definedName>
    <definedName name="no.21" localSheetId="7">#REF!</definedName>
    <definedName name="no.21">#REF!</definedName>
    <definedName name="no.22" localSheetId="7">#REF!</definedName>
    <definedName name="no.22">#REF!</definedName>
    <definedName name="no.23" localSheetId="7">#REF!</definedName>
    <definedName name="no.23">#REF!</definedName>
    <definedName name="no.24" localSheetId="7">#REF!</definedName>
    <definedName name="no.24">#REF!</definedName>
    <definedName name="no.25" localSheetId="7">#REF!</definedName>
    <definedName name="no.25">#REF!</definedName>
    <definedName name="no.26" localSheetId="7">#REF!</definedName>
    <definedName name="no.26">#REF!</definedName>
    <definedName name="no.27" localSheetId="7">#REF!</definedName>
    <definedName name="no.27">#REF!</definedName>
    <definedName name="no.28" localSheetId="7">#REF!</definedName>
    <definedName name="no.28">#REF!</definedName>
    <definedName name="no.29" localSheetId="7">#REF!</definedName>
    <definedName name="no.29">#REF!</definedName>
    <definedName name="no.3" localSheetId="7">#REF!</definedName>
    <definedName name="no.3">#REF!</definedName>
    <definedName name="no.30" localSheetId="7">#REF!</definedName>
    <definedName name="no.30">#REF!</definedName>
    <definedName name="no.31" localSheetId="7">#REF!</definedName>
    <definedName name="no.31">#REF!</definedName>
    <definedName name="no.32" localSheetId="7">#REF!</definedName>
    <definedName name="no.32">#REF!</definedName>
    <definedName name="no.33" localSheetId="7">#REF!</definedName>
    <definedName name="no.33">#REF!</definedName>
    <definedName name="no.4" localSheetId="7">#REF!</definedName>
    <definedName name="no.4">#REF!</definedName>
    <definedName name="no.5" localSheetId="7">#REF!</definedName>
    <definedName name="no.5">#REF!</definedName>
    <definedName name="no.6" localSheetId="7">#REF!</definedName>
    <definedName name="no.6">#REF!</definedName>
    <definedName name="no.7" localSheetId="7">#REF!</definedName>
    <definedName name="no.7">#REF!</definedName>
    <definedName name="no.8" localSheetId="7">#REF!</definedName>
    <definedName name="no.8">#REF!</definedName>
    <definedName name="no.9" localSheetId="7">#REF!</definedName>
    <definedName name="no.9">#REF!</definedName>
    <definedName name="NO_DIV">#REF!</definedName>
    <definedName name="noD">TRUE</definedName>
    <definedName name="noip" localSheetId="31" hidden="1">#REF!</definedName>
    <definedName name="noip" localSheetId="7" hidden="1">#REF!</definedName>
    <definedName name="noip" localSheetId="9" hidden="1">#REF!</definedName>
    <definedName name="noip" hidden="1">#REF!</definedName>
    <definedName name="noipx" localSheetId="31" hidden="1">#REF!</definedName>
    <definedName name="noipx" localSheetId="7" hidden="1">#REF!</definedName>
    <definedName name="noipx" hidden="1">#REF!</definedName>
    <definedName name="nol" localSheetId="7" hidden="1">{#N/A,#N/A,FALSE,"91NOLCB";#N/A,#N/A,FALSE,"92NOLCB";#N/A,#N/A,FALSE,"93NOLCB"}</definedName>
    <definedName name="nol" localSheetId="10" hidden="1">{#N/A,#N/A,FALSE,"91NOLCB";#N/A,#N/A,FALSE,"92NOLCB";#N/A,#N/A,FALSE,"93NOLCB"}</definedName>
    <definedName name="nol" localSheetId="12" hidden="1">{#N/A,#N/A,FALSE,"91NOLCB";#N/A,#N/A,FALSE,"92NOLCB";#N/A,#N/A,FALSE,"93NOLCB"}</definedName>
    <definedName name="nol" hidden="1">{#N/A,#N/A,FALSE,"91NOLCB";#N/A,#N/A,FALSE,"92NOLCB";#N/A,#N/A,FALSE,"93NOLCB"}</definedName>
    <definedName name="no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E" localSheetId="1" hidden="1">{#N/A,#N/A,FALSE,"SCA";#N/A,#N/A,FALSE,"NCA";#N/A,#N/A,FALSE,"SAZ";#N/A,#N/A,FALSE,"CAZ";#N/A,#N/A,FALSE,"SNV";#N/A,#N/A,FALSE,"NNV";#N/A,#N/A,FALSE,"PP";#N/A,#N/A,FALSE,"SA"}</definedName>
    <definedName name="NONE" localSheetId="17" hidden="1">{#N/A,#N/A,FALSE,"SCA";#N/A,#N/A,FALSE,"NCA";#N/A,#N/A,FALSE,"SAZ";#N/A,#N/A,FALSE,"CAZ";#N/A,#N/A,FALSE,"SNV";#N/A,#N/A,FALSE,"NNV";#N/A,#N/A,FALSE,"PP";#N/A,#N/A,FALSE,"SA"}</definedName>
    <definedName name="NONE" localSheetId="30" hidden="1">{#N/A,#N/A,FALSE,"SCA";#N/A,#N/A,FALSE,"NCA";#N/A,#N/A,FALSE,"SAZ";#N/A,#N/A,FALSE,"CAZ";#N/A,#N/A,FALSE,"SNV";#N/A,#N/A,FALSE,"NNV";#N/A,#N/A,FALSE,"PP";#N/A,#N/A,FALSE,"SA"}</definedName>
    <definedName name="NONE" localSheetId="31" hidden="1">{#N/A,#N/A,FALSE,"SCA";#N/A,#N/A,FALSE,"NCA";#N/A,#N/A,FALSE,"SAZ";#N/A,#N/A,FALSE,"CAZ";#N/A,#N/A,FALSE,"SNV";#N/A,#N/A,FALSE,"NNV";#N/A,#N/A,FALSE,"PP";#N/A,#N/A,FALSE,"SA"}</definedName>
    <definedName name="NONE" localSheetId="19" hidden="1">{#N/A,#N/A,FALSE,"SCA";#N/A,#N/A,FALSE,"NCA";#N/A,#N/A,FALSE,"SAZ";#N/A,#N/A,FALSE,"CAZ";#N/A,#N/A,FALSE,"SNV";#N/A,#N/A,FALSE,"NNV";#N/A,#N/A,FALSE,"PP";#N/A,#N/A,FALSE,"SA"}</definedName>
    <definedName name="NONE" localSheetId="7" hidden="1">{#N/A,#N/A,FALSE,"SCA";#N/A,#N/A,FALSE,"NCA";#N/A,#N/A,FALSE,"SAZ";#N/A,#N/A,FALSE,"CAZ";#N/A,#N/A,FALSE,"SNV";#N/A,#N/A,FALSE,"NNV";#N/A,#N/A,FALSE,"PP";#N/A,#N/A,FALSE,"SA"}</definedName>
    <definedName name="NONE" localSheetId="0" hidden="1">{#N/A,#N/A,FALSE,"SCA";#N/A,#N/A,FALSE,"NCA";#N/A,#N/A,FALSE,"SAZ";#N/A,#N/A,FALSE,"CAZ";#N/A,#N/A,FALSE,"SNV";#N/A,#N/A,FALSE,"NNV";#N/A,#N/A,FALSE,"PP";#N/A,#N/A,FALSE,"SA"}</definedName>
    <definedName name="NONE" localSheetId="10" hidden="1">{#N/A,#N/A,FALSE,"SCA";#N/A,#N/A,FALSE,"NCA";#N/A,#N/A,FALSE,"SAZ";#N/A,#N/A,FALSE,"CAZ";#N/A,#N/A,FALSE,"SNV";#N/A,#N/A,FALSE,"NNV";#N/A,#N/A,FALSE,"PP";#N/A,#N/A,FALSE,"SA"}</definedName>
    <definedName name="NONE" localSheetId="12" hidden="1">{#N/A,#N/A,FALSE,"SCA";#N/A,#N/A,FALSE,"NCA";#N/A,#N/A,FALSE,"SAZ";#N/A,#N/A,FALSE,"CAZ";#N/A,#N/A,FALSE,"SNV";#N/A,#N/A,FALSE,"NNV";#N/A,#N/A,FALSE,"PP";#N/A,#N/A,FALSE,"SA"}</definedName>
    <definedName name="NONE" localSheetId="9" hidden="1">{#N/A,#N/A,FALSE,"SCA";#N/A,#N/A,FALSE,"NCA";#N/A,#N/A,FALSE,"SAZ";#N/A,#N/A,FALSE,"CAZ";#N/A,#N/A,FALSE,"SNV";#N/A,#N/A,FALSE,"NNV";#N/A,#N/A,FALSE,"PP";#N/A,#N/A,FALSE,"SA"}</definedName>
    <definedName name="NONE" hidden="1">{#N/A,#N/A,FALSE,"SCA";#N/A,#N/A,FALSE,"NCA";#N/A,#N/A,FALSE,"SAZ";#N/A,#N/A,FALSE,"CAZ";#N/A,#N/A,FALSE,"SNV";#N/A,#N/A,FALSE,"NNV";#N/A,#N/A,FALSE,"PP";#N/A,#N/A,FALSE,"SA"}</definedName>
    <definedName name="nop" localSheetId="1" hidden="1">#REF!</definedName>
    <definedName name="nop" localSheetId="30" hidden="1">#REF!</definedName>
    <definedName name="nop" localSheetId="31" hidden="1">#REF!</definedName>
    <definedName name="nop" localSheetId="7" hidden="1">#REF!</definedName>
    <definedName name="nop" localSheetId="9" hidden="1">#REF!</definedName>
    <definedName name="nop" hidden="1">#REF!</definedName>
    <definedName name="nope" localSheetId="1" hidden="1">#REF!</definedName>
    <definedName name="nope" localSheetId="30" hidden="1">#REF!</definedName>
    <definedName name="nope" localSheetId="31" hidden="1">#REF!</definedName>
    <definedName name="nope" localSheetId="7" hidden="1">#REF!</definedName>
    <definedName name="nope" localSheetId="9" hidden="1">#REF!</definedName>
    <definedName name="nope" hidden="1">#REF!</definedName>
    <definedName name="noper" localSheetId="1" hidden="1">#REF!</definedName>
    <definedName name="noper" localSheetId="30" hidden="1">#REF!</definedName>
    <definedName name="noper" localSheetId="31" hidden="1">#REF!</definedName>
    <definedName name="noper" localSheetId="7" hidden="1">#REF!</definedName>
    <definedName name="noper" localSheetId="9" hidden="1">#REF!</definedName>
    <definedName name="noper" hidden="1">#REF!</definedName>
    <definedName name="Note">#REF!</definedName>
    <definedName name="now"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sz" localSheetId="1" hidden="1">#REF!</definedName>
    <definedName name="nsz" localSheetId="17" hidden="1">#REF!</definedName>
    <definedName name="nsz" localSheetId="30" hidden="1">#REF!</definedName>
    <definedName name="nsz" localSheetId="31" hidden="1">#REF!</definedName>
    <definedName name="nsz" localSheetId="7" hidden="1">#REF!</definedName>
    <definedName name="nsz" localSheetId="9" hidden="1">#REF!</definedName>
    <definedName name="nsz" hidden="1">#REF!</definedName>
    <definedName name="ntgt" localSheetId="1" hidden="1">{"'Sheet1'!$A$1:$O$40"}</definedName>
    <definedName name="ntgt" localSheetId="17" hidden="1">{"'Sheet1'!$A$1:$O$40"}</definedName>
    <definedName name="ntgt" localSheetId="30" hidden="1">{"'Sheet1'!$A$1:$O$40"}</definedName>
    <definedName name="ntgt" localSheetId="31" hidden="1">{"'Sheet1'!$A$1:$O$40"}</definedName>
    <definedName name="ntgt" localSheetId="19" hidden="1">{"'Sheet1'!$A$1:$O$40"}</definedName>
    <definedName name="ntgt" localSheetId="7" hidden="1">{"'Sheet1'!$A$1:$O$40"}</definedName>
    <definedName name="ntgt" localSheetId="0" hidden="1">{"'Sheet1'!$A$1:$O$40"}</definedName>
    <definedName name="ntgt" localSheetId="10" hidden="1">{"'Sheet1'!$A$1:$O$40"}</definedName>
    <definedName name="ntgt" localSheetId="12" hidden="1">{"'Sheet1'!$A$1:$O$40"}</definedName>
    <definedName name="ntgt" localSheetId="9" hidden="1">{"'Sheet1'!$A$1:$O$40"}</definedName>
    <definedName name="ntgt" hidden="1">{"'Sheet1'!$A$1:$O$40"}</definedName>
    <definedName name="NucCostEscalator">#REF!</definedName>
    <definedName name="num"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_Pmt_Per_Year" localSheetId="10">#REF!</definedName>
    <definedName name="Num_Pmt_Per_Year">#REF!</definedName>
    <definedName name="Number_of_Payments" localSheetId="7">MATCH(0.01,End_Bal,-1)+1</definedName>
    <definedName name="Number_of_Payments" localSheetId="10">MATCH(0.01,'WP Cost HW and Useful Life'!End_Bal,-1)+1</definedName>
    <definedName name="Number_of_Payments" localSheetId="12">MATCH(0.01,End_Bal,-1)+1</definedName>
    <definedName name="Number_of_Payments">MATCH(0.01,End_Bal,-1)+1</definedName>
    <definedName name="NW_Only" localSheetId="12">#REF!</definedName>
    <definedName name="NW_Only">#REF!</definedName>
    <definedName name="NWadit" localSheetId="12">#REF!</definedName>
    <definedName name="NWadit">#REF!</definedName>
    <definedName name="NWadv" localSheetId="12">#REF!</definedName>
    <definedName name="NWadv">#REF!</definedName>
    <definedName name="NWcash">#REF!</definedName>
    <definedName name="NWcwip">#REF!</definedName>
    <definedName name="NWdep">#REF!</definedName>
    <definedName name="NWmatsup">#REF!</definedName>
    <definedName name="NWplant">#REF!</definedName>
    <definedName name="NWpp">#REF!</definedName>
    <definedName name="NWstorg">#REF!</definedName>
    <definedName name="o" localSheetId="31" hidden="1">#REF!</definedName>
    <definedName name="o" localSheetId="7" hidden="1">#REF!</definedName>
    <definedName name="o" localSheetId="9" hidden="1">#REF!</definedName>
    <definedName name="o" hidden="1">#REF!</definedName>
    <definedName name="occ">#REF!</definedName>
    <definedName name="OCC.CE" localSheetId="10">#REF!</definedName>
    <definedName name="OCC.CE">#REF!</definedName>
    <definedName name="ocq" localSheetId="31" hidden="1">#REF!</definedName>
    <definedName name="ocq" localSheetId="7" hidden="1">#REF!</definedName>
    <definedName name="ocq" localSheetId="9" hidden="1">#REF!</definedName>
    <definedName name="ocq" hidden="1">#REF!</definedName>
    <definedName name="odezscv" localSheetId="30" hidden="1">#REF!</definedName>
    <definedName name="odezscv" localSheetId="31" hidden="1">#REF!</definedName>
    <definedName name="odezscv" localSheetId="7" hidden="1">#REF!</definedName>
    <definedName name="odezscv" localSheetId="9" hidden="1">#REF!</definedName>
    <definedName name="odezscv" hidden="1">#REF!</definedName>
    <definedName name="ofooooo" localSheetId="31" hidden="1">#REF!</definedName>
    <definedName name="ofooooo" localSheetId="7" hidden="1">#REF!</definedName>
    <definedName name="ofooooo" hidden="1">#REF!</definedName>
    <definedName name="OH.1" localSheetId="10">#REF!</definedName>
    <definedName name="OH.1">#REF!</definedName>
    <definedName name="OH.3" localSheetId="10">#REF!</definedName>
    <definedName name="OH.3">#REF!</definedName>
    <definedName name="OH.5" localSheetId="10">#REF!</definedName>
    <definedName name="OH.5">#REF!</definedName>
    <definedName name="OH.CE" localSheetId="10">#REF!</definedName>
    <definedName name="OH.CE">#REF!</definedName>
    <definedName name="OH.CEP" localSheetId="10">#REF!</definedName>
    <definedName name="OH.CEP">#REF!</definedName>
    <definedName name="oia" localSheetId="31" hidden="1">#REF!</definedName>
    <definedName name="oia" localSheetId="7" hidden="1">#REF!</definedName>
    <definedName name="oia" hidden="1">#REF!</definedName>
    <definedName name="oiacew" localSheetId="31" hidden="1">#REF!</definedName>
    <definedName name="oiacew" localSheetId="7" hidden="1">#REF!</definedName>
    <definedName name="oiacew" hidden="1">#REF!</definedName>
    <definedName name="oicw" localSheetId="31" hidden="1">#REF!</definedName>
    <definedName name="oicw" localSheetId="7" hidden="1">#REF!</definedName>
    <definedName name="oicw" hidden="1">#REF!</definedName>
    <definedName name="oieac" localSheetId="31" hidden="1">#REF!</definedName>
    <definedName name="oieac" localSheetId="7" hidden="1">#REF!</definedName>
    <definedName name="oieac" hidden="1">#REF!</definedName>
    <definedName name="oiewq" localSheetId="31" hidden="1">#REF!</definedName>
    <definedName name="oiewq" localSheetId="7" hidden="1">#REF!</definedName>
    <definedName name="oiewq" hidden="1">#REF!</definedName>
    <definedName name="oihyecv" localSheetId="31" hidden="1">#REF!</definedName>
    <definedName name="oihyecv" localSheetId="7" hidden="1">#REF!</definedName>
    <definedName name="oihyecv" hidden="1">#REF!</definedName>
    <definedName name="oips" localSheetId="31" hidden="1">#REF!</definedName>
    <definedName name="oips" localSheetId="7" hidden="1">#REF!</definedName>
    <definedName name="oips" hidden="1">#REF!</definedName>
    <definedName name="ok" localSheetId="1" hidden="1">#REF!</definedName>
    <definedName name="ok" localSheetId="31" hidden="1">#REF!</definedName>
    <definedName name="ok" localSheetId="7" hidden="1">#REF!</definedName>
    <definedName name="ok" localSheetId="0" hidden="1">#REF!</definedName>
    <definedName name="ok" localSheetId="10" hidden="1">{#N/A,#N/A,FALSE,"Aging Summary";#N/A,#N/A,FALSE,"Ratio Analysis";#N/A,#N/A,FALSE,"Test 120 Day Accts";#N/A,#N/A,FALSE,"Tickmarks"}</definedName>
    <definedName name="ok" localSheetId="12" hidden="1">{#N/A,#N/A,FALSE,"Aging Summary";#N/A,#N/A,FALSE,"Ratio Analysis";#N/A,#N/A,FALSE,"Test 120 Day Accts";#N/A,#N/A,FALSE,"Tickmarks"}</definedName>
    <definedName name="ok" localSheetId="9" hidden="1">#REF!</definedName>
    <definedName name="ok" hidden="1">{#N/A,#N/A,FALSE,"Aging Summary";#N/A,#N/A,FALSE,"Ratio Analysis";#N/A,#N/A,FALSE,"Test 120 Day Accts";#N/A,#N/A,FALSE,"Tickmarks"}</definedName>
    <definedName name="okey" localSheetId="31" hidden="1">#REF!</definedName>
    <definedName name="okey" localSheetId="7" hidden="1">#REF!</definedName>
    <definedName name="okey" localSheetId="9" hidden="1">#REF!</definedName>
    <definedName name="okey" hidden="1">#REF!</definedName>
    <definedName name="okeydokey" localSheetId="31" hidden="1">#REF!</definedName>
    <definedName name="okeydokey" localSheetId="7" hidden="1">#REF!</definedName>
    <definedName name="okeydokey" hidden="1">#REF!</definedName>
    <definedName name="oklpwa" localSheetId="31" hidden="1">#REF!</definedName>
    <definedName name="oklpwa" localSheetId="7" hidden="1">#REF!</definedName>
    <definedName name="oklpwa" hidden="1">#REF!</definedName>
    <definedName name="oldname" localSheetId="7" hidden="1">{#N/A,#N/A,FALSE,"CAP 1998";#N/A,#N/A,FALSE,"CAP 1999";#N/A,#N/A,FALSE,"CAP 2000";#N/A,#N/A,FALSE,"CAP_2001";#N/A,#N/A,FALSE,"CAP_2002";#N/A,#N/A,FALSE,"MAINT_1998";#N/A,#N/A,FALSE,"MAINT_1999";#N/A,#N/A,FALSE,"MAINT_2000";#N/A,#N/A,FALSE,"MAINT_2001";#N/A,#N/A,FALSE,"MAINT_2002"}</definedName>
    <definedName name="oldname" localSheetId="10" hidden="1">{#N/A,#N/A,FALSE,"CAP 1998";#N/A,#N/A,FALSE,"CAP 1999";#N/A,#N/A,FALSE,"CAP 2000";#N/A,#N/A,FALSE,"CAP_2001";#N/A,#N/A,FALSE,"CAP_2002";#N/A,#N/A,FALSE,"MAINT_1998";#N/A,#N/A,FALSE,"MAINT_1999";#N/A,#N/A,FALSE,"MAINT_2000";#N/A,#N/A,FALSE,"MAINT_2001";#N/A,#N/A,FALSE,"MAINT_2002"}</definedName>
    <definedName name="oldname" localSheetId="12"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puwce" localSheetId="31" hidden="1">#REF!</definedName>
    <definedName name="olpuwce" localSheetId="7" hidden="1">#REF!</definedName>
    <definedName name="olpuwce" localSheetId="9" hidden="1">#REF!</definedName>
    <definedName name="olpuwce" hidden="1">#REF!</definedName>
    <definedName name="oluw" localSheetId="31" hidden="1">#REF!</definedName>
    <definedName name="oluw" localSheetId="7" hidden="1">#REF!</definedName>
    <definedName name="oluw" hidden="1">#REF!</definedName>
    <definedName name="oooofp" localSheetId="1" hidden="1">#REF!</definedName>
    <definedName name="oooofp" localSheetId="17" hidden="1">#REF!</definedName>
    <definedName name="oooofp" localSheetId="30" hidden="1">#REF!</definedName>
    <definedName name="oooofp" localSheetId="31" hidden="1">#REF!</definedName>
    <definedName name="oooofp" localSheetId="7" hidden="1">#REF!</definedName>
    <definedName name="oooofp" localSheetId="9" hidden="1">#REF!</definedName>
    <definedName name="oooofp" hidden="1">#REF!</definedName>
    <definedName name="opec" localSheetId="1" hidden="1">#REF!</definedName>
    <definedName name="opec" localSheetId="17" hidden="1">#REF!</definedName>
    <definedName name="opec" localSheetId="31" hidden="1">#REF!</definedName>
    <definedName name="opec" localSheetId="7" hidden="1">#REF!</definedName>
    <definedName name="opec" localSheetId="9" hidden="1">#REF!</definedName>
    <definedName name="opec" hidden="1">#REF!</definedName>
    <definedName name="opewqr" localSheetId="31" hidden="1">#REF!</definedName>
    <definedName name="opewqr" localSheetId="7" hidden="1">#REF!</definedName>
    <definedName name="opewqr" hidden="1">#REF!</definedName>
    <definedName name="opicaew" localSheetId="31" hidden="1">#REF!</definedName>
    <definedName name="opicaew" localSheetId="7" hidden="1">#REF!</definedName>
    <definedName name="opicaew" hidden="1">#REF!</definedName>
    <definedName name="opiecv" localSheetId="31" hidden="1">#REF!</definedName>
    <definedName name="opiecv" localSheetId="7" hidden="1">#REF!</definedName>
    <definedName name="opiecv" hidden="1">#REF!</definedName>
    <definedName name="opiu" localSheetId="7" hidden="1">{2;#N/A;"R13C16:R17C16";#N/A;"R13C14:R17C15";FALSE;FALSE;FALSE;95;#N/A;#N/A;"R13C19";#N/A;FALSE;FALSE;FALSE;FALSE;#N/A;"";#N/A;FALSE;"";"";#N/A;#N/A;#N/A}</definedName>
    <definedName name="opiu" localSheetId="10" hidden="1">{2;#N/A;"R13C16:R17C16";#N/A;"R13C14:R17C15";FALSE;FALSE;FALSE;95;#N/A;#N/A;"R13C19";#N/A;FALSE;FALSE;FALSE;FALSE;#N/A;"";#N/A;FALSE;"";"";#N/A;#N/A;#N/A}</definedName>
    <definedName name="opiu" localSheetId="12" hidden="1">{2;#N/A;"R13C16:R17C16";#N/A;"R13C14:R17C15";FALSE;FALSE;FALSE;95;#N/A;#N/A;"R13C19";#N/A;FALSE;FALSE;FALSE;FALSE;#N/A;"";#N/A;FALSE;"";"";#N/A;#N/A;#N/A}</definedName>
    <definedName name="opiu" hidden="1">{2;#N/A;"R13C16:R17C16";#N/A;"R13C14:R17C15";FALSE;FALSE;FALSE;95;#N/A;#N/A;"R13C19";#N/A;FALSE;FALSE;FALSE;FALSE;#N/A;"";#N/A;FALSE;"";"";#N/A;#N/A;#N/A}</definedName>
    <definedName name="opiyu" localSheetId="31" hidden="1">#REF!</definedName>
    <definedName name="opiyu" localSheetId="7" hidden="1">#REF!</definedName>
    <definedName name="opiyu" localSheetId="12" hidden="1">#REF!</definedName>
    <definedName name="opiyu" hidden="1">#REF!</definedName>
    <definedName name="oplpp" localSheetId="31" hidden="1">#REF!</definedName>
    <definedName name="oplpp" localSheetId="7" hidden="1">#REF!</definedName>
    <definedName name="oplpp" hidden="1">#REF!</definedName>
    <definedName name="opp" localSheetId="31" hidden="1">#REF!</definedName>
    <definedName name="opp" localSheetId="7" hidden="1">#REF!</definedName>
    <definedName name="opp" hidden="1">#REF!</definedName>
    <definedName name="opuafw" localSheetId="31" hidden="1">#REF!</definedName>
    <definedName name="opuafw" localSheetId="7" hidden="1">#REF!</definedName>
    <definedName name="opuafw" hidden="1">#REF!</definedName>
    <definedName name="opuc3e" localSheetId="31" hidden="1">#REF!</definedName>
    <definedName name="opuc3e" localSheetId="7" hidden="1">#REF!</definedName>
    <definedName name="opuc3e" hidden="1">#REF!</definedName>
    <definedName name="opueac" localSheetId="31" hidden="1">#REF!</definedName>
    <definedName name="opueac" localSheetId="7" hidden="1">#REF!</definedName>
    <definedName name="opueac" hidden="1">#REF!</definedName>
    <definedName name="opufw" localSheetId="31" hidden="1">#REF!</definedName>
    <definedName name="opufw" localSheetId="7" hidden="1">#REF!</definedName>
    <definedName name="opufw" hidden="1">#REF!</definedName>
    <definedName name="opuwa" localSheetId="31" hidden="1">#REF!</definedName>
    <definedName name="opuwa" localSheetId="7" hidden="1">#REF!</definedName>
    <definedName name="opuwa" hidden="1">#REF!</definedName>
    <definedName name="opvs" localSheetId="31" hidden="1">#REF!</definedName>
    <definedName name="opvs" localSheetId="7" hidden="1">#REF!</definedName>
    <definedName name="opvs" hidden="1">#REF!</definedName>
    <definedName name="os" localSheetId="31" hidden="1">#REF!</definedName>
    <definedName name="os" localSheetId="7" hidden="1">#REF!</definedName>
    <definedName name="os" hidden="1">#REF!</definedName>
    <definedName name="OtherBenefits">#REF!</definedName>
    <definedName name="OtherProductionGroups">#REF!</definedName>
    <definedName name="oupc" localSheetId="30" hidden="1">#REF!</definedName>
    <definedName name="oupc" localSheetId="31" hidden="1">#REF!</definedName>
    <definedName name="oupc" localSheetId="7" hidden="1">#REF!</definedName>
    <definedName name="oupc" hidden="1">#REF!</definedName>
    <definedName name="Outages" localSheetId="7" hidden="1">{"MTH_YTD",#N/A,FALSE,"Summary";"VAR_MTH_YTD",#N/A,FALSE,"Summary"}</definedName>
    <definedName name="Outages" localSheetId="10" hidden="1">{"MTH_YTD",#N/A,FALSE,"Summary";"VAR_MTH_YTD",#N/A,FALSE,"Summary"}</definedName>
    <definedName name="Outages" localSheetId="12" hidden="1">{"MTH_YTD",#N/A,FALSE,"Summary";"VAR_MTH_YTD",#N/A,FALSE,"Summary"}</definedName>
    <definedName name="Outages" hidden="1">{"MTH_YTD",#N/A,FALSE,"Summary";"VAR_MTH_YTD",#N/A,FALSE,"Summary"}</definedName>
    <definedName name="Outages2" localSheetId="7" hidden="1">{"MTH_YTD",#N/A,FALSE,"Summary";"VAR_MTH_YTD",#N/A,FALSE,"Summary"}</definedName>
    <definedName name="Outages2" localSheetId="10" hidden="1">{"MTH_YTD",#N/A,FALSE,"Summary";"VAR_MTH_YTD",#N/A,FALSE,"Summary"}</definedName>
    <definedName name="Outages2" localSheetId="12" hidden="1">{"MTH_YTD",#N/A,FALSE,"Summary";"VAR_MTH_YTD",#N/A,FALSE,"Summary"}</definedName>
    <definedName name="Outages2" hidden="1">{"MTH_YTD",#N/A,FALSE,"Summary";"VAR_MTH_YTD",#N/A,FALSE,"Summary"}</definedName>
    <definedName name="OUTPUT">#REF!</definedName>
    <definedName name="ovwe" localSheetId="1" hidden="1">#REF!</definedName>
    <definedName name="ovwe" localSheetId="30" hidden="1">#REF!</definedName>
    <definedName name="ovwe" localSheetId="31" hidden="1">#REF!</definedName>
    <definedName name="ovwe" localSheetId="7" hidden="1">#REF!</definedName>
    <definedName name="ovwe" localSheetId="9" hidden="1">#REF!</definedName>
    <definedName name="ovwe" hidden="1">#REF!</definedName>
    <definedName name="OwnershipShare" localSheetId="7">#REF!</definedName>
    <definedName name="OwnershipShare">#REF!</definedName>
    <definedName name="p" localSheetId="1" hidden="1">{"Support/Rev Op Inc=Total revenue + OIBT",#N/A,FALSE,"Rev-Op Inc"}</definedName>
    <definedName name="p" localSheetId="17" hidden="1">{"Support/Rev Op Inc=Total revenue + OIBT",#N/A,FALSE,"Rev-Op Inc"}</definedName>
    <definedName name="p" localSheetId="30" hidden="1">{"Support/Rev Op Inc=Total revenue + OIBT",#N/A,FALSE,"Rev-Op Inc"}</definedName>
    <definedName name="p" localSheetId="31" hidden="1">{"Support/Rev Op Inc=Total revenue + OIBT",#N/A,FALSE,"Rev-Op Inc"}</definedName>
    <definedName name="p" localSheetId="19" hidden="1">{"Support/Rev Op Inc=Total revenue + OIBT",#N/A,FALSE,"Rev-Op Inc"}</definedName>
    <definedName name="p" localSheetId="7" hidden="1">{"Support/Rev Op Inc=Total revenue + OIBT",#N/A,FALSE,"Rev-Op Inc"}</definedName>
    <definedName name="p" localSheetId="0" hidden="1">{"Support/Rev Op Inc=Total revenue + OIBT",#N/A,FALSE,"Rev-Op Inc"}</definedName>
    <definedName name="p" localSheetId="10" hidden="1">{"monthly",#N/A,FALSE,"Monthly"}</definedName>
    <definedName name="p" localSheetId="12" hidden="1">{"monthly",#N/A,FALSE,"Monthly"}</definedName>
    <definedName name="p" localSheetId="9" hidden="1">{"Support/Rev Op Inc=Total revenue + OIBT",#N/A,FALSE,"Rev-Op Inc"}</definedName>
    <definedName name="p" hidden="1">{"monthly",#N/A,FALSE,"Monthly"}</definedName>
    <definedName name="P1_" localSheetId="12">#REF!</definedName>
    <definedName name="P1_">#REF!</definedName>
    <definedName name="P2_" localSheetId="7">#REF!</definedName>
    <definedName name="P2_" localSheetId="12">#REF!</definedName>
    <definedName name="P2_">#REF!</definedName>
    <definedName name="PAA">#REF!</definedName>
    <definedName name="page\x2dtotal">#REF!</definedName>
    <definedName name="page\x2dtotal\x2dmaster0">#REF!</definedName>
    <definedName name="PAGE1">#N/A</definedName>
    <definedName name="PAGE5" localSheetId="12">#REF!</definedName>
    <definedName name="PAGE5">#REF!</definedName>
    <definedName name="PAGE6" localSheetId="12">#REF!</definedName>
    <definedName name="PAGE6">#REF!</definedName>
    <definedName name="PAGE7" localSheetId="12">#REF!</definedName>
    <definedName name="PAGE7">#REF!</definedName>
    <definedName name="PAGE8">#REF!</definedName>
    <definedName name="Pal_Workbook_GUID" localSheetId="1" hidden="1">"31D6I8PXZ2UBY1JJ5B7BIZ2J"</definedName>
    <definedName name="Pal_Workbook_GUID" localSheetId="7" hidden="1">"31D6I8PXZ2UBY1JJ5B7BIZ2J"</definedName>
    <definedName name="Pal_Workbook_GUID" localSheetId="0" hidden="1">"31D6I8PXZ2UBY1JJ5B7BIZ2J"</definedName>
    <definedName name="Pal_Workbook_GUID" localSheetId="9" hidden="1">"31D6I8PXZ2UBY1JJ5B7BIZ2J"</definedName>
    <definedName name="Pal_Workbook_GUID" hidden="1">"7NG8TFHMQKSG2LPGKEACEGAS"</definedName>
    <definedName name="Parent" localSheetId="12">#REF!</definedName>
    <definedName name="Parent">#REF!</definedName>
    <definedName name="Parent_Company" localSheetId="12">#REF!</definedName>
    <definedName name="Parent_Company">#REF!</definedName>
    <definedName name="Parump_CSR_Allocation" localSheetId="10">#REF!</definedName>
    <definedName name="Parump_CSR_Allocation">#REF!</definedName>
    <definedName name="Pay_Date" localSheetId="7">#REF!</definedName>
    <definedName name="Pay_Date" localSheetId="10">#REF!</definedName>
    <definedName name="Pay_Date">#REF!</definedName>
    <definedName name="Pay_Num" localSheetId="10">#REF!</definedName>
    <definedName name="Pay_Num">#REF!</definedName>
    <definedName name="paydate" localSheetId="7">#REF!</definedName>
    <definedName name="paydate">#REF!</definedName>
    <definedName name="paydateno.7" localSheetId="7">#REF!</definedName>
    <definedName name="paydateno.7">#REF!</definedName>
    <definedName name="Payment_Date" localSheetId="7">DATE(YEAR(Loan_Start),MONTH(Loan_Start)+Payment_Number,DAY(Loan_Start))</definedName>
    <definedName name="Payment_Date" localSheetId="10">DATE(YEAR('WP Cost HW and Useful Life'!Loan_Start),MONTH('WP Cost HW and Useful Life'!Loan_Start)+Payment_Number,DAY('WP Cost HW and Useful Life'!Loan_Start))</definedName>
    <definedName name="Payment_Date" localSheetId="12">DATE(YEAR(Loan_Start),MONTH(Loan_Start)+Payment_Number,DAY(Loan_Start))</definedName>
    <definedName name="Payment_Date">DATE(YEAR(Loan_Start),MONTH(Loan_Start)+Payment_Number,DAY(Loan_Start))</definedName>
    <definedName name="pb" localSheetId="1" hidden="1">{#N/A,#N/A,FALSE,"04 Target Calc.";#N/A,#N/A,FALSE,"03 Projection Calc"}</definedName>
    <definedName name="pb" localSheetId="17" hidden="1">{#N/A,#N/A,FALSE,"04 Target Calc.";#N/A,#N/A,FALSE,"03 Projection Calc"}</definedName>
    <definedName name="pb" localSheetId="30" hidden="1">{#N/A,#N/A,FALSE,"04 Target Calc.";#N/A,#N/A,FALSE,"03 Projection Calc"}</definedName>
    <definedName name="pb" localSheetId="31" hidden="1">{#N/A,#N/A,FALSE,"04 Target Calc.";#N/A,#N/A,FALSE,"03 Projection Calc"}</definedName>
    <definedName name="pb" localSheetId="19" hidden="1">{#N/A,#N/A,FALSE,"04 Target Calc.";#N/A,#N/A,FALSE,"03 Projection Calc"}</definedName>
    <definedName name="pb" localSheetId="7" hidden="1">{#N/A,#N/A,FALSE,"04 Target Calc.";#N/A,#N/A,FALSE,"03 Projection Calc"}</definedName>
    <definedName name="pb" localSheetId="0" hidden="1">{#N/A,#N/A,FALSE,"04 Target Calc.";#N/A,#N/A,FALSE,"03 Projection Calc"}</definedName>
    <definedName name="pb" localSheetId="10" hidden="1">{#N/A,#N/A,FALSE,"04 Target Calc.";#N/A,#N/A,FALSE,"03 Projection Calc"}</definedName>
    <definedName name="pb" localSheetId="12" hidden="1">{#N/A,#N/A,FALSE,"04 Target Calc.";#N/A,#N/A,FALSE,"03 Projection Calc"}</definedName>
    <definedName name="pb" localSheetId="9" hidden="1">{#N/A,#N/A,FALSE,"04 Target Calc.";#N/A,#N/A,FALSE,"03 Projection Calc"}</definedName>
    <definedName name="pb" hidden="1">{#N/A,#N/A,FALSE,"04 Target Calc.";#N/A,#N/A,FALSE,"03 Projection Calc"}</definedName>
    <definedName name="PCap" localSheetId="10" hidden="1">#REF!</definedName>
    <definedName name="PCap" hidden="1">#REF!</definedName>
    <definedName name="Pension">#REF!</definedName>
    <definedName name="Pepco" localSheetId="1" hidden="1">{#N/A,#N/A,FALSE,"O&amp;M by processes";#N/A,#N/A,FALSE,"Elec Act vs Bud";#N/A,#N/A,FALSE,"G&amp;A";#N/A,#N/A,FALSE,"BGS";#N/A,#N/A,FALSE,"Res Cost"}</definedName>
    <definedName name="Pepco" localSheetId="17" hidden="1">{#N/A,#N/A,FALSE,"O&amp;M by processes";#N/A,#N/A,FALSE,"Elec Act vs Bud";#N/A,#N/A,FALSE,"G&amp;A";#N/A,#N/A,FALSE,"BGS";#N/A,#N/A,FALSE,"Res Cost"}</definedName>
    <definedName name="Pepco" localSheetId="30" hidden="1">{#N/A,#N/A,FALSE,"O&amp;M by processes";#N/A,#N/A,FALSE,"Elec Act vs Bud";#N/A,#N/A,FALSE,"G&amp;A";#N/A,#N/A,FALSE,"BGS";#N/A,#N/A,FALSE,"Res Cost"}</definedName>
    <definedName name="Pepco" localSheetId="31" hidden="1">{#N/A,#N/A,FALSE,"O&amp;M by processes";#N/A,#N/A,FALSE,"Elec Act vs Bud";#N/A,#N/A,FALSE,"G&amp;A";#N/A,#N/A,FALSE,"BGS";#N/A,#N/A,FALSE,"Res Cost"}</definedName>
    <definedName name="Pepco" localSheetId="19" hidden="1">{#N/A,#N/A,FALSE,"O&amp;M by processes";#N/A,#N/A,FALSE,"Elec Act vs Bud";#N/A,#N/A,FALSE,"G&amp;A";#N/A,#N/A,FALSE,"BGS";#N/A,#N/A,FALSE,"Res Cost"}</definedName>
    <definedName name="Pepco" localSheetId="7" hidden="1">{#N/A,#N/A,FALSE,"O&amp;M by processes";#N/A,#N/A,FALSE,"Elec Act vs Bud";#N/A,#N/A,FALSE,"G&amp;A";#N/A,#N/A,FALSE,"BGS";#N/A,#N/A,FALSE,"Res Cost"}</definedName>
    <definedName name="Pepco" localSheetId="0" hidden="1">{#N/A,#N/A,FALSE,"O&amp;M by processes";#N/A,#N/A,FALSE,"Elec Act vs Bud";#N/A,#N/A,FALSE,"G&amp;A";#N/A,#N/A,FALSE,"BGS";#N/A,#N/A,FALSE,"Res Cost"}</definedName>
    <definedName name="Pepco" localSheetId="10" hidden="1">{#N/A,#N/A,FALSE,"O&amp;M by processes";#N/A,#N/A,FALSE,"Elec Act vs Bud";#N/A,#N/A,FALSE,"G&amp;A";#N/A,#N/A,FALSE,"BGS";#N/A,#N/A,FALSE,"Res Cost"}</definedName>
    <definedName name="Pepco" localSheetId="12" hidden="1">{#N/A,#N/A,FALSE,"O&amp;M by processes";#N/A,#N/A,FALSE,"Elec Act vs Bud";#N/A,#N/A,FALSE,"G&amp;A";#N/A,#N/A,FALSE,"BGS";#N/A,#N/A,FALSE,"Res Cost"}</definedName>
    <definedName name="Pepco" localSheetId="9" hidden="1">{#N/A,#N/A,FALSE,"O&amp;M by processes";#N/A,#N/A,FALSE,"Elec Act vs Bud";#N/A,#N/A,FALSE,"G&amp;A";#N/A,#N/A,FALSE,"BGS";#N/A,#N/A,FALSE,"Res Cost"}</definedName>
    <definedName name="Pepco" hidden="1">{#N/A,#N/A,FALSE,"O&amp;M by processes";#N/A,#N/A,FALSE,"Elec Act vs Bud";#N/A,#N/A,FALSE,"G&amp;A";#N/A,#N/A,FALSE,"BGS";#N/A,#N/A,FALSE,"Res Cost"}</definedName>
    <definedName name="peqafd" localSheetId="1" hidden="1">#REF!</definedName>
    <definedName name="peqafd" localSheetId="17" hidden="1">#REF!</definedName>
    <definedName name="peqafd" localSheetId="30" hidden="1">#REF!</definedName>
    <definedName name="peqafd" localSheetId="31" hidden="1">#REF!</definedName>
    <definedName name="peqafd" localSheetId="7" hidden="1">#REF!</definedName>
    <definedName name="peqafd" localSheetId="9" hidden="1">#REF!</definedName>
    <definedName name="peqafd" hidden="1">#REF!</definedName>
    <definedName name="PERO" localSheetId="1" hidden="1">{#N/A,#N/A,FALSE,"SCA";#N/A,#N/A,FALSE,"NCA";#N/A,#N/A,FALSE,"SAZ";#N/A,#N/A,FALSE,"CAZ";#N/A,#N/A,FALSE,"SNV";#N/A,#N/A,FALSE,"NNV";#N/A,#N/A,FALSE,"PP";#N/A,#N/A,FALSE,"SA"}</definedName>
    <definedName name="PERO" localSheetId="17" hidden="1">{#N/A,#N/A,FALSE,"SCA";#N/A,#N/A,FALSE,"NCA";#N/A,#N/A,FALSE,"SAZ";#N/A,#N/A,FALSE,"CAZ";#N/A,#N/A,FALSE,"SNV";#N/A,#N/A,FALSE,"NNV";#N/A,#N/A,FALSE,"PP";#N/A,#N/A,FALSE,"SA"}</definedName>
    <definedName name="PERO" localSheetId="30" hidden="1">{#N/A,#N/A,FALSE,"SCA";#N/A,#N/A,FALSE,"NCA";#N/A,#N/A,FALSE,"SAZ";#N/A,#N/A,FALSE,"CAZ";#N/A,#N/A,FALSE,"SNV";#N/A,#N/A,FALSE,"NNV";#N/A,#N/A,FALSE,"PP";#N/A,#N/A,FALSE,"SA"}</definedName>
    <definedName name="PERO" localSheetId="31" hidden="1">{#N/A,#N/A,FALSE,"SCA";#N/A,#N/A,FALSE,"NCA";#N/A,#N/A,FALSE,"SAZ";#N/A,#N/A,FALSE,"CAZ";#N/A,#N/A,FALSE,"SNV";#N/A,#N/A,FALSE,"NNV";#N/A,#N/A,FALSE,"PP";#N/A,#N/A,FALSE,"SA"}</definedName>
    <definedName name="PERO" localSheetId="19" hidden="1">{#N/A,#N/A,FALSE,"SCA";#N/A,#N/A,FALSE,"NCA";#N/A,#N/A,FALSE,"SAZ";#N/A,#N/A,FALSE,"CAZ";#N/A,#N/A,FALSE,"SNV";#N/A,#N/A,FALSE,"NNV";#N/A,#N/A,FALSE,"PP";#N/A,#N/A,FALSE,"SA"}</definedName>
    <definedName name="PERO" localSheetId="7" hidden="1">{#N/A,#N/A,FALSE,"SCA";#N/A,#N/A,FALSE,"NCA";#N/A,#N/A,FALSE,"SAZ";#N/A,#N/A,FALSE,"CAZ";#N/A,#N/A,FALSE,"SNV";#N/A,#N/A,FALSE,"NNV";#N/A,#N/A,FALSE,"PP";#N/A,#N/A,FALSE,"SA"}</definedName>
    <definedName name="PERO" localSheetId="0" hidden="1">{#N/A,#N/A,FALSE,"SCA";#N/A,#N/A,FALSE,"NCA";#N/A,#N/A,FALSE,"SAZ";#N/A,#N/A,FALSE,"CAZ";#N/A,#N/A,FALSE,"SNV";#N/A,#N/A,FALSE,"NNV";#N/A,#N/A,FALSE,"PP";#N/A,#N/A,FALSE,"SA"}</definedName>
    <definedName name="PERO" localSheetId="10" hidden="1">{#N/A,#N/A,FALSE,"SCA";#N/A,#N/A,FALSE,"NCA";#N/A,#N/A,FALSE,"SAZ";#N/A,#N/A,FALSE,"CAZ";#N/A,#N/A,FALSE,"SNV";#N/A,#N/A,FALSE,"NNV";#N/A,#N/A,FALSE,"PP";#N/A,#N/A,FALSE,"SA"}</definedName>
    <definedName name="PERO" localSheetId="12" hidden="1">{#N/A,#N/A,FALSE,"SCA";#N/A,#N/A,FALSE,"NCA";#N/A,#N/A,FALSE,"SAZ";#N/A,#N/A,FALSE,"CAZ";#N/A,#N/A,FALSE,"SNV";#N/A,#N/A,FALSE,"NNV";#N/A,#N/A,FALSE,"PP";#N/A,#N/A,FALSE,"SA"}</definedName>
    <definedName name="PERO" localSheetId="9" hidden="1">{#N/A,#N/A,FALSE,"SCA";#N/A,#N/A,FALSE,"NCA";#N/A,#N/A,FALSE,"SAZ";#N/A,#N/A,FALSE,"CAZ";#N/A,#N/A,FALSE,"SNV";#N/A,#N/A,FALSE,"NNV";#N/A,#N/A,FALSE,"PP";#N/A,#N/A,FALSE,"SA"}</definedName>
    <definedName name="PERO" hidden="1">{#N/A,#N/A,FALSE,"SCA";#N/A,#N/A,FALSE,"NCA";#N/A,#N/A,FALSE,"SAZ";#N/A,#N/A,FALSE,"CAZ";#N/A,#N/A,FALSE,"SNV";#N/A,#N/A,FALSE,"NNV";#N/A,#N/A,FALSE,"PP";#N/A,#N/A,FALSE,"SA"}</definedName>
    <definedName name="pert" localSheetId="1" hidden="1">#REF!</definedName>
    <definedName name="pert" localSheetId="30" hidden="1">#REF!</definedName>
    <definedName name="pert" localSheetId="31" hidden="1">#REF!</definedName>
    <definedName name="pert" localSheetId="7" hidden="1">#REF!</definedName>
    <definedName name="pert" localSheetId="9" hidden="1">#REF!</definedName>
    <definedName name="pert" hidden="1">#REF!</definedName>
    <definedName name="pig_dig5" localSheetId="7" hidden="1">{#N/A,#N/A,FALSE,"T COST";#N/A,#N/A,FALSE,"COST_FH"}</definedName>
    <definedName name="pig_dig5" localSheetId="10" hidden="1">{#N/A,#N/A,FALSE,"T COST";#N/A,#N/A,FALSE,"COST_FH"}</definedName>
    <definedName name="pig_dig5" localSheetId="12" hidden="1">{#N/A,#N/A,FALSE,"T COST";#N/A,#N/A,FALSE,"COST_FH"}</definedName>
    <definedName name="pig_dig5" hidden="1">{#N/A,#N/A,FALSE,"T COST";#N/A,#N/A,FALSE,"COST_FH"}</definedName>
    <definedName name="pig_dog" localSheetId="7" hidden="1">{2;#N/A;"R13C16:R17C16";#N/A;"R13C14:R17C15";FALSE;FALSE;FALSE;95;#N/A;#N/A;"R13C19";#N/A;FALSE;FALSE;FALSE;FALSE;#N/A;"";#N/A;FALSE;"";"";#N/A;#N/A;#N/A}</definedName>
    <definedName name="pig_dog" localSheetId="10" hidden="1">{2;#N/A;"R13C16:R17C16";#N/A;"R13C14:R17C15";FALSE;FALSE;FALSE;95;#N/A;#N/A;"R13C19";#N/A;FALSE;FALSE;FALSE;FALSE;#N/A;"";#N/A;FALSE;"";"";#N/A;#N/A;#N/A}</definedName>
    <definedName name="pig_dog" localSheetId="12"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7" hidden="1">{"EXCELHLP.HLP!1802";5;10;5;10;13;13;13;8;5;5;10;14;13;13;13;13;5;10;14;13;5;10;1;2;24}</definedName>
    <definedName name="pig_dog\" localSheetId="10" hidden="1">{"EXCELHLP.HLP!1802";5;10;5;10;13;13;13;8;5;5;10;14;13;13;13;13;5;10;14;13;5;10;1;2;24}</definedName>
    <definedName name="pig_dog\" localSheetId="12" hidden="1">{"EXCELHLP.HLP!1802";5;10;5;10;13;13;13;8;5;5;10;14;13;13;13;13;5;10;14;13;5;10;1;2;24}</definedName>
    <definedName name="pig_dog\" hidden="1">{"EXCELHLP.HLP!1802";5;10;5;10;13;13;13;8;5;5;10;14;13;13;13;13;5;10;14;13;5;10;1;2;24}</definedName>
    <definedName name="pig_dog2" localSheetId="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0" hidden="1">{#N/A,#N/A,FALSE,"Results";#N/A,#N/A,FALSE,"Input Data";#N/A,#N/A,FALSE,"Generation Calculation";#N/A,#N/A,FALSE,"Unit Heat Rate Calculation";#N/A,#N/A,FALSE,"BEFF.XLS";#N/A,#N/A,FALSE,"TURBEFF.XLS";#N/A,#N/A,FALSE,"Final FWH Extraction Flow";#N/A,#N/A,FALSE,"Condenser Performance";#N/A,#N/A,FALSE,"Stage Pressure Correction"}</definedName>
    <definedName name="pig_dog3" localSheetId="12"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7" hidden="1">{#N/A,#N/A,FALSE,"SUMMARY";#N/A,#N/A,FALSE,"INPUTDATA";#N/A,#N/A,FALSE,"Condenser Performance"}</definedName>
    <definedName name="pig_dog4" localSheetId="10" hidden="1">{#N/A,#N/A,FALSE,"SUMMARY";#N/A,#N/A,FALSE,"INPUTDATA";#N/A,#N/A,FALSE,"Condenser Performance"}</definedName>
    <definedName name="pig_dog4" localSheetId="12" hidden="1">{#N/A,#N/A,FALSE,"SUMMARY";#N/A,#N/A,FALSE,"INPUTDATA";#N/A,#N/A,FALSE,"Condenser Performance"}</definedName>
    <definedName name="pig_dog4" hidden="1">{#N/A,#N/A,FALSE,"SUMMARY";#N/A,#N/A,FALSE,"INPUTDATA";#N/A,#N/A,FALSE,"Condenser Performance"}</definedName>
    <definedName name="pig_dog6" localSheetId="7" hidden="1">{#N/A,#N/A,FALSE,"INPUTDATA";#N/A,#N/A,FALSE,"SUMMARY";#N/A,#N/A,FALSE,"CTAREP";#N/A,#N/A,FALSE,"CTBREP";#N/A,#N/A,FALSE,"TURBEFF";#N/A,#N/A,FALSE,"Condenser Performance"}</definedName>
    <definedName name="pig_dog6" localSheetId="10" hidden="1">{#N/A,#N/A,FALSE,"INPUTDATA";#N/A,#N/A,FALSE,"SUMMARY";#N/A,#N/A,FALSE,"CTAREP";#N/A,#N/A,FALSE,"CTBREP";#N/A,#N/A,FALSE,"TURBEFF";#N/A,#N/A,FALSE,"Condenser Performance"}</definedName>
    <definedName name="pig_dog6" localSheetId="12"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7" hidden="1">{#N/A,#N/A,FALSE,"INPUTDATA";#N/A,#N/A,FALSE,"SUMMARY"}</definedName>
    <definedName name="pig_dog7" localSheetId="10" hidden="1">{#N/A,#N/A,FALSE,"INPUTDATA";#N/A,#N/A,FALSE,"SUMMARY"}</definedName>
    <definedName name="pig_dog7" localSheetId="12" hidden="1">{#N/A,#N/A,FALSE,"INPUTDATA";#N/A,#N/A,FALSE,"SUMMARY"}</definedName>
    <definedName name="pig_dog7" hidden="1">{#N/A,#N/A,FALSE,"INPUTDATA";#N/A,#N/A,FALSE,"SUMMARY"}</definedName>
    <definedName name="pig_dog8" localSheetId="7" hidden="1">{#N/A,#N/A,FALSE,"INPUTDATA";#N/A,#N/A,FALSE,"SUMMARY";#N/A,#N/A,FALSE,"CTAREP";#N/A,#N/A,FALSE,"CTBREP";#N/A,#N/A,FALSE,"PMG4ST86";#N/A,#N/A,FALSE,"TURBEFF";#N/A,#N/A,FALSE,"Condenser Performance"}</definedName>
    <definedName name="pig_dog8" localSheetId="10" hidden="1">{#N/A,#N/A,FALSE,"INPUTDATA";#N/A,#N/A,FALSE,"SUMMARY";#N/A,#N/A,FALSE,"CTAREP";#N/A,#N/A,FALSE,"CTBREP";#N/A,#N/A,FALSE,"PMG4ST86";#N/A,#N/A,FALSE,"TURBEFF";#N/A,#N/A,FALSE,"Condenser Performance"}</definedName>
    <definedName name="pig_dog8" localSheetId="12"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lant">#REF!</definedName>
    <definedName name="plk" localSheetId="1" hidden="1">#REF!</definedName>
    <definedName name="plk" localSheetId="30" hidden="1">#REF!</definedName>
    <definedName name="plk" localSheetId="31" hidden="1">#REF!</definedName>
    <definedName name="plk" localSheetId="7" hidden="1">#REF!</definedName>
    <definedName name="plk" localSheetId="9" hidden="1">#REF!</definedName>
    <definedName name="plk" hidden="1">#REF!</definedName>
    <definedName name="plo" localSheetId="1" hidden="1">#REF!</definedName>
    <definedName name="plo" localSheetId="30" hidden="1">#REF!</definedName>
    <definedName name="plo" localSheetId="31" hidden="1">#REF!</definedName>
    <definedName name="plo" localSheetId="7" hidden="1">#REF!</definedName>
    <definedName name="plo" localSheetId="9" hidden="1">#REF!</definedName>
    <definedName name="plo" hidden="1">#REF!</definedName>
    <definedName name="plvsanj" localSheetId="30" hidden="1">#REF!</definedName>
    <definedName name="plvsanj" localSheetId="31" hidden="1">#REF!</definedName>
    <definedName name="plvsanj" localSheetId="7" hidden="1">#REF!</definedName>
    <definedName name="plvsanj" hidden="1">#REF!</definedName>
    <definedName name="pocq" localSheetId="31" hidden="1">#REF!</definedName>
    <definedName name="pocq" localSheetId="7" hidden="1">#REF!</definedName>
    <definedName name="pocq" hidden="1">#REF!</definedName>
    <definedName name="poe" localSheetId="31" hidden="1">#REF!</definedName>
    <definedName name="poe" localSheetId="7" hidden="1">#REF!</definedName>
    <definedName name="poe" hidden="1">#REF!</definedName>
    <definedName name="poeac" localSheetId="31" hidden="1">#REF!</definedName>
    <definedName name="poeac" localSheetId="7" hidden="1">#REF!</definedName>
    <definedName name="poeac" hidden="1">#REF!</definedName>
    <definedName name="poec" localSheetId="31" hidden="1">#REF!</definedName>
    <definedName name="poec" localSheetId="7" hidden="1">#REF!</definedName>
    <definedName name="poec" hidden="1">#REF!</definedName>
    <definedName name="poeca" localSheetId="31" hidden="1">#REF!</definedName>
    <definedName name="poeca" localSheetId="7" hidden="1">#REF!</definedName>
    <definedName name="poeca" hidden="1">#REF!</definedName>
    <definedName name="poert" localSheetId="31" hidden="1">#REF!</definedName>
    <definedName name="poert" localSheetId="7" hidden="1">#REF!</definedName>
    <definedName name="poert" hidden="1">#REF!</definedName>
    <definedName name="poi" localSheetId="31" hidden="1">#REF!</definedName>
    <definedName name="poi" localSheetId="7" hidden="1">#REF!</definedName>
    <definedName name="poi" hidden="1">#REF!</definedName>
    <definedName name="poica" localSheetId="31" hidden="1">#REF!</definedName>
    <definedName name="poica" localSheetId="7" hidden="1">#REF!</definedName>
    <definedName name="poica" hidden="1">#REF!</definedName>
    <definedName name="poiea" localSheetId="31" hidden="1">#REF!</definedName>
    <definedName name="poiea" localSheetId="7" hidden="1">#REF!</definedName>
    <definedName name="poiea" hidden="1">#REF!</definedName>
    <definedName name="poiuy" localSheetId="7" hidden="1">{#N/A,#N/A,FALSE,"Aging Summary";#N/A,#N/A,FALSE,"Ratio Analysis";#N/A,#N/A,FALSE,"Test 120 Day Accts";#N/A,#N/A,FALSE,"Tickmarks"}</definedName>
    <definedName name="poiuy" localSheetId="10" hidden="1">{#N/A,#N/A,FALSE,"Aging Summary";#N/A,#N/A,FALSE,"Ratio Analysis";#N/A,#N/A,FALSE,"Test 120 Day Accts";#N/A,#N/A,FALSE,"Tickmarks"}</definedName>
    <definedName name="poiuy" localSheetId="12" hidden="1">{#N/A,#N/A,FALSE,"Aging Summary";#N/A,#N/A,FALSE,"Ratio Analysis";#N/A,#N/A,FALSE,"Test 120 Day Accts";#N/A,#N/A,FALSE,"Tickmarks"}</definedName>
    <definedName name="poiuy" hidden="1">{#N/A,#N/A,FALSE,"Aging Summary";#N/A,#N/A,FALSE,"Ratio Analysis";#N/A,#N/A,FALSE,"Test 120 Day Accts";#N/A,#N/A,FALSE,"Tickmarks"}</definedName>
    <definedName name="poiv" localSheetId="31" hidden="1">#REF!</definedName>
    <definedName name="poiv" localSheetId="7" hidden="1">#REF!</definedName>
    <definedName name="poiv" localSheetId="9" hidden="1">#REF!</definedName>
    <definedName name="poiv" hidden="1">#REF!</definedName>
    <definedName name="poiy" localSheetId="31" hidden="1">#REF!</definedName>
    <definedName name="poiy" localSheetId="7" hidden="1">#REF!</definedName>
    <definedName name="poiy" hidden="1">#REF!</definedName>
    <definedName name="poiyw" localSheetId="31" hidden="1">#REF!</definedName>
    <definedName name="poiyw" localSheetId="7" hidden="1">#REF!</definedName>
    <definedName name="poiyw" hidden="1">#REF!</definedName>
    <definedName name="PopCache_GL_INTERFACE_REFERENCE7" localSheetId="19" hidden="1">#REF!</definedName>
    <definedName name="PopCache_GL_INTERFACE_REFERENCE7" hidden="1">#REF!</definedName>
    <definedName name="pouac" localSheetId="1" hidden="1">#REF!</definedName>
    <definedName name="pouac" localSheetId="30" hidden="1">#REF!</definedName>
    <definedName name="pouac" localSheetId="31" hidden="1">#REF!</definedName>
    <definedName name="pouac" localSheetId="7" hidden="1">#REF!</definedName>
    <definedName name="pouac" localSheetId="9" hidden="1">#REF!</definedName>
    <definedName name="pouac" hidden="1">#REF!</definedName>
    <definedName name="pouce" localSheetId="1" hidden="1">#REF!</definedName>
    <definedName name="pouce" localSheetId="31" hidden="1">#REF!</definedName>
    <definedName name="pouce" localSheetId="7" hidden="1">#REF!</definedName>
    <definedName name="pouce" localSheetId="9" hidden="1">#REF!</definedName>
    <definedName name="pouce" hidden="1">#REF!</definedName>
    <definedName name="povrs" localSheetId="1" hidden="1">#REF!</definedName>
    <definedName name="povrs" localSheetId="31" hidden="1">#REF!</definedName>
    <definedName name="povrs" localSheetId="7" hidden="1">#REF!</definedName>
    <definedName name="povrs" localSheetId="9" hidden="1">#REF!</definedName>
    <definedName name="povrs" hidden="1">#REF!</definedName>
    <definedName name="pp"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P" localSheetId="12">#REF!</definedName>
    <definedName name="PPP">#REF!</definedName>
    <definedName name="pppp" localSheetId="1" hidden="1">{"'Sheet1'!$A$1:$O$40"}</definedName>
    <definedName name="pppp" localSheetId="17" hidden="1">{"'Sheet1'!$A$1:$O$40"}</definedName>
    <definedName name="pppp" localSheetId="30" hidden="1">{"'Sheet1'!$A$1:$O$40"}</definedName>
    <definedName name="pppp" localSheetId="31" hidden="1">{"'Sheet1'!$A$1:$O$40"}</definedName>
    <definedName name="pppp" localSheetId="19" hidden="1">{"'Sheet1'!$A$1:$O$40"}</definedName>
    <definedName name="pppp" localSheetId="7" hidden="1">{"'Sheet1'!$A$1:$O$40"}</definedName>
    <definedName name="pppp" localSheetId="0" hidden="1">{"'Sheet1'!$A$1:$O$40"}</definedName>
    <definedName name="pppp" localSheetId="10" hidden="1">{"'Sheet1'!$A$1:$O$40"}</definedName>
    <definedName name="pppp" localSheetId="12" hidden="1">{"'Sheet1'!$A$1:$O$40"}</definedName>
    <definedName name="pppp" localSheetId="9" hidden="1">{"'Sheet1'!$A$1:$O$40"}</definedName>
    <definedName name="pppp" hidden="1">{"'Sheet1'!$A$1:$O$40"}</definedName>
    <definedName name="ppppp" localSheetId="1" hidden="1">{#N/A,#N/A,FALSE,"SCA";#N/A,#N/A,FALSE,"NCA";#N/A,#N/A,FALSE,"SAZ";#N/A,#N/A,FALSE,"CAZ";#N/A,#N/A,FALSE,"SNV";#N/A,#N/A,FALSE,"NNV";#N/A,#N/A,FALSE,"PP";#N/A,#N/A,FALSE,"SA"}</definedName>
    <definedName name="ppppp" localSheetId="17" hidden="1">{#N/A,#N/A,FALSE,"SCA";#N/A,#N/A,FALSE,"NCA";#N/A,#N/A,FALSE,"SAZ";#N/A,#N/A,FALSE,"CAZ";#N/A,#N/A,FALSE,"SNV";#N/A,#N/A,FALSE,"NNV";#N/A,#N/A,FALSE,"PP";#N/A,#N/A,FALSE,"SA"}</definedName>
    <definedName name="ppppp" localSheetId="30" hidden="1">{#N/A,#N/A,FALSE,"SCA";#N/A,#N/A,FALSE,"NCA";#N/A,#N/A,FALSE,"SAZ";#N/A,#N/A,FALSE,"CAZ";#N/A,#N/A,FALSE,"SNV";#N/A,#N/A,FALSE,"NNV";#N/A,#N/A,FALSE,"PP";#N/A,#N/A,FALSE,"SA"}</definedName>
    <definedName name="ppppp" localSheetId="31" hidden="1">{#N/A,#N/A,FALSE,"SCA";#N/A,#N/A,FALSE,"NCA";#N/A,#N/A,FALSE,"SAZ";#N/A,#N/A,FALSE,"CAZ";#N/A,#N/A,FALSE,"SNV";#N/A,#N/A,FALSE,"NNV";#N/A,#N/A,FALSE,"PP";#N/A,#N/A,FALSE,"SA"}</definedName>
    <definedName name="ppppp" localSheetId="19" hidden="1">{#N/A,#N/A,FALSE,"SCA";#N/A,#N/A,FALSE,"NCA";#N/A,#N/A,FALSE,"SAZ";#N/A,#N/A,FALSE,"CAZ";#N/A,#N/A,FALSE,"SNV";#N/A,#N/A,FALSE,"NNV";#N/A,#N/A,FALSE,"PP";#N/A,#N/A,FALSE,"SA"}</definedName>
    <definedName name="ppppp" localSheetId="7" hidden="1">{#N/A,#N/A,FALSE,"SCA";#N/A,#N/A,FALSE,"NCA";#N/A,#N/A,FALSE,"SAZ";#N/A,#N/A,FALSE,"CAZ";#N/A,#N/A,FALSE,"SNV";#N/A,#N/A,FALSE,"NNV";#N/A,#N/A,FALSE,"PP";#N/A,#N/A,FALSE,"SA"}</definedName>
    <definedName name="ppppp" localSheetId="0" hidden="1">{#N/A,#N/A,FALSE,"SCA";#N/A,#N/A,FALSE,"NCA";#N/A,#N/A,FALSE,"SAZ";#N/A,#N/A,FALSE,"CAZ";#N/A,#N/A,FALSE,"SNV";#N/A,#N/A,FALSE,"NNV";#N/A,#N/A,FALSE,"PP";#N/A,#N/A,FALSE,"SA"}</definedName>
    <definedName name="ppppp" localSheetId="10" hidden="1">{#N/A,#N/A,FALSE,"SCA";#N/A,#N/A,FALSE,"NCA";#N/A,#N/A,FALSE,"SAZ";#N/A,#N/A,FALSE,"CAZ";#N/A,#N/A,FALSE,"SNV";#N/A,#N/A,FALSE,"NNV";#N/A,#N/A,FALSE,"PP";#N/A,#N/A,FALSE,"SA"}</definedName>
    <definedName name="ppppp" localSheetId="12" hidden="1">{#N/A,#N/A,FALSE,"SCA";#N/A,#N/A,FALSE,"NCA";#N/A,#N/A,FALSE,"SAZ";#N/A,#N/A,FALSE,"CAZ";#N/A,#N/A,FALSE,"SNV";#N/A,#N/A,FALSE,"NNV";#N/A,#N/A,FALSE,"PP";#N/A,#N/A,FALSE,"SA"}</definedName>
    <definedName name="ppppp" localSheetId="9" hidden="1">{#N/A,#N/A,FALSE,"SCA";#N/A,#N/A,FALSE,"NCA";#N/A,#N/A,FALSE,"SAZ";#N/A,#N/A,FALSE,"CAZ";#N/A,#N/A,FALSE,"SNV";#N/A,#N/A,FALSE,"NNV";#N/A,#N/A,FALSE,"PP";#N/A,#N/A,FALSE,"SA"}</definedName>
    <definedName name="ppppp" hidden="1">{#N/A,#N/A,FALSE,"SCA";#N/A,#N/A,FALSE,"NCA";#N/A,#N/A,FALSE,"SAZ";#N/A,#N/A,FALSE,"CAZ";#N/A,#N/A,FALSE,"SNV";#N/A,#N/A,FALSE,"NNV";#N/A,#N/A,FALSE,"PP";#N/A,#N/A,FALSE,"SA"}</definedName>
    <definedName name="pppppppp" localSheetId="1" hidden="1">#REF!</definedName>
    <definedName name="pppppppp" localSheetId="30" hidden="1">#REF!</definedName>
    <definedName name="pppppppp" localSheetId="31" hidden="1">#REF!</definedName>
    <definedName name="pppppppp" localSheetId="7" hidden="1">#REF!</definedName>
    <definedName name="pppppppp" localSheetId="9" hidden="1">#REF!</definedName>
    <definedName name="pppppppp" hidden="1">#REF!</definedName>
    <definedName name="pppppppppp" localSheetId="1" hidden="1">{"'Sheet1'!$A$1:$O$40"}</definedName>
    <definedName name="pppppppppp" localSheetId="17" hidden="1">{"'Sheet1'!$A$1:$O$40"}</definedName>
    <definedName name="pppppppppp" localSheetId="30" hidden="1">{"'Sheet1'!$A$1:$O$40"}</definedName>
    <definedName name="pppppppppp" localSheetId="31" hidden="1">{"'Sheet1'!$A$1:$O$40"}</definedName>
    <definedName name="pppppppppp" localSheetId="19" hidden="1">{"'Sheet1'!$A$1:$O$40"}</definedName>
    <definedName name="pppppppppp" localSheetId="7" hidden="1">{"'Sheet1'!$A$1:$O$40"}</definedName>
    <definedName name="pppppppppp" localSheetId="0" hidden="1">{"'Sheet1'!$A$1:$O$40"}</definedName>
    <definedName name="pppppppppp" localSheetId="10" hidden="1">{"'Sheet1'!$A$1:$O$40"}</definedName>
    <definedName name="pppppppppp" localSheetId="12" hidden="1">{"'Sheet1'!$A$1:$O$40"}</definedName>
    <definedName name="pppppppppp" localSheetId="9" hidden="1">{"'Sheet1'!$A$1:$O$40"}</definedName>
    <definedName name="pppppppppp" hidden="1">{"'Sheet1'!$A$1:$O$40"}</definedName>
    <definedName name="pres_sum_blk1_chg">#REF!</definedName>
    <definedName name="pres_sum_cust_chg">#REF!</definedName>
    <definedName name="pres_win_blk1_chg">#REF!</definedName>
    <definedName name="pres_win_cust_chg">#REF!</definedName>
    <definedName name="pres_win_xs_chg">#REF!</definedName>
    <definedName name="price" localSheetId="7">#REF!</definedName>
    <definedName name="price">#REF!</definedName>
    <definedName name="Princ" localSheetId="7">#REF!</definedName>
    <definedName name="Princ" localSheetId="10">#REF!</definedName>
    <definedName name="Princ">#REF!</definedName>
    <definedName name="PRINT">#REF!</definedName>
    <definedName name="_xlnm.Print_Area" localSheetId="1">'1.1 Cost Approach Summary'!$A$1:$D$17</definedName>
    <definedName name="_xlnm.Print_Area" localSheetId="16">'1.1 Recommended Cap Structure'!$A$1:$H$16</definedName>
    <definedName name="_xlnm.Print_Area" localSheetId="21">'1.12 Risk Premium Summary'!$A$1:$H$34</definedName>
    <definedName name="_xlnm.Print_Area" localSheetId="22">'1.13 Moody''s Bond Yields'!$A$1:$K$31</definedName>
    <definedName name="_xlnm.Print_Area" localSheetId="23">'1.14 Bond Ratings'!$B$1:$K$29</definedName>
    <definedName name="_xlnm.Print_Area" localSheetId="24">'1.15 MOODY_S&amp;P numbericl'!$B$1:$F$26</definedName>
    <definedName name="_xlnm.Print_Area" localSheetId="26">'1.17 Beta Adjusted ERP'!$A$1:$G$39</definedName>
    <definedName name="_xlnm.Print_Area" localSheetId="2">'1.2 Cost Asset List'!$A$2:$M$275</definedName>
    <definedName name="_xlnm.Print_Area" localSheetId="17">'1.2 LTD Cost'!$A$1:$C$42</definedName>
    <definedName name="_xlnm.Print_Area" localSheetId="27">'1.20 S&amp;P RPM Study Returns'!$A$1:$F$22</definedName>
    <definedName name="_xlnm.Print_Area" localSheetId="28">'1.21 CAPM'!$B$1:$W$22</definedName>
    <definedName name="_xlnm.Print_Area" localSheetId="30">'1.23 Risk Adjustment'!$A$1:$N$39</definedName>
    <definedName name="_xlnm.Print_Area" localSheetId="31">'1.24 Market Cap'!$B$1:$Q$37</definedName>
    <definedName name="_xlnm.Print_Area" localSheetId="18">'1.3 Summary of CE Models'!$A$1:$E$19</definedName>
    <definedName name="_xlnm.Print_Area" localSheetId="19">'1.4 Capital Str. (Perm Cap)'!$B$1:$O$51</definedName>
    <definedName name="_xlnm.Print_Area" localSheetId="20">'1.5 DCF Summary'!$B$1:$W$38</definedName>
    <definedName name="_xlnm.Print_Area" localSheetId="3">'2.1 Market'!$A$1:$C$25</definedName>
    <definedName name="_xlnm.Print_Area" localSheetId="4">'2.2 MVIC to Net Plant Ratio'!$A$1:$C$23</definedName>
    <definedName name="_xlnm.Print_Area" localSheetId="5">'2.3 MVIC to NP Applied to NP'!$A$1:$C$20</definedName>
    <definedName name="_xlnm.Print_Area" localSheetId="6">'2.4-2.6 Market Comparison'!$A$1:$H$154</definedName>
    <definedName name="_xlnm.Print_Area" localSheetId="47">'3. MSEX'!$O$6:$AA$55</definedName>
    <definedName name="_xlnm.Print_Area" localSheetId="7">'3.1 Income Approach'!$A$1:$AN$39</definedName>
    <definedName name="_xlnm.Print_Area" localSheetId="0">Summary!$A$1:$E$19</definedName>
    <definedName name="_xlnm.Print_Area" localSheetId="10">#REF!</definedName>
    <definedName name="_xlnm.Print_Area" localSheetId="12">'WP Cost HW M'!$A$1:$GR$63</definedName>
    <definedName name="_xlnm.Print_Area" localSheetId="11">'WP Cost HW W1'!$A$1:$GS$63</definedName>
    <definedName name="_xlnm.Print_Area" localSheetId="9">'WP Income Common Size'!$A$1:$K$26</definedName>
    <definedName name="_xlnm.Print_Area">#REF!</definedName>
    <definedName name="Print_Area_MI" localSheetId="7">#REF!</definedName>
    <definedName name="Print_Area_MI" localSheetId="10">#REF!</definedName>
    <definedName name="Print_Area_MI">#REF!</definedName>
    <definedName name="Print_Area_Reset" localSheetId="16">OFFSET(Full_Print,0,0,#REF!)</definedName>
    <definedName name="Print_Area_Reset" localSheetId="17">OFFSET(Full_Print,0,0,Last_Row)</definedName>
    <definedName name="Print_Area_Reset" localSheetId="19">OFFSET(Full_Print,0,0,Last_Row)</definedName>
    <definedName name="Print_Area_Reset" localSheetId="7">OFFSET(Full_Print,0,0,'3.1 Income Approach'!Last_Row)</definedName>
    <definedName name="Print_Area_Reset" localSheetId="10">OFFSET('WP Cost HW and Useful Life'!Full_Print,0,0,'WP Cost HW and Useful Life'!Last_Row)</definedName>
    <definedName name="Print_Area_Reset" localSheetId="12">OFFSET(Full_Print,0,0,'WP Cost HW M'!Last_Row)</definedName>
    <definedName name="Print_Area_Reset" localSheetId="9">OFFSET([0]!Full_Print,0,0,[0]!Last_Row)</definedName>
    <definedName name="Print_Area_Reset">OFFSET(Full_Print,0,0,Last_Row)</definedName>
    <definedName name="_xlnm.Print_Titles" localSheetId="26">'1.17 Beta Adjusted ERP'!$1:$4</definedName>
    <definedName name="_xlnm.Print_Titles" localSheetId="2">'1.2 Cost Asset List'!$2:$5</definedName>
    <definedName name="_xlnm.Print_Titles" localSheetId="6">'2.4-2.6 Market Comparison'!$1:$5</definedName>
    <definedName name="_xlnm.Print_Titles" localSheetId="7">'3.1 Income Approach'!$A:$B</definedName>
    <definedName name="_xlnm.Print_Titles" localSheetId="0">#N/A</definedName>
    <definedName name="_xlnm.Print_Titles" localSheetId="12">'WP Cost HW M'!$A:$B</definedName>
    <definedName name="_xlnm.Print_Titles" localSheetId="11">'WP Cost HW W1'!$A:$C</definedName>
    <definedName name="_xlnm.Print_Titles" localSheetId="9">'WP Income Common Size'!$1:$5</definedName>
    <definedName name="_xlnm.Print_Titles">#REF!</definedName>
    <definedName name="Print_Titles_MI" localSheetId="7">#REF!</definedName>
    <definedName name="Print_Titles_MI" localSheetId="10">#REF!</definedName>
    <definedName name="Print_Titles_MI">#REF!</definedName>
    <definedName name="PRINT1" localSheetId="7">#REF!</definedName>
    <definedName name="PRINT1">#REF!</definedName>
    <definedName name="printing_probelm2_2006" localSheetId="1" hidden="1">{"CONSOL_UWNJ_ISV",#N/A,FALSE,"Sheet1";"CONSOL_UWNJ_SAV",#N/A,FALSE,"Sheet1";"CONSOL_UWNJ_BSV",#N/A,FALSE,"Sheet1";"CONSOL_UWNJ_SFDV",#N/A,FALSE,"Sheet1"}</definedName>
    <definedName name="printing_probelm2_2006" localSheetId="17" hidden="1">{"CONSOL_UWNJ_ISV",#N/A,FALSE,"Sheet1";"CONSOL_UWNJ_SAV",#N/A,FALSE,"Sheet1";"CONSOL_UWNJ_BSV",#N/A,FALSE,"Sheet1";"CONSOL_UWNJ_SFDV",#N/A,FALSE,"Sheet1"}</definedName>
    <definedName name="printing_probelm2_2006" localSheetId="30" hidden="1">{"CONSOL_UWNJ_ISV",#N/A,FALSE,"Sheet1";"CONSOL_UWNJ_SAV",#N/A,FALSE,"Sheet1";"CONSOL_UWNJ_BSV",#N/A,FALSE,"Sheet1";"CONSOL_UWNJ_SFDV",#N/A,FALSE,"Sheet1"}</definedName>
    <definedName name="printing_probelm2_2006" localSheetId="31" hidden="1">{"CONSOL_UWNJ_ISV",#N/A,FALSE,"Sheet1";"CONSOL_UWNJ_SAV",#N/A,FALSE,"Sheet1";"CONSOL_UWNJ_BSV",#N/A,FALSE,"Sheet1";"CONSOL_UWNJ_SFDV",#N/A,FALSE,"Sheet1"}</definedName>
    <definedName name="printing_probelm2_2006" localSheetId="19" hidden="1">{"CONSOL_UWNJ_ISV",#N/A,FALSE,"Sheet1";"CONSOL_UWNJ_SAV",#N/A,FALSE,"Sheet1";"CONSOL_UWNJ_BSV",#N/A,FALSE,"Sheet1";"CONSOL_UWNJ_SFDV",#N/A,FALSE,"Sheet1"}</definedName>
    <definedName name="printing_probelm2_2006" localSheetId="7" hidden="1">{"CONSOL_UWNJ_ISV",#N/A,FALSE,"Sheet1";"CONSOL_UWNJ_SAV",#N/A,FALSE,"Sheet1";"CONSOL_UWNJ_BSV",#N/A,FALSE,"Sheet1";"CONSOL_UWNJ_SFDV",#N/A,FALSE,"Sheet1"}</definedName>
    <definedName name="printing_probelm2_2006" localSheetId="0" hidden="1">{"CONSOL_UWNJ_ISV",#N/A,FALSE,"Sheet1";"CONSOL_UWNJ_SAV",#N/A,FALSE,"Sheet1";"CONSOL_UWNJ_BSV",#N/A,FALSE,"Sheet1";"CONSOL_UWNJ_SFDV",#N/A,FALSE,"Sheet1"}</definedName>
    <definedName name="printing_probelm2_2006" localSheetId="10" hidden="1">{"CONSOL_UWNJ_ISV",#N/A,FALSE,"Sheet1";"CONSOL_UWNJ_SAV",#N/A,FALSE,"Sheet1";"CONSOL_UWNJ_BSV",#N/A,FALSE,"Sheet1";"CONSOL_UWNJ_SFDV",#N/A,FALSE,"Sheet1"}</definedName>
    <definedName name="printing_probelm2_2006" localSheetId="12" hidden="1">{"CONSOL_UWNJ_ISV",#N/A,FALSE,"Sheet1";"CONSOL_UWNJ_SAV",#N/A,FALSE,"Sheet1";"CONSOL_UWNJ_BSV",#N/A,FALSE,"Sheet1";"CONSOL_UWNJ_SFDV",#N/A,FALSE,"Sheet1"}</definedName>
    <definedName name="printing_probelm2_2006" localSheetId="9" hidden="1">{"CONSOL_UWNJ_ISV",#N/A,FALSE,"Sheet1";"CONSOL_UWNJ_SAV",#N/A,FALSE,"Sheet1";"CONSOL_UWNJ_BSV",#N/A,FALSE,"Sheet1";"CONSOL_UWNJ_SFDV",#N/A,FALSE,"Sheet1"}</definedName>
    <definedName name="printing_probelm2_2006" hidden="1">{"CONSOL_UWNJ_ISV",#N/A,FALSE,"Sheet1";"CONSOL_UWNJ_SAV",#N/A,FALSE,"Sheet1";"CONSOL_UWNJ_BSV",#N/A,FALSE,"Sheet1";"CONSOL_UWNJ_SFDV",#N/A,FALSE,"Sheet1"}</definedName>
    <definedName name="printing_Problem"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1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3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1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1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localSheetId="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 localSheetId="1" hidden="1">{"CONSOL_UWNJ_ISV",#N/A,FALSE,"Sheet1";"CONSOL_UWNJ_SAV",#N/A,FALSE,"Sheet1";"CONSOL_UWNJ_BSV",#N/A,FALSE,"Sheet1";"CONSOL_UWNJ_SFDV",#N/A,FALSE,"Sheet1"}</definedName>
    <definedName name="printing_problem2" localSheetId="17" hidden="1">{"CONSOL_UWNJ_ISV",#N/A,FALSE,"Sheet1";"CONSOL_UWNJ_SAV",#N/A,FALSE,"Sheet1";"CONSOL_UWNJ_BSV",#N/A,FALSE,"Sheet1";"CONSOL_UWNJ_SFDV",#N/A,FALSE,"Sheet1"}</definedName>
    <definedName name="printing_problem2" localSheetId="30" hidden="1">{"CONSOL_UWNJ_ISV",#N/A,FALSE,"Sheet1";"CONSOL_UWNJ_SAV",#N/A,FALSE,"Sheet1";"CONSOL_UWNJ_BSV",#N/A,FALSE,"Sheet1";"CONSOL_UWNJ_SFDV",#N/A,FALSE,"Sheet1"}</definedName>
    <definedName name="printing_problem2" localSheetId="31" hidden="1">{"CONSOL_UWNJ_ISV",#N/A,FALSE,"Sheet1";"CONSOL_UWNJ_SAV",#N/A,FALSE,"Sheet1";"CONSOL_UWNJ_BSV",#N/A,FALSE,"Sheet1";"CONSOL_UWNJ_SFDV",#N/A,FALSE,"Sheet1"}</definedName>
    <definedName name="printing_problem2" localSheetId="19" hidden="1">{"CONSOL_UWNJ_ISV",#N/A,FALSE,"Sheet1";"CONSOL_UWNJ_SAV",#N/A,FALSE,"Sheet1";"CONSOL_UWNJ_BSV",#N/A,FALSE,"Sheet1";"CONSOL_UWNJ_SFDV",#N/A,FALSE,"Sheet1"}</definedName>
    <definedName name="printing_problem2" localSheetId="7" hidden="1">{"CONSOL_UWNJ_ISV",#N/A,FALSE,"Sheet1";"CONSOL_UWNJ_SAV",#N/A,FALSE,"Sheet1";"CONSOL_UWNJ_BSV",#N/A,FALSE,"Sheet1";"CONSOL_UWNJ_SFDV",#N/A,FALSE,"Sheet1"}</definedName>
    <definedName name="printing_problem2" localSheetId="0" hidden="1">{"CONSOL_UWNJ_ISV",#N/A,FALSE,"Sheet1";"CONSOL_UWNJ_SAV",#N/A,FALSE,"Sheet1";"CONSOL_UWNJ_BSV",#N/A,FALSE,"Sheet1";"CONSOL_UWNJ_SFDV",#N/A,FALSE,"Sheet1"}</definedName>
    <definedName name="printing_problem2" localSheetId="10" hidden="1">{"CONSOL_UWNJ_ISV",#N/A,FALSE,"Sheet1";"CONSOL_UWNJ_SAV",#N/A,FALSE,"Sheet1";"CONSOL_UWNJ_BSV",#N/A,FALSE,"Sheet1";"CONSOL_UWNJ_SFDV",#N/A,FALSE,"Sheet1"}</definedName>
    <definedName name="printing_problem2" localSheetId="12" hidden="1">{"CONSOL_UWNJ_ISV",#N/A,FALSE,"Sheet1";"CONSOL_UWNJ_SAV",#N/A,FALSE,"Sheet1";"CONSOL_UWNJ_BSV",#N/A,FALSE,"Sheet1";"CONSOL_UWNJ_SFDV",#N/A,FALSE,"Sheet1"}</definedName>
    <definedName name="printing_problem2" localSheetId="9" hidden="1">{"CONSOL_UWNJ_ISV",#N/A,FALSE,"Sheet1";"CONSOL_UWNJ_SAV",#N/A,FALSE,"Sheet1";"CONSOL_UWNJ_BSV",#N/A,FALSE,"Sheet1";"CONSOL_UWNJ_SFDV",#N/A,FALSE,"Sheet1"}</definedName>
    <definedName name="printing_problem2" hidden="1">{"CONSOL_UWNJ_ISV",#N/A,FALSE,"Sheet1";"CONSOL_UWNJ_SAV",#N/A,FALSE,"Sheet1";"CONSOL_UWNJ_BSV",#N/A,FALSE,"Sheet1";"CONSOL_UWNJ_SFDV",#N/A,FALSE,"Sheet1"}</definedName>
    <definedName name="printing_Problem2006"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1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3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1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1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localSheetId="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00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3" localSheetId="1" hidden="1">{"CONSOL_WO_ISV",#N/A,FALSE,"Sheet1";"CONSOL_WO_SAV",#N/A,FALSE,"Sheet1";"CONSOL_WO_BSV",#N/A,FALSE,"Sheet1";"CONSOL_WO_SFDV",#N/A,FALSE,"Sheet1"}</definedName>
    <definedName name="printing_problem3" localSheetId="17" hidden="1">{"CONSOL_WO_ISV",#N/A,FALSE,"Sheet1";"CONSOL_WO_SAV",#N/A,FALSE,"Sheet1";"CONSOL_WO_BSV",#N/A,FALSE,"Sheet1";"CONSOL_WO_SFDV",#N/A,FALSE,"Sheet1"}</definedName>
    <definedName name="printing_problem3" localSheetId="30" hidden="1">{"CONSOL_WO_ISV",#N/A,FALSE,"Sheet1";"CONSOL_WO_SAV",#N/A,FALSE,"Sheet1";"CONSOL_WO_BSV",#N/A,FALSE,"Sheet1";"CONSOL_WO_SFDV",#N/A,FALSE,"Sheet1"}</definedName>
    <definedName name="printing_problem3" localSheetId="31" hidden="1">{"CONSOL_WO_ISV",#N/A,FALSE,"Sheet1";"CONSOL_WO_SAV",#N/A,FALSE,"Sheet1";"CONSOL_WO_BSV",#N/A,FALSE,"Sheet1";"CONSOL_WO_SFDV",#N/A,FALSE,"Sheet1"}</definedName>
    <definedName name="printing_problem3" localSheetId="19" hidden="1">{"CONSOL_WO_ISV",#N/A,FALSE,"Sheet1";"CONSOL_WO_SAV",#N/A,FALSE,"Sheet1";"CONSOL_WO_BSV",#N/A,FALSE,"Sheet1";"CONSOL_WO_SFDV",#N/A,FALSE,"Sheet1"}</definedName>
    <definedName name="printing_problem3" localSheetId="7" hidden="1">{"CONSOL_WO_ISV",#N/A,FALSE,"Sheet1";"CONSOL_WO_SAV",#N/A,FALSE,"Sheet1";"CONSOL_WO_BSV",#N/A,FALSE,"Sheet1";"CONSOL_WO_SFDV",#N/A,FALSE,"Sheet1"}</definedName>
    <definedName name="printing_problem3" localSheetId="0" hidden="1">{"CONSOL_WO_ISV",#N/A,FALSE,"Sheet1";"CONSOL_WO_SAV",#N/A,FALSE,"Sheet1";"CONSOL_WO_BSV",#N/A,FALSE,"Sheet1";"CONSOL_WO_SFDV",#N/A,FALSE,"Sheet1"}</definedName>
    <definedName name="printing_problem3" localSheetId="10" hidden="1">{"CONSOL_WO_ISV",#N/A,FALSE,"Sheet1";"CONSOL_WO_SAV",#N/A,FALSE,"Sheet1";"CONSOL_WO_BSV",#N/A,FALSE,"Sheet1";"CONSOL_WO_SFDV",#N/A,FALSE,"Sheet1"}</definedName>
    <definedName name="printing_problem3" localSheetId="12" hidden="1">{"CONSOL_WO_ISV",#N/A,FALSE,"Sheet1";"CONSOL_WO_SAV",#N/A,FALSE,"Sheet1";"CONSOL_WO_BSV",#N/A,FALSE,"Sheet1";"CONSOL_WO_SFDV",#N/A,FALSE,"Sheet1"}</definedName>
    <definedName name="printing_problem3" localSheetId="9" hidden="1">{"CONSOL_WO_ISV",#N/A,FALSE,"Sheet1";"CONSOL_WO_SAV",#N/A,FALSE,"Sheet1";"CONSOL_WO_BSV",#N/A,FALSE,"Sheet1";"CONSOL_WO_SFDV",#N/A,FALSE,"Sheet1"}</definedName>
    <definedName name="printing_problem3" hidden="1">{"CONSOL_WO_ISV",#N/A,FALSE,"Sheet1";"CONSOL_WO_SAV",#N/A,FALSE,"Sheet1";"CONSOL_WO_BSV",#N/A,FALSE,"Sheet1";"CONSOL_WO_SFDV",#N/A,FALSE,"Sheet1"}</definedName>
    <definedName name="printing_problem3_2006" localSheetId="1" hidden="1">{"CONSOL_WO_ISV",#N/A,FALSE,"Sheet1";"CONSOL_WO_SAV",#N/A,FALSE,"Sheet1";"CONSOL_WO_BSV",#N/A,FALSE,"Sheet1";"CONSOL_WO_SFDV",#N/A,FALSE,"Sheet1"}</definedName>
    <definedName name="printing_problem3_2006" localSheetId="17" hidden="1">{"CONSOL_WO_ISV",#N/A,FALSE,"Sheet1";"CONSOL_WO_SAV",#N/A,FALSE,"Sheet1";"CONSOL_WO_BSV",#N/A,FALSE,"Sheet1";"CONSOL_WO_SFDV",#N/A,FALSE,"Sheet1"}</definedName>
    <definedName name="printing_problem3_2006" localSheetId="30" hidden="1">{"CONSOL_WO_ISV",#N/A,FALSE,"Sheet1";"CONSOL_WO_SAV",#N/A,FALSE,"Sheet1";"CONSOL_WO_BSV",#N/A,FALSE,"Sheet1";"CONSOL_WO_SFDV",#N/A,FALSE,"Sheet1"}</definedName>
    <definedName name="printing_problem3_2006" localSheetId="31" hidden="1">{"CONSOL_WO_ISV",#N/A,FALSE,"Sheet1";"CONSOL_WO_SAV",#N/A,FALSE,"Sheet1";"CONSOL_WO_BSV",#N/A,FALSE,"Sheet1";"CONSOL_WO_SFDV",#N/A,FALSE,"Sheet1"}</definedName>
    <definedName name="printing_problem3_2006" localSheetId="19" hidden="1">{"CONSOL_WO_ISV",#N/A,FALSE,"Sheet1";"CONSOL_WO_SAV",#N/A,FALSE,"Sheet1";"CONSOL_WO_BSV",#N/A,FALSE,"Sheet1";"CONSOL_WO_SFDV",#N/A,FALSE,"Sheet1"}</definedName>
    <definedName name="printing_problem3_2006" localSheetId="7" hidden="1">{"CONSOL_WO_ISV",#N/A,FALSE,"Sheet1";"CONSOL_WO_SAV",#N/A,FALSE,"Sheet1";"CONSOL_WO_BSV",#N/A,FALSE,"Sheet1";"CONSOL_WO_SFDV",#N/A,FALSE,"Sheet1"}</definedName>
    <definedName name="printing_problem3_2006" localSheetId="0" hidden="1">{"CONSOL_WO_ISV",#N/A,FALSE,"Sheet1";"CONSOL_WO_SAV",#N/A,FALSE,"Sheet1";"CONSOL_WO_BSV",#N/A,FALSE,"Sheet1";"CONSOL_WO_SFDV",#N/A,FALSE,"Sheet1"}</definedName>
    <definedName name="printing_problem3_2006" localSheetId="10" hidden="1">{"CONSOL_WO_ISV",#N/A,FALSE,"Sheet1";"CONSOL_WO_SAV",#N/A,FALSE,"Sheet1";"CONSOL_WO_BSV",#N/A,FALSE,"Sheet1";"CONSOL_WO_SFDV",#N/A,FALSE,"Sheet1"}</definedName>
    <definedName name="printing_problem3_2006" localSheetId="12" hidden="1">{"CONSOL_WO_ISV",#N/A,FALSE,"Sheet1";"CONSOL_WO_SAV",#N/A,FALSE,"Sheet1";"CONSOL_WO_BSV",#N/A,FALSE,"Sheet1";"CONSOL_WO_SFDV",#N/A,FALSE,"Sheet1"}</definedName>
    <definedName name="printing_problem3_2006" localSheetId="9" hidden="1">{"CONSOL_WO_ISV",#N/A,FALSE,"Sheet1";"CONSOL_WO_SAV",#N/A,FALSE,"Sheet1";"CONSOL_WO_BSV",#N/A,FALSE,"Sheet1";"CONSOL_WO_SFDV",#N/A,FALSE,"Sheet1"}</definedName>
    <definedName name="printing_problem3_2006" hidden="1">{"CONSOL_WO_ISV",#N/A,FALSE,"Sheet1";"CONSOL_WO_SAV",#N/A,FALSE,"Sheet1";"CONSOL_WO_BSV",#N/A,FALSE,"Sheet1";"CONSOL_WO_SFDV",#N/A,FALSE,"Sheet1"}</definedName>
    <definedName name="printing_problem4" localSheetId="1" hidden="1">{"ELIM_CWO_ISV",#N/A,FALSE,"Sheet1";"ELIM_CWO_SAV",#N/A,FALSE,"Sheet1";"ELIM_CWO_BSV",#N/A,FALSE,"Sheet1";"ELIM_CWO_SFDV",#N/A,FALSE,"Sheet1"}</definedName>
    <definedName name="printing_problem4" localSheetId="17" hidden="1">{"ELIM_CWO_ISV",#N/A,FALSE,"Sheet1";"ELIM_CWO_SAV",#N/A,FALSE,"Sheet1";"ELIM_CWO_BSV",#N/A,FALSE,"Sheet1";"ELIM_CWO_SFDV",#N/A,FALSE,"Sheet1"}</definedName>
    <definedName name="printing_problem4" localSheetId="30" hidden="1">{"ELIM_CWO_ISV",#N/A,FALSE,"Sheet1";"ELIM_CWO_SAV",#N/A,FALSE,"Sheet1";"ELIM_CWO_BSV",#N/A,FALSE,"Sheet1";"ELIM_CWO_SFDV",#N/A,FALSE,"Sheet1"}</definedName>
    <definedName name="printing_problem4" localSheetId="31" hidden="1">{"ELIM_CWO_ISV",#N/A,FALSE,"Sheet1";"ELIM_CWO_SAV",#N/A,FALSE,"Sheet1";"ELIM_CWO_BSV",#N/A,FALSE,"Sheet1";"ELIM_CWO_SFDV",#N/A,FALSE,"Sheet1"}</definedName>
    <definedName name="printing_problem4" localSheetId="19" hidden="1">{"ELIM_CWO_ISV",#N/A,FALSE,"Sheet1";"ELIM_CWO_SAV",#N/A,FALSE,"Sheet1";"ELIM_CWO_BSV",#N/A,FALSE,"Sheet1";"ELIM_CWO_SFDV",#N/A,FALSE,"Sheet1"}</definedName>
    <definedName name="printing_problem4" localSheetId="7" hidden="1">{"ELIM_CWO_ISV",#N/A,FALSE,"Sheet1";"ELIM_CWO_SAV",#N/A,FALSE,"Sheet1";"ELIM_CWO_BSV",#N/A,FALSE,"Sheet1";"ELIM_CWO_SFDV",#N/A,FALSE,"Sheet1"}</definedName>
    <definedName name="printing_problem4" localSheetId="0" hidden="1">{"ELIM_CWO_ISV",#N/A,FALSE,"Sheet1";"ELIM_CWO_SAV",#N/A,FALSE,"Sheet1";"ELIM_CWO_BSV",#N/A,FALSE,"Sheet1";"ELIM_CWO_SFDV",#N/A,FALSE,"Sheet1"}</definedName>
    <definedName name="printing_problem4" localSheetId="10" hidden="1">{"ELIM_CWO_ISV",#N/A,FALSE,"Sheet1";"ELIM_CWO_SAV",#N/A,FALSE,"Sheet1";"ELIM_CWO_BSV",#N/A,FALSE,"Sheet1";"ELIM_CWO_SFDV",#N/A,FALSE,"Sheet1"}</definedName>
    <definedName name="printing_problem4" localSheetId="12" hidden="1">{"ELIM_CWO_ISV",#N/A,FALSE,"Sheet1";"ELIM_CWO_SAV",#N/A,FALSE,"Sheet1";"ELIM_CWO_BSV",#N/A,FALSE,"Sheet1";"ELIM_CWO_SFDV",#N/A,FALSE,"Sheet1"}</definedName>
    <definedName name="printing_problem4" localSheetId="9" hidden="1">{"ELIM_CWO_ISV",#N/A,FALSE,"Sheet1";"ELIM_CWO_SAV",#N/A,FALSE,"Sheet1";"ELIM_CWO_BSV",#N/A,FALSE,"Sheet1";"ELIM_CWO_SFDV",#N/A,FALSE,"Sheet1"}</definedName>
    <definedName name="printing_problem4" hidden="1">{"ELIM_CWO_ISV",#N/A,FALSE,"Sheet1";"ELIM_CWO_SAV",#N/A,FALSE,"Sheet1";"ELIM_CWO_BSV",#N/A,FALSE,"Sheet1";"ELIM_CWO_SFDV",#N/A,FALSE,"Sheet1"}</definedName>
    <definedName name="printing_problem4_2006" localSheetId="1" hidden="1">{"ELIM_CWO_ISV",#N/A,FALSE,"Sheet1";"ELIM_CWO_SAV",#N/A,FALSE,"Sheet1";"ELIM_CWO_BSV",#N/A,FALSE,"Sheet1";"ELIM_CWO_SFDV",#N/A,FALSE,"Sheet1"}</definedName>
    <definedName name="printing_problem4_2006" localSheetId="17" hidden="1">{"ELIM_CWO_ISV",#N/A,FALSE,"Sheet1";"ELIM_CWO_SAV",#N/A,FALSE,"Sheet1";"ELIM_CWO_BSV",#N/A,FALSE,"Sheet1";"ELIM_CWO_SFDV",#N/A,FALSE,"Sheet1"}</definedName>
    <definedName name="printing_problem4_2006" localSheetId="30" hidden="1">{"ELIM_CWO_ISV",#N/A,FALSE,"Sheet1";"ELIM_CWO_SAV",#N/A,FALSE,"Sheet1";"ELIM_CWO_BSV",#N/A,FALSE,"Sheet1";"ELIM_CWO_SFDV",#N/A,FALSE,"Sheet1"}</definedName>
    <definedName name="printing_problem4_2006" localSheetId="31" hidden="1">{"ELIM_CWO_ISV",#N/A,FALSE,"Sheet1";"ELIM_CWO_SAV",#N/A,FALSE,"Sheet1";"ELIM_CWO_BSV",#N/A,FALSE,"Sheet1";"ELIM_CWO_SFDV",#N/A,FALSE,"Sheet1"}</definedName>
    <definedName name="printing_problem4_2006" localSheetId="19" hidden="1">{"ELIM_CWO_ISV",#N/A,FALSE,"Sheet1";"ELIM_CWO_SAV",#N/A,FALSE,"Sheet1";"ELIM_CWO_BSV",#N/A,FALSE,"Sheet1";"ELIM_CWO_SFDV",#N/A,FALSE,"Sheet1"}</definedName>
    <definedName name="printing_problem4_2006" localSheetId="7" hidden="1">{"ELIM_CWO_ISV",#N/A,FALSE,"Sheet1";"ELIM_CWO_SAV",#N/A,FALSE,"Sheet1";"ELIM_CWO_BSV",#N/A,FALSE,"Sheet1";"ELIM_CWO_SFDV",#N/A,FALSE,"Sheet1"}</definedName>
    <definedName name="printing_problem4_2006" localSheetId="0" hidden="1">{"ELIM_CWO_ISV",#N/A,FALSE,"Sheet1";"ELIM_CWO_SAV",#N/A,FALSE,"Sheet1";"ELIM_CWO_BSV",#N/A,FALSE,"Sheet1";"ELIM_CWO_SFDV",#N/A,FALSE,"Sheet1"}</definedName>
    <definedName name="printing_problem4_2006" localSheetId="10" hidden="1">{"ELIM_CWO_ISV",#N/A,FALSE,"Sheet1";"ELIM_CWO_SAV",#N/A,FALSE,"Sheet1";"ELIM_CWO_BSV",#N/A,FALSE,"Sheet1";"ELIM_CWO_SFDV",#N/A,FALSE,"Sheet1"}</definedName>
    <definedName name="printing_problem4_2006" localSheetId="12" hidden="1">{"ELIM_CWO_ISV",#N/A,FALSE,"Sheet1";"ELIM_CWO_SAV",#N/A,FALSE,"Sheet1";"ELIM_CWO_BSV",#N/A,FALSE,"Sheet1";"ELIM_CWO_SFDV",#N/A,FALSE,"Sheet1"}</definedName>
    <definedName name="printing_problem4_2006" localSheetId="9" hidden="1">{"ELIM_CWO_ISV",#N/A,FALSE,"Sheet1";"ELIM_CWO_SAV",#N/A,FALSE,"Sheet1";"ELIM_CWO_BSV",#N/A,FALSE,"Sheet1";"ELIM_CWO_SFDV",#N/A,FALSE,"Sheet1"}</definedName>
    <definedName name="printing_problem4_2006" hidden="1">{"ELIM_CWO_ISV",#N/A,FALSE,"Sheet1";"ELIM_CWO_SAV",#N/A,FALSE,"Sheet1";"ELIM_CWO_BSV",#N/A,FALSE,"Sheet1";"ELIM_CWO_SFDV",#N/A,FALSE,"Sheet1"}</definedName>
    <definedName name="printing_problem5" localSheetId="1" hidden="1">{"ELIM_UWNJ_UWNY_ISV",#N/A,FALSE,"Sheet1";"ELIM_UWNJ_UWNY_SAV",#N/A,FALSE,"Sheet1";"ELIM_UWNJ_UWNY_BSV",#N/A,FALSE,"Sheet1";"ELIM_UWNJ_UWNY_SFDV",#N/A,FALSE,"Sheet1"}</definedName>
    <definedName name="printing_problem5" localSheetId="17" hidden="1">{"ELIM_UWNJ_UWNY_ISV",#N/A,FALSE,"Sheet1";"ELIM_UWNJ_UWNY_SAV",#N/A,FALSE,"Sheet1";"ELIM_UWNJ_UWNY_BSV",#N/A,FALSE,"Sheet1";"ELIM_UWNJ_UWNY_SFDV",#N/A,FALSE,"Sheet1"}</definedName>
    <definedName name="printing_problem5" localSheetId="30" hidden="1">{"ELIM_UWNJ_UWNY_ISV",#N/A,FALSE,"Sheet1";"ELIM_UWNJ_UWNY_SAV",#N/A,FALSE,"Sheet1";"ELIM_UWNJ_UWNY_BSV",#N/A,FALSE,"Sheet1";"ELIM_UWNJ_UWNY_SFDV",#N/A,FALSE,"Sheet1"}</definedName>
    <definedName name="printing_problem5" localSheetId="31" hidden="1">{"ELIM_UWNJ_UWNY_ISV",#N/A,FALSE,"Sheet1";"ELIM_UWNJ_UWNY_SAV",#N/A,FALSE,"Sheet1";"ELIM_UWNJ_UWNY_BSV",#N/A,FALSE,"Sheet1";"ELIM_UWNJ_UWNY_SFDV",#N/A,FALSE,"Sheet1"}</definedName>
    <definedName name="printing_problem5" localSheetId="19" hidden="1">{"ELIM_UWNJ_UWNY_ISV",#N/A,FALSE,"Sheet1";"ELIM_UWNJ_UWNY_SAV",#N/A,FALSE,"Sheet1";"ELIM_UWNJ_UWNY_BSV",#N/A,FALSE,"Sheet1";"ELIM_UWNJ_UWNY_SFDV",#N/A,FALSE,"Sheet1"}</definedName>
    <definedName name="printing_problem5" localSheetId="7" hidden="1">{"ELIM_UWNJ_UWNY_ISV",#N/A,FALSE,"Sheet1";"ELIM_UWNJ_UWNY_SAV",#N/A,FALSE,"Sheet1";"ELIM_UWNJ_UWNY_BSV",#N/A,FALSE,"Sheet1";"ELIM_UWNJ_UWNY_SFDV",#N/A,FALSE,"Sheet1"}</definedName>
    <definedName name="printing_problem5" localSheetId="0" hidden="1">{"ELIM_UWNJ_UWNY_ISV",#N/A,FALSE,"Sheet1";"ELIM_UWNJ_UWNY_SAV",#N/A,FALSE,"Sheet1";"ELIM_UWNJ_UWNY_BSV",#N/A,FALSE,"Sheet1";"ELIM_UWNJ_UWNY_SFDV",#N/A,FALSE,"Sheet1"}</definedName>
    <definedName name="printing_problem5" localSheetId="10" hidden="1">{"ELIM_UWNJ_UWNY_ISV",#N/A,FALSE,"Sheet1";"ELIM_UWNJ_UWNY_SAV",#N/A,FALSE,"Sheet1";"ELIM_UWNJ_UWNY_BSV",#N/A,FALSE,"Sheet1";"ELIM_UWNJ_UWNY_SFDV",#N/A,FALSE,"Sheet1"}</definedName>
    <definedName name="printing_problem5" localSheetId="12" hidden="1">{"ELIM_UWNJ_UWNY_ISV",#N/A,FALSE,"Sheet1";"ELIM_UWNJ_UWNY_SAV",#N/A,FALSE,"Sheet1";"ELIM_UWNJ_UWNY_BSV",#N/A,FALSE,"Sheet1";"ELIM_UWNJ_UWNY_SFDV",#N/A,FALSE,"Sheet1"}</definedName>
    <definedName name="printing_problem5" localSheetId="9" hidden="1">{"ELIM_UWNJ_UWNY_ISV",#N/A,FALSE,"Sheet1";"ELIM_UWNJ_UWNY_SAV",#N/A,FALSE,"Sheet1";"ELIM_UWNJ_UWNY_BSV",#N/A,FALSE,"Sheet1";"ELIM_UWNJ_UWNY_SFDV",#N/A,FALSE,"Sheet1"}</definedName>
    <definedName name="printing_problem5" hidden="1">{"ELIM_UWNJ_UWNY_ISV",#N/A,FALSE,"Sheet1";"ELIM_UWNJ_UWNY_SAV",#N/A,FALSE,"Sheet1";"ELIM_UWNJ_UWNY_BSV",#N/A,FALSE,"Sheet1";"ELIM_UWNJ_UWNY_SFDV",#N/A,FALSE,"Sheet1"}</definedName>
    <definedName name="printingproblem6" localSheetId="1" hidden="1">{"UWMACISV",#N/A,FALSE,"Sheet1";"UWMACSAV",#N/A,FALSE,"Sheet1";"UWMACBSV",#N/A,FALSE,"Sheet1";"UWMACSFDV",#N/A,FALSE,"Sheet1"}</definedName>
    <definedName name="printingproblem6" localSheetId="17" hidden="1">{"UWMACISV",#N/A,FALSE,"Sheet1";"UWMACSAV",#N/A,FALSE,"Sheet1";"UWMACBSV",#N/A,FALSE,"Sheet1";"UWMACSFDV",#N/A,FALSE,"Sheet1"}</definedName>
    <definedName name="printingproblem6" localSheetId="30" hidden="1">{"UWMACISV",#N/A,FALSE,"Sheet1";"UWMACSAV",#N/A,FALSE,"Sheet1";"UWMACBSV",#N/A,FALSE,"Sheet1";"UWMACSFDV",#N/A,FALSE,"Sheet1"}</definedName>
    <definedName name="printingproblem6" localSheetId="31" hidden="1">{"UWMACISV",#N/A,FALSE,"Sheet1";"UWMACSAV",#N/A,FALSE,"Sheet1";"UWMACBSV",#N/A,FALSE,"Sheet1";"UWMACSFDV",#N/A,FALSE,"Sheet1"}</definedName>
    <definedName name="printingproblem6" localSheetId="19" hidden="1">{"UWMACISV",#N/A,FALSE,"Sheet1";"UWMACSAV",#N/A,FALSE,"Sheet1";"UWMACBSV",#N/A,FALSE,"Sheet1";"UWMACSFDV",#N/A,FALSE,"Sheet1"}</definedName>
    <definedName name="printingproblem6" localSheetId="7" hidden="1">{"UWMACISV",#N/A,FALSE,"Sheet1";"UWMACSAV",#N/A,FALSE,"Sheet1";"UWMACBSV",#N/A,FALSE,"Sheet1";"UWMACSFDV",#N/A,FALSE,"Sheet1"}</definedName>
    <definedName name="printingproblem6" localSheetId="0" hidden="1">{"UWMACISV",#N/A,FALSE,"Sheet1";"UWMACSAV",#N/A,FALSE,"Sheet1";"UWMACBSV",#N/A,FALSE,"Sheet1";"UWMACSFDV",#N/A,FALSE,"Sheet1"}</definedName>
    <definedName name="printingproblem6" localSheetId="10" hidden="1">{"UWMACISV",#N/A,FALSE,"Sheet1";"UWMACSAV",#N/A,FALSE,"Sheet1";"UWMACBSV",#N/A,FALSE,"Sheet1";"UWMACSFDV",#N/A,FALSE,"Sheet1"}</definedName>
    <definedName name="printingproblem6" localSheetId="12" hidden="1">{"UWMACISV",#N/A,FALSE,"Sheet1";"UWMACSAV",#N/A,FALSE,"Sheet1";"UWMACBSV",#N/A,FALSE,"Sheet1";"UWMACSFDV",#N/A,FALSE,"Sheet1"}</definedName>
    <definedName name="printingproblem6" localSheetId="9" hidden="1">{"UWMACISV",#N/A,FALSE,"Sheet1";"UWMACSAV",#N/A,FALSE,"Sheet1";"UWMACBSV",#N/A,FALSE,"Sheet1";"UWMACSFDV",#N/A,FALSE,"Sheet1"}</definedName>
    <definedName name="printingproblem6" hidden="1">{"UWMACISV",#N/A,FALSE,"Sheet1";"UWMACSAV",#N/A,FALSE,"Sheet1";"UWMACBSV",#N/A,FALSE,"Sheet1";"UWMACSFDV",#N/A,FALSE,"Sheet1"}</definedName>
    <definedName name="printingproblem7" localSheetId="1" hidden="1">{"UWNYISV",#N/A,FALSE,"Sheet1";"UWNYSAV",#N/A,FALSE,"Sheet1";"UWNYBSV",#N/A,FALSE,"Sheet1";"UWNYSFDV",#N/A,FALSE,"Sheet1"}</definedName>
    <definedName name="printingproblem7" localSheetId="17" hidden="1">{"UWNYISV",#N/A,FALSE,"Sheet1";"UWNYSAV",#N/A,FALSE,"Sheet1";"UWNYBSV",#N/A,FALSE,"Sheet1";"UWNYSFDV",#N/A,FALSE,"Sheet1"}</definedName>
    <definedName name="printingproblem7" localSheetId="30" hidden="1">{"UWNYISV",#N/A,FALSE,"Sheet1";"UWNYSAV",#N/A,FALSE,"Sheet1";"UWNYBSV",#N/A,FALSE,"Sheet1";"UWNYSFDV",#N/A,FALSE,"Sheet1"}</definedName>
    <definedName name="printingproblem7" localSheetId="31" hidden="1">{"UWNYISV",#N/A,FALSE,"Sheet1";"UWNYSAV",#N/A,FALSE,"Sheet1";"UWNYBSV",#N/A,FALSE,"Sheet1";"UWNYSFDV",#N/A,FALSE,"Sheet1"}</definedName>
    <definedName name="printingproblem7" localSheetId="19" hidden="1">{"UWNYISV",#N/A,FALSE,"Sheet1";"UWNYSAV",#N/A,FALSE,"Sheet1";"UWNYBSV",#N/A,FALSE,"Sheet1";"UWNYSFDV",#N/A,FALSE,"Sheet1"}</definedName>
    <definedName name="printingproblem7" localSheetId="7" hidden="1">{"UWNYISV",#N/A,FALSE,"Sheet1";"UWNYSAV",#N/A,FALSE,"Sheet1";"UWNYBSV",#N/A,FALSE,"Sheet1";"UWNYSFDV",#N/A,FALSE,"Sheet1"}</definedName>
    <definedName name="printingproblem7" localSheetId="0" hidden="1">{"UWNYISV",#N/A,FALSE,"Sheet1";"UWNYSAV",#N/A,FALSE,"Sheet1";"UWNYBSV",#N/A,FALSE,"Sheet1";"UWNYSFDV",#N/A,FALSE,"Sheet1"}</definedName>
    <definedName name="printingproblem7" localSheetId="10" hidden="1">{"UWNYISV",#N/A,FALSE,"Sheet1";"UWNYSAV",#N/A,FALSE,"Sheet1";"UWNYBSV",#N/A,FALSE,"Sheet1";"UWNYSFDV",#N/A,FALSE,"Sheet1"}</definedName>
    <definedName name="printingproblem7" localSheetId="12" hidden="1">{"UWNYISV",#N/A,FALSE,"Sheet1";"UWNYSAV",#N/A,FALSE,"Sheet1";"UWNYBSV",#N/A,FALSE,"Sheet1";"UWNYSFDV",#N/A,FALSE,"Sheet1"}</definedName>
    <definedName name="printingproblem7" localSheetId="9" hidden="1">{"UWNYISV",#N/A,FALSE,"Sheet1";"UWNYSAV",#N/A,FALSE,"Sheet1";"UWNYBSV",#N/A,FALSE,"Sheet1";"UWNYSFDV",#N/A,FALSE,"Sheet1"}</definedName>
    <definedName name="printingproblem7" hidden="1">{"UWNYISV",#N/A,FALSE,"Sheet1";"UWNYSAV",#N/A,FALSE,"Sheet1";"UWNYBSV",#N/A,FALSE,"Sheet1";"UWNYSFDV",#N/A,FALSE,"Sheet1"}</definedName>
    <definedName name="printingproblem8" localSheetId="1" hidden="1">{"UWWISV",#N/A,FALSE,"Sheet1";"UWWSAV",#N/A,FALSE,"Sheet1";"UWWBSV",#N/A,FALSE,"Sheet1";"UWWSFDV",#N/A,FALSE,"Sheet1"}</definedName>
    <definedName name="printingproblem8" localSheetId="17" hidden="1">{"UWWISV",#N/A,FALSE,"Sheet1";"UWWSAV",#N/A,FALSE,"Sheet1";"UWWBSV",#N/A,FALSE,"Sheet1";"UWWSFDV",#N/A,FALSE,"Sheet1"}</definedName>
    <definedName name="printingproblem8" localSheetId="30" hidden="1">{"UWWISV",#N/A,FALSE,"Sheet1";"UWWSAV",#N/A,FALSE,"Sheet1";"UWWBSV",#N/A,FALSE,"Sheet1";"UWWSFDV",#N/A,FALSE,"Sheet1"}</definedName>
    <definedName name="printingproblem8" localSheetId="31" hidden="1">{"UWWISV",#N/A,FALSE,"Sheet1";"UWWSAV",#N/A,FALSE,"Sheet1";"UWWBSV",#N/A,FALSE,"Sheet1";"UWWSFDV",#N/A,FALSE,"Sheet1"}</definedName>
    <definedName name="printingproblem8" localSheetId="19" hidden="1">{"UWWISV",#N/A,FALSE,"Sheet1";"UWWSAV",#N/A,FALSE,"Sheet1";"UWWBSV",#N/A,FALSE,"Sheet1";"UWWSFDV",#N/A,FALSE,"Sheet1"}</definedName>
    <definedName name="printingproblem8" localSheetId="7" hidden="1">{"UWWISV",#N/A,FALSE,"Sheet1";"UWWSAV",#N/A,FALSE,"Sheet1";"UWWBSV",#N/A,FALSE,"Sheet1";"UWWSFDV",#N/A,FALSE,"Sheet1"}</definedName>
    <definedName name="printingproblem8" localSheetId="0" hidden="1">{"UWWISV",#N/A,FALSE,"Sheet1";"UWWSAV",#N/A,FALSE,"Sheet1";"UWWBSV",#N/A,FALSE,"Sheet1";"UWWSFDV",#N/A,FALSE,"Sheet1"}</definedName>
    <definedName name="printingproblem8" localSheetId="10" hidden="1">{"UWWISV",#N/A,FALSE,"Sheet1";"UWWSAV",#N/A,FALSE,"Sheet1";"UWWBSV",#N/A,FALSE,"Sheet1";"UWWSFDV",#N/A,FALSE,"Sheet1"}</definedName>
    <definedName name="printingproblem8" localSheetId="12" hidden="1">{"UWWISV",#N/A,FALSE,"Sheet1";"UWWSAV",#N/A,FALSE,"Sheet1";"UWWBSV",#N/A,FALSE,"Sheet1";"UWWSFDV",#N/A,FALSE,"Sheet1"}</definedName>
    <definedName name="printingproblem8" localSheetId="9" hidden="1">{"UWWISV",#N/A,FALSE,"Sheet1";"UWWSAV",#N/A,FALSE,"Sheet1";"UWWBSV",#N/A,FALSE,"Sheet1";"UWWSFDV",#N/A,FALSE,"Sheet1"}</definedName>
    <definedName name="printingproblem8" hidden="1">{"UWWISV",#N/A,FALSE,"Sheet1";"UWWSAV",#N/A,FALSE,"Sheet1";"UWWBSV",#N/A,FALSE,"Sheet1";"UWWSFDV",#N/A,FALSE,"Sheet1"}</definedName>
    <definedName name="PRN">#REF!</definedName>
    <definedName name="PRNGROWTH">#REF!</definedName>
    <definedName name="prop_sum_blk1_chg" localSheetId="12">#REF!</definedName>
    <definedName name="prop_sum_blk1_chg">#REF!</definedName>
    <definedName name="prop_sum_cust_chg">#REF!</definedName>
    <definedName name="prop_win_blk1_chg">#REF!</definedName>
    <definedName name="prop_win_cust_chg">#REF!</definedName>
    <definedName name="prop_win_xs_chg">#REF!</definedName>
    <definedName name="PROPERTY">#REF!</definedName>
    <definedName name="prtallold1" localSheetId="7" hidden="1">{#N/A,#N/A,FALSE,"Valuation";#N/A,#N/A,FALSE,"Financial Statements";#N/A,#N/A,FALSE,"MLP Impact";#N/A,#N/A,FALSE,"Inputs";#N/A,#N/A,FALSE,"Contracts";#N/A,#N/A,FALSE,"Financing";#N/A,#N/A,FALSE,"Depreciation";#N/A,#N/A,FALSE,"Income Taxes";#N/A,#N/A,FALSE,"Revenues"}</definedName>
    <definedName name="prtallold1" localSheetId="10" hidden="1">{#N/A,#N/A,FALSE,"Valuation";#N/A,#N/A,FALSE,"Financial Statements";#N/A,#N/A,FALSE,"MLP Impact";#N/A,#N/A,FALSE,"Inputs";#N/A,#N/A,FALSE,"Contracts";#N/A,#N/A,FALSE,"Financing";#N/A,#N/A,FALSE,"Depreciation";#N/A,#N/A,FALSE,"Income Taxes";#N/A,#N/A,FALSE,"Revenues"}</definedName>
    <definedName name="prtallold1" localSheetId="12" hidden="1">{#N/A,#N/A,FALSE,"Valuation";#N/A,#N/A,FALSE,"Financial Statements";#N/A,#N/A,FALSE,"MLP Impact";#N/A,#N/A,FALSE,"Inputs";#N/A,#N/A,FALSE,"Contracts";#N/A,#N/A,FALSE,"Financing";#N/A,#N/A,FALSE,"Depreciation";#N/A,#N/A,FALSE,"Income Taxes";#N/A,#N/A,FALSE,"Revenues"}</definedName>
    <definedName name="prtallold1" hidden="1">{#N/A,#N/A,FALSE,"Valuation";#N/A,#N/A,FALSE,"Financial Statements";#N/A,#N/A,FALSE,"MLP Impact";#N/A,#N/A,FALSE,"Inputs";#N/A,#N/A,FALSE,"Contracts";#N/A,#N/A,FALSE,"Financing";#N/A,#N/A,FALSE,"Depreciation";#N/A,#N/A,FALSE,"Income Taxes";#N/A,#N/A,FALSE,"Revenues"}</definedName>
    <definedName name="Prtnold" localSheetId="7" hidden="1">{#N/A,#N/A,FALSE,"Valuation";#N/A,#N/A,FALSE,"Financial Statements";#N/A,#N/A,FALSE,"MLP Impact";#N/A,#N/A,FALSE,"Inputs";#N/A,#N/A,FALSE,"Contracts";#N/A,#N/A,FALSE,"Financing";#N/A,#N/A,FALSE,"Depreciation";#N/A,#N/A,FALSE,"Income Taxes";#N/A,#N/A,FALSE,"Revenues"}</definedName>
    <definedName name="Prtnold" localSheetId="10" hidden="1">{#N/A,#N/A,FALSE,"Valuation";#N/A,#N/A,FALSE,"Financial Statements";#N/A,#N/A,FALSE,"MLP Impact";#N/A,#N/A,FALSE,"Inputs";#N/A,#N/A,FALSE,"Contracts";#N/A,#N/A,FALSE,"Financing";#N/A,#N/A,FALSE,"Depreciation";#N/A,#N/A,FALSE,"Income Taxes";#N/A,#N/A,FALSE,"Revenues"}</definedName>
    <definedName name="Prtnold" localSheetId="12" hidden="1">{#N/A,#N/A,FALSE,"Valuation";#N/A,#N/A,FALSE,"Financial Statements";#N/A,#N/A,FALSE,"MLP Impact";#N/A,#N/A,FALSE,"Inputs";#N/A,#N/A,FALSE,"Contracts";#N/A,#N/A,FALSE,"Financing";#N/A,#N/A,FALSE,"Depreciation";#N/A,#N/A,FALSE,"Income Taxes";#N/A,#N/A,FALSE,"Revenues"}</definedName>
    <definedName name="Prtnold" hidden="1">{#N/A,#N/A,FALSE,"Valuation";#N/A,#N/A,FALSE,"Financial Statements";#N/A,#N/A,FALSE,"MLP Impact";#N/A,#N/A,FALSE,"Inputs";#N/A,#N/A,FALSE,"Contracts";#N/A,#N/A,FALSE,"Financing";#N/A,#N/A,FALSE,"Depreciation";#N/A,#N/A,FALSE,"Income Taxes";#N/A,#N/A,FALSE,"Revenues"}</definedName>
    <definedName name="PS">#REF!</definedName>
    <definedName name="pslf" localSheetId="1" hidden="1">#REF!</definedName>
    <definedName name="pslf" localSheetId="31" hidden="1">#REF!</definedName>
    <definedName name="pslf" localSheetId="7" hidden="1">#REF!</definedName>
    <definedName name="pslf" localSheetId="9" hidden="1">#REF!</definedName>
    <definedName name="pslf" hidden="1">#REF!</definedName>
    <definedName name="psrfdgl" localSheetId="1" hidden="1">#REF!</definedName>
    <definedName name="psrfdgl" localSheetId="31" hidden="1">#REF!</definedName>
    <definedName name="psrfdgl" localSheetId="7" hidden="1">#REF!</definedName>
    <definedName name="psrfdgl" localSheetId="9" hidden="1">#REF!</definedName>
    <definedName name="psrfdgl" hidden="1">#REF!</definedName>
    <definedName name="PUB_UserID" hidden="1">"QUARKS"</definedName>
    <definedName name="pwe" localSheetId="1" hidden="1">#REF!</definedName>
    <definedName name="pwe" localSheetId="31" hidden="1">#REF!</definedName>
    <definedName name="pwe" localSheetId="7" hidden="1">#REF!</definedName>
    <definedName name="pwe" localSheetId="9" hidden="1">#REF!</definedName>
    <definedName name="pwe" hidden="1">#REF!</definedName>
    <definedName name="q" localSheetId="7" hidden="1">{"SEP",#N/A,FALSE,"SEP"}</definedName>
    <definedName name="q" localSheetId="10" hidden="1">{"SEP",#N/A,FALSE,"SEP"}</definedName>
    <definedName name="q" localSheetId="12" hidden="1">{"SEP",#N/A,FALSE,"SEP"}</definedName>
    <definedName name="q" hidden="1">{"SEP",#N/A,FALSE,"SEP"}</definedName>
    <definedName name="qaw" localSheetId="31" hidden="1">#REF!</definedName>
    <definedName name="qaw" localSheetId="7" hidden="1">#REF!</definedName>
    <definedName name="qaw" localSheetId="9" hidden="1">#REF!</definedName>
    <definedName name="qaw" hidden="1">#REF!</definedName>
    <definedName name="qqa" localSheetId="1" hidden="1">{"ARK_JURIS_FUEL",#N/A,FALSE,"Ark_Fuel&amp;Rev"}</definedName>
    <definedName name="qqa" localSheetId="17" hidden="1">{"ARK_JURIS_FUEL",#N/A,FALSE,"Ark_Fuel&amp;Rev"}</definedName>
    <definedName name="qqa" localSheetId="30" hidden="1">{"ARK_JURIS_FUEL",#N/A,FALSE,"Ark_Fuel&amp;Rev"}</definedName>
    <definedName name="qqa" localSheetId="31" hidden="1">{"ARK_JURIS_FUEL",#N/A,FALSE,"Ark_Fuel&amp;Rev"}</definedName>
    <definedName name="qqa" localSheetId="19" hidden="1">{"ARK_JURIS_FUEL",#N/A,FALSE,"Ark_Fuel&amp;Rev"}</definedName>
    <definedName name="qqa" localSheetId="7" hidden="1">{"ARK_JURIS_FUEL",#N/A,FALSE,"Ark_Fuel&amp;Rev"}</definedName>
    <definedName name="qqa" localSheetId="0" hidden="1">{"ARK_JURIS_FUEL",#N/A,FALSE,"Ark_Fuel&amp;Rev"}</definedName>
    <definedName name="qqa" localSheetId="10" hidden="1">{"ARK_JURIS_FUEL",#N/A,FALSE,"Ark_Fuel&amp;Rev"}</definedName>
    <definedName name="qqa" localSheetId="12" hidden="1">{"ARK_JURIS_FUEL",#N/A,FALSE,"Ark_Fuel&amp;Rev"}</definedName>
    <definedName name="qqa" localSheetId="9" hidden="1">{"ARK_JURIS_FUEL",#N/A,FALSE,"Ark_Fuel&amp;Rev"}</definedName>
    <definedName name="qqa" hidden="1">{"ARK_JURIS_FUEL",#N/A,FALSE,"Ark_Fuel&amp;Rev"}</definedName>
    <definedName name="qtr.a1" localSheetId="12">#REF!</definedName>
    <definedName name="qtr.a1">#REF!</definedName>
    <definedName name="qtr.a2" localSheetId="12">#REF!</definedName>
    <definedName name="qtr.a2">#REF!</definedName>
    <definedName name="qtr.a3" localSheetId="12">#REF!</definedName>
    <definedName name="qtr.a3">#REF!</definedName>
    <definedName name="qtr.a4">#REF!</definedName>
    <definedName name="qtr.b1">#REF!</definedName>
    <definedName name="qtr.b2">#REF!</definedName>
    <definedName name="qtr.b3">#REF!</definedName>
    <definedName name="qtr.b4">#REF!</definedName>
    <definedName name="qtr.c1">#REF!</definedName>
    <definedName name="qtr.c2">#REF!</definedName>
    <definedName name="qtr.c3">#REF!</definedName>
    <definedName name="qtr.c4">#REF!</definedName>
    <definedName name="qtr.d1">#REF!</definedName>
    <definedName name="qtr.d2">#REF!</definedName>
    <definedName name="qtr.d3">#REF!</definedName>
    <definedName name="qtr.d4">#REF!</definedName>
    <definedName name="qtr.e1">#REF!</definedName>
    <definedName name="qtr.e2">#REF!</definedName>
    <definedName name="qtr.e3">#REF!</definedName>
    <definedName name="qtr.e4">#REF!</definedName>
    <definedName name="qtr.f1">#REF!</definedName>
    <definedName name="qtr.f2">#REF!</definedName>
    <definedName name="qtr.f3">#REF!</definedName>
    <definedName name="qtr.f4">#REF!</definedName>
    <definedName name="qtr.g1">#REF!</definedName>
    <definedName name="qtr.g2">#REF!</definedName>
    <definedName name="qtr.g3">#REF!</definedName>
    <definedName name="qtr.g4">#REF!</definedName>
    <definedName name="qtr.h1">#REF!</definedName>
    <definedName name="qtr.h2">#REF!</definedName>
    <definedName name="qtr.h3">#REF!</definedName>
    <definedName name="qtr.h4">#REF!</definedName>
    <definedName name="qtr.i1">#REF!</definedName>
    <definedName name="qtr.i2">#REF!</definedName>
    <definedName name="qtr.i3">#REF!</definedName>
    <definedName name="qtr.i4">#REF!</definedName>
    <definedName name="qtr.j1">#REF!</definedName>
    <definedName name="qtr.j2">#REF!</definedName>
    <definedName name="qtr.j3">#REF!</definedName>
    <definedName name="qtr.j4">#REF!</definedName>
    <definedName name="quarters_per_year" localSheetId="7">#REF!</definedName>
    <definedName name="quarters_per_year" localSheetId="10">#REF!</definedName>
    <definedName name="quarters_per_year">#REF!</definedName>
    <definedName name="qwr" localSheetId="1" hidden="1">#REF!</definedName>
    <definedName name="qwr" localSheetId="30" hidden="1">#REF!</definedName>
    <definedName name="qwr" localSheetId="31" hidden="1">#REF!</definedName>
    <definedName name="qwr" localSheetId="7" hidden="1">#REF!</definedName>
    <definedName name="qwr" localSheetId="9" hidden="1">#REF!</definedName>
    <definedName name="qwr" hidden="1">#REF!</definedName>
    <definedName name="Rankings" localSheetId="7">#REF!</definedName>
    <definedName name="Rankings">#REF!</definedName>
    <definedName name="Rate">"1,2,3"</definedName>
    <definedName name="Rate401k">#REF!</definedName>
    <definedName name="RATECASE" localSheetId="7">#REF!</definedName>
    <definedName name="RATECASE" localSheetId="10">#REF!</definedName>
    <definedName name="RATECASE">#REF!</definedName>
    <definedName name="Rates" localSheetId="10">#REF!</definedName>
    <definedName name="Rates">#REF!</definedName>
    <definedName name="RATINGS">#REF!</definedName>
    <definedName name="rcoe">#REF!</definedName>
    <definedName name="Reduced_acct">OFFSET(#REF!,1,0,COUNTA(#REF!),1)</definedName>
    <definedName name="Reg_factor">#REF!</definedName>
    <definedName name="regfdgdgre" localSheetId="1" hidden="1">{#N/A,#N/A,FALSE,"Page 1";#N/A,#N/A,FALSE,"Page 2";#N/A,#N/A,FALSE,"Page 3";#N/A,#N/A,FALSE,"Page 4";#N/A,#N/A,FALSE,"Page 5";#N/A,#N/A,FALSE,"Page 6";#N/A,#N/A,FALSE,"Page 7";#N/A,#N/A,FALSE,"Page 8";#N/A,#N/A,FALSE,"Page 9";#N/A,#N/A,FALSE,"PG8WP";#N/A,#N/A,FALSE,"PG9WP"}</definedName>
    <definedName name="regfdgdgre" localSheetId="17" hidden="1">{#N/A,#N/A,FALSE,"Page 1";#N/A,#N/A,FALSE,"Page 2";#N/A,#N/A,FALSE,"Page 3";#N/A,#N/A,FALSE,"Page 4";#N/A,#N/A,FALSE,"Page 5";#N/A,#N/A,FALSE,"Page 6";#N/A,#N/A,FALSE,"Page 7";#N/A,#N/A,FALSE,"Page 8";#N/A,#N/A,FALSE,"Page 9";#N/A,#N/A,FALSE,"PG8WP";#N/A,#N/A,FALSE,"PG9WP"}</definedName>
    <definedName name="regfdgdgre" localSheetId="30" hidden="1">{#N/A,#N/A,FALSE,"Page 1";#N/A,#N/A,FALSE,"Page 2";#N/A,#N/A,FALSE,"Page 3";#N/A,#N/A,FALSE,"Page 4";#N/A,#N/A,FALSE,"Page 5";#N/A,#N/A,FALSE,"Page 6";#N/A,#N/A,FALSE,"Page 7";#N/A,#N/A,FALSE,"Page 8";#N/A,#N/A,FALSE,"Page 9";#N/A,#N/A,FALSE,"PG8WP";#N/A,#N/A,FALSE,"PG9WP"}</definedName>
    <definedName name="regfdgdgre" localSheetId="31" hidden="1">{#N/A,#N/A,FALSE,"Page 1";#N/A,#N/A,FALSE,"Page 2";#N/A,#N/A,FALSE,"Page 3";#N/A,#N/A,FALSE,"Page 4";#N/A,#N/A,FALSE,"Page 5";#N/A,#N/A,FALSE,"Page 6";#N/A,#N/A,FALSE,"Page 7";#N/A,#N/A,FALSE,"Page 8";#N/A,#N/A,FALSE,"Page 9";#N/A,#N/A,FALSE,"PG8WP";#N/A,#N/A,FALSE,"PG9WP"}</definedName>
    <definedName name="regfdgdgre" localSheetId="19" hidden="1">{#N/A,#N/A,FALSE,"Page 1";#N/A,#N/A,FALSE,"Page 2";#N/A,#N/A,FALSE,"Page 3";#N/A,#N/A,FALSE,"Page 4";#N/A,#N/A,FALSE,"Page 5";#N/A,#N/A,FALSE,"Page 6";#N/A,#N/A,FALSE,"Page 7";#N/A,#N/A,FALSE,"Page 8";#N/A,#N/A,FALSE,"Page 9";#N/A,#N/A,FALSE,"PG8WP";#N/A,#N/A,FALSE,"PG9WP"}</definedName>
    <definedName name="regfdgdgre" localSheetId="7" hidden="1">{#N/A,#N/A,FALSE,"Page 1";#N/A,#N/A,FALSE,"Page 2";#N/A,#N/A,FALSE,"Page 3";#N/A,#N/A,FALSE,"Page 4";#N/A,#N/A,FALSE,"Page 5";#N/A,#N/A,FALSE,"Page 6";#N/A,#N/A,FALSE,"Page 7";#N/A,#N/A,FALSE,"Page 8";#N/A,#N/A,FALSE,"Page 9";#N/A,#N/A,FALSE,"PG8WP";#N/A,#N/A,FALSE,"PG9WP"}</definedName>
    <definedName name="regfdgdgre" localSheetId="0" hidden="1">{#N/A,#N/A,FALSE,"Page 1";#N/A,#N/A,FALSE,"Page 2";#N/A,#N/A,FALSE,"Page 3";#N/A,#N/A,FALSE,"Page 4";#N/A,#N/A,FALSE,"Page 5";#N/A,#N/A,FALSE,"Page 6";#N/A,#N/A,FALSE,"Page 7";#N/A,#N/A,FALSE,"Page 8";#N/A,#N/A,FALSE,"Page 9";#N/A,#N/A,FALSE,"PG8WP";#N/A,#N/A,FALSE,"PG9WP"}</definedName>
    <definedName name="regfdgdgre" localSheetId="10" hidden="1">{#N/A,#N/A,FALSE,"Page 1";#N/A,#N/A,FALSE,"Page 2";#N/A,#N/A,FALSE,"Page 3";#N/A,#N/A,FALSE,"Page 4";#N/A,#N/A,FALSE,"Page 5";#N/A,#N/A,FALSE,"Page 6";#N/A,#N/A,FALSE,"Page 7";#N/A,#N/A,FALSE,"Page 8";#N/A,#N/A,FALSE,"Page 9";#N/A,#N/A,FALSE,"PG8WP";#N/A,#N/A,FALSE,"PG9WP"}</definedName>
    <definedName name="regfdgdgre" localSheetId="12" hidden="1">{#N/A,#N/A,FALSE,"Page 1";#N/A,#N/A,FALSE,"Page 2";#N/A,#N/A,FALSE,"Page 3";#N/A,#N/A,FALSE,"Page 4";#N/A,#N/A,FALSE,"Page 5";#N/A,#N/A,FALSE,"Page 6";#N/A,#N/A,FALSE,"Page 7";#N/A,#N/A,FALSE,"Page 8";#N/A,#N/A,FALSE,"Page 9";#N/A,#N/A,FALSE,"PG8WP";#N/A,#N/A,FALSE,"PG9WP"}</definedName>
    <definedName name="regfdgdgre" localSheetId="9" hidden="1">{#N/A,#N/A,FALSE,"Page 1";#N/A,#N/A,FALSE,"Page 2";#N/A,#N/A,FALSE,"Page 3";#N/A,#N/A,FALSE,"Page 4";#N/A,#N/A,FALSE,"Page 5";#N/A,#N/A,FALSE,"Page 6";#N/A,#N/A,FALSE,"Page 7";#N/A,#N/A,FALSE,"Page 8";#N/A,#N/A,FALSE,"Page 9";#N/A,#N/A,FALSE,"PG8WP";#N/A,#N/A,FALSE,"PG9WP"}</definedName>
    <definedName name="regfdgdgre" hidden="1">{#N/A,#N/A,FALSE,"Page 1";#N/A,#N/A,FALSE,"Page 2";#N/A,#N/A,FALSE,"Page 3";#N/A,#N/A,FALSE,"Page 4";#N/A,#N/A,FALSE,"Page 5";#N/A,#N/A,FALSE,"Page 6";#N/A,#N/A,FALSE,"Page 7";#N/A,#N/A,FALSE,"Page 8";#N/A,#N/A,FALSE,"Page 9";#N/A,#N/A,FALSE,"PG8WP";#N/A,#N/A,FALSE,"PG9WP"}</definedName>
    <definedName name="rename" localSheetId="7" hidden="1">{#N/A,#N/A,FALSE,"Aging Summary";#N/A,#N/A,FALSE,"Ratio Analysis";#N/A,#N/A,FALSE,"Test 120 Day Accts";#N/A,#N/A,FALSE,"Tickmarks"}</definedName>
    <definedName name="rename" localSheetId="10" hidden="1">{#N/A,#N/A,FALSE,"Aging Summary";#N/A,#N/A,FALSE,"Ratio Analysis";#N/A,#N/A,FALSE,"Test 120 Day Accts";#N/A,#N/A,FALSE,"Tickmarks"}</definedName>
    <definedName name="rename" localSheetId="12" hidden="1">{#N/A,#N/A,FALSE,"Aging Summary";#N/A,#N/A,FALSE,"Ratio Analysis";#N/A,#N/A,FALSE,"Test 120 Day Accts";#N/A,#N/A,FALSE,"Tickmarks"}</definedName>
    <definedName name="rename" hidden="1">{#N/A,#N/A,FALSE,"Aging Summary";#N/A,#N/A,FALSE,"Ratio Analysis";#N/A,#N/A,FALSE,"Test 120 Day Accts";#N/A,#N/A,FALSE,"Tickmarks"}</definedName>
    <definedName name="repeat" localSheetId="1" hidden="1">#REF!</definedName>
    <definedName name="repeat" localSheetId="30" hidden="1">#REF!</definedName>
    <definedName name="repeat" localSheetId="31" hidden="1">#REF!</definedName>
    <definedName name="repeat" localSheetId="7" hidden="1">#REF!</definedName>
    <definedName name="repeat" localSheetId="9" hidden="1">#REF!</definedName>
    <definedName name="repeat" hidden="1">#REF!</definedName>
    <definedName name="REPORT" localSheetId="7">#REF!</definedName>
    <definedName name="REPORT">#REF!</definedName>
    <definedName name="Report_Date">#REF!</definedName>
    <definedName name="Report_Pages" localSheetId="7">#REF!</definedName>
    <definedName name="Report_Pages">#REF!</definedName>
    <definedName name="ReserveCommon" localSheetId="7">#REF!</definedName>
    <definedName name="ReserveCommon" localSheetId="10">#REF!</definedName>
    <definedName name="ReserveCommon">#REF!</definedName>
    <definedName name="ReserveControls">#REF!</definedName>
    <definedName name="reterger" localSheetId="1" hidden="1">{"print4",#N/A,FALSE,"D21CUSTS"}</definedName>
    <definedName name="reterger" localSheetId="17" hidden="1">{"print4",#N/A,FALSE,"D21CUSTS"}</definedName>
    <definedName name="reterger" localSheetId="30" hidden="1">{"print4",#N/A,FALSE,"D21CUSTS"}</definedName>
    <definedName name="reterger" localSheetId="31" hidden="1">{"print4",#N/A,FALSE,"D21CUSTS"}</definedName>
    <definedName name="reterger" localSheetId="19" hidden="1">{"print4",#N/A,FALSE,"D21CUSTS"}</definedName>
    <definedName name="reterger" localSheetId="7" hidden="1">{"print4",#N/A,FALSE,"D21CUSTS"}</definedName>
    <definedName name="reterger" localSheetId="0" hidden="1">{"print4",#N/A,FALSE,"D21CUSTS"}</definedName>
    <definedName name="reterger" localSheetId="10" hidden="1">{"print4",#N/A,FALSE,"D21CUSTS"}</definedName>
    <definedName name="reterger" localSheetId="12" hidden="1">{"print4",#N/A,FALSE,"D21CUSTS"}</definedName>
    <definedName name="reterger" localSheetId="9" hidden="1">{"print4",#N/A,FALSE,"D21CUSTS"}</definedName>
    <definedName name="reterger" hidden="1">{"print4",#N/A,FALSE,"D21CUSTS"}</definedName>
    <definedName name="retrghrehrh"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rghrehrh"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URN">#REF!</definedName>
    <definedName name="RETURNS" localSheetId="12">#REF!</definedName>
    <definedName name="RETURNS">#REF!</definedName>
    <definedName name="revises" localSheetId="7" hidden="1">{"SEP",#N/A,FALSE,"SEP"}</definedName>
    <definedName name="revises" localSheetId="10" hidden="1">{"SEP",#N/A,FALSE,"SEP"}</definedName>
    <definedName name="revises" localSheetId="12" hidden="1">{"SEP",#N/A,FALSE,"SEP"}</definedName>
    <definedName name="revises" hidden="1">{"SEP",#N/A,FALSE,"SEP"}</definedName>
    <definedName name="revreqrma" localSheetId="7">#REF!</definedName>
    <definedName name="revreqrma" localSheetId="12">#REF!</definedName>
    <definedName name="revreqrma">#REF!</definedName>
    <definedName name="REVREQRMA2" localSheetId="7">#REF!</definedName>
    <definedName name="REVREQRMA2">#REF!</definedName>
    <definedName name="Risk_Free_Rate" localSheetId="7">#REF!</definedName>
    <definedName name="Risk_Free_R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easures">#REF!</definedName>
    <definedName name="RiskMinimizeOnStart" hidden="1">FALSE</definedName>
    <definedName name="RiskMonitorConvergence" hidden="1">FALSE</definedName>
    <definedName name="RiskMultipleCPUSupportEnabled" hidden="1">TRUE</definedName>
    <definedName name="RiskNumIterations" localSheetId="1" hidden="1">10000</definedName>
    <definedName name="RiskNumIterations" localSheetId="7" hidden="1">10000</definedName>
    <definedName name="RiskNumIterations" localSheetId="0" hidden="1">10000</definedName>
    <definedName name="RiskNumIterations" localSheetId="9" hidden="1">10000</definedName>
    <definedName name="RiskNumIterations" hidden="1">100</definedName>
    <definedName name="RiskNumSimulations" hidden="1">1</definedName>
    <definedName name="RiskPauseOnError" hidden="1">FALSE</definedName>
    <definedName name="riskprem" localSheetId="7">#REF!</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localSheetId="1" hidden="1">2</definedName>
    <definedName name="RiskSamplingType" localSheetId="7" hidden="1">2</definedName>
    <definedName name="RiskSamplingType" localSheetId="0" hidden="1">2</definedName>
    <definedName name="RiskSamplingType" localSheetId="9" hidden="1">2</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localSheetId="7" hidden="1">TRUE</definedName>
    <definedName name="RiskUseMultipleCPUs" localSheetId="0" hidden="1">TRUE</definedName>
    <definedName name="RiskUseMultipleCPUs" localSheetId="9" hidden="1">TRUE</definedName>
    <definedName name="RiskUseMultipleCPUs" hidden="1">FALSE</definedName>
    <definedName name="rk" localSheetId="1" hidden="1">{#N/A,#N/A,FALSE,"SCA";#N/A,#N/A,FALSE,"NCA";#N/A,#N/A,FALSE,"SAZ";#N/A,#N/A,FALSE,"CAZ";#N/A,#N/A,FALSE,"SNV";#N/A,#N/A,FALSE,"NNV";#N/A,#N/A,FALSE,"PP";#N/A,#N/A,FALSE,"SA"}</definedName>
    <definedName name="rk" localSheetId="17" hidden="1">{#N/A,#N/A,FALSE,"SCA";#N/A,#N/A,FALSE,"NCA";#N/A,#N/A,FALSE,"SAZ";#N/A,#N/A,FALSE,"CAZ";#N/A,#N/A,FALSE,"SNV";#N/A,#N/A,FALSE,"NNV";#N/A,#N/A,FALSE,"PP";#N/A,#N/A,FALSE,"SA"}</definedName>
    <definedName name="rk" localSheetId="30" hidden="1">{#N/A,#N/A,FALSE,"SCA";#N/A,#N/A,FALSE,"NCA";#N/A,#N/A,FALSE,"SAZ";#N/A,#N/A,FALSE,"CAZ";#N/A,#N/A,FALSE,"SNV";#N/A,#N/A,FALSE,"NNV";#N/A,#N/A,FALSE,"PP";#N/A,#N/A,FALSE,"SA"}</definedName>
    <definedName name="rk" localSheetId="31" hidden="1">{#N/A,#N/A,FALSE,"SCA";#N/A,#N/A,FALSE,"NCA";#N/A,#N/A,FALSE,"SAZ";#N/A,#N/A,FALSE,"CAZ";#N/A,#N/A,FALSE,"SNV";#N/A,#N/A,FALSE,"NNV";#N/A,#N/A,FALSE,"PP";#N/A,#N/A,FALSE,"SA"}</definedName>
    <definedName name="rk" localSheetId="19" hidden="1">{#N/A,#N/A,FALSE,"SCA";#N/A,#N/A,FALSE,"NCA";#N/A,#N/A,FALSE,"SAZ";#N/A,#N/A,FALSE,"CAZ";#N/A,#N/A,FALSE,"SNV";#N/A,#N/A,FALSE,"NNV";#N/A,#N/A,FALSE,"PP";#N/A,#N/A,FALSE,"SA"}</definedName>
    <definedName name="rk" localSheetId="7" hidden="1">{#N/A,#N/A,FALSE,"SCA";#N/A,#N/A,FALSE,"NCA";#N/A,#N/A,FALSE,"SAZ";#N/A,#N/A,FALSE,"CAZ";#N/A,#N/A,FALSE,"SNV";#N/A,#N/A,FALSE,"NNV";#N/A,#N/A,FALSE,"PP";#N/A,#N/A,FALSE,"SA"}</definedName>
    <definedName name="rk" localSheetId="0" hidden="1">{#N/A,#N/A,FALSE,"SCA";#N/A,#N/A,FALSE,"NCA";#N/A,#N/A,FALSE,"SAZ";#N/A,#N/A,FALSE,"CAZ";#N/A,#N/A,FALSE,"SNV";#N/A,#N/A,FALSE,"NNV";#N/A,#N/A,FALSE,"PP";#N/A,#N/A,FALSE,"SA"}</definedName>
    <definedName name="rk" localSheetId="10" hidden="1">{#N/A,#N/A,FALSE,"SCA";#N/A,#N/A,FALSE,"NCA";#N/A,#N/A,FALSE,"SAZ";#N/A,#N/A,FALSE,"CAZ";#N/A,#N/A,FALSE,"SNV";#N/A,#N/A,FALSE,"NNV";#N/A,#N/A,FALSE,"PP";#N/A,#N/A,FALSE,"SA"}</definedName>
    <definedName name="rk" localSheetId="12" hidden="1">{#N/A,#N/A,FALSE,"SCA";#N/A,#N/A,FALSE,"NCA";#N/A,#N/A,FALSE,"SAZ";#N/A,#N/A,FALSE,"CAZ";#N/A,#N/A,FALSE,"SNV";#N/A,#N/A,FALSE,"NNV";#N/A,#N/A,FALSE,"PP";#N/A,#N/A,FALSE,"SA"}</definedName>
    <definedName name="rk" localSheetId="9" hidden="1">{#N/A,#N/A,FALSE,"SCA";#N/A,#N/A,FALSE,"NCA";#N/A,#N/A,FALSE,"SAZ";#N/A,#N/A,FALSE,"CAZ";#N/A,#N/A,FALSE,"SNV";#N/A,#N/A,FALSE,"NNV";#N/A,#N/A,FALSE,"PP";#N/A,#N/A,FALSE,"SA"}</definedName>
    <definedName name="rk" hidden="1">{#N/A,#N/A,FALSE,"SCA";#N/A,#N/A,FALSE,"NCA";#N/A,#N/A,FALSE,"SAZ";#N/A,#N/A,FALSE,"CAZ";#N/A,#N/A,FALSE,"SNV";#N/A,#N/A,FALSE,"NNV";#N/A,#N/A,FALSE,"PP";#N/A,#N/A,FALSE,"SA"}</definedName>
    <definedName name="RMA3B" localSheetId="12">#REF!</definedName>
    <definedName name="RMA3B">#REF!</definedName>
    <definedName name="RMA7B" localSheetId="7">#REF!</definedName>
    <definedName name="RMA7B" localSheetId="12">#REF!</definedName>
    <definedName name="RMA7B">#REF!</definedName>
    <definedName name="ROE" localSheetId="7">#REF!</definedName>
    <definedName name="ROE">#REF!</definedName>
    <definedName name="roelst">#REF!</definedName>
    <definedName name="roerec">#REF!</definedName>
    <definedName name="ROEXP" localSheetId="7">#REF!</definedName>
    <definedName name="ROEXP">#REF!</definedName>
    <definedName name="ROPLANT" localSheetId="7">#REF!</definedName>
    <definedName name="ROPLANT">#REF!</definedName>
    <definedName name="ROR_Rate">#REF!</definedName>
    <definedName name="roundFact" localSheetId="7">#REF!</definedName>
    <definedName name="roundFact" localSheetId="10">#REF!</definedName>
    <definedName name="roundFact">#REF!</definedName>
    <definedName name="RPC.CE" localSheetId="10">#REF!</definedName>
    <definedName name="RPC.CE">#REF!</definedName>
    <definedName name="RRR">#REF!</definedName>
    <definedName name="rrrr" localSheetId="1"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30" hidden="1">{#N/A,#N/A,FALSE,"O&amp;M by processes";#N/A,#N/A,FALSE,"Elec Act vs Bud";#N/A,#N/A,FALSE,"G&amp;A";#N/A,#N/A,FALSE,"BGS";#N/A,#N/A,FALSE,"Res Cost"}</definedName>
    <definedName name="rrrr" localSheetId="31"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7" hidden="1">{#N/A,#N/A,FALSE,"O&amp;M by processes";#N/A,#N/A,FALSE,"Elec Act vs Bud";#N/A,#N/A,FALSE,"G&amp;A";#N/A,#N/A,FALSE,"BGS";#N/A,#N/A,FALSE,"Res Cost"}</definedName>
    <definedName name="rrrr" localSheetId="0" hidden="1">{#N/A,#N/A,FALSE,"O&amp;M by processes";#N/A,#N/A,FALSE,"Elec Act vs Bud";#N/A,#N/A,FALSE,"G&amp;A";#N/A,#N/A,FALSE,"BGS";#N/A,#N/A,FALSE,"Res Cost"}</definedName>
    <definedName name="rrrr" localSheetId="10" hidden="1">{#N/A,#N/A,FALSE,"O&amp;M by processes";#N/A,#N/A,FALSE,"Elec Act vs Bud";#N/A,#N/A,FALSE,"G&amp;A";#N/A,#N/A,FALSE,"BGS";#N/A,#N/A,FALSE,"Res Cost"}</definedName>
    <definedName name="rrrr" localSheetId="12"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hidden="1">{#N/A,#N/A,FALSE,"O&amp;M by processes";#N/A,#N/A,FALSE,"Elec Act vs Bud";#N/A,#N/A,FALSE,"G&amp;A";#N/A,#N/A,FALSE,"BGS";#N/A,#N/A,FALSE,"Res Cost"}</definedName>
    <definedName name="rtertrte" localSheetId="1" hidden="1">{#N/A,#N/A,FALSE,"Page 1";#N/A,#N/A,FALSE,"Page 2";#N/A,#N/A,FALSE,"Page 3";#N/A,#N/A,FALSE,"Page 4";#N/A,#N/A,FALSE,"Page 5";#N/A,#N/A,FALSE,"Page 6";#N/A,#N/A,FALSE,"Page 7";#N/A,#N/A,FALSE,"Page 8";#N/A,#N/A,FALSE,"Page 9";#N/A,#N/A,FALSE,"PG8WP";#N/A,#N/A,FALSE,"PG9WP"}</definedName>
    <definedName name="rtertrte" localSheetId="17" hidden="1">{#N/A,#N/A,FALSE,"Page 1";#N/A,#N/A,FALSE,"Page 2";#N/A,#N/A,FALSE,"Page 3";#N/A,#N/A,FALSE,"Page 4";#N/A,#N/A,FALSE,"Page 5";#N/A,#N/A,FALSE,"Page 6";#N/A,#N/A,FALSE,"Page 7";#N/A,#N/A,FALSE,"Page 8";#N/A,#N/A,FALSE,"Page 9";#N/A,#N/A,FALSE,"PG8WP";#N/A,#N/A,FALSE,"PG9WP"}</definedName>
    <definedName name="rtertrte" localSheetId="30" hidden="1">{#N/A,#N/A,FALSE,"Page 1";#N/A,#N/A,FALSE,"Page 2";#N/A,#N/A,FALSE,"Page 3";#N/A,#N/A,FALSE,"Page 4";#N/A,#N/A,FALSE,"Page 5";#N/A,#N/A,FALSE,"Page 6";#N/A,#N/A,FALSE,"Page 7";#N/A,#N/A,FALSE,"Page 8";#N/A,#N/A,FALSE,"Page 9";#N/A,#N/A,FALSE,"PG8WP";#N/A,#N/A,FALSE,"PG9WP"}</definedName>
    <definedName name="rtertrte" localSheetId="31" hidden="1">{#N/A,#N/A,FALSE,"Page 1";#N/A,#N/A,FALSE,"Page 2";#N/A,#N/A,FALSE,"Page 3";#N/A,#N/A,FALSE,"Page 4";#N/A,#N/A,FALSE,"Page 5";#N/A,#N/A,FALSE,"Page 6";#N/A,#N/A,FALSE,"Page 7";#N/A,#N/A,FALSE,"Page 8";#N/A,#N/A,FALSE,"Page 9";#N/A,#N/A,FALSE,"PG8WP";#N/A,#N/A,FALSE,"PG9WP"}</definedName>
    <definedName name="rtertrte" localSheetId="19" hidden="1">{#N/A,#N/A,FALSE,"Page 1";#N/A,#N/A,FALSE,"Page 2";#N/A,#N/A,FALSE,"Page 3";#N/A,#N/A,FALSE,"Page 4";#N/A,#N/A,FALSE,"Page 5";#N/A,#N/A,FALSE,"Page 6";#N/A,#N/A,FALSE,"Page 7";#N/A,#N/A,FALSE,"Page 8";#N/A,#N/A,FALSE,"Page 9";#N/A,#N/A,FALSE,"PG8WP";#N/A,#N/A,FALSE,"PG9WP"}</definedName>
    <definedName name="rtertrte" localSheetId="7" hidden="1">{#N/A,#N/A,FALSE,"Page 1";#N/A,#N/A,FALSE,"Page 2";#N/A,#N/A,FALSE,"Page 3";#N/A,#N/A,FALSE,"Page 4";#N/A,#N/A,FALSE,"Page 5";#N/A,#N/A,FALSE,"Page 6";#N/A,#N/A,FALSE,"Page 7";#N/A,#N/A,FALSE,"Page 8";#N/A,#N/A,FALSE,"Page 9";#N/A,#N/A,FALSE,"PG8WP";#N/A,#N/A,FALSE,"PG9WP"}</definedName>
    <definedName name="rtertrte" localSheetId="0" hidden="1">{#N/A,#N/A,FALSE,"Page 1";#N/A,#N/A,FALSE,"Page 2";#N/A,#N/A,FALSE,"Page 3";#N/A,#N/A,FALSE,"Page 4";#N/A,#N/A,FALSE,"Page 5";#N/A,#N/A,FALSE,"Page 6";#N/A,#N/A,FALSE,"Page 7";#N/A,#N/A,FALSE,"Page 8";#N/A,#N/A,FALSE,"Page 9";#N/A,#N/A,FALSE,"PG8WP";#N/A,#N/A,FALSE,"PG9WP"}</definedName>
    <definedName name="rtertrte" localSheetId="10" hidden="1">{#N/A,#N/A,FALSE,"Page 1";#N/A,#N/A,FALSE,"Page 2";#N/A,#N/A,FALSE,"Page 3";#N/A,#N/A,FALSE,"Page 4";#N/A,#N/A,FALSE,"Page 5";#N/A,#N/A,FALSE,"Page 6";#N/A,#N/A,FALSE,"Page 7";#N/A,#N/A,FALSE,"Page 8";#N/A,#N/A,FALSE,"Page 9";#N/A,#N/A,FALSE,"PG8WP";#N/A,#N/A,FALSE,"PG9WP"}</definedName>
    <definedName name="rtertrte" localSheetId="12" hidden="1">{#N/A,#N/A,FALSE,"Page 1";#N/A,#N/A,FALSE,"Page 2";#N/A,#N/A,FALSE,"Page 3";#N/A,#N/A,FALSE,"Page 4";#N/A,#N/A,FALSE,"Page 5";#N/A,#N/A,FALSE,"Page 6";#N/A,#N/A,FALSE,"Page 7";#N/A,#N/A,FALSE,"Page 8";#N/A,#N/A,FALSE,"Page 9";#N/A,#N/A,FALSE,"PG8WP";#N/A,#N/A,FALSE,"PG9WP"}</definedName>
    <definedName name="rtertrte" localSheetId="9" hidden="1">{#N/A,#N/A,FALSE,"Page 1";#N/A,#N/A,FALSE,"Page 2";#N/A,#N/A,FALSE,"Page 3";#N/A,#N/A,FALSE,"Page 4";#N/A,#N/A,FALSE,"Page 5";#N/A,#N/A,FALSE,"Page 6";#N/A,#N/A,FALSE,"Page 7";#N/A,#N/A,FALSE,"Page 8";#N/A,#N/A,FALSE,"Page 9";#N/A,#N/A,FALSE,"PG8WP";#N/A,#N/A,FALSE,"PG9WP"}</definedName>
    <definedName name="rtertrte" hidden="1">{#N/A,#N/A,FALSE,"Page 1";#N/A,#N/A,FALSE,"Page 2";#N/A,#N/A,FALSE,"Page 3";#N/A,#N/A,FALSE,"Page 4";#N/A,#N/A,FALSE,"Page 5";#N/A,#N/A,FALSE,"Page 6";#N/A,#N/A,FALSE,"Page 7";#N/A,#N/A,FALSE,"Page 8";#N/A,#N/A,FALSE,"Page 9";#N/A,#N/A,FALSE,"PG8WP";#N/A,#N/A,FALSE,"PG9WP"}</definedName>
    <definedName name="rtetetrete" localSheetId="1" hidden="1">{#N/A,#N/A,FALSE,"FAS109 Summary";#N/A,#N/A,FALSE,"FAS109 OPER 190 ITC";#N/A,#N/A,FALSE,"FAS109 OPER 190 Other";#N/A,#N/A,FALSE,"FAS109 OPER 282";#N/A,#N/A,FALSE,"FAS109 OPER 283";#N/A,#N/A,FALSE,"FAS109 Non OPER 283 ";#N/A,#N/A,FALSE,"J.E.UPLOAD DATA"}</definedName>
    <definedName name="rtetetrete" localSheetId="17" hidden="1">{#N/A,#N/A,FALSE,"FAS109 Summary";#N/A,#N/A,FALSE,"FAS109 OPER 190 ITC";#N/A,#N/A,FALSE,"FAS109 OPER 190 Other";#N/A,#N/A,FALSE,"FAS109 OPER 282";#N/A,#N/A,FALSE,"FAS109 OPER 283";#N/A,#N/A,FALSE,"FAS109 Non OPER 283 ";#N/A,#N/A,FALSE,"J.E.UPLOAD DATA"}</definedName>
    <definedName name="rtetetrete" localSheetId="30" hidden="1">{#N/A,#N/A,FALSE,"FAS109 Summary";#N/A,#N/A,FALSE,"FAS109 OPER 190 ITC";#N/A,#N/A,FALSE,"FAS109 OPER 190 Other";#N/A,#N/A,FALSE,"FAS109 OPER 282";#N/A,#N/A,FALSE,"FAS109 OPER 283";#N/A,#N/A,FALSE,"FAS109 Non OPER 283 ";#N/A,#N/A,FALSE,"J.E.UPLOAD DATA"}</definedName>
    <definedName name="rtetetrete" localSheetId="31" hidden="1">{#N/A,#N/A,FALSE,"FAS109 Summary";#N/A,#N/A,FALSE,"FAS109 OPER 190 ITC";#N/A,#N/A,FALSE,"FAS109 OPER 190 Other";#N/A,#N/A,FALSE,"FAS109 OPER 282";#N/A,#N/A,FALSE,"FAS109 OPER 283";#N/A,#N/A,FALSE,"FAS109 Non OPER 283 ";#N/A,#N/A,FALSE,"J.E.UPLOAD DATA"}</definedName>
    <definedName name="rtetetrete" localSheetId="19" hidden="1">{#N/A,#N/A,FALSE,"FAS109 Summary";#N/A,#N/A,FALSE,"FAS109 OPER 190 ITC";#N/A,#N/A,FALSE,"FAS109 OPER 190 Other";#N/A,#N/A,FALSE,"FAS109 OPER 282";#N/A,#N/A,FALSE,"FAS109 OPER 283";#N/A,#N/A,FALSE,"FAS109 Non OPER 283 ";#N/A,#N/A,FALSE,"J.E.UPLOAD DATA"}</definedName>
    <definedName name="rtetetrete" localSheetId="7" hidden="1">{#N/A,#N/A,FALSE,"FAS109 Summary";#N/A,#N/A,FALSE,"FAS109 OPER 190 ITC";#N/A,#N/A,FALSE,"FAS109 OPER 190 Other";#N/A,#N/A,FALSE,"FAS109 OPER 282";#N/A,#N/A,FALSE,"FAS109 OPER 283";#N/A,#N/A,FALSE,"FAS109 Non OPER 283 ";#N/A,#N/A,FALSE,"J.E.UPLOAD DATA"}</definedName>
    <definedName name="rtetetrete" localSheetId="0" hidden="1">{#N/A,#N/A,FALSE,"FAS109 Summary";#N/A,#N/A,FALSE,"FAS109 OPER 190 ITC";#N/A,#N/A,FALSE,"FAS109 OPER 190 Other";#N/A,#N/A,FALSE,"FAS109 OPER 282";#N/A,#N/A,FALSE,"FAS109 OPER 283";#N/A,#N/A,FALSE,"FAS109 Non OPER 283 ";#N/A,#N/A,FALSE,"J.E.UPLOAD DATA"}</definedName>
    <definedName name="rtetetrete" localSheetId="10" hidden="1">{#N/A,#N/A,FALSE,"FAS109 Summary";#N/A,#N/A,FALSE,"FAS109 OPER 190 ITC";#N/A,#N/A,FALSE,"FAS109 OPER 190 Other";#N/A,#N/A,FALSE,"FAS109 OPER 282";#N/A,#N/A,FALSE,"FAS109 OPER 283";#N/A,#N/A,FALSE,"FAS109 Non OPER 283 ";#N/A,#N/A,FALSE,"J.E.UPLOAD DATA"}</definedName>
    <definedName name="rtetetrete" localSheetId="12" hidden="1">{#N/A,#N/A,FALSE,"FAS109 Summary";#N/A,#N/A,FALSE,"FAS109 OPER 190 ITC";#N/A,#N/A,FALSE,"FAS109 OPER 190 Other";#N/A,#N/A,FALSE,"FAS109 OPER 282";#N/A,#N/A,FALSE,"FAS109 OPER 283";#N/A,#N/A,FALSE,"FAS109 Non OPER 283 ";#N/A,#N/A,FALSE,"J.E.UPLOAD DATA"}</definedName>
    <definedName name="rtetetrete" localSheetId="9" hidden="1">{#N/A,#N/A,FALSE,"FAS109 Summary";#N/A,#N/A,FALSE,"FAS109 OPER 190 ITC";#N/A,#N/A,FALSE,"FAS109 OPER 190 Other";#N/A,#N/A,FALSE,"FAS109 OPER 282";#N/A,#N/A,FALSE,"FAS109 OPER 283";#N/A,#N/A,FALSE,"FAS109 Non OPER 283 ";#N/A,#N/A,FALSE,"J.E.UPLOAD DATA"}</definedName>
    <definedName name="rtetetrete" hidden="1">{#N/A,#N/A,FALSE,"FAS109 Summary";#N/A,#N/A,FALSE,"FAS109 OPER 190 ITC";#N/A,#N/A,FALSE,"FAS109 OPER 190 Other";#N/A,#N/A,FALSE,"FAS109 OPER 282";#N/A,#N/A,FALSE,"FAS109 OPER 283";#N/A,#N/A,FALSE,"FAS109 Non OPER 283 ";#N/A,#N/A,FALSE,"J.E.UPLOAD DATA"}</definedName>
    <definedName name="rtrtrgfgrfgr"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1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3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1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1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1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localSheetId="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gfgrfgr"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trr" localSheetId="1" hidden="1">{#N/A,#N/A,FALSE,"SCA";#N/A,#N/A,FALSE,"NCA";#N/A,#N/A,FALSE,"SAZ";#N/A,#N/A,FALSE,"CAZ";#N/A,#N/A,FALSE,"SNV";#N/A,#N/A,FALSE,"NNV";#N/A,#N/A,FALSE,"PP";#N/A,#N/A,FALSE,"SA"}</definedName>
    <definedName name="rtrtrtrr" localSheetId="17" hidden="1">{#N/A,#N/A,FALSE,"SCA";#N/A,#N/A,FALSE,"NCA";#N/A,#N/A,FALSE,"SAZ";#N/A,#N/A,FALSE,"CAZ";#N/A,#N/A,FALSE,"SNV";#N/A,#N/A,FALSE,"NNV";#N/A,#N/A,FALSE,"PP";#N/A,#N/A,FALSE,"SA"}</definedName>
    <definedName name="rtrtrtrr" localSheetId="30" hidden="1">{#N/A,#N/A,FALSE,"SCA";#N/A,#N/A,FALSE,"NCA";#N/A,#N/A,FALSE,"SAZ";#N/A,#N/A,FALSE,"CAZ";#N/A,#N/A,FALSE,"SNV";#N/A,#N/A,FALSE,"NNV";#N/A,#N/A,FALSE,"PP";#N/A,#N/A,FALSE,"SA"}</definedName>
    <definedName name="rtrtrtrr" localSheetId="31" hidden="1">{#N/A,#N/A,FALSE,"SCA";#N/A,#N/A,FALSE,"NCA";#N/A,#N/A,FALSE,"SAZ";#N/A,#N/A,FALSE,"CAZ";#N/A,#N/A,FALSE,"SNV";#N/A,#N/A,FALSE,"NNV";#N/A,#N/A,FALSE,"PP";#N/A,#N/A,FALSE,"SA"}</definedName>
    <definedName name="rtrtrtrr" localSheetId="19" hidden="1">{#N/A,#N/A,FALSE,"SCA";#N/A,#N/A,FALSE,"NCA";#N/A,#N/A,FALSE,"SAZ";#N/A,#N/A,FALSE,"CAZ";#N/A,#N/A,FALSE,"SNV";#N/A,#N/A,FALSE,"NNV";#N/A,#N/A,FALSE,"PP";#N/A,#N/A,FALSE,"SA"}</definedName>
    <definedName name="rtrtrtrr" localSheetId="7" hidden="1">{#N/A,#N/A,FALSE,"SCA";#N/A,#N/A,FALSE,"NCA";#N/A,#N/A,FALSE,"SAZ";#N/A,#N/A,FALSE,"CAZ";#N/A,#N/A,FALSE,"SNV";#N/A,#N/A,FALSE,"NNV";#N/A,#N/A,FALSE,"PP";#N/A,#N/A,FALSE,"SA"}</definedName>
    <definedName name="rtrtrtrr" localSheetId="0" hidden="1">{#N/A,#N/A,FALSE,"SCA";#N/A,#N/A,FALSE,"NCA";#N/A,#N/A,FALSE,"SAZ";#N/A,#N/A,FALSE,"CAZ";#N/A,#N/A,FALSE,"SNV";#N/A,#N/A,FALSE,"NNV";#N/A,#N/A,FALSE,"PP";#N/A,#N/A,FALSE,"SA"}</definedName>
    <definedName name="rtrtrtrr" localSheetId="10" hidden="1">{#N/A,#N/A,FALSE,"SCA";#N/A,#N/A,FALSE,"NCA";#N/A,#N/A,FALSE,"SAZ";#N/A,#N/A,FALSE,"CAZ";#N/A,#N/A,FALSE,"SNV";#N/A,#N/A,FALSE,"NNV";#N/A,#N/A,FALSE,"PP";#N/A,#N/A,FALSE,"SA"}</definedName>
    <definedName name="rtrtrtrr" localSheetId="12" hidden="1">{#N/A,#N/A,FALSE,"SCA";#N/A,#N/A,FALSE,"NCA";#N/A,#N/A,FALSE,"SAZ";#N/A,#N/A,FALSE,"CAZ";#N/A,#N/A,FALSE,"SNV";#N/A,#N/A,FALSE,"NNV";#N/A,#N/A,FALSE,"PP";#N/A,#N/A,FALSE,"SA"}</definedName>
    <definedName name="rtrtrtrr" localSheetId="9" hidden="1">{#N/A,#N/A,FALSE,"SCA";#N/A,#N/A,FALSE,"NCA";#N/A,#N/A,FALSE,"SAZ";#N/A,#N/A,FALSE,"CAZ";#N/A,#N/A,FALSE,"SNV";#N/A,#N/A,FALSE,"NNV";#N/A,#N/A,FALSE,"PP";#N/A,#N/A,FALSE,"SA"}</definedName>
    <definedName name="rtrtrtrr" hidden="1">{#N/A,#N/A,FALSE,"SCA";#N/A,#N/A,FALSE,"NCA";#N/A,#N/A,FALSE,"SAZ";#N/A,#N/A,FALSE,"CAZ";#N/A,#N/A,FALSE,"SNV";#N/A,#N/A,FALSE,"NNV";#N/A,#N/A,FALSE,"PP";#N/A,#N/A,FALSE,"SA"}</definedName>
    <definedName name="rtrtrtrtrrh" localSheetId="1" hidden="1">{#N/A,#N/A,FALSE,"Rev Seg Taxes";#N/A,#N/A,FALSE,"BookRev Seg";#N/A,#N/A,FALSE,"Supp Adj Seg";#N/A,#N/A,FALSE,"outside prov seg taxes"}</definedName>
    <definedName name="rtrtrtrtrrh" localSheetId="17" hidden="1">{#N/A,#N/A,FALSE,"Rev Seg Taxes";#N/A,#N/A,FALSE,"BookRev Seg";#N/A,#N/A,FALSE,"Supp Adj Seg";#N/A,#N/A,FALSE,"outside prov seg taxes"}</definedName>
    <definedName name="rtrtrtrtrrh" localSheetId="30" hidden="1">{#N/A,#N/A,FALSE,"Rev Seg Taxes";#N/A,#N/A,FALSE,"BookRev Seg";#N/A,#N/A,FALSE,"Supp Adj Seg";#N/A,#N/A,FALSE,"outside prov seg taxes"}</definedName>
    <definedName name="rtrtrtrtrrh" localSheetId="31" hidden="1">{#N/A,#N/A,FALSE,"Rev Seg Taxes";#N/A,#N/A,FALSE,"BookRev Seg";#N/A,#N/A,FALSE,"Supp Adj Seg";#N/A,#N/A,FALSE,"outside prov seg taxes"}</definedName>
    <definedName name="rtrtrtrtrrh" localSheetId="19" hidden="1">{#N/A,#N/A,FALSE,"Rev Seg Taxes";#N/A,#N/A,FALSE,"BookRev Seg";#N/A,#N/A,FALSE,"Supp Adj Seg";#N/A,#N/A,FALSE,"outside prov seg taxes"}</definedName>
    <definedName name="rtrtrtrtrrh" localSheetId="7" hidden="1">{#N/A,#N/A,FALSE,"Rev Seg Taxes";#N/A,#N/A,FALSE,"BookRev Seg";#N/A,#N/A,FALSE,"Supp Adj Seg";#N/A,#N/A,FALSE,"outside prov seg taxes"}</definedName>
    <definedName name="rtrtrtrtrrh" localSheetId="0" hidden="1">{#N/A,#N/A,FALSE,"Rev Seg Taxes";#N/A,#N/A,FALSE,"BookRev Seg";#N/A,#N/A,FALSE,"Supp Adj Seg";#N/A,#N/A,FALSE,"outside prov seg taxes"}</definedName>
    <definedName name="rtrtrtrtrrh" localSheetId="10" hidden="1">{#N/A,#N/A,FALSE,"Rev Seg Taxes";#N/A,#N/A,FALSE,"BookRev Seg";#N/A,#N/A,FALSE,"Supp Adj Seg";#N/A,#N/A,FALSE,"outside prov seg taxes"}</definedName>
    <definedName name="rtrtrtrtrrh" localSheetId="12" hidden="1">{#N/A,#N/A,FALSE,"Rev Seg Taxes";#N/A,#N/A,FALSE,"BookRev Seg";#N/A,#N/A,FALSE,"Supp Adj Seg";#N/A,#N/A,FALSE,"outside prov seg taxes"}</definedName>
    <definedName name="rtrtrtrtrrh" localSheetId="9" hidden="1">{#N/A,#N/A,FALSE,"Rev Seg Taxes";#N/A,#N/A,FALSE,"BookRev Seg";#N/A,#N/A,FALSE,"Supp Adj Seg";#N/A,#N/A,FALSE,"outside prov seg taxes"}</definedName>
    <definedName name="rtrtrtrtrrh" hidden="1">{#N/A,#N/A,FALSE,"Rev Seg Taxes";#N/A,#N/A,FALSE,"BookRev Seg";#N/A,#N/A,FALSE,"Supp Adj Seg";#N/A,#N/A,FALSE,"outside prov seg taxes"}</definedName>
    <definedName name="rtyui" localSheetId="1" hidden="1">#REF!</definedName>
    <definedName name="rtyui" localSheetId="17" hidden="1">#REF!</definedName>
    <definedName name="rtyui" localSheetId="30" hidden="1">#REF!</definedName>
    <definedName name="rtyui" localSheetId="31" hidden="1">#REF!</definedName>
    <definedName name="rtyui" localSheetId="7" hidden="1">#REF!</definedName>
    <definedName name="rtyui" localSheetId="9" hidden="1">#REF!</definedName>
    <definedName name="rtyui" hidden="1">#REF!</definedName>
    <definedName name="rtyuiop" localSheetId="1" hidden="1">#REF!</definedName>
    <definedName name="rtyuiop" localSheetId="31" hidden="1">#REF!</definedName>
    <definedName name="rtyuiop" localSheetId="7" hidden="1">#REF!</definedName>
    <definedName name="rtyuiop" localSheetId="9" hidden="1">#REF!</definedName>
    <definedName name="rtyuiop" hidden="1">#REF!</definedName>
    <definedName name="RVP_factor">#REF!</definedName>
    <definedName name="Rwvu.Comments._.MTH." localSheetId="7" hidden="1">#REF!</definedName>
    <definedName name="Rwvu.Comments._.MTH." localSheetId="10" hidden="1">#REF!</definedName>
    <definedName name="Rwvu.Comments._.MTH." hidden="1">#REF!</definedName>
    <definedName name="Rwvu.Comments._.QTR." localSheetId="7" hidden="1">#REF!,#REF!</definedName>
    <definedName name="Rwvu.Comments._.QTR." localSheetId="10" hidden="1">#REF!,#REF!</definedName>
    <definedName name="Rwvu.Comments._.QTR." hidden="1">#REF!,#REF!</definedName>
    <definedName name="Rwvu.Comments._.YTD." localSheetId="10" hidden="1">#REF!</definedName>
    <definedName name="Rwvu.Comments._.YTD." hidden="1">#REF!</definedName>
    <definedName name="Rwvu.MTH._.QTR._.YTD." localSheetId="10" hidden="1">#REF!,#REF!,#REF!</definedName>
    <definedName name="Rwvu.MTH._.QTR._.YTD." hidden="1">#REF!,#REF!,#REF!</definedName>
    <definedName name="Rwvu.MTH._.YTD." localSheetId="10" hidden="1">#REF!</definedName>
    <definedName name="Rwvu.MTH._.YTD." hidden="1">#REF!</definedName>
    <definedName name="s" localSheetId="1">#REF!</definedName>
    <definedName name="s" localSheetId="7">#REF!</definedName>
    <definedName name="s" localSheetId="0">#REF!</definedName>
    <definedName name="s" localSheetId="10" hidden="1">{"SEP",#N/A,FALSE,"SEP"}</definedName>
    <definedName name="s" localSheetId="12" hidden="1">{"SEP",#N/A,FALSE,"SEP"}</definedName>
    <definedName name="s" hidden="1">{"SEP",#N/A,FALSE,"SEP"}</definedName>
    <definedName name="s_r" localSheetId="12">#REF!</definedName>
    <definedName name="s_r">#REF!</definedName>
    <definedName name="sac" localSheetId="1" hidden="1">#REF!</definedName>
    <definedName name="sac" localSheetId="31" hidden="1">#REF!</definedName>
    <definedName name="sac" localSheetId="7" hidden="1">#REF!</definedName>
    <definedName name="sac" localSheetId="9" hidden="1">#REF!</definedName>
    <definedName name="sac" hidden="1">#REF!</definedName>
    <definedName name="sad" localSheetId="7" hidden="1">{#N/A,#N/A,FALSE,"FY97";#N/A,#N/A,FALSE,"FY98";#N/A,#N/A,FALSE,"FY99";#N/A,#N/A,FALSE,"FY00";#N/A,#N/A,FALSE,"FY01"}</definedName>
    <definedName name="sad" localSheetId="10" hidden="1">{#N/A,#N/A,FALSE,"FY97";#N/A,#N/A,FALSE,"FY98";#N/A,#N/A,FALSE,"FY99";#N/A,#N/A,FALSE,"FY00";#N/A,#N/A,FALSE,"FY01"}</definedName>
    <definedName name="sad" localSheetId="12" hidden="1">{#N/A,#N/A,FALSE,"FY97";#N/A,#N/A,FALSE,"FY98";#N/A,#N/A,FALSE,"FY99";#N/A,#N/A,FALSE,"FY00";#N/A,#N/A,FALSE,"FY01"}</definedName>
    <definedName name="sad" hidden="1">{#N/A,#N/A,FALSE,"FY97";#N/A,#N/A,FALSE,"FY98";#N/A,#N/A,FALSE,"FY99";#N/A,#N/A,FALSE,"FY00";#N/A,#N/A,FALSE,"FY01"}</definedName>
    <definedName name="sadf" localSheetId="1" hidden="1">#REF!</definedName>
    <definedName name="sadf" localSheetId="31" hidden="1">#REF!</definedName>
    <definedName name="sadf" localSheetId="7" hidden="1">#REF!</definedName>
    <definedName name="sadf" localSheetId="9" hidden="1">#REF!</definedName>
    <definedName name="sadf" hidden="1">#REF!</definedName>
    <definedName name="sadfdfafdsfasf" localSheetId="19" hidden="1">#REF!</definedName>
    <definedName name="sadfdfafdsfasf" hidden="1">#REF!</definedName>
    <definedName name="sadfkj" localSheetId="1" hidden="1">#REF!</definedName>
    <definedName name="sadfkj" localSheetId="30" hidden="1">#REF!</definedName>
    <definedName name="sadfkj" localSheetId="31" hidden="1">#REF!</definedName>
    <definedName name="sadfkj" localSheetId="7" hidden="1">#REF!</definedName>
    <definedName name="sadfkj" localSheetId="9" hidden="1">#REF!</definedName>
    <definedName name="sadfkj" hidden="1">#REF!</definedName>
    <definedName name="SADPRIM" localSheetId="7">#REF!</definedName>
    <definedName name="SADPRIM" localSheetId="10">#REF!</definedName>
    <definedName name="SADPRIM">#REF!</definedName>
    <definedName name="SalaryIncrease">#REF!</definedName>
    <definedName name="sample_coe_st" localSheetId="7">#REF!</definedName>
    <definedName name="sample_coe_st">#REF!</definedName>
    <definedName name="sample_name">#REF!</definedName>
    <definedName name="SAP" localSheetId="7">#REF!</definedName>
    <definedName name="SAP">#REF!</definedName>
    <definedName name="SAPBEXdnldView" localSheetId="1" hidden="1">"D3AGMWPPTUYDCJTDZ8WJR9VSG"</definedName>
    <definedName name="SAPBEXdnldView" localSheetId="7" hidden="1">"D3AGMWPPTUYDCJTDZ8WJR9VSG"</definedName>
    <definedName name="SAPBEXdnldView" localSheetId="0" hidden="1">"D3AGMWPPTUYDCJTDZ8WJR9VSG"</definedName>
    <definedName name="SAPBEXdnldView" localSheetId="9" hidden="1">"D3AGMWPPTUYDCJTDZ8WJR9VSG"</definedName>
    <definedName name="SAPBEXdnldView" hidden="1">"4BH52YMAT8N820NWUACMPXPYX"</definedName>
    <definedName name="SAPBEXhrIndnt" hidden="1">1</definedName>
    <definedName name="SAPBEXrevision" localSheetId="1" hidden="1">41</definedName>
    <definedName name="SAPBEXrevision" localSheetId="7" hidden="1">41</definedName>
    <definedName name="SAPBEXrevision" localSheetId="0" hidden="1">41</definedName>
    <definedName name="SAPBEXrevision" localSheetId="9" hidden="1">41</definedName>
    <definedName name="SAPBEXrevision" hidden="1">6</definedName>
    <definedName name="SAPBEXsysID" hidden="1">"PBW"</definedName>
    <definedName name="SAPBEXwbID" localSheetId="1" hidden="1">"3TD2FVG7ME7U056LVECBWI4A2"</definedName>
    <definedName name="SAPBEXwbID" localSheetId="7" hidden="1">"3TD2FVG7ME7U056LVECBWI4A2"</definedName>
    <definedName name="SAPBEXwbID" localSheetId="0" hidden="1">"3TD2FVG7ME7U056LVECBWI4A2"</definedName>
    <definedName name="SAPBEXwbID" localSheetId="9" hidden="1">"3TD2FVG7ME7U056LVECBWI4A2"</definedName>
    <definedName name="SAPBEXwbID" hidden="1">"3NAERQA6H5CV89KLUJUEH447U"</definedName>
    <definedName name="SAPBEXwbID1" hidden="1">"4GFCYJPWBXEXEDJLJBH1DOQ0Z"</definedName>
    <definedName name="SAPsysID" hidden="1">"708C5W7SBKP804JT78WJ0JNKI"</definedName>
    <definedName name="SAPwbID" hidden="1">"ARS"</definedName>
    <definedName name="SC.1">#REF!</definedName>
    <definedName name="SC.3" localSheetId="10">#REF!</definedName>
    <definedName name="SC.3">#REF!</definedName>
    <definedName name="SC.5" localSheetId="10">#REF!</definedName>
    <definedName name="SC.5">#REF!</definedName>
    <definedName name="SC.CE" localSheetId="10">#REF!</definedName>
    <definedName name="SC.CE">#REF!</definedName>
    <definedName name="SC.CEP" localSheetId="10">#REF!</definedName>
    <definedName name="SC.CEP">#REF!</definedName>
    <definedName name="scdcfh">#REF!</definedName>
    <definedName name="scdcfl">#REF!</definedName>
    <definedName name="scenario_name" localSheetId="10">#REF!</definedName>
    <definedName name="scenario_name">#REF!</definedName>
    <definedName name="scenario_number" localSheetId="10">#REF!</definedName>
    <definedName name="scenario_number">#REF!</definedName>
    <definedName name="sch">#REF!</definedName>
    <definedName name="SCH_B1">#REF!</definedName>
    <definedName name="SCH_B3">#REF!</definedName>
    <definedName name="SCH_C2">#REF!</definedName>
    <definedName name="SCH_D2">#REF!</definedName>
    <definedName name="SCH_H2">#REF!</definedName>
    <definedName name="Sched_Pay" localSheetId="7">#REF!</definedName>
    <definedName name="Sched_Pay" localSheetId="10">#REF!</definedName>
    <definedName name="Sched_Pay">#REF!</definedName>
    <definedName name="Scheduled_Extra_Payments" localSheetId="10">#REF!</definedName>
    <definedName name="Scheduled_Extra_Payments">#REF!</definedName>
    <definedName name="Scheduled_Interest_Rate" localSheetId="10">#REF!</definedName>
    <definedName name="Scheduled_Interest_Rate">#REF!</definedName>
    <definedName name="Scheduled_Monthly_Payment" localSheetId="10">#REF!</definedName>
    <definedName name="Scheduled_Monthly_Payment">#REF!</definedName>
    <definedName name="ScheduleLookup" localSheetId="10">#REF!</definedName>
    <definedName name="ScheduleLookup">#REF!</definedName>
    <definedName name="SCI.CE" localSheetId="10">#REF!</definedName>
    <definedName name="SCI.CE">#REF!</definedName>
    <definedName name="scrap" localSheetId="1"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1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3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31"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1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1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1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localSheetId="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rap"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U.CE" localSheetId="10">#REF!</definedName>
    <definedName name="SCU.CE">#REF!</definedName>
    <definedName name="sd" localSheetId="1" hidden="1">#REF!</definedName>
    <definedName name="sd" localSheetId="30" hidden="1">#REF!</definedName>
    <definedName name="sd" localSheetId="31" hidden="1">#REF!</definedName>
    <definedName name="sd" localSheetId="7" hidden="1">#REF!</definedName>
    <definedName name="sd" localSheetId="0" hidden="1">#REF!</definedName>
    <definedName name="sd" localSheetId="10" hidden="1">{"EM",#N/A,FALSE,"EM";"EM_Quarterly",#N/A,FALSE,"EM";"BS",#N/A,FALSE,"BS";"CF",#N/A,FALSE,"CF"}</definedName>
    <definedName name="sd" localSheetId="12" hidden="1">{"EM",#N/A,FALSE,"EM";"EM_Quarterly",#N/A,FALSE,"EM";"BS",#N/A,FALSE,"BS";"CF",#N/A,FALSE,"CF"}</definedName>
    <definedName name="sd" localSheetId="9" hidden="1">#REF!</definedName>
    <definedName name="sd" hidden="1">{"EM",#N/A,FALSE,"EM";"EM_Quarterly",#N/A,FALSE,"EM";"BS",#N/A,FALSE,"BS";"CF",#N/A,FALSE,"CF"}</definedName>
    <definedName name="sdcfcomph">#REF!</definedName>
    <definedName name="sdcfcompl">#REF!</definedName>
    <definedName name="sdcfcowith">#REF!</definedName>
    <definedName name="sdcfcowitl">#REF!</definedName>
    <definedName name="sdcfdyh">#REF!</definedName>
    <definedName name="sdcfdyl">#REF!</definedName>
    <definedName name="sdcfh">#REF!</definedName>
    <definedName name="sdcfl">#REF!</definedName>
    <definedName name="sdf" localSheetId="1" hidden="1">#REF!</definedName>
    <definedName name="sdf" localSheetId="31" hidden="1">#REF!</definedName>
    <definedName name="sdf" localSheetId="7" hidden="1">#REF!</definedName>
    <definedName name="sdf" localSheetId="0" hidden="1">#REF!</definedName>
    <definedName name="sdf" localSheetId="10" hidden="1">{"SEP",#N/A,FALSE,"SEP"}</definedName>
    <definedName name="sdf" localSheetId="12" hidden="1">{"SEP",#N/A,FALSE,"SEP"}</definedName>
    <definedName name="sdf" localSheetId="9" hidden="1">#REF!</definedName>
    <definedName name="sdf" hidden="1">{"SEP",#N/A,FALSE,"SEP"}</definedName>
    <definedName name="sdfgfdgdger" localSheetId="1" hidden="1">{#N/A,#N/A,FALSE,"GLDwnLoad"}</definedName>
    <definedName name="sdfgfdgdger" localSheetId="17" hidden="1">{#N/A,#N/A,FALSE,"GLDwnLoad"}</definedName>
    <definedName name="sdfgfdgdger" localSheetId="30" hidden="1">{#N/A,#N/A,FALSE,"GLDwnLoad"}</definedName>
    <definedName name="sdfgfdgdger" localSheetId="31" hidden="1">{#N/A,#N/A,FALSE,"GLDwnLoad"}</definedName>
    <definedName name="sdfgfdgdger" localSheetId="19" hidden="1">{#N/A,#N/A,FALSE,"GLDwnLoad"}</definedName>
    <definedName name="sdfgfdgdger" localSheetId="7" hidden="1">{#N/A,#N/A,FALSE,"GLDwnLoad"}</definedName>
    <definedName name="sdfgfdgdger" localSheetId="0" hidden="1">{#N/A,#N/A,FALSE,"GLDwnLoad"}</definedName>
    <definedName name="sdfgfdgdger" localSheetId="10" hidden="1">{#N/A,#N/A,FALSE,"GLDwnLoad"}</definedName>
    <definedName name="sdfgfdgdger" localSheetId="12" hidden="1">{#N/A,#N/A,FALSE,"GLDwnLoad"}</definedName>
    <definedName name="sdfgfdgdger" localSheetId="9" hidden="1">{#N/A,#N/A,FALSE,"GLDwnLoad"}</definedName>
    <definedName name="sdfgfdgdger" hidden="1">{#N/A,#N/A,FALSE,"GLDwnLoad"}</definedName>
    <definedName name="sdfp" localSheetId="1" hidden="1">#REF!</definedName>
    <definedName name="sdfp" localSheetId="30" hidden="1">#REF!</definedName>
    <definedName name="sdfp" localSheetId="31" hidden="1">#REF!</definedName>
    <definedName name="sdfp" localSheetId="7" hidden="1">#REF!</definedName>
    <definedName name="sdfp" localSheetId="9" hidden="1">#REF!</definedName>
    <definedName name="sdfp" hidden="1">#REF!</definedName>
    <definedName name="sdfsdfadf" localSheetId="7" hidden="1">{"12 months",#N/A,FALSE,"Hourly"}</definedName>
    <definedName name="sdfsdfadf" localSheetId="10" hidden="1">{"12 months",#N/A,FALSE,"Hourly"}</definedName>
    <definedName name="sdfsdfadf" localSheetId="12" hidden="1">{"12 months",#N/A,FALSE,"Hourly"}</definedName>
    <definedName name="sdfsdfadf" hidden="1">{"12 months",#N/A,FALSE,"Hourly"}</definedName>
    <definedName name="sdklofj" localSheetId="1" hidden="1">#REF!</definedName>
    <definedName name="sdklofj" localSheetId="30" hidden="1">#REF!</definedName>
    <definedName name="sdklofj" localSheetId="31" hidden="1">#REF!</definedName>
    <definedName name="sdklofj" localSheetId="7" hidden="1">#REF!</definedName>
    <definedName name="sdklofj" localSheetId="9" hidden="1">#REF!</definedName>
    <definedName name="sdklofj" hidden="1">#REF!</definedName>
    <definedName name="sdld" localSheetId="1" hidden="1">#REF!</definedName>
    <definedName name="sdld" localSheetId="30" hidden="1">#REF!</definedName>
    <definedName name="sdld" localSheetId="31" hidden="1">#REF!</definedName>
    <definedName name="sdld" localSheetId="7" hidden="1">#REF!</definedName>
    <definedName name="sdld" localSheetId="9" hidden="1">#REF!</definedName>
    <definedName name="sdld" hidden="1">#REF!</definedName>
    <definedName name="sdljgfj" localSheetId="31" hidden="1">#REF!</definedName>
    <definedName name="sdljgfj" localSheetId="7" hidden="1">#REF!</definedName>
    <definedName name="sdljgfj" hidden="1">#REF!</definedName>
    <definedName name="sdop" localSheetId="31" hidden="1">#REF!</definedName>
    <definedName name="sdop" localSheetId="7" hidden="1">#REF!</definedName>
    <definedName name="sdop" hidden="1">#REF!</definedName>
    <definedName name="sds" localSheetId="7" hidden="1">{"EM",#N/A,FALSE,"EM";"EMQuarterly",#N/A,FALSE,"EM";"BS",#N/A,FALSE,"BS";"CF",#N/A,FALSE,"CF"}</definedName>
    <definedName name="sds" localSheetId="10" hidden="1">{"EM",#N/A,FALSE,"EM";"EMQuarterly",#N/A,FALSE,"EM";"BS",#N/A,FALSE,"BS";"CF",#N/A,FALSE,"CF"}</definedName>
    <definedName name="sds" localSheetId="12" hidden="1">{"EM",#N/A,FALSE,"EM";"EMQuarterly",#N/A,FALSE,"EM";"BS",#N/A,FALSE,"BS";"CF",#N/A,FALSE,"CF"}</definedName>
    <definedName name="sds" hidden="1">{"EM",#N/A,FALSE,"EM";"EMQuarterly",#N/A,FALSE,"EM";"BS",#N/A,FALSE,"BS";"CF",#N/A,FALSE,"CF"}</definedName>
    <definedName name="sdsdl" localSheetId="31" hidden="1">#REF!</definedName>
    <definedName name="sdsdl" localSheetId="7" hidden="1">#REF!</definedName>
    <definedName name="sdsdl" localSheetId="9" hidden="1">#REF!</definedName>
    <definedName name="sdsdl" hidden="1">#REF!</definedName>
    <definedName name="sdv" localSheetId="31" hidden="1">#REF!</definedName>
    <definedName name="sdv" localSheetId="7" hidden="1">#REF!</definedName>
    <definedName name="sdv" hidden="1">#REF!</definedName>
    <definedName name="sdyldh">#REF!</definedName>
    <definedName name="sdyldl">#REF!</definedName>
    <definedName name="se" localSheetId="10">#REF!</definedName>
    <definedName name="se">#REF!</definedName>
    <definedName name="SE.SE60D.ALLOC." localSheetId="10">#REF!</definedName>
    <definedName name="SE.SE60D.ALLOC.">#REF!</definedName>
    <definedName name="SE_Only">#REF!</definedName>
    <definedName name="SEadit">#REF!</definedName>
    <definedName name="SEadv">#REF!</definedName>
    <definedName name="SEcash">#REF!</definedName>
    <definedName name="SEcwip">#REF!</definedName>
    <definedName name="SEdep">#REF!</definedName>
    <definedName name="sedf" localSheetId="31" hidden="1">#REF!</definedName>
    <definedName name="sedf" localSheetId="7" hidden="1">#REF!</definedName>
    <definedName name="sedf" hidden="1">#REF!</definedName>
    <definedName name="SEmatsup">#REF!</definedName>
    <definedName name="SEMO">#REF!</definedName>
    <definedName name="SEMO_Plant">#REF!</definedName>
    <definedName name="sencount" hidden="1">1</definedName>
    <definedName name="SEP01a" localSheetId="7" hidden="1">{"SEP",#N/A,FALSE,"SEP"}</definedName>
    <definedName name="SEP01a" localSheetId="10" hidden="1">{"SEP",#N/A,FALSE,"SEP"}</definedName>
    <definedName name="SEP01a" localSheetId="12" hidden="1">{"SEP",#N/A,FALSE,"SEP"}</definedName>
    <definedName name="SEP01a" hidden="1">{"SEP",#N/A,FALSE,"SEP"}</definedName>
    <definedName name="SEplant" localSheetId="12">#REF!</definedName>
    <definedName name="SEplant">#REF!</definedName>
    <definedName name="SEpp" localSheetId="12">#REF!</definedName>
    <definedName name="SEpp">#REF!</definedName>
    <definedName name="SEstorg" localSheetId="12">#REF!</definedName>
    <definedName name="SEstorg">#REF!</definedName>
    <definedName name="Set">" "</definedName>
    <definedName name="sevw" localSheetId="1" hidden="1">#REF!</definedName>
    <definedName name="sevw" localSheetId="17" hidden="1">#REF!</definedName>
    <definedName name="sevw" localSheetId="30" hidden="1">#REF!</definedName>
    <definedName name="sevw" localSheetId="31" hidden="1">#REF!</definedName>
    <definedName name="sevw" localSheetId="7" hidden="1">#REF!</definedName>
    <definedName name="sevw" localSheetId="9" hidden="1">#REF!</definedName>
    <definedName name="sevw" hidden="1">#REF!</definedName>
    <definedName name="sewer_customers">#REF!</definedName>
    <definedName name="Sewer_distributions_of_costs_to_plant">#REF!</definedName>
    <definedName name="sfdv" localSheetId="1" hidden="1">#REF!</definedName>
    <definedName name="sfdv" localSheetId="17" hidden="1">#REF!</definedName>
    <definedName name="sfdv" localSheetId="31" hidden="1">#REF!</definedName>
    <definedName name="sfdv" localSheetId="7" hidden="1">#REF!</definedName>
    <definedName name="sfdv" localSheetId="9" hidden="1">#REF!</definedName>
    <definedName name="sfdv" hidden="1">#REF!</definedName>
    <definedName name="shee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1_FooterType" hidden="1">"NONE"</definedName>
    <definedName name="Sheet2_FooterType" hidden="1">"NONE"</definedName>
    <definedName name="shit" localSheetId="1" hidden="1">{#N/A,#N/A,TRUE,"1990";#N/A,#N/A,TRUE,"1991";#N/A,#N/A,TRUE,"1992";#N/A,#N/A,TRUE,"1993"}</definedName>
    <definedName name="shit" localSheetId="17" hidden="1">{#N/A,#N/A,TRUE,"1990";#N/A,#N/A,TRUE,"1991";#N/A,#N/A,TRUE,"1992";#N/A,#N/A,TRUE,"1993"}</definedName>
    <definedName name="shit" localSheetId="30" hidden="1">{#N/A,#N/A,TRUE,"1990";#N/A,#N/A,TRUE,"1991";#N/A,#N/A,TRUE,"1992";#N/A,#N/A,TRUE,"1993"}</definedName>
    <definedName name="shit" localSheetId="31" hidden="1">{#N/A,#N/A,TRUE,"1990";#N/A,#N/A,TRUE,"1991";#N/A,#N/A,TRUE,"1992";#N/A,#N/A,TRUE,"1993"}</definedName>
    <definedName name="shit" localSheetId="19" hidden="1">{#N/A,#N/A,TRUE,"1990";#N/A,#N/A,TRUE,"1991";#N/A,#N/A,TRUE,"1992";#N/A,#N/A,TRUE,"1993"}</definedName>
    <definedName name="shit" localSheetId="7" hidden="1">{#N/A,#N/A,TRUE,"1990";#N/A,#N/A,TRUE,"1991";#N/A,#N/A,TRUE,"1992";#N/A,#N/A,TRUE,"1993"}</definedName>
    <definedName name="shit" localSheetId="0" hidden="1">{#N/A,#N/A,TRUE,"1990";#N/A,#N/A,TRUE,"1991";#N/A,#N/A,TRUE,"1992";#N/A,#N/A,TRUE,"1993"}</definedName>
    <definedName name="shit" localSheetId="10" hidden="1">{#N/A,#N/A,TRUE,"1990";#N/A,#N/A,TRUE,"1991";#N/A,#N/A,TRUE,"1992";#N/A,#N/A,TRUE,"1993"}</definedName>
    <definedName name="shit" localSheetId="12" hidden="1">{#N/A,#N/A,TRUE,"1990";#N/A,#N/A,TRUE,"1991";#N/A,#N/A,TRUE,"1992";#N/A,#N/A,TRUE,"1993"}</definedName>
    <definedName name="shit" localSheetId="9" hidden="1">{#N/A,#N/A,TRUE,"1990";#N/A,#N/A,TRUE,"1991";#N/A,#N/A,TRUE,"1992";#N/A,#N/A,TRUE,"1993"}</definedName>
    <definedName name="shit" hidden="1">{#N/A,#N/A,TRUE,"1990";#N/A,#N/A,TRUE,"1991";#N/A,#N/A,TRUE,"1992";#N/A,#N/A,TRUE,"1993"}</definedName>
    <definedName name="shit2" localSheetId="1" hidden="1">{"summary",#N/A,TRUE,"E93ADJ";"detail",#N/A,TRUE,"E93ADJ"}</definedName>
    <definedName name="shit2" localSheetId="17" hidden="1">{"summary",#N/A,TRUE,"E93ADJ";"detail",#N/A,TRUE,"E93ADJ"}</definedName>
    <definedName name="shit2" localSheetId="30" hidden="1">{"summary",#N/A,TRUE,"E93ADJ";"detail",#N/A,TRUE,"E93ADJ"}</definedName>
    <definedName name="shit2" localSheetId="31" hidden="1">{"summary",#N/A,TRUE,"E93ADJ";"detail",#N/A,TRUE,"E93ADJ"}</definedName>
    <definedName name="shit2" localSheetId="19" hidden="1">{"summary",#N/A,TRUE,"E93ADJ";"detail",#N/A,TRUE,"E93ADJ"}</definedName>
    <definedName name="shit2" localSheetId="7" hidden="1">{"summary",#N/A,TRUE,"E93ADJ";"detail",#N/A,TRUE,"E93ADJ"}</definedName>
    <definedName name="shit2" localSheetId="0" hidden="1">{"summary",#N/A,TRUE,"E93ADJ";"detail",#N/A,TRUE,"E93ADJ"}</definedName>
    <definedName name="shit2" localSheetId="10" hidden="1">{"summary",#N/A,TRUE,"E93ADJ";"detail",#N/A,TRUE,"E93ADJ"}</definedName>
    <definedName name="shit2" localSheetId="12" hidden="1">{"summary",#N/A,TRUE,"E93ADJ";"detail",#N/A,TRUE,"E93ADJ"}</definedName>
    <definedName name="shit2" localSheetId="9" hidden="1">{"summary",#N/A,TRUE,"E93ADJ";"detail",#N/A,TRUE,"E93ADJ"}</definedName>
    <definedName name="shit2" hidden="1">{"summary",#N/A,TRUE,"E93ADJ";"detail",#N/A,TRUE,"E93ADJ"}</definedName>
    <definedName name="shiva" localSheetId="1"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30" hidden="1">{#N/A,#N/A,FALSE,"O&amp;M by processes";#N/A,#N/A,FALSE,"Elec Act vs Bud";#N/A,#N/A,FALSE,"G&amp;A";#N/A,#N/A,FALSE,"BGS";#N/A,#N/A,FALSE,"Res Cost"}</definedName>
    <definedName name="shiva" localSheetId="31"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7" hidden="1">{#N/A,#N/A,FALSE,"O&amp;M by processes";#N/A,#N/A,FALSE,"Elec Act vs Bud";#N/A,#N/A,FALSE,"G&amp;A";#N/A,#N/A,FALSE,"BGS";#N/A,#N/A,FALSE,"Res Cost"}</definedName>
    <definedName name="shiva" localSheetId="0" hidden="1">{#N/A,#N/A,FALSE,"O&amp;M by processes";#N/A,#N/A,FALSE,"Elec Act vs Bud";#N/A,#N/A,FALSE,"G&amp;A";#N/A,#N/A,FALSE,"BGS";#N/A,#N/A,FALSE,"Res Cost"}</definedName>
    <definedName name="shiva" localSheetId="10" hidden="1">{#N/A,#N/A,FALSE,"O&amp;M by processes";#N/A,#N/A,FALSE,"Elec Act vs Bud";#N/A,#N/A,FALSE,"G&amp;A";#N/A,#N/A,FALSE,"BGS";#N/A,#N/A,FALSE,"Res Cost"}</definedName>
    <definedName name="shiva" localSheetId="12"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hidden="1">{#N/A,#N/A,FALSE,"O&amp;M by processes";#N/A,#N/A,FALSE,"Elec Act vs Bud";#N/A,#N/A,FALSE,"G&amp;A";#N/A,#N/A,FALSE,"BGS";#N/A,#N/A,FALSE,"Res Cost"}</definedName>
    <definedName name="SI"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ignoff" localSheetId="7" hidden="1">{"summary",#N/A,FALSE,"PCR DIRECTORY"}</definedName>
    <definedName name="Signoff" localSheetId="10" hidden="1">{"summary",#N/A,FALSE,"PCR DIRECTORY"}</definedName>
    <definedName name="Signoff" localSheetId="12" hidden="1">{"summary",#N/A,FALSE,"PCR DIRECTORY"}</definedName>
    <definedName name="Signoff" hidden="1">{"summary",#N/A,FALSE,"PCR DIRECTORY"}</definedName>
    <definedName name="Sites" localSheetId="7" hidden="1">{#N/A,#N/A,TRUE,"TOTAL DISTRIBUTION";#N/A,#N/A,TRUE,"SOUTH";#N/A,#N/A,TRUE,"NORTHEAST";#N/A,#N/A,TRUE,"WEST"}</definedName>
    <definedName name="Sites" localSheetId="10" hidden="1">{#N/A,#N/A,TRUE,"TOTAL DISTRIBUTION";#N/A,#N/A,TRUE,"SOUTH";#N/A,#N/A,TRUE,"NORTHEAST";#N/A,#N/A,TRUE,"WEST"}</definedName>
    <definedName name="Sites" localSheetId="12" hidden="1">{#N/A,#N/A,TRUE,"TOTAL DISTRIBUTION";#N/A,#N/A,TRUE,"SOUTH";#N/A,#N/A,TRUE,"NORTHEAST";#N/A,#N/A,TRUE,"WEST"}</definedName>
    <definedName name="Sites" hidden="1">{#N/A,#N/A,TRUE,"TOTAL DISTRIBUTION";#N/A,#N/A,TRUE,"SOUTH";#N/A,#N/A,TRUE,"NORTHEAST";#N/A,#N/A,TRUE,"WEST"}</definedName>
    <definedName name="Sitesdate" localSheetId="7" hidden="1">{#N/A,#N/A,TRUE,"TOTAL DSBN";#N/A,#N/A,TRUE,"WEST";#N/A,#N/A,TRUE,"SOUTH";#N/A,#N/A,TRUE,"NORTHEAST"}</definedName>
    <definedName name="Sitesdate" localSheetId="10" hidden="1">{#N/A,#N/A,TRUE,"TOTAL DSBN";#N/A,#N/A,TRUE,"WEST";#N/A,#N/A,TRUE,"SOUTH";#N/A,#N/A,TRUE,"NORTHEAST"}</definedName>
    <definedName name="Sitesdate" localSheetId="12" hidden="1">{#N/A,#N/A,TRUE,"TOTAL DSBN";#N/A,#N/A,TRUE,"WEST";#N/A,#N/A,TRUE,"SOUTH";#N/A,#N/A,TRUE,"NORTHEAST"}</definedName>
    <definedName name="Sitesdate" hidden="1">{#N/A,#N/A,TRUE,"TOTAL DSBN";#N/A,#N/A,TRUE,"WEST";#N/A,#N/A,TRUE,"SOUTH";#N/A,#N/A,TRUE,"NORTHEAST"}</definedName>
    <definedName name="sk" hidden="1">"1, 3, 1, False, 2, False, False, , 0, False, True, 3, 2"</definedName>
    <definedName name="slkd" localSheetId="1" hidden="1">#REF!</definedName>
    <definedName name="slkd" localSheetId="30" hidden="1">#REF!</definedName>
    <definedName name="slkd" localSheetId="31" hidden="1">#REF!</definedName>
    <definedName name="slkd" localSheetId="7" hidden="1">#REF!</definedName>
    <definedName name="slkd" localSheetId="9" hidden="1">#REF!</definedName>
    <definedName name="slkd" hidden="1">#REF!</definedName>
    <definedName name="SocSec">#REF!</definedName>
    <definedName name="sodfj" localSheetId="7" hidden="1">{"'Sheet1'!$A$1:$J$121"}</definedName>
    <definedName name="sodfj" localSheetId="10" hidden="1">{"'Sheet1'!$A$1:$J$121"}</definedName>
    <definedName name="sodfj" localSheetId="12" hidden="1">{"'Sheet1'!$A$1:$J$121"}</definedName>
    <definedName name="sodfj" hidden="1">{"'Sheet1'!$A$1:$J$121"}</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rel1" hidden="1">3</definedName>
    <definedName name="solver_rel2" hidden="1">1</definedName>
    <definedName name="solver_rel3" hidden="1">1</definedName>
    <definedName name="solver_rel4" hidden="1">1</definedName>
    <definedName name="solver_rhs1" hidden="1">0</definedName>
    <definedName name="solver_rhs2" hidden="1">13</definedName>
    <definedName name="solver_rhs3" hidden="1">10</definedName>
    <definedName name="solver_rhs4" hidden="1">-8</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3729</definedName>
    <definedName name="SOURCES" localSheetId="12">#REF!</definedName>
    <definedName name="SOURCES">#REF!</definedName>
    <definedName name="sp" localSheetId="12">#REF!</definedName>
    <definedName name="sp">#REF!</definedName>
    <definedName name="SPPRIM" localSheetId="10">#REF!</definedName>
    <definedName name="SPPRIM">#REF!</definedName>
    <definedName name="Spread">#REF!</definedName>
    <definedName name="SpreadsheetBuilder_1" localSheetId="1" hidden="1">#REF!</definedName>
    <definedName name="SpreadsheetBuilder_1" localSheetId="30" hidden="1">#REF!</definedName>
    <definedName name="SpreadsheetBuilder_1" localSheetId="31" hidden="1">#REF!</definedName>
    <definedName name="SpreadsheetBuilder_1" localSheetId="7" hidden="1">#REF!</definedName>
    <definedName name="SpreadsheetBuilder_1" localSheetId="9" hidden="1">#REF!</definedName>
    <definedName name="SpreadsheetBuilder_1" hidden="1">#REF!</definedName>
    <definedName name="SpreadsheetBuilder_10" localSheetId="1" hidden="1">#REF!</definedName>
    <definedName name="SpreadsheetBuilder_10" localSheetId="31" hidden="1">#REF!</definedName>
    <definedName name="SpreadsheetBuilder_10" localSheetId="7" hidden="1">#REF!</definedName>
    <definedName name="SpreadsheetBuilder_10" localSheetId="9" hidden="1">#REF!</definedName>
    <definedName name="SpreadsheetBuilder_10" hidden="1">#REF!</definedName>
    <definedName name="SpreadsheetBuilder_12" localSheetId="31" hidden="1">#REF!</definedName>
    <definedName name="SpreadsheetBuilder_12" localSheetId="7" hidden="1">#REF!</definedName>
    <definedName name="SpreadsheetBuilder_12" hidden="1">#REF!</definedName>
    <definedName name="SpreadsheetBuilder_14" localSheetId="31" hidden="1">#REF!</definedName>
    <definedName name="SpreadsheetBuilder_14" localSheetId="7" hidden="1">#REF!</definedName>
    <definedName name="SpreadsheetBuilder_14" hidden="1">#REF!</definedName>
    <definedName name="SpreadsheetBuilder_15" localSheetId="31" hidden="1">#REF!</definedName>
    <definedName name="SpreadsheetBuilder_15" localSheetId="7" hidden="1">#REF!</definedName>
    <definedName name="SpreadsheetBuilder_15" hidden="1">#REF!</definedName>
    <definedName name="SpreadsheetBuilder_16" localSheetId="31" hidden="1">#REF!</definedName>
    <definedName name="SpreadsheetBuilder_16" localSheetId="7" hidden="1">#REF!</definedName>
    <definedName name="SpreadsheetBuilder_16" hidden="1">#REF!</definedName>
    <definedName name="SpreadsheetBuilder_17" localSheetId="31" hidden="1">#REF!</definedName>
    <definedName name="SpreadsheetBuilder_17" localSheetId="7" hidden="1">#REF!</definedName>
    <definedName name="SpreadsheetBuilder_17" hidden="1">#REF!</definedName>
    <definedName name="SpreadsheetBuilder_18" localSheetId="31" hidden="1">#REF!</definedName>
    <definedName name="SpreadsheetBuilder_18" localSheetId="7" hidden="1">#REF!</definedName>
    <definedName name="SpreadsheetBuilder_18" hidden="1">#REF!</definedName>
    <definedName name="SpreadsheetBuilder_19" localSheetId="31" hidden="1">#REF!</definedName>
    <definedName name="SpreadsheetBuilder_19" localSheetId="7" hidden="1">#REF!</definedName>
    <definedName name="SpreadsheetBuilder_19" hidden="1">#REF!</definedName>
    <definedName name="SpreadsheetBuilder_2" localSheetId="30" hidden="1">#REF!</definedName>
    <definedName name="SpreadsheetBuilder_2" localSheetId="31" hidden="1">#REF!</definedName>
    <definedName name="SpreadsheetBuilder_2" localSheetId="7" hidden="1">#REF!</definedName>
    <definedName name="SpreadsheetBuilder_2" hidden="1">#REF!</definedName>
    <definedName name="SpreadsheetBuilder_20" localSheetId="31" hidden="1">#REF!</definedName>
    <definedName name="SpreadsheetBuilder_20" localSheetId="7" hidden="1">#REF!</definedName>
    <definedName name="SpreadsheetBuilder_20" hidden="1">#REF!</definedName>
    <definedName name="SpreadsheetBuilder_21" localSheetId="31" hidden="1">#REF!</definedName>
    <definedName name="SpreadsheetBuilder_21" localSheetId="7" hidden="1">#REF!</definedName>
    <definedName name="SpreadsheetBuilder_21" hidden="1">#REF!</definedName>
    <definedName name="SpreadsheetBuilder_22" localSheetId="31" hidden="1">#REF!</definedName>
    <definedName name="SpreadsheetBuilder_22" localSheetId="7" hidden="1">#REF!</definedName>
    <definedName name="SpreadsheetBuilder_22" hidden="1">#REF!</definedName>
    <definedName name="SpreadsheetBuilder_23" localSheetId="31" hidden="1">#REF!</definedName>
    <definedName name="SpreadsheetBuilder_23" localSheetId="7" hidden="1">#REF!</definedName>
    <definedName name="SpreadsheetBuilder_23" hidden="1">#REF!</definedName>
    <definedName name="SpreadsheetBuilder_24" localSheetId="31" hidden="1">#REF!</definedName>
    <definedName name="SpreadsheetBuilder_24" localSheetId="7" hidden="1">#REF!</definedName>
    <definedName name="SpreadsheetBuilder_24" hidden="1">#REF!</definedName>
    <definedName name="SpreadsheetBuilder_25" localSheetId="31" hidden="1">#REF!</definedName>
    <definedName name="SpreadsheetBuilder_25" localSheetId="7" hidden="1">#REF!</definedName>
    <definedName name="SpreadsheetBuilder_25" hidden="1">#REF!</definedName>
    <definedName name="SpreadsheetBuilder_27" localSheetId="31" hidden="1">#REF!</definedName>
    <definedName name="SpreadsheetBuilder_27" localSheetId="7" hidden="1">#REF!</definedName>
    <definedName name="SpreadsheetBuilder_27" hidden="1">#REF!</definedName>
    <definedName name="SpreadsheetBuilder_28" localSheetId="31" hidden="1">#REF!</definedName>
    <definedName name="SpreadsheetBuilder_28" localSheetId="7" hidden="1">#REF!</definedName>
    <definedName name="SpreadsheetBuilder_28" hidden="1">#REF!</definedName>
    <definedName name="SpreadsheetBuilder_3" localSheetId="31" hidden="1">#REF!</definedName>
    <definedName name="SpreadsheetBuilder_3" localSheetId="7" hidden="1">#REF!</definedName>
    <definedName name="SpreadsheetBuilder_3" hidden="1">#REF!</definedName>
    <definedName name="SpreadsheetBuilder_4" localSheetId="31" hidden="1">#REF!</definedName>
    <definedName name="SpreadsheetBuilder_4" localSheetId="7" hidden="1">#REF!</definedName>
    <definedName name="SpreadsheetBuilder_4" hidden="1">#REF!</definedName>
    <definedName name="SpreadsheetBuilder_5" localSheetId="31" hidden="1">#REF!</definedName>
    <definedName name="SpreadsheetBuilder_5" localSheetId="7" hidden="1">#REF!</definedName>
    <definedName name="SpreadsheetBuilder_5" hidden="1">#REF!</definedName>
    <definedName name="SpreadsheetBuilder_6" localSheetId="31" hidden="1">#REF!</definedName>
    <definedName name="SpreadsheetBuilder_6" localSheetId="7" hidden="1">#REF!</definedName>
    <definedName name="SpreadsheetBuilder_6" hidden="1">#REF!</definedName>
    <definedName name="SpreadsheetBuilder_7" localSheetId="31" hidden="1">#REF!</definedName>
    <definedName name="SpreadsheetBuilder_7" localSheetId="7" hidden="1">#REF!</definedName>
    <definedName name="SpreadsheetBuilder_7" hidden="1">#REF!</definedName>
    <definedName name="SpreadsheetBuilder_8" localSheetId="31" hidden="1">#REF!</definedName>
    <definedName name="SpreadsheetBuilder_8" localSheetId="7" hidden="1">#REF!</definedName>
    <definedName name="SpreadsheetBuilder_8" hidden="1">#REF!</definedName>
    <definedName name="SPWS_WBID">"5C3BEB3C-3631-11D4-B07C-00104BC5D17F"</definedName>
    <definedName name="SR_BW_IS_4th_Pass" hidden="1">"47QU7MQZS7AA0RL6O5BR5NO4Z"</definedName>
    <definedName name="SRB">#REF!</definedName>
    <definedName name="srg" localSheetId="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31"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0"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rh">#REF!</definedName>
    <definedName name="srrl">#REF!</definedName>
    <definedName name="ssdo" localSheetId="1" hidden="1">#REF!</definedName>
    <definedName name="ssdo" localSheetId="30" hidden="1">#REF!</definedName>
    <definedName name="ssdo" localSheetId="31" hidden="1">#REF!</definedName>
    <definedName name="ssdo" localSheetId="7" hidden="1">#REF!</definedName>
    <definedName name="ssdo" localSheetId="9" hidden="1">#REF!</definedName>
    <definedName name="ssdo" hidden="1">#REF!</definedName>
    <definedName name="SSExp" localSheetId="7">#REF!</definedName>
    <definedName name="SSExp">#REF!</definedName>
    <definedName name="SSPlant" localSheetId="7">#REF!</definedName>
    <definedName name="SSPlant">#REF!</definedName>
    <definedName name="SSS" localSheetId="7">#REF!</definedName>
    <definedName name="SSS">#REF!</definedName>
    <definedName name="sssset" localSheetId="1" hidden="1">#REF!</definedName>
    <definedName name="sssset" localSheetId="30" hidden="1">#REF!</definedName>
    <definedName name="sssset" localSheetId="31" hidden="1">#REF!</definedName>
    <definedName name="sssset" localSheetId="7" hidden="1">#REF!</definedName>
    <definedName name="sssset" localSheetId="9" hidden="1">#REF!</definedName>
    <definedName name="sssset" hidden="1">#REF!</definedName>
    <definedName name="Start_Row">#REF!</definedName>
    <definedName name="State_factor">#REF!</definedName>
    <definedName name="statsrevised" localSheetId="1"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30" hidden="1">{#N/A,#N/A,FALSE,"O&amp;M by processes";#N/A,#N/A,FALSE,"Elec Act vs Bud";#N/A,#N/A,FALSE,"G&amp;A";#N/A,#N/A,FALSE,"BGS";#N/A,#N/A,FALSE,"Res Cost"}</definedName>
    <definedName name="statsrevised" localSheetId="31"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7" hidden="1">{#N/A,#N/A,FALSE,"O&amp;M by processes";#N/A,#N/A,FALSE,"Elec Act vs Bud";#N/A,#N/A,FALSE,"G&amp;A";#N/A,#N/A,FALSE,"BGS";#N/A,#N/A,FALSE,"Res Cost"}</definedName>
    <definedName name="statsrevised" localSheetId="0" hidden="1">{#N/A,#N/A,FALSE,"O&amp;M by processes";#N/A,#N/A,FALSE,"Elec Act vs Bud";#N/A,#N/A,FALSE,"G&amp;A";#N/A,#N/A,FALSE,"BGS";#N/A,#N/A,FALSE,"Res Cost"}</definedName>
    <definedName name="statsrevised" localSheetId="10" hidden="1">{#N/A,#N/A,FALSE,"O&amp;M by processes";#N/A,#N/A,FALSE,"Elec Act vs Bud";#N/A,#N/A,FALSE,"G&amp;A";#N/A,#N/A,FALSE,"BGS";#N/A,#N/A,FALSE,"Res Cost"}</definedName>
    <definedName name="statsrevised" localSheetId="12"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hidden="1">{#N/A,#N/A,FALSE,"O&amp;M by processes";#N/A,#N/A,FALSE,"Elec Act vs Bud";#N/A,#N/A,FALSE,"G&amp;A";#N/A,#N/A,FALSE,"BGS";#N/A,#N/A,FALSE,"Res Cost"}</definedName>
    <definedName name="STD_Rate">#REF!</definedName>
    <definedName name="SteamGroups">#REF!</definedName>
    <definedName name="stock" localSheetId="7" hidden="1">{"EM",#N/A,FALSE,"EM";"EM_Quarterly",#N/A,FALSE,"EM";"BS",#N/A,FALSE,"BS";"CF",#N/A,FALSE,"CF"}</definedName>
    <definedName name="stock" localSheetId="10" hidden="1">{"EM",#N/A,FALSE,"EM";"EM_Quarterly",#N/A,FALSE,"EM";"BS",#N/A,FALSE,"BS";"CF",#N/A,FALSE,"CF"}</definedName>
    <definedName name="stock" localSheetId="12" hidden="1">{"EM",#N/A,FALSE,"EM";"EM_Quarterly",#N/A,FALSE,"EM";"BS",#N/A,FALSE,"BS";"CF",#N/A,FALSE,"CF"}</definedName>
    <definedName name="stock" hidden="1">{"EM",#N/A,FALSE,"EM";"EM_Quarterly",#N/A,FALSE,"EM";"BS",#N/A,FALSE,"BS";"CF",#N/A,FALSE,"CF"}</definedName>
    <definedName name="stock1" localSheetId="7" hidden="1">{"EM",#N/A,FALSE,"EM";"EM_Quarterly",#N/A,FALSE,"EM";"BS",#N/A,FALSE,"BS";"CF",#N/A,FALSE,"CF"}</definedName>
    <definedName name="stock1" localSheetId="10" hidden="1">{"EM",#N/A,FALSE,"EM";"EM_Quarterly",#N/A,FALSE,"EM";"BS",#N/A,FALSE,"BS";"CF",#N/A,FALSE,"CF"}</definedName>
    <definedName name="stock1" localSheetId="12" hidden="1">{"EM",#N/A,FALSE,"EM";"EM_Quarterly",#N/A,FALSE,"EM";"BS",#N/A,FALSE,"BS";"CF",#N/A,FALSE,"CF"}</definedName>
    <definedName name="stock1" hidden="1">{"EM",#N/A,FALSE,"EM";"EM_Quarterly",#N/A,FALSE,"EM";"BS",#N/A,FALSE,"BS";"CF",#N/A,FALSE,"CF"}</definedName>
    <definedName name="Stockprice" localSheetId="12">#REF!</definedName>
    <definedName name="Stockprice">#REF!</definedName>
    <definedName name="Sttax" localSheetId="7">#REF!</definedName>
    <definedName name="Sttax" localSheetId="12">#REF!</definedName>
    <definedName name="Sttax">#REF!</definedName>
    <definedName name="Study_Company" localSheetId="7">#REF!</definedName>
    <definedName name="Study_Company">#REF!</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sub_annres_42">#REF!</definedName>
    <definedName name="sub_mcd_annres_42">#REF!</definedName>
    <definedName name="Sub_Names" localSheetId="10">#REF!</definedName>
    <definedName name="Sub_Names">#REF!</definedName>
    <definedName name="subpart" localSheetId="7" hidden="1">{#N/A,#N/A,FALSE,"Summary";#N/A,#N/A,FALSE,"Fed.State Prov";#N/A,#N/A,FALSE,"Foreign Prov";#N/A,#N/A,FALSE,"Thera Fgrn";#N/A,#N/A,FALSE,"CCD Fgrn";#N/A,#N/A,FALSE,"Biocine Fgrn";#N/A,#N/A,FALSE,"Vision Fgrn";#N/A,#N/A,FALSE,"Frgn vs Dom"}</definedName>
    <definedName name="subpart" localSheetId="10" hidden="1">{#N/A,#N/A,FALSE,"Summary";#N/A,#N/A,FALSE,"Fed.State Prov";#N/A,#N/A,FALSE,"Foreign Prov";#N/A,#N/A,FALSE,"Thera Fgrn";#N/A,#N/A,FALSE,"CCD Fgrn";#N/A,#N/A,FALSE,"Biocine Fgrn";#N/A,#N/A,FALSE,"Vision Fgrn";#N/A,#N/A,FALSE,"Frgn vs Dom"}</definedName>
    <definedName name="subpart" localSheetId="12" hidden="1">{#N/A,#N/A,FALSE,"Summary";#N/A,#N/A,FALSE,"Fed.State Prov";#N/A,#N/A,FALSE,"Foreign Prov";#N/A,#N/A,FALSE,"Thera Fgrn";#N/A,#N/A,FALSE,"CCD Fgrn";#N/A,#N/A,FALSE,"Biocine Fgrn";#N/A,#N/A,FALSE,"Vision Fgrn";#N/A,#N/A,FALSE,"Frgn vs Dom"}</definedName>
    <definedName name="subpart" hidden="1">{#N/A,#N/A,FALSE,"Summary";#N/A,#N/A,FALSE,"Fed.State Prov";#N/A,#N/A,FALSE,"Foreign Prov";#N/A,#N/A,FALSE,"Thera Fgrn";#N/A,#N/A,FALSE,"CCD Fgrn";#N/A,#N/A,FALSE,"Biocine Fgrn";#N/A,#N/A,FALSE,"Vision Fgrn";#N/A,#N/A,FALSE,"Frgn vs Dom"}</definedName>
    <definedName name="SUI.CE">#REF!</definedName>
    <definedName name="SUMMARY">#REF!</definedName>
    <definedName name="SUMU_U" localSheetId="10">#REF!</definedName>
    <definedName name="SUMU_U">#REF!</definedName>
    <definedName name="support" localSheetId="1">#REF!</definedName>
    <definedName name="support" localSheetId="7">#REF!</definedName>
    <definedName name="support" localSheetId="0">#REF!</definedName>
    <definedName name="support" localSheetId="10" hidden="1">{#N/A,#N/A,FALSE,"O&amp;M by processes";#N/A,#N/A,FALSE,"Elec Act vs Bud";#N/A,#N/A,FALSE,"G&amp;A";#N/A,#N/A,FALSE,"BGS";#N/A,#N/A,FALSE,"Res Cost"}</definedName>
    <definedName name="support" localSheetId="12"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1"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30" hidden="1">{#N/A,#N/A,FALSE,"O&amp;M by processes";#N/A,#N/A,FALSE,"Elec Act vs Bud";#N/A,#N/A,FALSE,"G&amp;A";#N/A,#N/A,FALSE,"BGS";#N/A,#N/A,FALSE,"Res Cost"}</definedName>
    <definedName name="supporti" localSheetId="31"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0" hidden="1">{#N/A,#N/A,FALSE,"O&amp;M by processes";#N/A,#N/A,FALSE,"Elec Act vs Bud";#N/A,#N/A,FALSE,"G&amp;A";#N/A,#N/A,FALSE,"BGS";#N/A,#N/A,FALSE,"Res Cost"}</definedName>
    <definedName name="supporti" localSheetId="10" hidden="1">{#N/A,#N/A,FALSE,"O&amp;M by processes";#N/A,#N/A,FALSE,"Elec Act vs Bud";#N/A,#N/A,FALSE,"G&amp;A";#N/A,#N/A,FALSE,"BGS";#N/A,#N/A,FALSE,"Res Cost"}</definedName>
    <definedName name="supporti" localSheetId="12"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hidden="1">{#N/A,#N/A,FALSE,"O&amp;M by processes";#N/A,#N/A,FALSE,"Elec Act vs Bud";#N/A,#N/A,FALSE,"G&amp;A";#N/A,#N/A,FALSE,"BGS";#N/A,#N/A,FALSE,"Res Cost"}</definedName>
    <definedName name="SUTA">#REF!</definedName>
    <definedName name="SUTALimit">#REF!</definedName>
    <definedName name="sv" localSheetId="1" hidden="1">#REF!</definedName>
    <definedName name="sv" localSheetId="17" hidden="1">#REF!</definedName>
    <definedName name="sv" localSheetId="30" hidden="1">#REF!</definedName>
    <definedName name="sv" localSheetId="31" hidden="1">#REF!</definedName>
    <definedName name="sv" localSheetId="7" hidden="1">#REF!</definedName>
    <definedName name="sv" localSheetId="9" hidden="1">#REF!</definedName>
    <definedName name="sv" hidden="1">#REF!</definedName>
    <definedName name="svfdv" localSheetId="1" hidden="1">#REF!</definedName>
    <definedName name="svfdv" localSheetId="31" hidden="1">#REF!</definedName>
    <definedName name="svfdv" localSheetId="7" hidden="1">#REF!</definedName>
    <definedName name="svfdv" localSheetId="9" hidden="1">#REF!</definedName>
    <definedName name="svfdv" hidden="1">#REF!</definedName>
    <definedName name="SWadit">#REF!</definedName>
    <definedName name="SWadv">#REF!</definedName>
    <definedName name="swae" localSheetId="31" hidden="1">#REF!</definedName>
    <definedName name="swae" localSheetId="7" hidden="1">#REF!</definedName>
    <definedName name="swae" hidden="1">#REF!</definedName>
    <definedName name="SWcash">#REF!</definedName>
    <definedName name="SWcwip">#REF!</definedName>
    <definedName name="SWdep">#REF!</definedName>
    <definedName name="SWmatsup">#REF!</definedName>
    <definedName name="SWplant">#REF!</definedName>
    <definedName name="SWpp">#REF!</definedName>
    <definedName name="swr_comp_dep">#REF!</definedName>
    <definedName name="swr_cust_per">#REF!</definedName>
    <definedName name="swr_plt_dep">#REF!</definedName>
    <definedName name="swr_vhle_dep">#REF!</definedName>
    <definedName name="SWstorg" localSheetId="7">#REF!</definedName>
    <definedName name="SWstorg">#REF!</definedName>
    <definedName name="Swvu.All._.of._.Report." localSheetId="7" hidden="1">#REF!</definedName>
    <definedName name="Swvu.All._.of._.Report." localSheetId="10" hidden="1">#REF!</definedName>
    <definedName name="Swvu.All._.of._.Report." hidden="1">#REF!</definedName>
    <definedName name="Swvu.Comments._.MTH." localSheetId="10" hidden="1">#REF!</definedName>
    <definedName name="Swvu.Comments._.MTH." hidden="1">#REF!</definedName>
    <definedName name="Swvu.Comments._.QTR." localSheetId="10" hidden="1">#REF!</definedName>
    <definedName name="Swvu.Comments._.QTR." hidden="1">#REF!</definedName>
    <definedName name="Swvu.Comments._.YTD." localSheetId="10" hidden="1">#REF!</definedName>
    <definedName name="Swvu.Comments._.YTD." hidden="1">#REF!</definedName>
    <definedName name="Swvu.DATABASE." localSheetId="17" hidden="1">#REF!</definedName>
    <definedName name="Swvu.DATABASE." localSheetId="30" hidden="1">#REF!</definedName>
    <definedName name="Swvu.DATABASE." localSheetId="19" hidden="1">#REF!</definedName>
    <definedName name="Swvu.DATABASE." localSheetId="7" hidden="1">#REF!</definedName>
    <definedName name="Swvu.DATABASE." localSheetId="9" hidden="1">#REF!</definedName>
    <definedName name="Swvu.DATABASE." hidden="1">#REF!</definedName>
    <definedName name="Swvu.MTH._.QTR._.YTD." localSheetId="7" hidden="1">#REF!</definedName>
    <definedName name="Swvu.MTH._.QTR._.YTD." localSheetId="10" hidden="1">#REF!</definedName>
    <definedName name="Swvu.MTH._.QTR._.YTD." hidden="1">#REF!</definedName>
    <definedName name="Swvu.MTH._.YTD." localSheetId="10" hidden="1">#REF!</definedName>
    <definedName name="Swvu.MTH._.YTD." hidden="1">#REF!</definedName>
    <definedName name="Swvu.OP." localSheetId="1" hidden="1">#REF!</definedName>
    <definedName name="Swvu.OP." localSheetId="17" hidden="1">#REF!</definedName>
    <definedName name="Swvu.OP." localSheetId="30" hidden="1">#REF!</definedName>
    <definedName name="Swvu.OP." localSheetId="31" hidden="1">#REF!</definedName>
    <definedName name="Swvu.OP." localSheetId="7" hidden="1">#REF!</definedName>
    <definedName name="Swvu.OP." localSheetId="9" hidden="1">#REF!</definedName>
    <definedName name="Swvu.OP." hidden="1">#REF!</definedName>
    <definedName name="T" localSheetId="1">#REF!</definedName>
    <definedName name="T" localSheetId="7">#REF!</definedName>
    <definedName name="T" localSheetId="0">#REF!</definedName>
    <definedName name="t" localSheetId="10" hidden="1">{"summary",#N/A,FALSE,"PCR DIRECTORY"}</definedName>
    <definedName name="t" localSheetId="12" hidden="1">{"summary",#N/A,FALSE,"PCR DIRECTORY"}</definedName>
    <definedName name="t" hidden="1">{"summary",#N/A,FALSE,"PCR DIRECTORY"}</definedName>
    <definedName name="t_3">#REF!</definedName>
    <definedName name="t_4">#REF!</definedName>
    <definedName name="TABLE" localSheetId="12">#REF!</definedName>
    <definedName name="TABLE">#REF!</definedName>
    <definedName name="tar10high">#REF!</definedName>
    <definedName name="tar10low">#REF!</definedName>
    <definedName name="tar11high">#REF!</definedName>
    <definedName name="tar11low">#REF!</definedName>
    <definedName name="tar12high">#REF!</definedName>
    <definedName name="tar12low">#REF!</definedName>
    <definedName name="tar13high">#REF!</definedName>
    <definedName name="tar13low">#REF!</definedName>
    <definedName name="tar14high">#REF!</definedName>
    <definedName name="tar14low">#REF!</definedName>
    <definedName name="tar15high">#REF!</definedName>
    <definedName name="tar15low">#REF!</definedName>
    <definedName name="tar16high">#REF!</definedName>
    <definedName name="tar16low">#REF!</definedName>
    <definedName name="tar17high">#REF!</definedName>
    <definedName name="tar17low">#REF!</definedName>
    <definedName name="tar18high">#REF!</definedName>
    <definedName name="tar18low">#REF!</definedName>
    <definedName name="tar19high">#REF!</definedName>
    <definedName name="tar19low">#REF!</definedName>
    <definedName name="tar1high">#REF!</definedName>
    <definedName name="tar1low">#REF!</definedName>
    <definedName name="tar20high">#REF!</definedName>
    <definedName name="tar20low">#REF!</definedName>
    <definedName name="tar2high">#REF!</definedName>
    <definedName name="tar2low">#REF!</definedName>
    <definedName name="tar3high">#REF!</definedName>
    <definedName name="tar3low">#REF!</definedName>
    <definedName name="tar4high">#REF!</definedName>
    <definedName name="tar4low">#REF!</definedName>
    <definedName name="tar5high">#REF!</definedName>
    <definedName name="tar5low">#REF!</definedName>
    <definedName name="tar6high">#REF!</definedName>
    <definedName name="tar6low">#REF!</definedName>
    <definedName name="tar7high">#REF!</definedName>
    <definedName name="tar7low">#REF!</definedName>
    <definedName name="tar8high">#REF!</definedName>
    <definedName name="tar8low">#REF!</definedName>
    <definedName name="tar9high">#REF!</definedName>
    <definedName name="tar9low">#REF!</definedName>
    <definedName name="Tax_Rate">#REF!</definedName>
    <definedName name="TAXCALC2">#REF!</definedName>
    <definedName name="TAXRATES" localSheetId="7">#REF!</definedName>
    <definedName name="TAXRATES" localSheetId="10">#REF!</definedName>
    <definedName name="TAXRATES">#REF!</definedName>
    <definedName name="TB" localSheetId="10">#REF!</definedName>
    <definedName name="TB">#REF!</definedName>
    <definedName name="tbsm01">#REF!</definedName>
    <definedName name="tbwn01">#REF!</definedName>
    <definedName name="tbwn02">#REF!</definedName>
    <definedName name="TC.CE" localSheetId="10">#REF!</definedName>
    <definedName name="TC.CE">#REF!</definedName>
    <definedName name="teast" localSheetId="7" hidden="1">{#N/A,#N/A,TRUE,"TOTAL DSBN";#N/A,#N/A,TRUE,"WEST";#N/A,#N/A,TRUE,"SOUTH";#N/A,#N/A,TRUE,"NORTHEAST"}</definedName>
    <definedName name="teast" localSheetId="10" hidden="1">{#N/A,#N/A,TRUE,"TOTAL DSBN";#N/A,#N/A,TRUE,"WEST";#N/A,#N/A,TRUE,"SOUTH";#N/A,#N/A,TRUE,"NORTHEAST"}</definedName>
    <definedName name="teast" localSheetId="12" hidden="1">{#N/A,#N/A,TRUE,"TOTAL DSBN";#N/A,#N/A,TRUE,"WEST";#N/A,#N/A,TRUE,"SOUTH";#N/A,#N/A,TRUE,"NORTHEAST"}</definedName>
    <definedName name="teast" hidden="1">{#N/A,#N/A,TRUE,"TOTAL DSBN";#N/A,#N/A,TRUE,"WEST";#N/A,#N/A,TRUE,"SOUTH";#N/A,#N/A,TRUE,"NORTHEAST"}</definedName>
    <definedName name="TEFRA" localSheetId="1" hidden="1">{"summary",#N/A,TRUE,"E93ADJ";"detail",#N/A,TRUE,"E93ADJ"}</definedName>
    <definedName name="TEFRA" localSheetId="17" hidden="1">{"summary",#N/A,TRUE,"E93ADJ";"detail",#N/A,TRUE,"E93ADJ"}</definedName>
    <definedName name="TEFRA" localSheetId="30" hidden="1">{"summary",#N/A,TRUE,"E93ADJ";"detail",#N/A,TRUE,"E93ADJ"}</definedName>
    <definedName name="TEFRA" localSheetId="31" hidden="1">{"summary",#N/A,TRUE,"E93ADJ";"detail",#N/A,TRUE,"E93ADJ"}</definedName>
    <definedName name="TEFRA" localSheetId="19" hidden="1">{"summary",#N/A,TRUE,"E93ADJ";"detail",#N/A,TRUE,"E93ADJ"}</definedName>
    <definedName name="TEFRA" localSheetId="7" hidden="1">{"summary",#N/A,TRUE,"E93ADJ";"detail",#N/A,TRUE,"E93ADJ"}</definedName>
    <definedName name="TEFRA" localSheetId="0" hidden="1">{"summary",#N/A,TRUE,"E93ADJ";"detail",#N/A,TRUE,"E93ADJ"}</definedName>
    <definedName name="TEFRA" localSheetId="10" hidden="1">{"summary",#N/A,TRUE,"E93ADJ";"detail",#N/A,TRUE,"E93ADJ"}</definedName>
    <definedName name="TEFRA" localSheetId="12" hidden="1">{"summary",#N/A,TRUE,"E93ADJ";"detail",#N/A,TRUE,"E93ADJ"}</definedName>
    <definedName name="TEFRA" localSheetId="9" hidden="1">{"summary",#N/A,TRUE,"E93ADJ";"detail",#N/A,TRUE,"E93ADJ"}</definedName>
    <definedName name="TEFRA" hidden="1">{"summary",#N/A,TRUE,"E93ADJ";"detail",#N/A,TRUE,"E93ADJ"}</definedName>
    <definedName name="Temp" localSheetId="1" hidden="1">{"ARK_JURIS_FUEL",#N/A,FALSE,"Ark_Fuel&amp;Rev"}</definedName>
    <definedName name="Temp" localSheetId="17" hidden="1">{"ARK_JURIS_FUEL",#N/A,FALSE,"Ark_Fuel&amp;Rev"}</definedName>
    <definedName name="Temp" localSheetId="30" hidden="1">{"ARK_JURIS_FUEL",#N/A,FALSE,"Ark_Fuel&amp;Rev"}</definedName>
    <definedName name="Temp" localSheetId="31" hidden="1">{"ARK_JURIS_FUEL",#N/A,FALSE,"Ark_Fuel&amp;Rev"}</definedName>
    <definedName name="Temp" localSheetId="19" hidden="1">{"ARK_JURIS_FUEL",#N/A,FALSE,"Ark_Fuel&amp;Rev"}</definedName>
    <definedName name="Temp" localSheetId="7" hidden="1">{"ARK_JURIS_FUEL",#N/A,FALSE,"Ark_Fuel&amp;Rev"}</definedName>
    <definedName name="Temp" localSheetId="0" hidden="1">{"ARK_JURIS_FUEL",#N/A,FALSE,"Ark_Fuel&amp;Rev"}</definedName>
    <definedName name="Temp" localSheetId="10" hidden="1">{"ARK_JURIS_FUEL",#N/A,FALSE,"Ark_Fuel&amp;Rev"}</definedName>
    <definedName name="Temp" localSheetId="12" hidden="1">{"ARK_JURIS_FUEL",#N/A,FALSE,"Ark_Fuel&amp;Rev"}</definedName>
    <definedName name="Temp" localSheetId="9" hidden="1">{"ARK_JURIS_FUEL",#N/A,FALSE,"Ark_Fuel&amp;Rev"}</definedName>
    <definedName name="Temp" hidden="1">{"ARK_JURIS_FUEL",#N/A,FALSE,"Ark_Fuel&amp;Rev"}</definedName>
    <definedName name="TemplatePrintArea" localSheetId="10">#REF!</definedName>
    <definedName name="TemplatePrintArea">#REF!</definedName>
    <definedName name="TempLookup" localSheetId="10">#REF!</definedName>
    <definedName name="TempLookup">#REF!</definedName>
    <definedName name="test" localSheetId="1" hidden="1">#REF!</definedName>
    <definedName name="test" localSheetId="30" hidden="1">#REF!</definedName>
    <definedName name="test" localSheetId="19" hidden="1">#REF!</definedName>
    <definedName name="test" localSheetId="7" hidden="1">#REF!</definedName>
    <definedName name="test" localSheetId="0" hidden="1">#REF!</definedName>
    <definedName name="test" localSheetId="10" hidden="1">{"LBO Summary",#N/A,FALSE,"Summary"}</definedName>
    <definedName name="test" localSheetId="12" hidden="1">{"LBO Summary",#N/A,FALSE,"Summary"}</definedName>
    <definedName name="test" localSheetId="9" hidden="1">#REF!</definedName>
    <definedName name="test" hidden="1">{"LBO Summary",#N/A,FALSE,"Summary"}</definedName>
    <definedName name="test_year_end_date">#REF!</definedName>
    <definedName name="test1" localSheetId="1" hidden="1">{#N/A,#N/A,TRUE,"Bill Comp - 60";#N/A,#N/A,TRUE,"Bill Comp - 70";#N/A,#N/A,TRUE,"Bill Comp - 71";#N/A,#N/A,TRUE,"Bill Comp- 85"}</definedName>
    <definedName name="test1" localSheetId="17" hidden="1">{#N/A,#N/A,TRUE,"Bill Comp - 60";#N/A,#N/A,TRUE,"Bill Comp - 70";#N/A,#N/A,TRUE,"Bill Comp - 71";#N/A,#N/A,TRUE,"Bill Comp- 85"}</definedName>
    <definedName name="test1" localSheetId="30" hidden="1">{#N/A,#N/A,TRUE,"Bill Comp - 60";#N/A,#N/A,TRUE,"Bill Comp - 70";#N/A,#N/A,TRUE,"Bill Comp - 71";#N/A,#N/A,TRUE,"Bill Comp- 85"}</definedName>
    <definedName name="test1" localSheetId="31" hidden="1">{#N/A,#N/A,TRUE,"Bill Comp - 60";#N/A,#N/A,TRUE,"Bill Comp - 70";#N/A,#N/A,TRUE,"Bill Comp - 71";#N/A,#N/A,TRUE,"Bill Comp- 85"}</definedName>
    <definedName name="test1" localSheetId="19" hidden="1">{#N/A,#N/A,TRUE,"Bill Comp - 60";#N/A,#N/A,TRUE,"Bill Comp - 70";#N/A,#N/A,TRUE,"Bill Comp - 71";#N/A,#N/A,TRUE,"Bill Comp- 85"}</definedName>
    <definedName name="test1" localSheetId="7" hidden="1">{#N/A,#N/A,TRUE,"Bill Comp - 60";#N/A,#N/A,TRUE,"Bill Comp - 70";#N/A,#N/A,TRUE,"Bill Comp - 71";#N/A,#N/A,TRUE,"Bill Comp- 85"}</definedName>
    <definedName name="test1" localSheetId="0" hidden="1">{#N/A,#N/A,TRUE,"Bill Comp - 60";#N/A,#N/A,TRUE,"Bill Comp - 70";#N/A,#N/A,TRUE,"Bill Comp - 71";#N/A,#N/A,TRUE,"Bill Comp- 85"}</definedName>
    <definedName name="test1" localSheetId="10" hidden="1">{#N/A,#N/A,TRUE,"Bill Comp - 60";#N/A,#N/A,TRUE,"Bill Comp - 70";#N/A,#N/A,TRUE,"Bill Comp - 71";#N/A,#N/A,TRUE,"Bill Comp- 85"}</definedName>
    <definedName name="test1" localSheetId="12" hidden="1">{#N/A,#N/A,TRUE,"Bill Comp - 60";#N/A,#N/A,TRUE,"Bill Comp - 70";#N/A,#N/A,TRUE,"Bill Comp - 71";#N/A,#N/A,TRUE,"Bill Comp- 85"}</definedName>
    <definedName name="test1" localSheetId="9" hidden="1">{#N/A,#N/A,TRUE,"Bill Comp - 60";#N/A,#N/A,TRUE,"Bill Comp - 70";#N/A,#N/A,TRUE,"Bill Comp - 71";#N/A,#N/A,TRUE,"Bill Comp- 85"}</definedName>
    <definedName name="test1" hidden="1">{#N/A,#N/A,TRUE,"Bill Comp - 60";#N/A,#N/A,TRUE,"Bill Comp - 70";#N/A,#N/A,TRUE,"Bill Comp - 71";#N/A,#N/A,TRUE,"Bill Comp- 85"}</definedName>
    <definedName name="test11" localSheetId="1" hidden="1">{#N/A,"Anonymous",FALSE,"30 30k Table";#N/A,#N/A,FALSE,"30 50k Table";#N/A,#N/A,FALSE,"40 100k Table"}</definedName>
    <definedName name="test11" localSheetId="17" hidden="1">{#N/A,"Anonymous",FALSE,"30 30k Table";#N/A,#N/A,FALSE,"30 50k Table";#N/A,#N/A,FALSE,"40 100k Table"}</definedName>
    <definedName name="test11" localSheetId="30" hidden="1">{#N/A,"Anonymous",FALSE,"30 30k Table";#N/A,#N/A,FALSE,"30 50k Table";#N/A,#N/A,FALSE,"40 100k Table"}</definedName>
    <definedName name="test11" localSheetId="31" hidden="1">{#N/A,"Anonymous",FALSE,"30 30k Table";#N/A,#N/A,FALSE,"30 50k Table";#N/A,#N/A,FALSE,"40 100k Table"}</definedName>
    <definedName name="test11" localSheetId="19" hidden="1">{#N/A,"Anonymous",FALSE,"30 30k Table";#N/A,#N/A,FALSE,"30 50k Table";#N/A,#N/A,FALSE,"40 100k Table"}</definedName>
    <definedName name="test11" localSheetId="7" hidden="1">{#N/A,"Anonymous",FALSE,"30 30k Table";#N/A,#N/A,FALSE,"30 50k Table";#N/A,#N/A,FALSE,"40 100k Table"}</definedName>
    <definedName name="test11" localSheetId="0" hidden="1">{#N/A,"Anonymous",FALSE,"30 30k Table";#N/A,#N/A,FALSE,"30 50k Table";#N/A,#N/A,FALSE,"40 100k Table"}</definedName>
    <definedName name="test11" localSheetId="10" hidden="1">{#N/A,"Anonymous",FALSE,"30 30k Table";#N/A,#N/A,FALSE,"30 50k Table";#N/A,#N/A,FALSE,"40 100k Table"}</definedName>
    <definedName name="test11" localSheetId="12" hidden="1">{#N/A,"Anonymous",FALSE,"30 30k Table";#N/A,#N/A,FALSE,"30 50k Table";#N/A,#N/A,FALSE,"40 100k Table"}</definedName>
    <definedName name="test11" localSheetId="9" hidden="1">{#N/A,"Anonymous",FALSE,"30 30k Table";#N/A,#N/A,FALSE,"30 50k Table";#N/A,#N/A,FALSE,"40 100k Table"}</definedName>
    <definedName name="test11" hidden="1">{#N/A,"Anonymous",FALSE,"30 30k Table";#N/A,#N/A,FALSE,"30 50k Table";#N/A,#N/A,FALSE,"40 100k Table"}</definedName>
    <definedName name="test12" localSheetId="7" hidden="1">{"assumptions",#N/A,FALSE,"Scenario 1";"valuation",#N/A,FALSE,"Scenario 1"}</definedName>
    <definedName name="test12" localSheetId="10" hidden="1">{"assumptions",#N/A,FALSE,"Scenario 1";"valuation",#N/A,FALSE,"Scenario 1"}</definedName>
    <definedName name="test12" localSheetId="12" hidden="1">{"assumptions",#N/A,FALSE,"Scenario 1";"valuation",#N/A,FALSE,"Scenario 1"}</definedName>
    <definedName name="test12" hidden="1">{"assumptions",#N/A,FALSE,"Scenario 1";"valuation",#N/A,FALSE,"Scenario 1"}</definedName>
    <definedName name="test13" localSheetId="7" hidden="1">{"LBO Summary",#N/A,FALSE,"Summary"}</definedName>
    <definedName name="test13" localSheetId="10" hidden="1">{"LBO Summary",#N/A,FALSE,"Summary"}</definedName>
    <definedName name="test13" localSheetId="12" hidden="1">{"LBO Summary",#N/A,FALSE,"Summary"}</definedName>
    <definedName name="test13" hidden="1">{"LBO Summary",#N/A,FALSE,"Summary"}</definedName>
    <definedName name="test14" localSheetId="7" hidden="1">{"LBO Summary",#N/A,FALSE,"Summary";"Income Statement",#N/A,FALSE,"Model";"Cash Flow",#N/A,FALSE,"Model";"Balance Sheet",#N/A,FALSE,"Model";"Working Capital",#N/A,FALSE,"Model";"Pro Forma Balance Sheets",#N/A,FALSE,"PFBS";"Debt Balances",#N/A,FALSE,"Model";"Fee Schedules",#N/A,FALSE,"Model"}</definedName>
    <definedName name="test14" localSheetId="10" hidden="1">{"LBO Summary",#N/A,FALSE,"Summary";"Income Statement",#N/A,FALSE,"Model";"Cash Flow",#N/A,FALSE,"Model";"Balance Sheet",#N/A,FALSE,"Model";"Working Capital",#N/A,FALSE,"Model";"Pro Forma Balance Sheets",#N/A,FALSE,"PFBS";"Debt Balances",#N/A,FALSE,"Model";"Fee Schedules",#N/A,FALSE,"Model"}</definedName>
    <definedName name="test14" localSheetId="12"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7" hidden="1">{"LBO Summary",#N/A,FALSE,"Summary";"Income Statement",#N/A,FALSE,"Model";"Cash Flow",#N/A,FALSE,"Model";"Balance Sheet",#N/A,FALSE,"Model";"Working Capital",#N/A,FALSE,"Model";"Pro Forma Balance Sheets",#N/A,FALSE,"PFBS";"Debt Balances",#N/A,FALSE,"Model";"Fee Schedules",#N/A,FALSE,"Model"}</definedName>
    <definedName name="test15" localSheetId="10" hidden="1">{"LBO Summary",#N/A,FALSE,"Summary";"Income Statement",#N/A,FALSE,"Model";"Cash Flow",#N/A,FALSE,"Model";"Balance Sheet",#N/A,FALSE,"Model";"Working Capital",#N/A,FALSE,"Model";"Pro Forma Balance Sheets",#N/A,FALSE,"PFBS";"Debt Balances",#N/A,FALSE,"Model";"Fee Schedules",#N/A,FALSE,"Model"}</definedName>
    <definedName name="test15" localSheetId="12"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7" hidden="1">{"LBO Summary",#N/A,FALSE,"Summary";"Income Statement",#N/A,FALSE,"Model";"Cash Flow",#N/A,FALSE,"Model";"Balance Sheet",#N/A,FALSE,"Model";"Working Capital",#N/A,FALSE,"Model";"Pro Forma Balance Sheets",#N/A,FALSE,"PFBS";"Debt Balances",#N/A,FALSE,"Model";"Fee Schedules",#N/A,FALSE,"Model"}</definedName>
    <definedName name="test16" localSheetId="10" hidden="1">{"LBO Summary",#N/A,FALSE,"Summary";"Income Statement",#N/A,FALSE,"Model";"Cash Flow",#N/A,FALSE,"Model";"Balance Sheet",#N/A,FALSE,"Model";"Working Capital",#N/A,FALSE,"Model";"Pro Forma Balance Sheets",#N/A,FALSE,"PFBS";"Debt Balances",#N/A,FALSE,"Model";"Fee Schedules",#N/A,FALSE,"Model"}</definedName>
    <definedName name="test16" localSheetId="12"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7" hidden="1">{"Income Statement",#N/A,FALSE,"CFMODEL";"Balance Sheet",#N/A,FALSE,"CFMODEL"}</definedName>
    <definedName name="test2" localSheetId="10" hidden="1">{"Income Statement",#N/A,FALSE,"CFMODEL";"Balance Sheet",#N/A,FALSE,"CFMODEL"}</definedName>
    <definedName name="test2" localSheetId="12" hidden="1">{"Income Statement",#N/A,FALSE,"CFMODEL";"Balance Sheet",#N/A,FALSE,"CFMODEL"}</definedName>
    <definedName name="test2" hidden="1">{"Income Statement",#N/A,FALSE,"CFMODEL";"Balance Sheet",#N/A,FALSE,"CFMODEL"}</definedName>
    <definedName name="test3" localSheetId="7" hidden="1">{"Income Statement",#N/A,FALSE,"CFMODEL";"Balance Sheet",#N/A,FALSE,"CFMODEL"}</definedName>
    <definedName name="test3" localSheetId="10" hidden="1">{"Income Statement",#N/A,FALSE,"CFMODEL";"Balance Sheet",#N/A,FALSE,"CFMODEL"}</definedName>
    <definedName name="test3" localSheetId="12" hidden="1">{"Income Statement",#N/A,FALSE,"CFMODEL";"Balance Sheet",#N/A,FALSE,"CFMODEL"}</definedName>
    <definedName name="test3" hidden="1">{"Income Statement",#N/A,FALSE,"CFMODEL";"Balance Sheet",#N/A,FALSE,"CFMODEL"}</definedName>
    <definedName name="testing" localSheetId="1" hidden="1">{#N/A,"Anonymous",FALSE,"30 30k Table";#N/A,#N/A,FALSE,"30 50k Table";#N/A,#N/A,FALSE,"40 100k Table"}</definedName>
    <definedName name="testing" localSheetId="17" hidden="1">{#N/A,"Anonymous",FALSE,"30 30k Table";#N/A,#N/A,FALSE,"30 50k Table";#N/A,#N/A,FALSE,"40 100k Table"}</definedName>
    <definedName name="testing" localSheetId="30" hidden="1">{#N/A,"Anonymous",FALSE,"30 30k Table";#N/A,#N/A,FALSE,"30 50k Table";#N/A,#N/A,FALSE,"40 100k Table"}</definedName>
    <definedName name="testing" localSheetId="31" hidden="1">{#N/A,"Anonymous",FALSE,"30 30k Table";#N/A,#N/A,FALSE,"30 50k Table";#N/A,#N/A,FALSE,"40 100k Table"}</definedName>
    <definedName name="testing" localSheetId="19" hidden="1">{#N/A,"Anonymous",FALSE,"30 30k Table";#N/A,#N/A,FALSE,"30 50k Table";#N/A,#N/A,FALSE,"40 100k Table"}</definedName>
    <definedName name="testing" localSheetId="7" hidden="1">{#N/A,"Anonymous",FALSE,"30 30k Table";#N/A,#N/A,FALSE,"30 50k Table";#N/A,#N/A,FALSE,"40 100k Table"}</definedName>
    <definedName name="testing" localSheetId="0" hidden="1">{#N/A,"Anonymous",FALSE,"30 30k Table";#N/A,#N/A,FALSE,"30 50k Table";#N/A,#N/A,FALSE,"40 100k Table"}</definedName>
    <definedName name="testing" localSheetId="10" hidden="1">{"detail305",#N/A,FALSE,"BI-305"}</definedName>
    <definedName name="testing" localSheetId="12" hidden="1">{"detail305",#N/A,FALSE,"BI-305"}</definedName>
    <definedName name="testing" localSheetId="9" hidden="1">{#N/A,"Anonymous",FALSE,"30 30k Table";#N/A,#N/A,FALSE,"30 50k Table";#N/A,#N/A,FALSE,"40 100k Table"}</definedName>
    <definedName name="testing" hidden="1">{"detail305",#N/A,FALSE,"BI-305"}</definedName>
    <definedName name="TESTPERIOD">#REF!</definedName>
    <definedName name="TestPeriodDate">#REF!</definedName>
    <definedName name="TESTYEAR">#REF!</definedName>
    <definedName name="TestYr">#REF!</definedName>
    <definedName name="TextRefCopyRangeCount" hidden="1">10</definedName>
    <definedName name="thousand">#REF!</definedName>
    <definedName name="Ticker">""</definedName>
    <definedName name="Time" hidden="1">"b1"</definedName>
    <definedName name="TN.1">#REF!</definedName>
    <definedName name="TN.3" localSheetId="10">#REF!</definedName>
    <definedName name="TN.3">#REF!</definedName>
    <definedName name="TN.5" localSheetId="10">#REF!</definedName>
    <definedName name="TN.5">#REF!</definedName>
    <definedName name="TN.CE" localSheetId="10">#REF!</definedName>
    <definedName name="TN.CE">#REF!</definedName>
    <definedName name="TN.CEP" localSheetId="10">#REF!</definedName>
    <definedName name="TN.CEP">#REF!</definedName>
    <definedName name="toma" localSheetId="7" hidden="1">{#N/A,#N/A,FALSE,"O&amp;M by processes";#N/A,#N/A,FALSE,"Elec Act vs Bud";#N/A,#N/A,FALSE,"G&amp;A";#N/A,#N/A,FALSE,"BGS";#N/A,#N/A,FALSE,"Res Cost"}</definedName>
    <definedName name="toma" localSheetId="10" hidden="1">{#N/A,#N/A,FALSE,"O&amp;M by processes";#N/A,#N/A,FALSE,"Elec Act vs Bud";#N/A,#N/A,FALSE,"G&amp;A";#N/A,#N/A,FALSE,"BGS";#N/A,#N/A,FALSE,"Res Cost"}</definedName>
    <definedName name="toma" localSheetId="12"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7" hidden="1">{#N/A,#N/A,FALSE,"O&amp;M by processes";#N/A,#N/A,FALSE,"Elec Act vs Bud";#N/A,#N/A,FALSE,"G&amp;A";#N/A,#N/A,FALSE,"BGS";#N/A,#N/A,FALSE,"Res Cost"}</definedName>
    <definedName name="tomb" localSheetId="10" hidden="1">{#N/A,#N/A,FALSE,"O&amp;M by processes";#N/A,#N/A,FALSE,"Elec Act vs Bud";#N/A,#N/A,FALSE,"G&amp;A";#N/A,#N/A,FALSE,"BGS";#N/A,#N/A,FALSE,"Res Cost"}</definedName>
    <definedName name="tomb" localSheetId="12"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7" hidden="1">{#N/A,#N/A,FALSE,"O&amp;M by processes";#N/A,#N/A,FALSE,"Elec Act vs Bud";#N/A,#N/A,FALSE,"G&amp;A";#N/A,#N/A,FALSE,"BGS";#N/A,#N/A,FALSE,"Res Cost"}</definedName>
    <definedName name="tomc" localSheetId="10" hidden="1">{#N/A,#N/A,FALSE,"O&amp;M by processes";#N/A,#N/A,FALSE,"Elec Act vs Bud";#N/A,#N/A,FALSE,"G&amp;A";#N/A,#N/A,FALSE,"BGS";#N/A,#N/A,FALSE,"Res Cost"}</definedName>
    <definedName name="tomc" localSheetId="12"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7" hidden="1">{#N/A,#N/A,FALSE,"O&amp;M by processes";#N/A,#N/A,FALSE,"Elec Act vs Bud";#N/A,#N/A,FALSE,"G&amp;A";#N/A,#N/A,FALSE,"BGS";#N/A,#N/A,FALSE,"Res Cost"}</definedName>
    <definedName name="tomd" localSheetId="10" hidden="1">{#N/A,#N/A,FALSE,"O&amp;M by processes";#N/A,#N/A,FALSE,"Elec Act vs Bud";#N/A,#N/A,FALSE,"G&amp;A";#N/A,#N/A,FALSE,"BGS";#N/A,#N/A,FALSE,"Res Cost"}</definedName>
    <definedName name="tomd" localSheetId="12"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7" hidden="1">{#N/A,#N/A,FALSE,"O&amp;M by processes";#N/A,#N/A,FALSE,"Elec Act vs Bud";#N/A,#N/A,FALSE,"G&amp;A";#N/A,#N/A,FALSE,"BGS";#N/A,#N/A,FALSE,"Res Cost"}</definedName>
    <definedName name="tomx" localSheetId="10" hidden="1">{#N/A,#N/A,FALSE,"O&amp;M by processes";#N/A,#N/A,FALSE,"Elec Act vs Bud";#N/A,#N/A,FALSE,"G&amp;A";#N/A,#N/A,FALSE,"BGS";#N/A,#N/A,FALSE,"Res Cost"}</definedName>
    <definedName name="tomx" localSheetId="12"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7" hidden="1">{#N/A,#N/A,FALSE,"O&amp;M by processes";#N/A,#N/A,FALSE,"Elec Act vs Bud";#N/A,#N/A,FALSE,"G&amp;A";#N/A,#N/A,FALSE,"BGS";#N/A,#N/A,FALSE,"Res Cost"}</definedName>
    <definedName name="tomy" localSheetId="10" hidden="1">{#N/A,#N/A,FALSE,"O&amp;M by processes";#N/A,#N/A,FALSE,"Elec Act vs Bud";#N/A,#N/A,FALSE,"G&amp;A";#N/A,#N/A,FALSE,"BGS";#N/A,#N/A,FALSE,"Res Cost"}</definedName>
    <definedName name="tomy" localSheetId="12"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7" hidden="1">{#N/A,#N/A,FALSE,"O&amp;M by processes";#N/A,#N/A,FALSE,"Elec Act vs Bud";#N/A,#N/A,FALSE,"G&amp;A";#N/A,#N/A,FALSE,"BGS";#N/A,#N/A,FALSE,"Res Cost"}</definedName>
    <definedName name="tomz" localSheetId="10" hidden="1">{#N/A,#N/A,FALSE,"O&amp;M by processes";#N/A,#N/A,FALSE,"Elec Act vs Bud";#N/A,#N/A,FALSE,"G&amp;A";#N/A,#N/A,FALSE,"BGS";#N/A,#N/A,FALSE,"Res Cost"}</definedName>
    <definedName name="tomz" localSheetId="12" hidden="1">{#N/A,#N/A,FALSE,"O&amp;M by processes";#N/A,#N/A,FALSE,"Elec Act vs Bud";#N/A,#N/A,FALSE,"G&amp;A";#N/A,#N/A,FALSE,"BGS";#N/A,#N/A,FALSE,"Res Cost"}</definedName>
    <definedName name="tomz" hidden="1">{#N/A,#N/A,FALSE,"O&amp;M by processes";#N/A,#N/A,FALSE,"Elec Act vs Bud";#N/A,#N/A,FALSE,"G&amp;A";#N/A,#N/A,FALSE,"BGS";#N/A,#N/A,FALSE,"Res Cost"}</definedName>
    <definedName name="to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#REF!</definedName>
    <definedName name="TOT.CNC.CE" localSheetId="7">#REF!</definedName>
    <definedName name="TOT.CNC.CE" localSheetId="10">#REF!</definedName>
    <definedName name="TOT.CNC.CE">#REF!</definedName>
    <definedName name="TOTadit" localSheetId="7">#REF!</definedName>
    <definedName name="TOTadit">#REF!</definedName>
    <definedName name="TOTadv">#REF!</definedName>
    <definedName name="Total_Interest" localSheetId="10">#REF!</definedName>
    <definedName name="Total_Interest">#REF!</definedName>
    <definedName name="Total_Pay" localSheetId="10">#REF!</definedName>
    <definedName name="Total_Pay">#REF!</definedName>
    <definedName name="Total_Payment" localSheetId="7">Scheduled_Payment+Extra_Payment</definedName>
    <definedName name="Total_Payment" localSheetId="10">Scheduled_Payment+Extra_Payment</definedName>
    <definedName name="Total_Payment" localSheetId="12">Scheduled_Payment+Extra_Payment</definedName>
    <definedName name="Total_Payment">Scheduled_Payment+Extra_Payment</definedName>
    <definedName name="TOTcash" localSheetId="7">#REF!</definedName>
    <definedName name="TOTcash" localSheetId="12">#REF!</definedName>
    <definedName name="TOTcash">#REF!</definedName>
    <definedName name="TOTcwip" localSheetId="7">#REF!</definedName>
    <definedName name="TOTcwip">#REF!</definedName>
    <definedName name="TOTdep" localSheetId="7">#REF!</definedName>
    <definedName name="TOTdep">#REF!</definedName>
    <definedName name="TOTmatsup">#REF!</definedName>
    <definedName name="TOTplant">#REF!</definedName>
    <definedName name="TOTpp">#REF!</definedName>
    <definedName name="TOTstorg">#REF!</definedName>
    <definedName name="TP_Footer_Path" localSheetId="1" hidden="1">"S:\75886\03WELF\WS\2004 contributions\"</definedName>
    <definedName name="TP_Footer_Path" localSheetId="7" hidden="1">"S:\75886\03WELF\WS\2004 contributions\"</definedName>
    <definedName name="TP_Footer_Path" localSheetId="0" hidden="1">"S:\75886\03WELF\WS\2004 contributions\"</definedName>
    <definedName name="TP_Footer_Path" localSheetId="9" hidden="1">"S:\75886\03WELF\WS\2004 contributions\"</definedName>
    <definedName name="TP_Footer_Path" hidden="1">"S:\74639\03RET\(417) 2004 Cost Projection\"</definedName>
    <definedName name="TP_Footer_Path1" hidden="1">"S:\74639\03RET\(852) Pension Val - OOS\Contribution Allocations\"</definedName>
    <definedName name="tp_footer_path2" hidden="1">"S:\00270\06ret\othsys\TEAM\12-31-2005 Disclosure (FAS)\"</definedName>
    <definedName name="tp_footer_path3" hidden="1">"S:\00270\06ret\othsys\TEAM\Etown\"</definedName>
    <definedName name="TP_Footer_User" localSheetId="1" hidden="1">"northc"</definedName>
    <definedName name="TP_Footer_User" localSheetId="7" hidden="1">"northc"</definedName>
    <definedName name="TP_Footer_User" localSheetId="0" hidden="1">"northc"</definedName>
    <definedName name="TP_Footer_User" localSheetId="9" hidden="1">"northc"</definedName>
    <definedName name="TP_Footer_User" hidden="1">"Mary Lou Barrios"</definedName>
    <definedName name="tp_footer_user2" hidden="1">"PEREZM"</definedName>
    <definedName name="tp_footer_user3" hidden="1">"DECRISS"</definedName>
    <definedName name="TP_Footer_Version" hidden="1">"v3.00"</definedName>
    <definedName name="tran" localSheetId="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3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0"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9"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s" localSheetId="12">#REF!</definedName>
    <definedName name="Trans">#REF!</definedName>
    <definedName name="trehhjrgjr" localSheetId="1" hidden="1">{"PF",#N/A,FALSE,"Sheet4";"PG",#N/A,FALSE,"Sheet4";"PH",#N/A,FALSE,"Sheet4";"PI",#N/A,FALSE,"Sheet4";"PJ",#N/A,FALSE,"Sheet4"}</definedName>
    <definedName name="trehhjrgjr" localSheetId="17" hidden="1">{"PF",#N/A,FALSE,"Sheet4";"PG",#N/A,FALSE,"Sheet4";"PH",#N/A,FALSE,"Sheet4";"PI",#N/A,FALSE,"Sheet4";"PJ",#N/A,FALSE,"Sheet4"}</definedName>
    <definedName name="trehhjrgjr" localSheetId="30" hidden="1">{"PF",#N/A,FALSE,"Sheet4";"PG",#N/A,FALSE,"Sheet4";"PH",#N/A,FALSE,"Sheet4";"PI",#N/A,FALSE,"Sheet4";"PJ",#N/A,FALSE,"Sheet4"}</definedName>
    <definedName name="trehhjrgjr" localSheetId="31" hidden="1">{"PF",#N/A,FALSE,"Sheet4";"PG",#N/A,FALSE,"Sheet4";"PH",#N/A,FALSE,"Sheet4";"PI",#N/A,FALSE,"Sheet4";"PJ",#N/A,FALSE,"Sheet4"}</definedName>
    <definedName name="trehhjrgjr" localSheetId="19" hidden="1">{"PF",#N/A,FALSE,"Sheet4";"PG",#N/A,FALSE,"Sheet4";"PH",#N/A,FALSE,"Sheet4";"PI",#N/A,FALSE,"Sheet4";"PJ",#N/A,FALSE,"Sheet4"}</definedName>
    <definedName name="trehhjrgjr" localSheetId="7" hidden="1">{"PF",#N/A,FALSE,"Sheet4";"PG",#N/A,FALSE,"Sheet4";"PH",#N/A,FALSE,"Sheet4";"PI",#N/A,FALSE,"Sheet4";"PJ",#N/A,FALSE,"Sheet4"}</definedName>
    <definedName name="trehhjrgjr" localSheetId="0" hidden="1">{"PF",#N/A,FALSE,"Sheet4";"PG",#N/A,FALSE,"Sheet4";"PH",#N/A,FALSE,"Sheet4";"PI",#N/A,FALSE,"Sheet4";"PJ",#N/A,FALSE,"Sheet4"}</definedName>
    <definedName name="trehhjrgjr" localSheetId="10" hidden="1">{"PF",#N/A,FALSE,"Sheet4";"PG",#N/A,FALSE,"Sheet4";"PH",#N/A,FALSE,"Sheet4";"PI",#N/A,FALSE,"Sheet4";"PJ",#N/A,FALSE,"Sheet4"}</definedName>
    <definedName name="trehhjrgjr" localSheetId="12" hidden="1">{"PF",#N/A,FALSE,"Sheet4";"PG",#N/A,FALSE,"Sheet4";"PH",#N/A,FALSE,"Sheet4";"PI",#N/A,FALSE,"Sheet4";"PJ",#N/A,FALSE,"Sheet4"}</definedName>
    <definedName name="trehhjrgjr" localSheetId="9" hidden="1">{"PF",#N/A,FALSE,"Sheet4";"PG",#N/A,FALSE,"Sheet4";"PH",#N/A,FALSE,"Sheet4";"PI",#N/A,FALSE,"Sheet4";"PJ",#N/A,FALSE,"Sheet4"}</definedName>
    <definedName name="trehhjrgjr" hidden="1">{"PF",#N/A,FALSE,"Sheet4";"PG",#N/A,FALSE,"Sheet4";"PH",#N/A,FALSE,"Sheet4";"PI",#N/A,FALSE,"Sheet4";"PJ",#N/A,FALSE,"Sheet4"}</definedName>
    <definedName name="TRNR_41ad8fa87297493db7c800d7f7353bfc_12_2" localSheetId="19" hidden="1">#REF!</definedName>
    <definedName name="TRNR_41ad8fa87297493db7c800d7f7353bfc_12_2" hidden="1">#REF!</definedName>
    <definedName name="trtrtrtrtrtrt" localSheetId="1" hidden="1">{#N/A,#N/A,FALSE,"OTHERINPUTS";#N/A,#N/A,FALSE,"DITRATEINPUTS";#N/A,#N/A,FALSE,"SUPPLIEDADJINPUT";#N/A,#N/A,FALSE,"BR&amp;SUPADJ."}</definedName>
    <definedName name="trtrtrtrtrtrt" localSheetId="17" hidden="1">{#N/A,#N/A,FALSE,"OTHERINPUTS";#N/A,#N/A,FALSE,"DITRATEINPUTS";#N/A,#N/A,FALSE,"SUPPLIEDADJINPUT";#N/A,#N/A,FALSE,"BR&amp;SUPADJ."}</definedName>
    <definedName name="trtrtrtrtrtrt" localSheetId="30" hidden="1">{#N/A,#N/A,FALSE,"OTHERINPUTS";#N/A,#N/A,FALSE,"DITRATEINPUTS";#N/A,#N/A,FALSE,"SUPPLIEDADJINPUT";#N/A,#N/A,FALSE,"BR&amp;SUPADJ."}</definedName>
    <definedName name="trtrtrtrtrtrt" localSheetId="31" hidden="1">{#N/A,#N/A,FALSE,"OTHERINPUTS";#N/A,#N/A,FALSE,"DITRATEINPUTS";#N/A,#N/A,FALSE,"SUPPLIEDADJINPUT";#N/A,#N/A,FALSE,"BR&amp;SUPADJ."}</definedName>
    <definedName name="trtrtrtrtrtrt" localSheetId="19" hidden="1">{#N/A,#N/A,FALSE,"OTHERINPUTS";#N/A,#N/A,FALSE,"DITRATEINPUTS";#N/A,#N/A,FALSE,"SUPPLIEDADJINPUT";#N/A,#N/A,FALSE,"BR&amp;SUPADJ."}</definedName>
    <definedName name="trtrtrtrtrtrt" localSheetId="7" hidden="1">{#N/A,#N/A,FALSE,"OTHERINPUTS";#N/A,#N/A,FALSE,"DITRATEINPUTS";#N/A,#N/A,FALSE,"SUPPLIEDADJINPUT";#N/A,#N/A,FALSE,"BR&amp;SUPADJ."}</definedName>
    <definedName name="trtrtrtrtrtrt" localSheetId="0" hidden="1">{#N/A,#N/A,FALSE,"OTHERINPUTS";#N/A,#N/A,FALSE,"DITRATEINPUTS";#N/A,#N/A,FALSE,"SUPPLIEDADJINPUT";#N/A,#N/A,FALSE,"BR&amp;SUPADJ."}</definedName>
    <definedName name="trtrtrtrtrtrt" localSheetId="10" hidden="1">{#N/A,#N/A,FALSE,"OTHERINPUTS";#N/A,#N/A,FALSE,"DITRATEINPUTS";#N/A,#N/A,FALSE,"SUPPLIEDADJINPUT";#N/A,#N/A,FALSE,"BR&amp;SUPADJ."}</definedName>
    <definedName name="trtrtrtrtrtrt" localSheetId="12" hidden="1">{#N/A,#N/A,FALSE,"OTHERINPUTS";#N/A,#N/A,FALSE,"DITRATEINPUTS";#N/A,#N/A,FALSE,"SUPPLIEDADJINPUT";#N/A,#N/A,FALSE,"BR&amp;SUPADJ."}</definedName>
    <definedName name="trtrtrtrtrtrt" localSheetId="9" hidden="1">{#N/A,#N/A,FALSE,"OTHERINPUTS";#N/A,#N/A,FALSE,"DITRATEINPUTS";#N/A,#N/A,FALSE,"SUPPLIEDADJINPUT";#N/A,#N/A,FALSE,"BR&amp;SUPADJ."}</definedName>
    <definedName name="trtrtrtrtrtrt" hidden="1">{#N/A,#N/A,FALSE,"OTHERINPUTS";#N/A,#N/A,FALSE,"DITRATEINPUTS";#N/A,#N/A,FALSE,"SUPPLIEDADJINPUT";#N/A,#N/A,FALSE,"BR&amp;SUPADJ."}</definedName>
    <definedName name="tst" localSheetId="7" hidden="1">{"Income Statement",#N/A,FALSE,"CFMODEL";"Balance Sheet",#N/A,FALSE,"CFMODEL"}</definedName>
    <definedName name="tst" localSheetId="10" hidden="1">{"Income Statement",#N/A,FALSE,"CFMODEL";"Balance Sheet",#N/A,FALSE,"CFMODEL"}</definedName>
    <definedName name="tst" localSheetId="12" hidden="1">{"Income Statement",#N/A,FALSE,"CFMODEL";"Balance Sheet",#N/A,FALSE,"CFMODEL"}</definedName>
    <definedName name="tst" hidden="1">{"Income Statement",#N/A,FALSE,"CFMODEL";"Balance Sheet",#N/A,FALSE,"CFMODEL"}</definedName>
    <definedName name="tt" localSheetId="1" hidden="1">{#N/A,#N/A,TRUE,"TAXPROV";#N/A,#N/A,TRUE,"FLOWTHRU";#N/A,#N/A,TRUE,"SCHEDULE M'S";#N/A,#N/A,TRUE,"PLANT M'S";#N/A,#N/A,TRUE,"TAXJE"}</definedName>
    <definedName name="tt" localSheetId="17" hidden="1">{#N/A,#N/A,TRUE,"TAXPROV";#N/A,#N/A,TRUE,"FLOWTHRU";#N/A,#N/A,TRUE,"SCHEDULE M'S";#N/A,#N/A,TRUE,"PLANT M'S";#N/A,#N/A,TRUE,"TAXJE"}</definedName>
    <definedName name="tt" localSheetId="30" hidden="1">{#N/A,#N/A,TRUE,"TAXPROV";#N/A,#N/A,TRUE,"FLOWTHRU";#N/A,#N/A,TRUE,"SCHEDULE M'S";#N/A,#N/A,TRUE,"PLANT M'S";#N/A,#N/A,TRUE,"TAXJE"}</definedName>
    <definedName name="tt" localSheetId="31" hidden="1">{#N/A,#N/A,TRUE,"TAXPROV";#N/A,#N/A,TRUE,"FLOWTHRU";#N/A,#N/A,TRUE,"SCHEDULE M'S";#N/A,#N/A,TRUE,"PLANT M'S";#N/A,#N/A,TRUE,"TAXJE"}</definedName>
    <definedName name="tt" localSheetId="19" hidden="1">{#N/A,#N/A,TRUE,"TAXPROV";#N/A,#N/A,TRUE,"FLOWTHRU";#N/A,#N/A,TRUE,"SCHEDULE M'S";#N/A,#N/A,TRUE,"PLANT M'S";#N/A,#N/A,TRUE,"TAXJE"}</definedName>
    <definedName name="tt" localSheetId="7" hidden="1">{#N/A,#N/A,TRUE,"TAXPROV";#N/A,#N/A,TRUE,"FLOWTHRU";#N/A,#N/A,TRUE,"SCHEDULE M'S";#N/A,#N/A,TRUE,"PLANT M'S";#N/A,#N/A,TRUE,"TAXJE"}</definedName>
    <definedName name="tt" localSheetId="0" hidden="1">{#N/A,#N/A,TRUE,"TAXPROV";#N/A,#N/A,TRUE,"FLOWTHRU";#N/A,#N/A,TRUE,"SCHEDULE M'S";#N/A,#N/A,TRUE,"PLANT M'S";#N/A,#N/A,TRUE,"TAXJE"}</definedName>
    <definedName name="tt" localSheetId="10" hidden="1">{#N/A,#N/A,TRUE,"TAXPROV";#N/A,#N/A,TRUE,"FLOWTHRU";#N/A,#N/A,TRUE,"SCHEDULE M'S";#N/A,#N/A,TRUE,"PLANT M'S";#N/A,#N/A,TRUE,"TAXJE"}</definedName>
    <definedName name="tt" localSheetId="12" hidden="1">{#N/A,#N/A,TRUE,"TAXPROV";#N/A,#N/A,TRUE,"FLOWTHRU";#N/A,#N/A,TRUE,"SCHEDULE M'S";#N/A,#N/A,TRUE,"PLANT M'S";#N/A,#N/A,TRUE,"TAXJE"}</definedName>
    <definedName name="tt" localSheetId="9" hidden="1">{#N/A,#N/A,TRUE,"TAXPROV";#N/A,#N/A,TRUE,"FLOWTHRU";#N/A,#N/A,TRUE,"SCHEDULE M'S";#N/A,#N/A,TRUE,"PLANT M'S";#N/A,#N/A,TRUE,"TAXJE"}</definedName>
    <definedName name="tt" hidden="1">{#N/A,#N/A,TRUE,"TAXPROV";#N/A,#N/A,TRUE,"FLOWTHRU";#N/A,#N/A,TRUE,"SCHEDULE M'S";#N/A,#N/A,TRUE,"PLANT M'S";#N/A,#N/A,TRUE,"TAXJE"}</definedName>
    <definedName name="ttrtrfgf" localSheetId="1" hidden="1">{#N/A,#N/A,FALSE,"GLDwnLoad"}</definedName>
    <definedName name="ttrtrfgf" localSheetId="17" hidden="1">{#N/A,#N/A,FALSE,"GLDwnLoad"}</definedName>
    <definedName name="ttrtrfgf" localSheetId="30" hidden="1">{#N/A,#N/A,FALSE,"GLDwnLoad"}</definedName>
    <definedName name="ttrtrfgf" localSheetId="31" hidden="1">{#N/A,#N/A,FALSE,"GLDwnLoad"}</definedName>
    <definedName name="ttrtrfgf" localSheetId="19" hidden="1">{#N/A,#N/A,FALSE,"GLDwnLoad"}</definedName>
    <definedName name="ttrtrfgf" localSheetId="7" hidden="1">{#N/A,#N/A,FALSE,"GLDwnLoad"}</definedName>
    <definedName name="ttrtrfgf" localSheetId="0" hidden="1">{#N/A,#N/A,FALSE,"GLDwnLoad"}</definedName>
    <definedName name="ttrtrfgf" localSheetId="10" hidden="1">{#N/A,#N/A,FALSE,"GLDwnLoad"}</definedName>
    <definedName name="ttrtrfgf" localSheetId="12" hidden="1">{#N/A,#N/A,FALSE,"GLDwnLoad"}</definedName>
    <definedName name="ttrtrfgf" localSheetId="9" hidden="1">{#N/A,#N/A,FALSE,"GLDwnLoad"}</definedName>
    <definedName name="ttrtrfgf" hidden="1">{#N/A,#N/A,FALSE,"GLDwnLoad"}</definedName>
    <definedName name="tttt" localSheetId="1" hidden="1">#REF!</definedName>
    <definedName name="tttt" localSheetId="17" hidden="1">#REF!</definedName>
    <definedName name="tttt" localSheetId="30" hidden="1">#REF!</definedName>
    <definedName name="tttt" localSheetId="31" hidden="1">#REF!</definedName>
    <definedName name="tttt" localSheetId="7" hidden="1">#REF!</definedName>
    <definedName name="tttt" localSheetId="9" hidden="1">#REF!</definedName>
    <definedName name="tttt" hidden="1">#REF!</definedName>
    <definedName name="Turnerabc" localSheetId="1" hidden="1">{#N/A,#N/A,TRUE,"1990";#N/A,#N/A,TRUE,"1991";#N/A,#N/A,TRUE,"1992";#N/A,#N/A,TRUE,"1993"}</definedName>
    <definedName name="Turnerabc" localSheetId="17" hidden="1">{#N/A,#N/A,TRUE,"1990";#N/A,#N/A,TRUE,"1991";#N/A,#N/A,TRUE,"1992";#N/A,#N/A,TRUE,"1993"}</definedName>
    <definedName name="Turnerabc" localSheetId="30" hidden="1">{#N/A,#N/A,TRUE,"1990";#N/A,#N/A,TRUE,"1991";#N/A,#N/A,TRUE,"1992";#N/A,#N/A,TRUE,"1993"}</definedName>
    <definedName name="Turnerabc" localSheetId="31" hidden="1">{#N/A,#N/A,TRUE,"1990";#N/A,#N/A,TRUE,"1991";#N/A,#N/A,TRUE,"1992";#N/A,#N/A,TRUE,"1993"}</definedName>
    <definedName name="Turnerabc" localSheetId="19" hidden="1">{#N/A,#N/A,TRUE,"1990";#N/A,#N/A,TRUE,"1991";#N/A,#N/A,TRUE,"1992";#N/A,#N/A,TRUE,"1993"}</definedName>
    <definedName name="Turnerabc" localSheetId="7" hidden="1">{#N/A,#N/A,TRUE,"1990";#N/A,#N/A,TRUE,"1991";#N/A,#N/A,TRUE,"1992";#N/A,#N/A,TRUE,"1993"}</definedName>
    <definedName name="Turnerabc" localSheetId="0" hidden="1">{#N/A,#N/A,TRUE,"1990";#N/A,#N/A,TRUE,"1991";#N/A,#N/A,TRUE,"1992";#N/A,#N/A,TRUE,"1993"}</definedName>
    <definedName name="Turnerabc" localSheetId="10" hidden="1">{#N/A,#N/A,TRUE,"1990";#N/A,#N/A,TRUE,"1991";#N/A,#N/A,TRUE,"1992";#N/A,#N/A,TRUE,"1993"}</definedName>
    <definedName name="Turnerabc" localSheetId="12" hidden="1">{#N/A,#N/A,TRUE,"1990";#N/A,#N/A,TRUE,"1991";#N/A,#N/A,TRUE,"1992";#N/A,#N/A,TRUE,"1993"}</definedName>
    <definedName name="Turnerabc" localSheetId="9" hidden="1">{#N/A,#N/A,TRUE,"1990";#N/A,#N/A,TRUE,"1991";#N/A,#N/A,TRUE,"1992";#N/A,#N/A,TRUE,"1993"}</definedName>
    <definedName name="Turnerabc" hidden="1">{#N/A,#N/A,TRUE,"1990";#N/A,#N/A,TRUE,"1991";#N/A,#N/A,TRUE,"1992";#N/A,#N/A,TRUE,"1993"}</definedName>
    <definedName name="Turnerabcd" localSheetId="1" hidden="1">{#N/A,#N/A,TRUE,"1990";#N/A,#N/A,TRUE,"1991";#N/A,#N/A,TRUE,"1992";#N/A,#N/A,TRUE,"1993"}</definedName>
    <definedName name="Turnerabcd" localSheetId="17" hidden="1">{#N/A,#N/A,TRUE,"1990";#N/A,#N/A,TRUE,"1991";#N/A,#N/A,TRUE,"1992";#N/A,#N/A,TRUE,"1993"}</definedName>
    <definedName name="Turnerabcd" localSheetId="30" hidden="1">{#N/A,#N/A,TRUE,"1990";#N/A,#N/A,TRUE,"1991";#N/A,#N/A,TRUE,"1992";#N/A,#N/A,TRUE,"1993"}</definedName>
    <definedName name="Turnerabcd" localSheetId="31" hidden="1">{#N/A,#N/A,TRUE,"1990";#N/A,#N/A,TRUE,"1991";#N/A,#N/A,TRUE,"1992";#N/A,#N/A,TRUE,"1993"}</definedName>
    <definedName name="Turnerabcd" localSheetId="19" hidden="1">{#N/A,#N/A,TRUE,"1990";#N/A,#N/A,TRUE,"1991";#N/A,#N/A,TRUE,"1992";#N/A,#N/A,TRUE,"1993"}</definedName>
    <definedName name="Turnerabcd" localSheetId="7" hidden="1">{#N/A,#N/A,TRUE,"1990";#N/A,#N/A,TRUE,"1991";#N/A,#N/A,TRUE,"1992";#N/A,#N/A,TRUE,"1993"}</definedName>
    <definedName name="Turnerabcd" localSheetId="0" hidden="1">{#N/A,#N/A,TRUE,"1990";#N/A,#N/A,TRUE,"1991";#N/A,#N/A,TRUE,"1992";#N/A,#N/A,TRUE,"1993"}</definedName>
    <definedName name="Turnerabcd" localSheetId="10" hidden="1">{#N/A,#N/A,TRUE,"1990";#N/A,#N/A,TRUE,"1991";#N/A,#N/A,TRUE,"1992";#N/A,#N/A,TRUE,"1993"}</definedName>
    <definedName name="Turnerabcd" localSheetId="12" hidden="1">{#N/A,#N/A,TRUE,"1990";#N/A,#N/A,TRUE,"1991";#N/A,#N/A,TRUE,"1992";#N/A,#N/A,TRUE,"1993"}</definedName>
    <definedName name="Turnerabcd" localSheetId="9" hidden="1">{#N/A,#N/A,TRUE,"1990";#N/A,#N/A,TRUE,"1991";#N/A,#N/A,TRUE,"1992";#N/A,#N/A,TRUE,"1993"}</definedName>
    <definedName name="Turnerabcd" hidden="1">{#N/A,#N/A,TRUE,"1990";#N/A,#N/A,TRUE,"1991";#N/A,#N/A,TRUE,"1992";#N/A,#N/A,TRUE,"1993"}</definedName>
    <definedName name="Turnerabcde" localSheetId="1" hidden="1">{"summary",#N/A,TRUE,"E93ADJ";"detail",#N/A,TRUE,"E93ADJ"}</definedName>
    <definedName name="Turnerabcde" localSheetId="17" hidden="1">{"summary",#N/A,TRUE,"E93ADJ";"detail",#N/A,TRUE,"E93ADJ"}</definedName>
    <definedName name="Turnerabcde" localSheetId="30" hidden="1">{"summary",#N/A,TRUE,"E93ADJ";"detail",#N/A,TRUE,"E93ADJ"}</definedName>
    <definedName name="Turnerabcde" localSheetId="31" hidden="1">{"summary",#N/A,TRUE,"E93ADJ";"detail",#N/A,TRUE,"E93ADJ"}</definedName>
    <definedName name="Turnerabcde" localSheetId="19" hidden="1">{"summary",#N/A,TRUE,"E93ADJ";"detail",#N/A,TRUE,"E93ADJ"}</definedName>
    <definedName name="Turnerabcde" localSheetId="7" hidden="1">{"summary",#N/A,TRUE,"E93ADJ";"detail",#N/A,TRUE,"E93ADJ"}</definedName>
    <definedName name="Turnerabcde" localSheetId="0" hidden="1">{"summary",#N/A,TRUE,"E93ADJ";"detail",#N/A,TRUE,"E93ADJ"}</definedName>
    <definedName name="Turnerabcde" localSheetId="10" hidden="1">{"summary",#N/A,TRUE,"E93ADJ";"detail",#N/A,TRUE,"E93ADJ"}</definedName>
    <definedName name="Turnerabcde" localSheetId="12" hidden="1">{"summary",#N/A,TRUE,"E93ADJ";"detail",#N/A,TRUE,"E93ADJ"}</definedName>
    <definedName name="Turnerabcde" localSheetId="9" hidden="1">{"summary",#N/A,TRUE,"E93ADJ";"detail",#N/A,TRUE,"E93ADJ"}</definedName>
    <definedName name="Turnerabcde" hidden="1">{"summary",#N/A,TRUE,"E93ADJ";"detail",#N/A,TRUE,"E93ADJ"}</definedName>
    <definedName name="Turnerabcdef" localSheetId="1" hidden="1">{"summary",#N/A,TRUE,"E93ADJ";"detail",#N/A,TRUE,"E93ADJ"}</definedName>
    <definedName name="Turnerabcdef" localSheetId="17" hidden="1">{"summary",#N/A,TRUE,"E93ADJ";"detail",#N/A,TRUE,"E93ADJ"}</definedName>
    <definedName name="Turnerabcdef" localSheetId="30" hidden="1">{"summary",#N/A,TRUE,"E93ADJ";"detail",#N/A,TRUE,"E93ADJ"}</definedName>
    <definedName name="Turnerabcdef" localSheetId="31" hidden="1">{"summary",#N/A,TRUE,"E93ADJ";"detail",#N/A,TRUE,"E93ADJ"}</definedName>
    <definedName name="Turnerabcdef" localSheetId="19" hidden="1">{"summary",#N/A,TRUE,"E93ADJ";"detail",#N/A,TRUE,"E93ADJ"}</definedName>
    <definedName name="Turnerabcdef" localSheetId="7" hidden="1">{"summary",#N/A,TRUE,"E93ADJ";"detail",#N/A,TRUE,"E93ADJ"}</definedName>
    <definedName name="Turnerabcdef" localSheetId="0" hidden="1">{"summary",#N/A,TRUE,"E93ADJ";"detail",#N/A,TRUE,"E93ADJ"}</definedName>
    <definedName name="Turnerabcdef" localSheetId="10" hidden="1">{"summary",#N/A,TRUE,"E93ADJ";"detail",#N/A,TRUE,"E93ADJ"}</definedName>
    <definedName name="Turnerabcdef" localSheetId="12" hidden="1">{"summary",#N/A,TRUE,"E93ADJ";"detail",#N/A,TRUE,"E93ADJ"}</definedName>
    <definedName name="Turnerabcdef" localSheetId="9" hidden="1">{"summary",#N/A,TRUE,"E93ADJ";"detail",#N/A,TRUE,"E93ADJ"}</definedName>
    <definedName name="Turnerabcdef" hidden="1">{"summary",#N/A,TRUE,"E93ADJ";"detail",#N/A,TRUE,"E93ADJ"}</definedName>
    <definedName name="Turnerbcd" localSheetId="1" hidden="1">{#N/A,#N/A,TRUE,"1990";#N/A,#N/A,TRUE,"1991";#N/A,#N/A,TRUE,"1992";#N/A,#N/A,TRUE,"1993"}</definedName>
    <definedName name="Turnerbcd" localSheetId="17" hidden="1">{#N/A,#N/A,TRUE,"1990";#N/A,#N/A,TRUE,"1991";#N/A,#N/A,TRUE,"1992";#N/A,#N/A,TRUE,"1993"}</definedName>
    <definedName name="Turnerbcd" localSheetId="30" hidden="1">{#N/A,#N/A,TRUE,"1990";#N/A,#N/A,TRUE,"1991";#N/A,#N/A,TRUE,"1992";#N/A,#N/A,TRUE,"1993"}</definedName>
    <definedName name="Turnerbcd" localSheetId="31" hidden="1">{#N/A,#N/A,TRUE,"1990";#N/A,#N/A,TRUE,"1991";#N/A,#N/A,TRUE,"1992";#N/A,#N/A,TRUE,"1993"}</definedName>
    <definedName name="Turnerbcd" localSheetId="19" hidden="1">{#N/A,#N/A,TRUE,"1990";#N/A,#N/A,TRUE,"1991";#N/A,#N/A,TRUE,"1992";#N/A,#N/A,TRUE,"1993"}</definedName>
    <definedName name="Turnerbcd" localSheetId="7" hidden="1">{#N/A,#N/A,TRUE,"1990";#N/A,#N/A,TRUE,"1991";#N/A,#N/A,TRUE,"1992";#N/A,#N/A,TRUE,"1993"}</definedName>
    <definedName name="Turnerbcd" localSheetId="0" hidden="1">{#N/A,#N/A,TRUE,"1990";#N/A,#N/A,TRUE,"1991";#N/A,#N/A,TRUE,"1992";#N/A,#N/A,TRUE,"1993"}</definedName>
    <definedName name="Turnerbcd" localSheetId="10" hidden="1">{#N/A,#N/A,TRUE,"1990";#N/A,#N/A,TRUE,"1991";#N/A,#N/A,TRUE,"1992";#N/A,#N/A,TRUE,"1993"}</definedName>
    <definedName name="Turnerbcd" localSheetId="12" hidden="1">{#N/A,#N/A,TRUE,"1990";#N/A,#N/A,TRUE,"1991";#N/A,#N/A,TRUE,"1992";#N/A,#N/A,TRUE,"1993"}</definedName>
    <definedName name="Turnerbcd" localSheetId="9" hidden="1">{#N/A,#N/A,TRUE,"1990";#N/A,#N/A,TRUE,"1991";#N/A,#N/A,TRUE,"1992";#N/A,#N/A,TRUE,"1993"}</definedName>
    <definedName name="Turnerbcd" hidden="1">{#N/A,#N/A,TRUE,"1990";#N/A,#N/A,TRUE,"1991";#N/A,#N/A,TRUE,"1992";#N/A,#N/A,TRUE,"1993"}</definedName>
    <definedName name="Turnerbcde" localSheetId="1" hidden="1">{"summary",#N/A,TRUE,"E93ADJ";"detail",#N/A,TRUE,"E93ADJ"}</definedName>
    <definedName name="Turnerbcde" localSheetId="17" hidden="1">{"summary",#N/A,TRUE,"E93ADJ";"detail",#N/A,TRUE,"E93ADJ"}</definedName>
    <definedName name="Turnerbcde" localSheetId="30" hidden="1">{"summary",#N/A,TRUE,"E93ADJ";"detail",#N/A,TRUE,"E93ADJ"}</definedName>
    <definedName name="Turnerbcde" localSheetId="31" hidden="1">{"summary",#N/A,TRUE,"E93ADJ";"detail",#N/A,TRUE,"E93ADJ"}</definedName>
    <definedName name="Turnerbcde" localSheetId="19" hidden="1">{"summary",#N/A,TRUE,"E93ADJ";"detail",#N/A,TRUE,"E93ADJ"}</definedName>
    <definedName name="Turnerbcde" localSheetId="7" hidden="1">{"summary",#N/A,TRUE,"E93ADJ";"detail",#N/A,TRUE,"E93ADJ"}</definedName>
    <definedName name="Turnerbcde" localSheetId="0" hidden="1">{"summary",#N/A,TRUE,"E93ADJ";"detail",#N/A,TRUE,"E93ADJ"}</definedName>
    <definedName name="Turnerbcde" localSheetId="10" hidden="1">{"summary",#N/A,TRUE,"E93ADJ";"detail",#N/A,TRUE,"E93ADJ"}</definedName>
    <definedName name="Turnerbcde" localSheetId="12" hidden="1">{"summary",#N/A,TRUE,"E93ADJ";"detail",#N/A,TRUE,"E93ADJ"}</definedName>
    <definedName name="Turnerbcde" localSheetId="9" hidden="1">{"summary",#N/A,TRUE,"E93ADJ";"detail",#N/A,TRUE,"E93ADJ"}</definedName>
    <definedName name="Turnerbcde" hidden="1">{"summary",#N/A,TRUE,"E93ADJ";"detail",#N/A,TRUE,"E93ADJ"}</definedName>
    <definedName name="Turnerdud" localSheetId="1" hidden="1">{#N/A,#N/A,TRUE,"1990";#N/A,#N/A,TRUE,"1991";#N/A,#N/A,TRUE,"1992";#N/A,#N/A,TRUE,"1993"}</definedName>
    <definedName name="Turnerdud" localSheetId="17" hidden="1">{#N/A,#N/A,TRUE,"1990";#N/A,#N/A,TRUE,"1991";#N/A,#N/A,TRUE,"1992";#N/A,#N/A,TRUE,"1993"}</definedName>
    <definedName name="Turnerdud" localSheetId="30" hidden="1">{#N/A,#N/A,TRUE,"1990";#N/A,#N/A,TRUE,"1991";#N/A,#N/A,TRUE,"1992";#N/A,#N/A,TRUE,"1993"}</definedName>
    <definedName name="Turnerdud" localSheetId="31" hidden="1">{#N/A,#N/A,TRUE,"1990";#N/A,#N/A,TRUE,"1991";#N/A,#N/A,TRUE,"1992";#N/A,#N/A,TRUE,"1993"}</definedName>
    <definedName name="Turnerdud" localSheetId="19" hidden="1">{#N/A,#N/A,TRUE,"1990";#N/A,#N/A,TRUE,"1991";#N/A,#N/A,TRUE,"1992";#N/A,#N/A,TRUE,"1993"}</definedName>
    <definedName name="Turnerdud" localSheetId="7" hidden="1">{#N/A,#N/A,TRUE,"1990";#N/A,#N/A,TRUE,"1991";#N/A,#N/A,TRUE,"1992";#N/A,#N/A,TRUE,"1993"}</definedName>
    <definedName name="Turnerdud" localSheetId="0" hidden="1">{#N/A,#N/A,TRUE,"1990";#N/A,#N/A,TRUE,"1991";#N/A,#N/A,TRUE,"1992";#N/A,#N/A,TRUE,"1993"}</definedName>
    <definedName name="Turnerdud" localSheetId="10" hidden="1">{#N/A,#N/A,TRUE,"1990";#N/A,#N/A,TRUE,"1991";#N/A,#N/A,TRUE,"1992";#N/A,#N/A,TRUE,"1993"}</definedName>
    <definedName name="Turnerdud" localSheetId="12" hidden="1">{#N/A,#N/A,TRUE,"1990";#N/A,#N/A,TRUE,"1991";#N/A,#N/A,TRUE,"1992";#N/A,#N/A,TRUE,"1993"}</definedName>
    <definedName name="Turnerdud" localSheetId="9" hidden="1">{#N/A,#N/A,TRUE,"1990";#N/A,#N/A,TRUE,"1991";#N/A,#N/A,TRUE,"1992";#N/A,#N/A,TRUE,"1993"}</definedName>
    <definedName name="Turnerdud" hidden="1">{#N/A,#N/A,TRUE,"1990";#N/A,#N/A,TRUE,"1991";#N/A,#N/A,TRUE,"1992";#N/A,#N/A,TRUE,"1993"}</definedName>
    <definedName name="Turnershit" localSheetId="1" hidden="1">{#N/A,#N/A,TRUE,"1990";#N/A,#N/A,TRUE,"1991";#N/A,#N/A,TRUE,"1992";#N/A,#N/A,TRUE,"1993"}</definedName>
    <definedName name="Turnershit" localSheetId="17" hidden="1">{#N/A,#N/A,TRUE,"1990";#N/A,#N/A,TRUE,"1991";#N/A,#N/A,TRUE,"1992";#N/A,#N/A,TRUE,"1993"}</definedName>
    <definedName name="Turnershit" localSheetId="30" hidden="1">{#N/A,#N/A,TRUE,"1990";#N/A,#N/A,TRUE,"1991";#N/A,#N/A,TRUE,"1992";#N/A,#N/A,TRUE,"1993"}</definedName>
    <definedName name="Turnershit" localSheetId="31" hidden="1">{#N/A,#N/A,TRUE,"1990";#N/A,#N/A,TRUE,"1991";#N/A,#N/A,TRUE,"1992";#N/A,#N/A,TRUE,"1993"}</definedName>
    <definedName name="Turnershit" localSheetId="19" hidden="1">{#N/A,#N/A,TRUE,"1990";#N/A,#N/A,TRUE,"1991";#N/A,#N/A,TRUE,"1992";#N/A,#N/A,TRUE,"1993"}</definedName>
    <definedName name="Turnershit" localSheetId="7" hidden="1">{#N/A,#N/A,TRUE,"1990";#N/A,#N/A,TRUE,"1991";#N/A,#N/A,TRUE,"1992";#N/A,#N/A,TRUE,"1993"}</definedName>
    <definedName name="Turnershit" localSheetId="0" hidden="1">{#N/A,#N/A,TRUE,"1990";#N/A,#N/A,TRUE,"1991";#N/A,#N/A,TRUE,"1992";#N/A,#N/A,TRUE,"1993"}</definedName>
    <definedName name="Turnershit" localSheetId="10" hidden="1">{#N/A,#N/A,TRUE,"1990";#N/A,#N/A,TRUE,"1991";#N/A,#N/A,TRUE,"1992";#N/A,#N/A,TRUE,"1993"}</definedName>
    <definedName name="Turnershit" localSheetId="12" hidden="1">{#N/A,#N/A,TRUE,"1990";#N/A,#N/A,TRUE,"1991";#N/A,#N/A,TRUE,"1992";#N/A,#N/A,TRUE,"1993"}</definedName>
    <definedName name="Turnershit" localSheetId="9" hidden="1">{#N/A,#N/A,TRUE,"1990";#N/A,#N/A,TRUE,"1991";#N/A,#N/A,TRUE,"1992";#N/A,#N/A,TRUE,"1993"}</definedName>
    <definedName name="Turnershit" hidden="1">{#N/A,#N/A,TRUE,"1990";#N/A,#N/A,TRUE,"1991";#N/A,#N/A,TRUE,"1992";#N/A,#N/A,TRUE,"1993"}</definedName>
    <definedName name="Turnershit2" localSheetId="1" hidden="1">{"summary",#N/A,TRUE,"E93ADJ";"detail",#N/A,TRUE,"E93ADJ"}</definedName>
    <definedName name="Turnershit2" localSheetId="17" hidden="1">{"summary",#N/A,TRUE,"E93ADJ";"detail",#N/A,TRUE,"E93ADJ"}</definedName>
    <definedName name="Turnershit2" localSheetId="30" hidden="1">{"summary",#N/A,TRUE,"E93ADJ";"detail",#N/A,TRUE,"E93ADJ"}</definedName>
    <definedName name="Turnershit2" localSheetId="31" hidden="1">{"summary",#N/A,TRUE,"E93ADJ";"detail",#N/A,TRUE,"E93ADJ"}</definedName>
    <definedName name="Turnershit2" localSheetId="19" hidden="1">{"summary",#N/A,TRUE,"E93ADJ";"detail",#N/A,TRUE,"E93ADJ"}</definedName>
    <definedName name="Turnershit2" localSheetId="7" hidden="1">{"summary",#N/A,TRUE,"E93ADJ";"detail",#N/A,TRUE,"E93ADJ"}</definedName>
    <definedName name="Turnershit2" localSheetId="0" hidden="1">{"summary",#N/A,TRUE,"E93ADJ";"detail",#N/A,TRUE,"E93ADJ"}</definedName>
    <definedName name="Turnershit2" localSheetId="10" hidden="1">{"summary",#N/A,TRUE,"E93ADJ";"detail",#N/A,TRUE,"E93ADJ"}</definedName>
    <definedName name="Turnershit2" localSheetId="12" hidden="1">{"summary",#N/A,TRUE,"E93ADJ";"detail",#N/A,TRUE,"E93ADJ"}</definedName>
    <definedName name="Turnershit2" localSheetId="9" hidden="1">{"summary",#N/A,TRUE,"E93ADJ";"detail",#N/A,TRUE,"E93ADJ"}</definedName>
    <definedName name="Turnershit2" hidden="1">{"summary",#N/A,TRUE,"E93ADJ";"detail",#N/A,TRUE,"E93ADJ"}</definedName>
    <definedName name="TurnerTEFRA" localSheetId="1" hidden="1">{"summary",#N/A,TRUE,"E93ADJ";"detail",#N/A,TRUE,"E93ADJ"}</definedName>
    <definedName name="TurnerTEFRA" localSheetId="17" hidden="1">{"summary",#N/A,TRUE,"E93ADJ";"detail",#N/A,TRUE,"E93ADJ"}</definedName>
    <definedName name="TurnerTEFRA" localSheetId="30" hidden="1">{"summary",#N/A,TRUE,"E93ADJ";"detail",#N/A,TRUE,"E93ADJ"}</definedName>
    <definedName name="TurnerTEFRA" localSheetId="31" hidden="1">{"summary",#N/A,TRUE,"E93ADJ";"detail",#N/A,TRUE,"E93ADJ"}</definedName>
    <definedName name="TurnerTEFRA" localSheetId="19" hidden="1">{"summary",#N/A,TRUE,"E93ADJ";"detail",#N/A,TRUE,"E93ADJ"}</definedName>
    <definedName name="TurnerTEFRA" localSheetId="7" hidden="1">{"summary",#N/A,TRUE,"E93ADJ";"detail",#N/A,TRUE,"E93ADJ"}</definedName>
    <definedName name="TurnerTEFRA" localSheetId="0" hidden="1">{"summary",#N/A,TRUE,"E93ADJ";"detail",#N/A,TRUE,"E93ADJ"}</definedName>
    <definedName name="TurnerTEFRA" localSheetId="10" hidden="1">{"summary",#N/A,TRUE,"E93ADJ";"detail",#N/A,TRUE,"E93ADJ"}</definedName>
    <definedName name="TurnerTEFRA" localSheetId="12" hidden="1">{"summary",#N/A,TRUE,"E93ADJ";"detail",#N/A,TRUE,"E93ADJ"}</definedName>
    <definedName name="TurnerTEFRA" localSheetId="9" hidden="1">{"summary",#N/A,TRUE,"E93ADJ";"detail",#N/A,TRUE,"E93ADJ"}</definedName>
    <definedName name="TurnerTEFRA" hidden="1">{"summary",#N/A,TRUE,"E93ADJ";"detail",#N/A,TRUE,"E93ADJ"}</definedName>
    <definedName name="Turnerwrn.ALL" localSheetId="1" hidden="1">{#N/A,#N/A,TRUE,"1990";#N/A,#N/A,TRUE,"1991";#N/A,#N/A,TRUE,"1992";#N/A,#N/A,TRUE,"1993"}</definedName>
    <definedName name="Turnerwrn.ALL" localSheetId="17" hidden="1">{#N/A,#N/A,TRUE,"1990";#N/A,#N/A,TRUE,"1991";#N/A,#N/A,TRUE,"1992";#N/A,#N/A,TRUE,"1993"}</definedName>
    <definedName name="Turnerwrn.ALL" localSheetId="30" hidden="1">{#N/A,#N/A,TRUE,"1990";#N/A,#N/A,TRUE,"1991";#N/A,#N/A,TRUE,"1992";#N/A,#N/A,TRUE,"1993"}</definedName>
    <definedName name="Turnerwrn.ALL" localSheetId="31" hidden="1">{#N/A,#N/A,TRUE,"1990";#N/A,#N/A,TRUE,"1991";#N/A,#N/A,TRUE,"1992";#N/A,#N/A,TRUE,"1993"}</definedName>
    <definedName name="Turnerwrn.ALL" localSheetId="19" hidden="1">{#N/A,#N/A,TRUE,"1990";#N/A,#N/A,TRUE,"1991";#N/A,#N/A,TRUE,"1992";#N/A,#N/A,TRUE,"1993"}</definedName>
    <definedName name="Turnerwrn.ALL" localSheetId="7" hidden="1">{#N/A,#N/A,TRUE,"1990";#N/A,#N/A,TRUE,"1991";#N/A,#N/A,TRUE,"1992";#N/A,#N/A,TRUE,"1993"}</definedName>
    <definedName name="Turnerwrn.ALL" localSheetId="0" hidden="1">{#N/A,#N/A,TRUE,"1990";#N/A,#N/A,TRUE,"1991";#N/A,#N/A,TRUE,"1992";#N/A,#N/A,TRUE,"1993"}</definedName>
    <definedName name="Turnerwrn.ALL" localSheetId="10" hidden="1">{#N/A,#N/A,TRUE,"1990";#N/A,#N/A,TRUE,"1991";#N/A,#N/A,TRUE,"1992";#N/A,#N/A,TRUE,"1993"}</definedName>
    <definedName name="Turnerwrn.ALL" localSheetId="12" hidden="1">{#N/A,#N/A,TRUE,"1990";#N/A,#N/A,TRUE,"1991";#N/A,#N/A,TRUE,"1992";#N/A,#N/A,TRUE,"1993"}</definedName>
    <definedName name="Turnerwrn.ALL" localSheetId="9" hidden="1">{#N/A,#N/A,TRUE,"1990";#N/A,#N/A,TRUE,"1991";#N/A,#N/A,TRUE,"1992";#N/A,#N/A,TRUE,"1993"}</definedName>
    <definedName name="Turnerwrn.ALL" hidden="1">{#N/A,#N/A,TRUE,"1990";#N/A,#N/A,TRUE,"1991";#N/A,#N/A,TRUE,"1992";#N/A,#N/A,TRUE,"1993"}</definedName>
    <definedName name="Turnerwrn.PRINT_ALL" localSheetId="1" hidden="1">{"summary",#N/A,TRUE,"E93ADJ";"detail",#N/A,TRUE,"E93ADJ"}</definedName>
    <definedName name="Turnerwrn.PRINT_ALL" localSheetId="17" hidden="1">{"summary",#N/A,TRUE,"E93ADJ";"detail",#N/A,TRUE,"E93ADJ"}</definedName>
    <definedName name="Turnerwrn.PRINT_ALL" localSheetId="30" hidden="1">{"summary",#N/A,TRUE,"E93ADJ";"detail",#N/A,TRUE,"E93ADJ"}</definedName>
    <definedName name="Turnerwrn.PRINT_ALL" localSheetId="31" hidden="1">{"summary",#N/A,TRUE,"E93ADJ";"detail",#N/A,TRUE,"E93ADJ"}</definedName>
    <definedName name="Turnerwrn.PRINT_ALL" localSheetId="19" hidden="1">{"summary",#N/A,TRUE,"E93ADJ";"detail",#N/A,TRUE,"E93ADJ"}</definedName>
    <definedName name="Turnerwrn.PRINT_ALL" localSheetId="7" hidden="1">{"summary",#N/A,TRUE,"E93ADJ";"detail",#N/A,TRUE,"E93ADJ"}</definedName>
    <definedName name="Turnerwrn.PRINT_ALL" localSheetId="0" hidden="1">{"summary",#N/A,TRUE,"E93ADJ";"detail",#N/A,TRUE,"E93ADJ"}</definedName>
    <definedName name="Turnerwrn.PRINT_ALL" localSheetId="10" hidden="1">{"summary",#N/A,TRUE,"E93ADJ";"detail",#N/A,TRUE,"E93ADJ"}</definedName>
    <definedName name="Turnerwrn.PRINT_ALL" localSheetId="12" hidden="1">{"summary",#N/A,TRUE,"E93ADJ";"detail",#N/A,TRUE,"E93ADJ"}</definedName>
    <definedName name="Turnerwrn.PRINT_ALL" localSheetId="9" hidden="1">{"summary",#N/A,TRUE,"E93ADJ";"detail",#N/A,TRUE,"E93ADJ"}</definedName>
    <definedName name="Turnerwrn.PRINT_ALL" hidden="1">{"summary",#N/A,TRUE,"E93ADJ";"detail",#N/A,TRUE,"E93ADJ"}</definedName>
    <definedName name="tw" localSheetId="1" hidden="1">#REF!</definedName>
    <definedName name="tw" localSheetId="30" hidden="1">#REF!</definedName>
    <definedName name="tw" localSheetId="31" hidden="1">#REF!</definedName>
    <definedName name="tw" localSheetId="7" hidden="1">#REF!</definedName>
    <definedName name="tw" localSheetId="9" hidden="1">#REF!</definedName>
    <definedName name="tw" hidden="1">#REF!</definedName>
    <definedName name="typbills01" localSheetId="7">#REF!</definedName>
    <definedName name="typbills01">#REF!</definedName>
    <definedName name="Typist" hidden="1">"b1"</definedName>
    <definedName name="U" localSheetId="1" hidden="1">#REF!</definedName>
    <definedName name="U" localSheetId="17" hidden="1">#REF!</definedName>
    <definedName name="U" localSheetId="30" hidden="1">#REF!</definedName>
    <definedName name="U" localSheetId="31" hidden="1">#REF!</definedName>
    <definedName name="U" localSheetId="19" hidden="1">#REF!</definedName>
    <definedName name="U" localSheetId="7" hidden="1">#REF!</definedName>
    <definedName name="U" localSheetId="9" hidden="1">#REF!</definedName>
    <definedName name="U" hidden="1">#REF!</definedName>
    <definedName name="UIF.CE" localSheetId="7">#REF!</definedName>
    <definedName name="UIF.CE" localSheetId="10">#REF!</definedName>
    <definedName name="UIF.CE">#REF!</definedName>
    <definedName name="Umpire" hidden="1">40237.7891203704</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3R100C7" localSheetId="19" hidden="1">#REF!</definedName>
    <definedName name="UNIFORMANCES13R100C7" localSheetId="12" hidden="1">#REF!</definedName>
    <definedName name="UNIFORMANCES13R100C7" localSheetId="9" hidden="1">#REF!</definedName>
    <definedName name="UNIFORMANCES13R100C7" hidden="1">#REF!</definedName>
    <definedName name="UNIFORMANCES13R101C7" localSheetId="19" hidden="1">#REF!</definedName>
    <definedName name="UNIFORMANCES13R101C7" localSheetId="12" hidden="1">#REF!</definedName>
    <definedName name="UNIFORMANCES13R101C7" localSheetId="9" hidden="1">#REF!</definedName>
    <definedName name="UNIFORMANCES13R101C7" hidden="1">#REF!</definedName>
    <definedName name="UNIFORMANCES13R102C7" localSheetId="19" hidden="1">#REF!</definedName>
    <definedName name="UNIFORMANCES13R102C7" localSheetId="12" hidden="1">#REF!</definedName>
    <definedName name="UNIFORMANCES13R102C7" localSheetId="9" hidden="1">#REF!</definedName>
    <definedName name="UNIFORMANCES13R102C7" hidden="1">#REF!</definedName>
    <definedName name="UNIFORMANCES13R103C7" localSheetId="19" hidden="1">#REF!</definedName>
    <definedName name="UNIFORMANCES13R103C7" hidden="1">#REF!</definedName>
    <definedName name="UNIFORMANCES13R104C7" localSheetId="19" hidden="1">#REF!</definedName>
    <definedName name="UNIFORMANCES13R104C7" hidden="1">#REF!</definedName>
    <definedName name="UNIFORMANCES13R105C7" localSheetId="19" hidden="1">#REF!</definedName>
    <definedName name="UNIFORMANCES13R105C7" hidden="1">#REF!</definedName>
    <definedName name="UNIFORMANCES13R106C7" localSheetId="19" hidden="1">#REF!</definedName>
    <definedName name="UNIFORMANCES13R106C7" hidden="1">#REF!</definedName>
    <definedName name="UNIFORMANCES13R107C7" localSheetId="19" hidden="1">#REF!</definedName>
    <definedName name="UNIFORMANCES13R107C7" hidden="1">#REF!</definedName>
    <definedName name="UNIFORMANCES13R108C7" localSheetId="19" hidden="1">#REF!</definedName>
    <definedName name="UNIFORMANCES13R108C7" hidden="1">#REF!</definedName>
    <definedName name="UNIFORMANCES13R109C7" localSheetId="19" hidden="1">#REF!</definedName>
    <definedName name="UNIFORMANCES13R109C7" hidden="1">#REF!</definedName>
    <definedName name="UNIFORMANCES13R10C7" localSheetId="19" hidden="1">#REF!</definedName>
    <definedName name="UNIFORMANCES13R10C7" hidden="1">#REF!</definedName>
    <definedName name="UNIFORMANCES13R110C7" localSheetId="19" hidden="1">#REF!</definedName>
    <definedName name="UNIFORMANCES13R110C7" hidden="1">#REF!</definedName>
    <definedName name="UNIFORMANCES13R111C7" localSheetId="19" hidden="1">#REF!</definedName>
    <definedName name="UNIFORMANCES13R111C7" hidden="1">#REF!</definedName>
    <definedName name="UNIFORMANCES13R112C7" localSheetId="19" hidden="1">#REF!</definedName>
    <definedName name="UNIFORMANCES13R112C7" hidden="1">#REF!</definedName>
    <definedName name="UNIFORMANCES13R113C7" localSheetId="19" hidden="1">#REF!</definedName>
    <definedName name="UNIFORMANCES13R113C7" hidden="1">#REF!</definedName>
    <definedName name="UNIFORMANCES13R114C7" localSheetId="19" hidden="1">#REF!</definedName>
    <definedName name="UNIFORMANCES13R114C7" hidden="1">#REF!</definedName>
    <definedName name="UNIFORMANCES13R115C7" localSheetId="19" hidden="1">#REF!</definedName>
    <definedName name="UNIFORMANCES13R115C7" hidden="1">#REF!</definedName>
    <definedName name="UNIFORMANCES13R116C7" localSheetId="19" hidden="1">#REF!</definedName>
    <definedName name="UNIFORMANCES13R116C7" hidden="1">#REF!</definedName>
    <definedName name="UNIFORMANCES13R117C7" localSheetId="19" hidden="1">#REF!</definedName>
    <definedName name="UNIFORMANCES13R117C7" hidden="1">#REF!</definedName>
    <definedName name="UNIFORMANCES13R118C7" localSheetId="19" hidden="1">#REF!</definedName>
    <definedName name="UNIFORMANCES13R118C7" hidden="1">#REF!</definedName>
    <definedName name="UNIFORMANCES13R119C7" localSheetId="19" hidden="1">#REF!</definedName>
    <definedName name="UNIFORMANCES13R119C7" hidden="1">#REF!</definedName>
    <definedName name="UNIFORMANCES13R11C7" localSheetId="19" hidden="1">#REF!</definedName>
    <definedName name="UNIFORMANCES13R11C7" hidden="1">#REF!</definedName>
    <definedName name="UNIFORMANCES13R120C7" localSheetId="19" hidden="1">#REF!</definedName>
    <definedName name="UNIFORMANCES13R120C7" hidden="1">#REF!</definedName>
    <definedName name="UNIFORMANCES13R121C7" localSheetId="19" hidden="1">#REF!</definedName>
    <definedName name="UNIFORMANCES13R121C7" hidden="1">#REF!</definedName>
    <definedName name="UNIFORMANCES13R122C7" localSheetId="19" hidden="1">#REF!</definedName>
    <definedName name="UNIFORMANCES13R122C7" hidden="1">#REF!</definedName>
    <definedName name="UNIFORMANCES13R123C7" localSheetId="19" hidden="1">#REF!</definedName>
    <definedName name="UNIFORMANCES13R123C7" hidden="1">#REF!</definedName>
    <definedName name="UNIFORMANCES13R124C7" localSheetId="19" hidden="1">#REF!</definedName>
    <definedName name="UNIFORMANCES13R124C7" hidden="1">#REF!</definedName>
    <definedName name="UNIFORMANCES13R125C7" localSheetId="19" hidden="1">#REF!</definedName>
    <definedName name="UNIFORMANCES13R125C7" hidden="1">#REF!</definedName>
    <definedName name="UNIFORMANCES13R126C7" localSheetId="19" hidden="1">#REF!</definedName>
    <definedName name="UNIFORMANCES13R126C7" hidden="1">#REF!</definedName>
    <definedName name="UNIFORMANCES13R127C7" localSheetId="19" hidden="1">#REF!</definedName>
    <definedName name="UNIFORMANCES13R127C7" hidden="1">#REF!</definedName>
    <definedName name="UNIFORMANCES13R128C7" localSheetId="19" hidden="1">#REF!</definedName>
    <definedName name="UNIFORMANCES13R128C7" hidden="1">#REF!</definedName>
    <definedName name="UNIFORMANCES13R129C7" localSheetId="19" hidden="1">#REF!</definedName>
    <definedName name="UNIFORMANCES13R129C7" hidden="1">#REF!</definedName>
    <definedName name="UNIFORMANCES13R12C7" localSheetId="19" hidden="1">#REF!</definedName>
    <definedName name="UNIFORMANCES13R12C7" hidden="1">#REF!</definedName>
    <definedName name="UNIFORMANCES13R130C7" localSheetId="19" hidden="1">#REF!</definedName>
    <definedName name="UNIFORMANCES13R130C7" hidden="1">#REF!</definedName>
    <definedName name="UNIFORMANCES13R132C7" localSheetId="19" hidden="1">#REF!</definedName>
    <definedName name="UNIFORMANCES13R132C7" hidden="1">#REF!</definedName>
    <definedName name="UNIFORMANCES13R133C7" localSheetId="19" hidden="1">#REF!</definedName>
    <definedName name="UNIFORMANCES13R133C7" hidden="1">#REF!</definedName>
    <definedName name="UNIFORMANCES13R134C7" localSheetId="19" hidden="1">#REF!</definedName>
    <definedName name="UNIFORMANCES13R134C7" hidden="1">#REF!</definedName>
    <definedName name="UNIFORMANCES13R135C7" localSheetId="19" hidden="1">#REF!</definedName>
    <definedName name="UNIFORMANCES13R135C7" hidden="1">#REF!</definedName>
    <definedName name="UNIFORMANCES13R136C7" localSheetId="19" hidden="1">#REF!</definedName>
    <definedName name="UNIFORMANCES13R136C7" hidden="1">#REF!</definedName>
    <definedName name="UNIFORMANCES13R137C7" localSheetId="19" hidden="1">#REF!</definedName>
    <definedName name="UNIFORMANCES13R137C7" hidden="1">#REF!</definedName>
    <definedName name="UNIFORMANCES13R138C7" localSheetId="19" hidden="1">#REF!</definedName>
    <definedName name="UNIFORMANCES13R138C7" hidden="1">#REF!</definedName>
    <definedName name="UNIFORMANCES13R139C7" localSheetId="19" hidden="1">#REF!</definedName>
    <definedName name="UNIFORMANCES13R139C7" hidden="1">#REF!</definedName>
    <definedName name="UNIFORMANCES13R13C7" localSheetId="19" hidden="1">#REF!</definedName>
    <definedName name="UNIFORMANCES13R13C7" hidden="1">#REF!</definedName>
    <definedName name="UNIFORMANCES13R140C7" localSheetId="19" hidden="1">#REF!</definedName>
    <definedName name="UNIFORMANCES13R140C7" hidden="1">#REF!</definedName>
    <definedName name="UNIFORMANCES13R141C7" localSheetId="19" hidden="1">#REF!</definedName>
    <definedName name="UNIFORMANCES13R141C7" hidden="1">#REF!</definedName>
    <definedName name="UNIFORMANCES13R142C7" localSheetId="19" hidden="1">#REF!</definedName>
    <definedName name="UNIFORMANCES13R142C7" hidden="1">#REF!</definedName>
    <definedName name="UNIFORMANCES13R143C7" localSheetId="19" hidden="1">#REF!</definedName>
    <definedName name="UNIFORMANCES13R143C7" hidden="1">#REF!</definedName>
    <definedName name="UNIFORMANCES13R144C7" localSheetId="19" hidden="1">#REF!</definedName>
    <definedName name="UNIFORMANCES13R144C7" hidden="1">#REF!</definedName>
    <definedName name="UNIFORMANCES13R145C7" localSheetId="19" hidden="1">#REF!</definedName>
    <definedName name="UNIFORMANCES13R145C7" hidden="1">#REF!</definedName>
    <definedName name="UNIFORMANCES13R146C7" localSheetId="19" hidden="1">#REF!</definedName>
    <definedName name="UNIFORMANCES13R146C7" hidden="1">#REF!</definedName>
    <definedName name="UNIFORMANCES13R147C7" localSheetId="19" hidden="1">#REF!</definedName>
    <definedName name="UNIFORMANCES13R147C7" hidden="1">#REF!</definedName>
    <definedName name="UNIFORMANCES13R148C7" localSheetId="19" hidden="1">#REF!</definedName>
    <definedName name="UNIFORMANCES13R148C7" hidden="1">#REF!</definedName>
    <definedName name="UNIFORMANCES13R14C7" localSheetId="19" hidden="1">#REF!</definedName>
    <definedName name="UNIFORMANCES13R14C7" hidden="1">#REF!</definedName>
    <definedName name="UNIFORMANCES13R15C7" localSheetId="19" hidden="1">#REF!</definedName>
    <definedName name="UNIFORMANCES13R15C7" hidden="1">#REF!</definedName>
    <definedName name="UNIFORMANCES13R16C7" localSheetId="19" hidden="1">#REF!</definedName>
    <definedName name="UNIFORMANCES13R16C7" hidden="1">#REF!</definedName>
    <definedName name="UNIFORMANCES13R17C7" localSheetId="19" hidden="1">#REF!</definedName>
    <definedName name="UNIFORMANCES13R17C7" hidden="1">#REF!</definedName>
    <definedName name="UNIFORMANCES13R18C7" localSheetId="19" hidden="1">#REF!</definedName>
    <definedName name="UNIFORMANCES13R18C7" hidden="1">#REF!</definedName>
    <definedName name="UNIFORMANCES13R19C7" localSheetId="19" hidden="1">#REF!</definedName>
    <definedName name="UNIFORMANCES13R19C7" hidden="1">#REF!</definedName>
    <definedName name="UNIFORMANCES13R20C7" localSheetId="19" hidden="1">#REF!</definedName>
    <definedName name="UNIFORMANCES13R20C7" hidden="1">#REF!</definedName>
    <definedName name="UNIFORMANCES13R21C7" localSheetId="19" hidden="1">#REF!</definedName>
    <definedName name="UNIFORMANCES13R21C7" hidden="1">#REF!</definedName>
    <definedName name="UNIFORMANCES13R22C7" localSheetId="19" hidden="1">#REF!</definedName>
    <definedName name="UNIFORMANCES13R22C7" hidden="1">#REF!</definedName>
    <definedName name="UNIFORMANCES13R23C7" localSheetId="19" hidden="1">#REF!</definedName>
    <definedName name="UNIFORMANCES13R23C7" hidden="1">#REF!</definedName>
    <definedName name="UNIFORMANCES13R24C7" localSheetId="19" hidden="1">#REF!</definedName>
    <definedName name="UNIFORMANCES13R24C7" hidden="1">#REF!</definedName>
    <definedName name="UNIFORMANCES13R25C7" localSheetId="19" hidden="1">#REF!</definedName>
    <definedName name="UNIFORMANCES13R25C7" hidden="1">#REF!</definedName>
    <definedName name="UNIFORMANCES13R26C7" localSheetId="19" hidden="1">#REF!</definedName>
    <definedName name="UNIFORMANCES13R26C7" hidden="1">#REF!</definedName>
    <definedName name="UNIFORMANCES13R27C7" localSheetId="19" hidden="1">#REF!</definedName>
    <definedName name="UNIFORMANCES13R27C7" hidden="1">#REF!</definedName>
    <definedName name="UNIFORMANCES13R28C7" localSheetId="19" hidden="1">#REF!</definedName>
    <definedName name="UNIFORMANCES13R28C7" hidden="1">#REF!</definedName>
    <definedName name="UNIFORMANCES13R29C7" localSheetId="19" hidden="1">#REF!</definedName>
    <definedName name="UNIFORMANCES13R29C7" hidden="1">#REF!</definedName>
    <definedName name="UNIFORMANCES13R30C7" localSheetId="19" hidden="1">#REF!</definedName>
    <definedName name="UNIFORMANCES13R30C7" hidden="1">#REF!</definedName>
    <definedName name="UNIFORMANCES13R31C7" localSheetId="19" hidden="1">#REF!</definedName>
    <definedName name="UNIFORMANCES13R31C7" hidden="1">#REF!</definedName>
    <definedName name="UNIFORMANCES13R32C7" localSheetId="19" hidden="1">#REF!</definedName>
    <definedName name="UNIFORMANCES13R32C7" hidden="1">#REF!</definedName>
    <definedName name="UNIFORMANCES13R33C7" localSheetId="19" hidden="1">#REF!</definedName>
    <definedName name="UNIFORMANCES13R33C7" hidden="1">#REF!</definedName>
    <definedName name="UNIFORMANCES13R34C7" localSheetId="19" hidden="1">#REF!</definedName>
    <definedName name="UNIFORMANCES13R34C7" hidden="1">#REF!</definedName>
    <definedName name="UNIFORMANCES13R35C7" localSheetId="19" hidden="1">#REF!</definedName>
    <definedName name="UNIFORMANCES13R35C7" hidden="1">#REF!</definedName>
    <definedName name="UNIFORMANCES13R36C7" localSheetId="19" hidden="1">#REF!</definedName>
    <definedName name="UNIFORMANCES13R36C7" hidden="1">#REF!</definedName>
    <definedName name="UNIFORMANCES13R37C7" localSheetId="19" hidden="1">#REF!</definedName>
    <definedName name="UNIFORMANCES13R37C7" hidden="1">#REF!</definedName>
    <definedName name="UNIFORMANCES13R38C7" localSheetId="19" hidden="1">#REF!</definedName>
    <definedName name="UNIFORMANCES13R38C7" hidden="1">#REF!</definedName>
    <definedName name="UNIFORMANCES13R39C7" localSheetId="19" hidden="1">#REF!</definedName>
    <definedName name="UNIFORMANCES13R39C7" hidden="1">#REF!</definedName>
    <definedName name="UNIFORMANCES13R40C7" localSheetId="19" hidden="1">#REF!</definedName>
    <definedName name="UNIFORMANCES13R40C7" hidden="1">#REF!</definedName>
    <definedName name="UNIFORMANCES13R41C7" localSheetId="19" hidden="1">#REF!</definedName>
    <definedName name="UNIFORMANCES13R41C7" hidden="1">#REF!</definedName>
    <definedName name="UNIFORMANCES13R42C7" localSheetId="19" hidden="1">#REF!</definedName>
    <definedName name="UNIFORMANCES13R42C7" hidden="1">#REF!</definedName>
    <definedName name="UNIFORMANCES13R43C7" localSheetId="19" hidden="1">#REF!</definedName>
    <definedName name="UNIFORMANCES13R43C7" hidden="1">#REF!</definedName>
    <definedName name="UNIFORMANCES13R45C7" localSheetId="19" hidden="1">#REF!</definedName>
    <definedName name="UNIFORMANCES13R45C7" hidden="1">#REF!</definedName>
    <definedName name="UNIFORMANCES13R46C7" localSheetId="19" hidden="1">#REF!</definedName>
    <definedName name="UNIFORMANCES13R46C7" hidden="1">#REF!</definedName>
    <definedName name="UNIFORMANCES13R47C7" localSheetId="19" hidden="1">#REF!</definedName>
    <definedName name="UNIFORMANCES13R47C7" hidden="1">#REF!</definedName>
    <definedName name="UNIFORMANCES13R48C7" localSheetId="19" hidden="1">#REF!</definedName>
    <definedName name="UNIFORMANCES13R48C7" hidden="1">#REF!</definedName>
    <definedName name="UNIFORMANCES13R49C7" localSheetId="19" hidden="1">#REF!</definedName>
    <definedName name="UNIFORMANCES13R49C7" hidden="1">#REF!</definedName>
    <definedName name="UNIFORMANCES13R4C7" localSheetId="19" hidden="1">#REF!</definedName>
    <definedName name="UNIFORMANCES13R4C7" hidden="1">#REF!</definedName>
    <definedName name="UNIFORMANCES13R50C7" localSheetId="19" hidden="1">#REF!</definedName>
    <definedName name="UNIFORMANCES13R50C7" hidden="1">#REF!</definedName>
    <definedName name="UNIFORMANCES13R51C7" localSheetId="19" hidden="1">#REF!</definedName>
    <definedName name="UNIFORMANCES13R51C7" hidden="1">#REF!</definedName>
    <definedName name="UNIFORMANCES13R52C7" localSheetId="19" hidden="1">#REF!</definedName>
    <definedName name="UNIFORMANCES13R52C7" hidden="1">#REF!</definedName>
    <definedName name="UNIFORMANCES13R53C7" localSheetId="19" hidden="1">#REF!</definedName>
    <definedName name="UNIFORMANCES13R53C7" hidden="1">#REF!</definedName>
    <definedName name="UNIFORMANCES13R54C7" localSheetId="19" hidden="1">#REF!</definedName>
    <definedName name="UNIFORMANCES13R54C7" hidden="1">#REF!</definedName>
    <definedName name="UNIFORMANCES13R55C7" localSheetId="19" hidden="1">#REF!</definedName>
    <definedName name="UNIFORMANCES13R55C7" hidden="1">#REF!</definedName>
    <definedName name="UNIFORMANCES13R56C7" localSheetId="19" hidden="1">#REF!</definedName>
    <definedName name="UNIFORMANCES13R56C7" hidden="1">#REF!</definedName>
    <definedName name="UNIFORMANCES13R57C7" localSheetId="19" hidden="1">#REF!</definedName>
    <definedName name="UNIFORMANCES13R57C7" hidden="1">#REF!</definedName>
    <definedName name="UNIFORMANCES13R58C7" localSheetId="19" hidden="1">#REF!</definedName>
    <definedName name="UNIFORMANCES13R58C7" hidden="1">#REF!</definedName>
    <definedName name="UNIFORMANCES13R59C7" localSheetId="19" hidden="1">#REF!</definedName>
    <definedName name="UNIFORMANCES13R59C7" hidden="1">#REF!</definedName>
    <definedName name="UNIFORMANCES13R5C7" localSheetId="19" hidden="1">#REF!</definedName>
    <definedName name="UNIFORMANCES13R5C7" hidden="1">#REF!</definedName>
    <definedName name="UNIFORMANCES13R60C7" localSheetId="19" hidden="1">#REF!</definedName>
    <definedName name="UNIFORMANCES13R60C7" hidden="1">#REF!</definedName>
    <definedName name="UNIFORMANCES13R61C7" localSheetId="19" hidden="1">#REF!</definedName>
    <definedName name="UNIFORMANCES13R61C7" hidden="1">#REF!</definedName>
    <definedName name="UNIFORMANCES13R62C7" localSheetId="19" hidden="1">#REF!</definedName>
    <definedName name="UNIFORMANCES13R62C7" hidden="1">#REF!</definedName>
    <definedName name="UNIFORMANCES13R63C7" localSheetId="19" hidden="1">#REF!</definedName>
    <definedName name="UNIFORMANCES13R63C7" hidden="1">#REF!</definedName>
    <definedName name="UNIFORMANCES13R64C7" localSheetId="19" hidden="1">#REF!</definedName>
    <definedName name="UNIFORMANCES13R64C7" hidden="1">#REF!</definedName>
    <definedName name="UNIFORMANCES13R65C7" localSheetId="19" hidden="1">#REF!</definedName>
    <definedName name="UNIFORMANCES13R65C7" hidden="1">#REF!</definedName>
    <definedName name="UNIFORMANCES13R66C7" localSheetId="19" hidden="1">#REF!</definedName>
    <definedName name="UNIFORMANCES13R66C7" hidden="1">#REF!</definedName>
    <definedName name="UNIFORMANCES13R67C7" localSheetId="19" hidden="1">#REF!</definedName>
    <definedName name="UNIFORMANCES13R67C7" hidden="1">#REF!</definedName>
    <definedName name="UNIFORMANCES13R68C7" localSheetId="19" hidden="1">#REF!</definedName>
    <definedName name="UNIFORMANCES13R68C7" hidden="1">#REF!</definedName>
    <definedName name="UNIFORMANCES13R69C7" localSheetId="19" hidden="1">#REF!</definedName>
    <definedName name="UNIFORMANCES13R69C7" hidden="1">#REF!</definedName>
    <definedName name="UNIFORMANCES13R6C7" localSheetId="19" hidden="1">#REF!</definedName>
    <definedName name="UNIFORMANCES13R6C7" hidden="1">#REF!</definedName>
    <definedName name="UNIFORMANCES13R70C7" localSheetId="19" hidden="1">#REF!</definedName>
    <definedName name="UNIFORMANCES13R70C7" hidden="1">#REF!</definedName>
    <definedName name="UNIFORMANCES13R71C7" localSheetId="19" hidden="1">#REF!</definedName>
    <definedName name="UNIFORMANCES13R71C7" hidden="1">#REF!</definedName>
    <definedName name="UNIFORMANCES13R72C7" localSheetId="19" hidden="1">#REF!</definedName>
    <definedName name="UNIFORMANCES13R72C7" hidden="1">#REF!</definedName>
    <definedName name="UNIFORMANCES13R73C7" localSheetId="19" hidden="1">#REF!</definedName>
    <definedName name="UNIFORMANCES13R73C7" hidden="1">#REF!</definedName>
    <definedName name="UNIFORMANCES13R74C7" localSheetId="19" hidden="1">#REF!</definedName>
    <definedName name="UNIFORMANCES13R74C7" hidden="1">#REF!</definedName>
    <definedName name="UNIFORMANCES13R75C7" localSheetId="19" hidden="1">#REF!</definedName>
    <definedName name="UNIFORMANCES13R75C7" hidden="1">#REF!</definedName>
    <definedName name="UNIFORMANCES13R76C7" localSheetId="19" hidden="1">#REF!</definedName>
    <definedName name="UNIFORMANCES13R76C7" hidden="1">#REF!</definedName>
    <definedName name="UNIFORMANCES13R77C7" localSheetId="19" hidden="1">#REF!</definedName>
    <definedName name="UNIFORMANCES13R77C7" hidden="1">#REF!</definedName>
    <definedName name="UNIFORMANCES13R78C7" localSheetId="19" hidden="1">#REF!</definedName>
    <definedName name="UNIFORMANCES13R78C7" hidden="1">#REF!</definedName>
    <definedName name="UNIFORMANCES13R79C7" localSheetId="19" hidden="1">#REF!</definedName>
    <definedName name="UNIFORMANCES13R79C7" hidden="1">#REF!</definedName>
    <definedName name="UNIFORMANCES13R7C7" localSheetId="19" hidden="1">#REF!</definedName>
    <definedName name="UNIFORMANCES13R7C7" hidden="1">#REF!</definedName>
    <definedName name="UNIFORMANCES13R80C7" localSheetId="19" hidden="1">#REF!</definedName>
    <definedName name="UNIFORMANCES13R80C7" hidden="1">#REF!</definedName>
    <definedName name="UNIFORMANCES13R81C7" localSheetId="19" hidden="1">#REF!</definedName>
    <definedName name="UNIFORMANCES13R81C7" hidden="1">#REF!</definedName>
    <definedName name="UNIFORMANCES13R82C7" localSheetId="19" hidden="1">#REF!</definedName>
    <definedName name="UNIFORMANCES13R82C7" hidden="1">#REF!</definedName>
    <definedName name="UNIFORMANCES13R83C7" localSheetId="19" hidden="1">#REF!</definedName>
    <definedName name="UNIFORMANCES13R83C7" hidden="1">#REF!</definedName>
    <definedName name="UNIFORMANCES13R84C7" localSheetId="19" hidden="1">#REF!</definedName>
    <definedName name="UNIFORMANCES13R84C7" hidden="1">#REF!</definedName>
    <definedName name="UNIFORMANCES13R85C7" localSheetId="19" hidden="1">#REF!</definedName>
    <definedName name="UNIFORMANCES13R85C7" hidden="1">#REF!</definedName>
    <definedName name="UNIFORMANCES13R86C7" localSheetId="19" hidden="1">#REF!</definedName>
    <definedName name="UNIFORMANCES13R86C7" hidden="1">#REF!</definedName>
    <definedName name="UNIFORMANCES13R87C7" localSheetId="19" hidden="1">#REF!</definedName>
    <definedName name="UNIFORMANCES13R87C7" hidden="1">#REF!</definedName>
    <definedName name="UNIFORMANCES13R88C7" localSheetId="19" hidden="1">#REF!</definedName>
    <definedName name="UNIFORMANCES13R88C7" hidden="1">#REF!</definedName>
    <definedName name="UNIFORMANCES13R89C7" localSheetId="19" hidden="1">#REF!</definedName>
    <definedName name="UNIFORMANCES13R89C7" hidden="1">#REF!</definedName>
    <definedName name="UNIFORMANCES13R8C7" localSheetId="19" hidden="1">#REF!</definedName>
    <definedName name="UNIFORMANCES13R8C7" hidden="1">#REF!</definedName>
    <definedName name="UNIFORMANCES13R91C7" localSheetId="19" hidden="1">#REF!</definedName>
    <definedName name="UNIFORMANCES13R91C7" hidden="1">#REF!</definedName>
    <definedName name="UNIFORMANCES13R92C7" localSheetId="19" hidden="1">#REF!</definedName>
    <definedName name="UNIFORMANCES13R92C7" hidden="1">#REF!</definedName>
    <definedName name="UNIFORMANCES13R93C7" localSheetId="19" hidden="1">#REF!</definedName>
    <definedName name="UNIFORMANCES13R93C7" hidden="1">#REF!</definedName>
    <definedName name="UNIFORMANCES13R94C7" localSheetId="19" hidden="1">#REF!</definedName>
    <definedName name="UNIFORMANCES13R94C7" hidden="1">#REF!</definedName>
    <definedName name="UNIFORMANCES13R95C7" localSheetId="19" hidden="1">#REF!</definedName>
    <definedName name="UNIFORMANCES13R95C7" hidden="1">#REF!</definedName>
    <definedName name="UNIFORMANCES13R98C7" localSheetId="19" hidden="1">#REF!</definedName>
    <definedName name="UNIFORMANCES13R98C7" hidden="1">#REF!</definedName>
    <definedName name="UNIFORMANCES13R99C7" localSheetId="19" hidden="1">#REF!</definedName>
    <definedName name="UNIFORMANCES13R99C7" hidden="1">#REF!</definedName>
    <definedName name="UNIFORMANCES13R9C7" localSheetId="19" hidden="1">#REF!</definedName>
    <definedName name="UNIFORMANCES13R9C7" hidden="1">#REF!</definedName>
    <definedName name="UTIW_EXPD" localSheetId="7" hidden="1">{"EM",#N/A,FALSE,"EM";"EM_Quarterly",#N/A,FALSE,"EM";"BS",#N/A,FALSE,"BS";"CF",#N/A,FALSE,"CF"}</definedName>
    <definedName name="UTIW_EXPD" localSheetId="10" hidden="1">{"EM",#N/A,FALSE,"EM";"EM_Quarterly",#N/A,FALSE,"EM";"BS",#N/A,FALSE,"BS";"CF",#N/A,FALSE,"CF"}</definedName>
    <definedName name="UTIW_EXPD" localSheetId="12" hidden="1">{"EM",#N/A,FALSE,"EM";"EM_Quarterly",#N/A,FALSE,"EM";"BS",#N/A,FALSE,"BS";"CF",#N/A,FALSE,"CF"}</definedName>
    <definedName name="UTIW_EXPD" hidden="1">{"EM",#N/A,FALSE,"EM";"EM_Quarterly",#N/A,FALSE,"EM";"BS",#N/A,FALSE,"BS";"CF",#N/A,FALSE,"CF"}</definedName>
    <definedName name="uu" localSheetId="1" hidden="1">{#N/A,#N/A,FALSE,"SCA";#N/A,#N/A,FALSE,"NCA";#N/A,#N/A,FALSE,"SAZ";#N/A,#N/A,FALSE,"CAZ";#N/A,#N/A,FALSE,"SNV";#N/A,#N/A,FALSE,"NNV";#N/A,#N/A,FALSE,"PP";#N/A,#N/A,FALSE,"SA"}</definedName>
    <definedName name="uu" localSheetId="17" hidden="1">{#N/A,#N/A,FALSE,"SCA";#N/A,#N/A,FALSE,"NCA";#N/A,#N/A,FALSE,"SAZ";#N/A,#N/A,FALSE,"CAZ";#N/A,#N/A,FALSE,"SNV";#N/A,#N/A,FALSE,"NNV";#N/A,#N/A,FALSE,"PP";#N/A,#N/A,FALSE,"SA"}</definedName>
    <definedName name="uu" localSheetId="30" hidden="1">{#N/A,#N/A,FALSE,"SCA";#N/A,#N/A,FALSE,"NCA";#N/A,#N/A,FALSE,"SAZ";#N/A,#N/A,FALSE,"CAZ";#N/A,#N/A,FALSE,"SNV";#N/A,#N/A,FALSE,"NNV";#N/A,#N/A,FALSE,"PP";#N/A,#N/A,FALSE,"SA"}</definedName>
    <definedName name="uu" localSheetId="31" hidden="1">{#N/A,#N/A,FALSE,"SCA";#N/A,#N/A,FALSE,"NCA";#N/A,#N/A,FALSE,"SAZ";#N/A,#N/A,FALSE,"CAZ";#N/A,#N/A,FALSE,"SNV";#N/A,#N/A,FALSE,"NNV";#N/A,#N/A,FALSE,"PP";#N/A,#N/A,FALSE,"SA"}</definedName>
    <definedName name="uu" localSheetId="19" hidden="1">{#N/A,#N/A,FALSE,"SCA";#N/A,#N/A,FALSE,"NCA";#N/A,#N/A,FALSE,"SAZ";#N/A,#N/A,FALSE,"CAZ";#N/A,#N/A,FALSE,"SNV";#N/A,#N/A,FALSE,"NNV";#N/A,#N/A,FALSE,"PP";#N/A,#N/A,FALSE,"SA"}</definedName>
    <definedName name="uu" localSheetId="7" hidden="1">{#N/A,#N/A,FALSE,"SCA";#N/A,#N/A,FALSE,"NCA";#N/A,#N/A,FALSE,"SAZ";#N/A,#N/A,FALSE,"CAZ";#N/A,#N/A,FALSE,"SNV";#N/A,#N/A,FALSE,"NNV";#N/A,#N/A,FALSE,"PP";#N/A,#N/A,FALSE,"SA"}</definedName>
    <definedName name="uu" localSheetId="0" hidden="1">{#N/A,#N/A,FALSE,"SCA";#N/A,#N/A,FALSE,"NCA";#N/A,#N/A,FALSE,"SAZ";#N/A,#N/A,FALSE,"CAZ";#N/A,#N/A,FALSE,"SNV";#N/A,#N/A,FALSE,"NNV";#N/A,#N/A,FALSE,"PP";#N/A,#N/A,FALSE,"SA"}</definedName>
    <definedName name="uu" localSheetId="10" hidden="1">{#N/A,#N/A,FALSE,"SCA";#N/A,#N/A,FALSE,"NCA";#N/A,#N/A,FALSE,"SAZ";#N/A,#N/A,FALSE,"CAZ";#N/A,#N/A,FALSE,"SNV";#N/A,#N/A,FALSE,"NNV";#N/A,#N/A,FALSE,"PP";#N/A,#N/A,FALSE,"SA"}</definedName>
    <definedName name="uu" localSheetId="12" hidden="1">{#N/A,#N/A,FALSE,"SCA";#N/A,#N/A,FALSE,"NCA";#N/A,#N/A,FALSE,"SAZ";#N/A,#N/A,FALSE,"CAZ";#N/A,#N/A,FALSE,"SNV";#N/A,#N/A,FALSE,"NNV";#N/A,#N/A,FALSE,"PP";#N/A,#N/A,FALSE,"SA"}</definedName>
    <definedName name="uu" localSheetId="9" hidden="1">{#N/A,#N/A,FALSE,"SCA";#N/A,#N/A,FALSE,"NCA";#N/A,#N/A,FALSE,"SAZ";#N/A,#N/A,FALSE,"CAZ";#N/A,#N/A,FALSE,"SNV";#N/A,#N/A,FALSE,"NNV";#N/A,#N/A,FALSE,"PP";#N/A,#N/A,FALSE,"SA"}</definedName>
    <definedName name="uu" hidden="1">{#N/A,#N/A,FALSE,"SCA";#N/A,#N/A,FALSE,"NCA";#N/A,#N/A,FALSE,"SAZ";#N/A,#N/A,FALSE,"CAZ";#N/A,#N/A,FALSE,"SNV";#N/A,#N/A,FALSE,"NNV";#N/A,#N/A,FALSE,"PP";#N/A,#N/A,FALSE,"SA"}</definedName>
    <definedName name="UUC.CE" localSheetId="10">#REF!</definedName>
    <definedName name="UUC.CE">#REF!</definedName>
    <definedName name="uuu"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u" localSheetId="1" hidden="1">{#N/A,#N/A,FALSE,"SCA";#N/A,#N/A,FALSE,"NCA";#N/A,#N/A,FALSE,"SAZ";#N/A,#N/A,FALSE,"CAZ";#N/A,#N/A,FALSE,"SNV";#N/A,#N/A,FALSE,"NNV";#N/A,#N/A,FALSE,"PP";#N/A,#N/A,FALSE,"SA"}</definedName>
    <definedName name="uuuu" localSheetId="17" hidden="1">{#N/A,#N/A,FALSE,"SCA";#N/A,#N/A,FALSE,"NCA";#N/A,#N/A,FALSE,"SAZ";#N/A,#N/A,FALSE,"CAZ";#N/A,#N/A,FALSE,"SNV";#N/A,#N/A,FALSE,"NNV";#N/A,#N/A,FALSE,"PP";#N/A,#N/A,FALSE,"SA"}</definedName>
    <definedName name="uuuu" localSheetId="30" hidden="1">{#N/A,#N/A,FALSE,"SCA";#N/A,#N/A,FALSE,"NCA";#N/A,#N/A,FALSE,"SAZ";#N/A,#N/A,FALSE,"CAZ";#N/A,#N/A,FALSE,"SNV";#N/A,#N/A,FALSE,"NNV";#N/A,#N/A,FALSE,"PP";#N/A,#N/A,FALSE,"SA"}</definedName>
    <definedName name="uuuu" localSheetId="31" hidden="1">{#N/A,#N/A,FALSE,"SCA";#N/A,#N/A,FALSE,"NCA";#N/A,#N/A,FALSE,"SAZ";#N/A,#N/A,FALSE,"CAZ";#N/A,#N/A,FALSE,"SNV";#N/A,#N/A,FALSE,"NNV";#N/A,#N/A,FALSE,"PP";#N/A,#N/A,FALSE,"SA"}</definedName>
    <definedName name="uuuu" localSheetId="19" hidden="1">{#N/A,#N/A,FALSE,"SCA";#N/A,#N/A,FALSE,"NCA";#N/A,#N/A,FALSE,"SAZ";#N/A,#N/A,FALSE,"CAZ";#N/A,#N/A,FALSE,"SNV";#N/A,#N/A,FALSE,"NNV";#N/A,#N/A,FALSE,"PP";#N/A,#N/A,FALSE,"SA"}</definedName>
    <definedName name="uuuu" localSheetId="7" hidden="1">{#N/A,#N/A,FALSE,"SCA";#N/A,#N/A,FALSE,"NCA";#N/A,#N/A,FALSE,"SAZ";#N/A,#N/A,FALSE,"CAZ";#N/A,#N/A,FALSE,"SNV";#N/A,#N/A,FALSE,"NNV";#N/A,#N/A,FALSE,"PP";#N/A,#N/A,FALSE,"SA"}</definedName>
    <definedName name="uuuu" localSheetId="0" hidden="1">{#N/A,#N/A,FALSE,"SCA";#N/A,#N/A,FALSE,"NCA";#N/A,#N/A,FALSE,"SAZ";#N/A,#N/A,FALSE,"CAZ";#N/A,#N/A,FALSE,"SNV";#N/A,#N/A,FALSE,"NNV";#N/A,#N/A,FALSE,"PP";#N/A,#N/A,FALSE,"SA"}</definedName>
    <definedName name="uuuu" localSheetId="10" hidden="1">{#N/A,#N/A,FALSE,"SCA";#N/A,#N/A,FALSE,"NCA";#N/A,#N/A,FALSE,"SAZ";#N/A,#N/A,FALSE,"CAZ";#N/A,#N/A,FALSE,"SNV";#N/A,#N/A,FALSE,"NNV";#N/A,#N/A,FALSE,"PP";#N/A,#N/A,FALSE,"SA"}</definedName>
    <definedName name="uuuu" localSheetId="12" hidden="1">{#N/A,#N/A,FALSE,"SCA";#N/A,#N/A,FALSE,"NCA";#N/A,#N/A,FALSE,"SAZ";#N/A,#N/A,FALSE,"CAZ";#N/A,#N/A,FALSE,"SNV";#N/A,#N/A,FALSE,"NNV";#N/A,#N/A,FALSE,"PP";#N/A,#N/A,FALSE,"SA"}</definedName>
    <definedName name="uuuu" localSheetId="9" hidden="1">{#N/A,#N/A,FALSE,"SCA";#N/A,#N/A,FALSE,"NCA";#N/A,#N/A,FALSE,"SAZ";#N/A,#N/A,FALSE,"CAZ";#N/A,#N/A,FALSE,"SNV";#N/A,#N/A,FALSE,"NNV";#N/A,#N/A,FALSE,"PP";#N/A,#N/A,FALSE,"SA"}</definedName>
    <definedName name="uuuu" hidden="1">{#N/A,#N/A,FALSE,"SCA";#N/A,#N/A,FALSE,"NCA";#N/A,#N/A,FALSE,"SAZ";#N/A,#N/A,FALSE,"CAZ";#N/A,#N/A,FALSE,"SNV";#N/A,#N/A,FALSE,"NNV";#N/A,#N/A,FALSE,"PP";#N/A,#N/A,FALSE,"SA"}</definedName>
    <definedName name="uuuuu" localSheetId="1" hidden="1">{#N/A,#N/A,FALSE,"Page 1";#N/A,#N/A,FALSE,"Page 2";#N/A,#N/A,FALSE,"Page 3";#N/A,#N/A,FALSE,"Page 4";#N/A,#N/A,FALSE,"Page 5";#N/A,#N/A,FALSE,"Page 6";#N/A,#N/A,FALSE,"Page 7";#N/A,#N/A,FALSE,"Page 8";#N/A,#N/A,FALSE,"Page 9";#N/A,#N/A,FALSE,"PG8WP";#N/A,#N/A,FALSE,"PG9WP"}</definedName>
    <definedName name="uuuuu" localSheetId="17" hidden="1">{#N/A,#N/A,FALSE,"Page 1";#N/A,#N/A,FALSE,"Page 2";#N/A,#N/A,FALSE,"Page 3";#N/A,#N/A,FALSE,"Page 4";#N/A,#N/A,FALSE,"Page 5";#N/A,#N/A,FALSE,"Page 6";#N/A,#N/A,FALSE,"Page 7";#N/A,#N/A,FALSE,"Page 8";#N/A,#N/A,FALSE,"Page 9";#N/A,#N/A,FALSE,"PG8WP";#N/A,#N/A,FALSE,"PG9WP"}</definedName>
    <definedName name="uuuuu" localSheetId="30" hidden="1">{#N/A,#N/A,FALSE,"Page 1";#N/A,#N/A,FALSE,"Page 2";#N/A,#N/A,FALSE,"Page 3";#N/A,#N/A,FALSE,"Page 4";#N/A,#N/A,FALSE,"Page 5";#N/A,#N/A,FALSE,"Page 6";#N/A,#N/A,FALSE,"Page 7";#N/A,#N/A,FALSE,"Page 8";#N/A,#N/A,FALSE,"Page 9";#N/A,#N/A,FALSE,"PG8WP";#N/A,#N/A,FALSE,"PG9WP"}</definedName>
    <definedName name="uuuuu" localSheetId="31" hidden="1">{#N/A,#N/A,FALSE,"Page 1";#N/A,#N/A,FALSE,"Page 2";#N/A,#N/A,FALSE,"Page 3";#N/A,#N/A,FALSE,"Page 4";#N/A,#N/A,FALSE,"Page 5";#N/A,#N/A,FALSE,"Page 6";#N/A,#N/A,FALSE,"Page 7";#N/A,#N/A,FALSE,"Page 8";#N/A,#N/A,FALSE,"Page 9";#N/A,#N/A,FALSE,"PG8WP";#N/A,#N/A,FALSE,"PG9WP"}</definedName>
    <definedName name="uuuuu" localSheetId="19" hidden="1">{#N/A,#N/A,FALSE,"Page 1";#N/A,#N/A,FALSE,"Page 2";#N/A,#N/A,FALSE,"Page 3";#N/A,#N/A,FALSE,"Page 4";#N/A,#N/A,FALSE,"Page 5";#N/A,#N/A,FALSE,"Page 6";#N/A,#N/A,FALSE,"Page 7";#N/A,#N/A,FALSE,"Page 8";#N/A,#N/A,FALSE,"Page 9";#N/A,#N/A,FALSE,"PG8WP";#N/A,#N/A,FALSE,"PG9WP"}</definedName>
    <definedName name="uuuuu" localSheetId="7" hidden="1">{#N/A,#N/A,FALSE,"Page 1";#N/A,#N/A,FALSE,"Page 2";#N/A,#N/A,FALSE,"Page 3";#N/A,#N/A,FALSE,"Page 4";#N/A,#N/A,FALSE,"Page 5";#N/A,#N/A,FALSE,"Page 6";#N/A,#N/A,FALSE,"Page 7";#N/A,#N/A,FALSE,"Page 8";#N/A,#N/A,FALSE,"Page 9";#N/A,#N/A,FALSE,"PG8WP";#N/A,#N/A,FALSE,"PG9WP"}</definedName>
    <definedName name="uuuuu" localSheetId="0" hidden="1">{#N/A,#N/A,FALSE,"Page 1";#N/A,#N/A,FALSE,"Page 2";#N/A,#N/A,FALSE,"Page 3";#N/A,#N/A,FALSE,"Page 4";#N/A,#N/A,FALSE,"Page 5";#N/A,#N/A,FALSE,"Page 6";#N/A,#N/A,FALSE,"Page 7";#N/A,#N/A,FALSE,"Page 8";#N/A,#N/A,FALSE,"Page 9";#N/A,#N/A,FALSE,"PG8WP";#N/A,#N/A,FALSE,"PG9WP"}</definedName>
    <definedName name="uuuuu" localSheetId="10" hidden="1">{#N/A,#N/A,FALSE,"Page 1";#N/A,#N/A,FALSE,"Page 2";#N/A,#N/A,FALSE,"Page 3";#N/A,#N/A,FALSE,"Page 4";#N/A,#N/A,FALSE,"Page 5";#N/A,#N/A,FALSE,"Page 6";#N/A,#N/A,FALSE,"Page 7";#N/A,#N/A,FALSE,"Page 8";#N/A,#N/A,FALSE,"Page 9";#N/A,#N/A,FALSE,"PG8WP";#N/A,#N/A,FALSE,"PG9WP"}</definedName>
    <definedName name="uuuuu" localSheetId="12" hidden="1">{#N/A,#N/A,FALSE,"Page 1";#N/A,#N/A,FALSE,"Page 2";#N/A,#N/A,FALSE,"Page 3";#N/A,#N/A,FALSE,"Page 4";#N/A,#N/A,FALSE,"Page 5";#N/A,#N/A,FALSE,"Page 6";#N/A,#N/A,FALSE,"Page 7";#N/A,#N/A,FALSE,"Page 8";#N/A,#N/A,FALSE,"Page 9";#N/A,#N/A,FALSE,"PG8WP";#N/A,#N/A,FALSE,"PG9WP"}</definedName>
    <definedName name="uuuuu" localSheetId="9" hidden="1">{#N/A,#N/A,FALSE,"Page 1";#N/A,#N/A,FALSE,"Page 2";#N/A,#N/A,FALSE,"Page 3";#N/A,#N/A,FALSE,"Page 4";#N/A,#N/A,FALSE,"Page 5";#N/A,#N/A,FALSE,"Page 6";#N/A,#N/A,FALSE,"Page 7";#N/A,#N/A,FALSE,"Page 8";#N/A,#N/A,FALSE,"Page 9";#N/A,#N/A,FALSE,"PG8WP";#N/A,#N/A,FALSE,"PG9WP"}</definedName>
    <definedName name="uuuuu" hidden="1">{#N/A,#N/A,FALSE,"Page 1";#N/A,#N/A,FALSE,"Page 2";#N/A,#N/A,FALSE,"Page 3";#N/A,#N/A,FALSE,"Page 4";#N/A,#N/A,FALSE,"Page 5";#N/A,#N/A,FALSE,"Page 6";#N/A,#N/A,FALSE,"Page 7";#N/A,#N/A,FALSE,"Page 8";#N/A,#N/A,FALSE,"Page 9";#N/A,#N/A,FALSE,"PG8WP";#N/A,#N/A,FALSE,"PG9WP"}</definedName>
    <definedName name="v" localSheetId="1" hidden="1">{"Overall Scorecard",#N/A,FALSE,"Overall Scorecard"}</definedName>
    <definedName name="v" localSheetId="17" hidden="1">{"Overall Scorecard",#N/A,FALSE,"Overall Scorecard"}</definedName>
    <definedName name="v" localSheetId="30" hidden="1">{"Overall Scorecard",#N/A,FALSE,"Overall Scorecard"}</definedName>
    <definedName name="v" localSheetId="31" hidden="1">{"Overall Scorecard",#N/A,FALSE,"Overall Scorecard"}</definedName>
    <definedName name="v" localSheetId="19" hidden="1">{"Overall Scorecard",#N/A,FALSE,"Overall Scorecard"}</definedName>
    <definedName name="v" localSheetId="7" hidden="1">{"Overall Scorecard",#N/A,FALSE,"Overall Scorecard"}</definedName>
    <definedName name="v" localSheetId="0" hidden="1">{"Overall Scorecard",#N/A,FALSE,"Overall Scorecard"}</definedName>
    <definedName name="v" localSheetId="10" hidden="1">{"SEP",#N/A,FALSE,"SEP"}</definedName>
    <definedName name="v" localSheetId="12" hidden="1">{"SEP",#N/A,FALSE,"SEP"}</definedName>
    <definedName name="v" localSheetId="9" hidden="1">{"Overall Scorecard",#N/A,FALSE,"Overall Scorecard"}</definedName>
    <definedName name="v" hidden="1">{"SEP",#N/A,FALSE,"SEP"}</definedName>
    <definedName name="VA.1">#REF!</definedName>
    <definedName name="VA.3" localSheetId="10">#REF!</definedName>
    <definedName name="VA.3">#REF!</definedName>
    <definedName name="VA.5" localSheetId="10">#REF!</definedName>
    <definedName name="VA.5">#REF!</definedName>
    <definedName name="VA.CE" localSheetId="10">#REF!</definedName>
    <definedName name="VA.CE">#REF!</definedName>
    <definedName name="VA.CEP" localSheetId="10">#REF!</definedName>
    <definedName name="VA.CEP">#REF!</definedName>
    <definedName name="VAL.CE" localSheetId="10">#REF!</definedName>
    <definedName name="VAL.CE">#REF!</definedName>
    <definedName name="Value" localSheetId="7" hidden="1">{"assumptions",#N/A,FALSE,"Scenario 1";"valuation",#N/A,FALSE,"Scenario 1"}</definedName>
    <definedName name="Value" localSheetId="10" hidden="1">{"assumptions",#N/A,FALSE,"Scenario 1";"valuation",#N/A,FALSE,"Scenario 1"}</definedName>
    <definedName name="Value" localSheetId="12" hidden="1">{"assumptions",#N/A,FALSE,"Scenario 1";"valuation",#N/A,FALSE,"Scenario 1"}</definedName>
    <definedName name="Value" hidden="1">{"assumptions",#N/A,FALSE,"Scenario 1";"valuation",#N/A,FALSE,"Scenario 1"}</definedName>
    <definedName name="value1" localSheetId="7" hidden="1">{#N/A,#N/A,FALSE,"Cashflow Analysis";#N/A,#N/A,FALSE,"Sensitivity Analysis";#N/A,#N/A,FALSE,"PV";#N/A,#N/A,FALSE,"Pro Forma"}</definedName>
    <definedName name="value1" localSheetId="10" hidden="1">{#N/A,#N/A,FALSE,"Cashflow Analysis";#N/A,#N/A,FALSE,"Sensitivity Analysis";#N/A,#N/A,FALSE,"PV";#N/A,#N/A,FALSE,"Pro Forma"}</definedName>
    <definedName name="value1" localSheetId="12" hidden="1">{#N/A,#N/A,FALSE,"Cashflow Analysis";#N/A,#N/A,FALSE,"Sensitivity Analysis";#N/A,#N/A,FALSE,"PV";#N/A,#N/A,FALSE,"Pro Forma"}</definedName>
    <definedName name="value1" hidden="1">{#N/A,#N/A,FALSE,"Cashflow Analysis";#N/A,#N/A,FALSE,"Sensitivity Analysis";#N/A,#N/A,FALSE,"PV";#N/A,#N/A,FALSE,"Pro Forma"}</definedName>
    <definedName name="valueline" localSheetId="12">#REF!</definedName>
    <definedName name="valueline">#REF!</definedName>
    <definedName name="Values_Entered" localSheetId="7">IF(Loan_Amount*Interest_Rate*Loan_Years*Loan_Start&gt;0,1,0)</definedName>
    <definedName name="Values_Entered" localSheetId="10">IF('WP Cost HW and Useful Life'!Loan_Amount*'WP Cost HW and Useful Life'!Interest_Rate*'WP Cost HW and Useful Life'!Loan_Years*'WP Cost HW and Useful Life'!Loan_Start&gt;0,1,0)</definedName>
    <definedName name="Values_Entered" localSheetId="12">IF(Loan_Amount*Interest_Rate*Loan_Years*Loan_Start&gt;0,1,0)</definedName>
    <definedName name="Values_Entered">IF(Loan_Amount*Interest_Rate*Loan_Years*Loan_Start&gt;0,1,0)</definedName>
    <definedName name="vasdtrws" localSheetId="7" hidden="1">{"1 month",#N/A,FALSE,"Hourly"}</definedName>
    <definedName name="vasdtrws" localSheetId="10" hidden="1">{"1 month",#N/A,FALSE,"Hourly"}</definedName>
    <definedName name="vasdtrws" localSheetId="12" hidden="1">{"1 month",#N/A,FALSE,"Hourly"}</definedName>
    <definedName name="vasdtrws" hidden="1">{"1 month",#N/A,FALSE,"Hourly"}</definedName>
    <definedName name="vba_scenario">#REF!</definedName>
    <definedName name="Vehicles_rate">#REF!</definedName>
    <definedName name="Version" hidden="1">"a1"</definedName>
    <definedName name="VL_HTML_Control" localSheetId="1" hidden="1">{"'Sheet1'!$A$1:$O$40"}</definedName>
    <definedName name="VL_HTML_Control" localSheetId="17" hidden="1">{"'Sheet1'!$A$1:$O$40"}</definedName>
    <definedName name="VL_HTML_Control" localSheetId="30" hidden="1">{"'Sheet1'!$A$1:$O$40"}</definedName>
    <definedName name="VL_HTML_Control" localSheetId="31" hidden="1">{"'Sheet1'!$A$1:$O$40"}</definedName>
    <definedName name="VL_HTML_Control" localSheetId="19" hidden="1">{"'Sheet1'!$A$1:$O$40"}</definedName>
    <definedName name="VL_HTML_Control" localSheetId="7" hidden="1">{"'Sheet1'!$A$1:$O$40"}</definedName>
    <definedName name="VL_HTML_Control" localSheetId="0" hidden="1">{"'Sheet1'!$A$1:$O$40"}</definedName>
    <definedName name="VL_HTML_Control" localSheetId="10" hidden="1">{"'Sheet1'!$A$1:$O$40"}</definedName>
    <definedName name="VL_HTML_Control" localSheetId="12" hidden="1">{"'Sheet1'!$A$1:$O$40"}</definedName>
    <definedName name="VL_HTML_Control" localSheetId="9" hidden="1">{"'Sheet1'!$A$1:$O$40"}</definedName>
    <definedName name="VL_HTML_Control" hidden="1">{"'Sheet1'!$A$1:$O$40"}</definedName>
    <definedName name="VL_jhlkqFL" localSheetId="1" hidden="1">{"'Sheet1'!$A$1:$O$40"}</definedName>
    <definedName name="VL_jhlkqFL" localSheetId="17" hidden="1">{"'Sheet1'!$A$1:$O$40"}</definedName>
    <definedName name="VL_jhlkqFL" localSheetId="30" hidden="1">{"'Sheet1'!$A$1:$O$40"}</definedName>
    <definedName name="VL_jhlkqFL" localSheetId="31" hidden="1">{"'Sheet1'!$A$1:$O$40"}</definedName>
    <definedName name="VL_jhlkqFL" localSheetId="19" hidden="1">{"'Sheet1'!$A$1:$O$40"}</definedName>
    <definedName name="VL_jhlkqFL" localSheetId="7" hidden="1">{"'Sheet1'!$A$1:$O$40"}</definedName>
    <definedName name="VL_jhlkqFL" localSheetId="0" hidden="1">{"'Sheet1'!$A$1:$O$40"}</definedName>
    <definedName name="VL_jhlkqFL" localSheetId="10" hidden="1">{"'Sheet1'!$A$1:$O$40"}</definedName>
    <definedName name="VL_jhlkqFL" localSheetId="12" hidden="1">{"'Sheet1'!$A$1:$O$40"}</definedName>
    <definedName name="VL_jhlkqFL" localSheetId="9" hidden="1">{"'Sheet1'!$A$1:$O$40"}</definedName>
    <definedName name="VL_jhlkqFL" hidden="1">{"'Sheet1'!$A$1:$O$40"}</definedName>
    <definedName name="VL_Key1" localSheetId="30" hidden="1">#REF!</definedName>
    <definedName name="VL_Key1" localSheetId="31" hidden="1">#REF!</definedName>
    <definedName name="VL_Key1" localSheetId="9" hidden="1">#REF!</definedName>
    <definedName name="VL_Key1" hidden="1">#REF!</definedName>
    <definedName name="VL_key2" localSheetId="17" hidden="1">#REF!</definedName>
    <definedName name="VL_key2" localSheetId="30" hidden="1">#REF!</definedName>
    <definedName name="VL_key2" localSheetId="31" hidden="1">#REF!</definedName>
    <definedName name="VL_key2" localSheetId="7" hidden="1">#REF!</definedName>
    <definedName name="VL_key2" localSheetId="9" hidden="1">#REF!</definedName>
    <definedName name="VL_key2" hidden="1">#REF!</definedName>
    <definedName name="VL_Regression_Out" localSheetId="17" hidden="1">#REF!</definedName>
    <definedName name="VL_Regression_Out" localSheetId="31" hidden="1">#REF!</definedName>
    <definedName name="VL_Regression_Out" localSheetId="7" hidden="1">#REF!</definedName>
    <definedName name="VL_Regression_Out" localSheetId="9" hidden="1">#REF!</definedName>
    <definedName name="VL_Regression_Out" hidden="1">#REF!</definedName>
    <definedName name="VL_Regression_X" localSheetId="31" hidden="1">#REF!</definedName>
    <definedName name="VL_Regression_X" localSheetId="7" hidden="1">#REF!</definedName>
    <definedName name="VL_Regression_X" hidden="1">#REF!</definedName>
    <definedName name="VL_Regression_Y" localSheetId="31" hidden="1">#REF!</definedName>
    <definedName name="VL_Regression_Y" localSheetId="7" hidden="1">#REF!</definedName>
    <definedName name="VL_Regression_Y" hidden="1">#REF!</definedName>
    <definedName name="VL_Sort" localSheetId="31" hidden="1">#REF!</definedName>
    <definedName name="VL_Sort" localSheetId="7" hidden="1">#REF!</definedName>
    <definedName name="VL_Sort" hidden="1">#REF!</definedName>
    <definedName name="vlapp">#REF!</definedName>
    <definedName name="vldatabase">#REF!</definedName>
    <definedName name="w" localSheetId="1" hidden="1">{"Points=O&amp;M per Customer + per Equiv Employee",#N/A,FALSE,"Points";"Points=Operating Ratio + Return on Net Plant",#N/A,FALSE,"Points";"Points=Revenue per Equivalent Employee",#N/A,FALSE,"Points"}</definedName>
    <definedName name="w" localSheetId="17" hidden="1">{"Points=O&amp;M per Customer + per Equiv Employee",#N/A,FALSE,"Points";"Points=Operating Ratio + Return on Net Plant",#N/A,FALSE,"Points";"Points=Revenue per Equivalent Employee",#N/A,FALSE,"Points"}</definedName>
    <definedName name="w" localSheetId="30" hidden="1">{"Points=O&amp;M per Customer + per Equiv Employee",#N/A,FALSE,"Points";"Points=Operating Ratio + Return on Net Plant",#N/A,FALSE,"Points";"Points=Revenue per Equivalent Employee",#N/A,FALSE,"Points"}</definedName>
    <definedName name="w" localSheetId="31" hidden="1">{"Points=O&amp;M per Customer + per Equiv Employee",#N/A,FALSE,"Points";"Points=Operating Ratio + Return on Net Plant",#N/A,FALSE,"Points";"Points=Revenue per Equivalent Employee",#N/A,FALSE,"Points"}</definedName>
    <definedName name="w" localSheetId="19" hidden="1">{"Points=O&amp;M per Customer + per Equiv Employee",#N/A,FALSE,"Points";"Points=Operating Ratio + Return on Net Plant",#N/A,FALSE,"Points";"Points=Revenue per Equivalent Employee",#N/A,FALSE,"Points"}</definedName>
    <definedName name="w" localSheetId="7" hidden="1">{"Points=O&amp;M per Customer + per Equiv Employee",#N/A,FALSE,"Points";"Points=Operating Ratio + Return on Net Plant",#N/A,FALSE,"Points";"Points=Revenue per Equivalent Employee",#N/A,FALSE,"Points"}</definedName>
    <definedName name="w" localSheetId="0" hidden="1">{"Points=O&amp;M per Customer + per Equiv Employee",#N/A,FALSE,"Points";"Points=Operating Ratio + Return on Net Plant",#N/A,FALSE,"Points";"Points=Revenue per Equivalent Employee",#N/A,FALSE,"Points"}</definedName>
    <definedName name="w" localSheetId="10" hidden="1">{"SEP",#N/A,FALSE,"SEP"}</definedName>
    <definedName name="w" localSheetId="12" hidden="1">{"SEP",#N/A,FALSE,"SEP"}</definedName>
    <definedName name="w" localSheetId="9" hidden="1">{"Points=O&amp;M per Customer + per Equiv Employee",#N/A,FALSE,"Points";"Points=Operating Ratio + Return on Net Plant",#N/A,FALSE,"Points";"Points=Revenue per Equivalent Employee",#N/A,FALSE,"Points"}</definedName>
    <definedName name="w" hidden="1">{"SEP",#N/A,FALSE,"SEP"}</definedName>
    <definedName name="WADPRIM">#REF!</definedName>
    <definedName name="warn"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localSheetId="1" hidden="1">{"Co1statements",#N/A,FALSE,"Cmpy1";"Co2statement",#N/A,FALSE,"Cmpy2";"co1pm",#N/A,FALSE,"Co1PM";"co2PM",#N/A,FALSE,"Co2PM";"value",#N/A,FALSE,"value";"opco",#N/A,FALSE,"NewSparkle";"adjusts",#N/A,FALSE,"Adjustments"}</definedName>
    <definedName name="warnst" localSheetId="17" hidden="1">{"Co1statements",#N/A,FALSE,"Cmpy1";"Co2statement",#N/A,FALSE,"Cmpy2";"co1pm",#N/A,FALSE,"Co1PM";"co2PM",#N/A,FALSE,"Co2PM";"value",#N/A,FALSE,"value";"opco",#N/A,FALSE,"NewSparkle";"adjusts",#N/A,FALSE,"Adjustments"}</definedName>
    <definedName name="warnst" localSheetId="30" hidden="1">{"Co1statements",#N/A,FALSE,"Cmpy1";"Co2statement",#N/A,FALSE,"Cmpy2";"co1pm",#N/A,FALSE,"Co1PM";"co2PM",#N/A,FALSE,"Co2PM";"value",#N/A,FALSE,"value";"opco",#N/A,FALSE,"NewSparkle";"adjusts",#N/A,FALSE,"Adjustments"}</definedName>
    <definedName name="warnst" localSheetId="31" hidden="1">{"Co1statements",#N/A,FALSE,"Cmpy1";"Co2statement",#N/A,FALSE,"Cmpy2";"co1pm",#N/A,FALSE,"Co1PM";"co2PM",#N/A,FALSE,"Co2PM";"value",#N/A,FALSE,"value";"opco",#N/A,FALSE,"NewSparkle";"adjusts",#N/A,FALSE,"Adjustments"}</definedName>
    <definedName name="warnst" localSheetId="19" hidden="1">{"Co1statements",#N/A,FALSE,"Cmpy1";"Co2statement",#N/A,FALSE,"Cmpy2";"co1pm",#N/A,FALSE,"Co1PM";"co2PM",#N/A,FALSE,"Co2PM";"value",#N/A,FALSE,"value";"opco",#N/A,FALSE,"NewSparkle";"adjusts",#N/A,FALSE,"Adjustments"}</definedName>
    <definedName name="warnst" localSheetId="7" hidden="1">{"Co1statements",#N/A,FALSE,"Cmpy1";"Co2statement",#N/A,FALSE,"Cmpy2";"co1pm",#N/A,FALSE,"Co1PM";"co2PM",#N/A,FALSE,"Co2PM";"value",#N/A,FALSE,"value";"opco",#N/A,FALSE,"NewSparkle";"adjusts",#N/A,FALSE,"Adjustments"}</definedName>
    <definedName name="warnst" localSheetId="0" hidden="1">{"Co1statements",#N/A,FALSE,"Cmpy1";"Co2statement",#N/A,FALSE,"Cmpy2";"co1pm",#N/A,FALSE,"Co1PM";"co2PM",#N/A,FALSE,"Co2PM";"value",#N/A,FALSE,"value";"opco",#N/A,FALSE,"NewSparkle";"adjusts",#N/A,FALSE,"Adjustments"}</definedName>
    <definedName name="warnst" localSheetId="10" hidden="1">{"Co1statements",#N/A,FALSE,"Cmpy1";"Co2statement",#N/A,FALSE,"Cmpy2";"co1pm",#N/A,FALSE,"Co1PM";"co2PM",#N/A,FALSE,"Co2PM";"value",#N/A,FALSE,"value";"opco",#N/A,FALSE,"NewSparkle";"adjusts",#N/A,FALSE,"Adjustments"}</definedName>
    <definedName name="warnst" localSheetId="12" hidden="1">{"Co1statements",#N/A,FALSE,"Cmpy1";"Co2statement",#N/A,FALSE,"Cmpy2";"co1pm",#N/A,FALSE,"Co1PM";"co2PM",#N/A,FALSE,"Co2PM";"value",#N/A,FALSE,"value";"opco",#N/A,FALSE,"NewSparkle";"adjusts",#N/A,FALSE,"Adjustments"}</definedName>
    <definedName name="warnst" localSheetId="9" hidden="1">{"Co1statements",#N/A,FALSE,"Cmpy1";"Co2statement",#N/A,FALSE,"Cmpy2";"co1pm",#N/A,FALSE,"Co1PM";"co2PM",#N/A,FALSE,"Co2PM";"value",#N/A,FALSE,"value";"opco",#N/A,FALSE,"NewSparkle";"adjusts",#N/A,FALSE,"Adjustments"}</definedName>
    <definedName name="warnst" hidden="1">{"Co1statements",#N/A,FALSE,"Cmpy1";"Co2statement",#N/A,FALSE,"Cmpy2";"co1pm",#N/A,FALSE,"Co1PM";"co2PM",#N/A,FALSE,"Co2PM";"value",#N/A,FALSE,"value";"opco",#N/A,FALSE,"NewSparkle";"adjusts",#N/A,FALSE,"Adjustments"}</definedName>
    <definedName name="water_customer">#REF!</definedName>
    <definedName name="Water_customers">#REF!</definedName>
    <definedName name="Water_distributions_of_costs_to_plant">#REF!</definedName>
    <definedName name="Water_Rates" localSheetId="7">#REF!</definedName>
    <definedName name="Water_Rates" localSheetId="10">#REF!</definedName>
    <definedName name="Water_Rates">#REF!</definedName>
    <definedName name="WD.CE" localSheetId="10">#REF!</definedName>
    <definedName name="WD.CE">#REF!</definedName>
    <definedName name="We">#REF!</definedName>
    <definedName name="We_3">#REF!</definedName>
    <definedName name="We_4">#REF!</definedName>
    <definedName name="weA">#REF!</definedName>
    <definedName name="weA_3">#REF!</definedName>
    <definedName name="weA_4">#REF!</definedName>
    <definedName name="web" localSheetId="7" hidden="1">{#N/A,#N/A,FALSE,"Taxblinc";#N/A,#N/A,FALSE,"Rsvsacls"}</definedName>
    <definedName name="web" localSheetId="10" hidden="1">{#N/A,#N/A,FALSE,"Taxblinc";#N/A,#N/A,FALSE,"Rsvsacls"}</definedName>
    <definedName name="web" localSheetId="12" hidden="1">{#N/A,#N/A,FALSE,"Taxblinc";#N/A,#N/A,FALSE,"Rsvsacls"}</definedName>
    <definedName name="web" hidden="1">{#N/A,#N/A,FALSE,"Taxblinc";#N/A,#N/A,FALSE,"Rsvsacls"}</definedName>
    <definedName name="wepfo" localSheetId="31" hidden="1">#REF!</definedName>
    <definedName name="wepfo" localSheetId="7" hidden="1">#REF!</definedName>
    <definedName name="wepfo" localSheetId="9" hidden="1">#REF!</definedName>
    <definedName name="wepfo" hidden="1">#REF!</definedName>
    <definedName name="WFC" localSheetId="7" hidden="1">#REF!</definedName>
    <definedName name="WFC" localSheetId="10" hidden="1">#REF!</definedName>
    <definedName name="WFC" hidden="1">#REF!</definedName>
    <definedName name="WG">#REF!</definedName>
    <definedName name="wh" localSheetId="1"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30" hidden="1">{#N/A,#N/A,FALSE,"O&amp;M by processes";#N/A,#N/A,FALSE,"Elec Act vs Bud";#N/A,#N/A,FALSE,"G&amp;A";#N/A,#N/A,FALSE,"BGS";#N/A,#N/A,FALSE,"Res Cost"}</definedName>
    <definedName name="wh" localSheetId="31"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7" hidden="1">{#N/A,#N/A,FALSE,"O&amp;M by processes";#N/A,#N/A,FALSE,"Elec Act vs Bud";#N/A,#N/A,FALSE,"G&amp;A";#N/A,#N/A,FALSE,"BGS";#N/A,#N/A,FALSE,"Res Cost"}</definedName>
    <definedName name="wh" localSheetId="0" hidden="1">{#N/A,#N/A,FALSE,"O&amp;M by processes";#N/A,#N/A,FALSE,"Elec Act vs Bud";#N/A,#N/A,FALSE,"G&amp;A";#N/A,#N/A,FALSE,"BGS";#N/A,#N/A,FALSE,"Res Cost"}</definedName>
    <definedName name="wh" localSheetId="10" hidden="1">{#N/A,#N/A,FALSE,"O&amp;M by processes";#N/A,#N/A,FALSE,"Elec Act vs Bud";#N/A,#N/A,FALSE,"G&amp;A";#N/A,#N/A,FALSE,"BGS";#N/A,#N/A,FALSE,"Res Cost"}</definedName>
    <definedName name="wh" localSheetId="12" hidden="1">{#N/A,#N/A,FALSE,"O&amp;M by processes";#N/A,#N/A,FALSE,"Elec Act vs Bud";#N/A,#N/A,FALSE,"G&amp;A";#N/A,#N/A,FALSE,"BGS";#N/A,#N/A,FALSE,"Res Cost"}</definedName>
    <definedName name="wh" localSheetId="9" hidden="1">{#N/A,#N/A,FALSE,"O&amp;M by processes";#N/A,#N/A,FALSE,"Elec Act vs Bud";#N/A,#N/A,FALSE,"G&amp;A";#N/A,#N/A,FALSE,"BGS";#N/A,#N/A,FALSE,"Res Cost"}</definedName>
    <definedName name="wh" hidden="1">{#N/A,#N/A,FALSE,"O&amp;M by processes";#N/A,#N/A,FALSE,"Elec Act vs Bud";#N/A,#N/A,FALSE,"G&amp;A";#N/A,#N/A,FALSE,"BGS";#N/A,#N/A,FALSE,"Res Cost"}</definedName>
    <definedName name="WH.CE">#REF!</definedName>
    <definedName name="what"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localSheetId="10" hidden="1">{"SEP",#N/A,FALSE,"SEP"}</definedName>
    <definedName name="WHAT" localSheetId="12" hidden="1">{"SEP",#N/A,FALSE,"SEP"}</definedName>
    <definedName name="what"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 hidden="1">{"SEP",#N/A,FALSE,"SEP"}</definedName>
    <definedName name="what1" localSheetId="1" hidden="1">{"TOT_QTR_TO_PREV",#N/A,FALSE,"Site Sum"}</definedName>
    <definedName name="what1" localSheetId="17" hidden="1">{"TOT_QTR_TO_PREV",#N/A,FALSE,"Site Sum"}</definedName>
    <definedName name="what1" localSheetId="30" hidden="1">{"TOT_QTR_TO_PREV",#N/A,FALSE,"Site Sum"}</definedName>
    <definedName name="what1" localSheetId="31" hidden="1">{"TOT_QTR_TO_PREV",#N/A,FALSE,"Site Sum"}</definedName>
    <definedName name="what1" localSheetId="19" hidden="1">{"TOT_QTR_TO_PREV",#N/A,FALSE,"Site Sum"}</definedName>
    <definedName name="what1" localSheetId="7" hidden="1">{"TOT_QTR_TO_PREV",#N/A,FALSE,"Site Sum"}</definedName>
    <definedName name="what1" localSheetId="0" hidden="1">{"TOT_QTR_TO_PREV",#N/A,FALSE,"Site Sum"}</definedName>
    <definedName name="what1" localSheetId="10" hidden="1">{"TOT_QTR_TO_PREV",#N/A,FALSE,"Site Sum"}</definedName>
    <definedName name="what1" localSheetId="12" hidden="1">{"TOT_QTR_TO_PREV",#N/A,FALSE,"Site Sum"}</definedName>
    <definedName name="what1" localSheetId="9" hidden="1">{"TOT_QTR_TO_PREV",#N/A,FALSE,"Site Sum"}</definedName>
    <definedName name="what1" hidden="1">{"TOT_QTR_TO_PREV",#N/A,FALSE,"Site Sum"}</definedName>
    <definedName name="what2" localSheetId="1" hidden="1">{"TOT_QTR_TO_PREV",#N/A,FALSE,"Site Sum"}</definedName>
    <definedName name="what2" localSheetId="17" hidden="1">{"TOT_QTR_TO_PREV",#N/A,FALSE,"Site Sum"}</definedName>
    <definedName name="what2" localSheetId="30" hidden="1">{"TOT_QTR_TO_PREV",#N/A,FALSE,"Site Sum"}</definedName>
    <definedName name="what2" localSheetId="31" hidden="1">{"TOT_QTR_TO_PREV",#N/A,FALSE,"Site Sum"}</definedName>
    <definedName name="what2" localSheetId="19" hidden="1">{"TOT_QTR_TO_PREV",#N/A,FALSE,"Site Sum"}</definedName>
    <definedName name="what2" localSheetId="7" hidden="1">{"TOT_QTR_TO_PREV",#N/A,FALSE,"Site Sum"}</definedName>
    <definedName name="what2" localSheetId="0" hidden="1">{"TOT_QTR_TO_PREV",#N/A,FALSE,"Site Sum"}</definedName>
    <definedName name="what2" localSheetId="10" hidden="1">{"TOT_QTR_TO_PREV",#N/A,FALSE,"Site Sum"}</definedName>
    <definedName name="what2" localSheetId="12" hidden="1">{"TOT_QTR_TO_PREV",#N/A,FALSE,"Site Sum"}</definedName>
    <definedName name="what2" localSheetId="9" hidden="1">{"TOT_QTR_TO_PREV",#N/A,FALSE,"Site Sum"}</definedName>
    <definedName name="what2" hidden="1">{"TOT_QTR_TO_PREV",#N/A,FALSE,"Site Sum"}</definedName>
    <definedName name="whatever"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whatever"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whatever" hidden="1">{#N/A,#N/A,FALSE,"Australia";#N/A,#N/A,FALSE,"Austria";#N/A,#N/A,FALSE,"Belgium";#N/A,#N/A,FALSE,"Canada";#N/A,#N/A,FALSE,"France";#N/A,#N/A,FALSE,"Germany";#N/A,#N/A,FALSE,"Hong Kong";#N/A,#N/A,FALSE,"Italy";#N/A,#N/A,FALSE,"Japan";#N/A,#N/A,FALSE,"Korea";#N/A,#N/A,FALSE,"Mexico";#N/A,#N/A,FALSE,"Poland";#N/A,#N/A,FALSE,"Spain";#N/A,#N/A,FALSE,"Switzerland";#N/A,#N/A,FALSE,"UK"}</definedName>
    <definedName name="Whatwhat" localSheetId="1"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30" hidden="1">{#N/A,#N/A,FALSE,"O&amp;M by processes";#N/A,#N/A,FALSE,"Elec Act vs Bud";#N/A,#N/A,FALSE,"G&amp;A";#N/A,#N/A,FALSE,"BGS";#N/A,#N/A,FALSE,"Res Cost"}</definedName>
    <definedName name="Whatwhat" localSheetId="31"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0" hidden="1">{#N/A,#N/A,FALSE,"O&amp;M by processes";#N/A,#N/A,FALSE,"Elec Act vs Bud";#N/A,#N/A,FALSE,"G&amp;A";#N/A,#N/A,FALSE,"BGS";#N/A,#N/A,FALSE,"Res Cost"}</definedName>
    <definedName name="Whatwhat" localSheetId="10" hidden="1">{#N/A,#N/A,FALSE,"O&amp;M by processes";#N/A,#N/A,FALSE,"Elec Act vs Bud";#N/A,#N/A,FALSE,"G&amp;A";#N/A,#N/A,FALSE,"BGS";#N/A,#N/A,FALSE,"Res Cost"}</definedName>
    <definedName name="Whatwhat" localSheetId="12"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hidden="1">{#N/A,#N/A,FALSE,"O&amp;M by processes";#N/A,#N/A,FALSE,"Elec Act vs Bud";#N/A,#N/A,FALSE,"G&amp;A";#N/A,#N/A,FALSE,"BGS";#N/A,#N/A,FALSE,"Res Cost"}</definedName>
    <definedName name="whnos" localSheetId="7" hidden="1">{#N/A,#N/A,TRUE,"TOTAL DSBN";#N/A,#N/A,TRUE,"WEST";#N/A,#N/A,TRUE,"SOUTH";#N/A,#N/A,TRUE,"NORTHEAST"}</definedName>
    <definedName name="whnos" localSheetId="10" hidden="1">{#N/A,#N/A,TRUE,"TOTAL DSBN";#N/A,#N/A,TRUE,"WEST";#N/A,#N/A,TRUE,"SOUTH";#N/A,#N/A,TRUE,"NORTHEAST"}</definedName>
    <definedName name="whnos" localSheetId="12" hidden="1">{#N/A,#N/A,TRUE,"TOTAL DSBN";#N/A,#N/A,TRUE,"WEST";#N/A,#N/A,TRUE,"SOUTH";#N/A,#N/A,TRUE,"NORTHEAST"}</definedName>
    <definedName name="whnos" hidden="1">{#N/A,#N/A,TRUE,"TOTAL DSBN";#N/A,#N/A,TRUE,"WEST";#N/A,#N/A,TRUE,"SOUTH";#N/A,#N/A,TRUE,"NORTHEAST"}</definedName>
    <definedName name="who" localSheetId="1"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30" hidden="1">{#N/A,#N/A,FALSE,"O&amp;M by processes";#N/A,#N/A,FALSE,"Elec Act vs Bud";#N/A,#N/A,FALSE,"G&amp;A";#N/A,#N/A,FALSE,"BGS";#N/A,#N/A,FALSE,"Res Cost"}</definedName>
    <definedName name="who" localSheetId="31"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7" hidden="1">{#N/A,#N/A,FALSE,"O&amp;M by processes";#N/A,#N/A,FALSE,"Elec Act vs Bud";#N/A,#N/A,FALSE,"G&amp;A";#N/A,#N/A,FALSE,"BGS";#N/A,#N/A,FALSE,"Res Cost"}</definedName>
    <definedName name="who" localSheetId="0" hidden="1">{#N/A,#N/A,FALSE,"O&amp;M by processes";#N/A,#N/A,FALSE,"Elec Act vs Bud";#N/A,#N/A,FALSE,"G&amp;A";#N/A,#N/A,FALSE,"BGS";#N/A,#N/A,FALSE,"Res Cost"}</definedName>
    <definedName name="who" localSheetId="10" hidden="1">{#N/A,#N/A,FALSE,"O&amp;M by processes";#N/A,#N/A,FALSE,"Elec Act vs Bud";#N/A,#N/A,FALSE,"G&amp;A";#N/A,#N/A,FALSE,"BGS";#N/A,#N/A,FALSE,"Res Cost"}</definedName>
    <definedName name="who" localSheetId="12" hidden="1">{#N/A,#N/A,FALSE,"O&amp;M by processes";#N/A,#N/A,FALSE,"Elec Act vs Bud";#N/A,#N/A,FALSE,"G&amp;A";#N/A,#N/A,FALSE,"BGS";#N/A,#N/A,FALSE,"Res Cost"}</definedName>
    <definedName name="who" localSheetId="9"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1"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30" hidden="1">{#N/A,#N/A,FALSE,"O&amp;M by processes";#N/A,#N/A,FALSE,"Elec Act vs Bud";#N/A,#N/A,FALSE,"G&amp;A";#N/A,#N/A,FALSE,"BGS";#N/A,#N/A,FALSE,"Res Cost"}</definedName>
    <definedName name="whowho" localSheetId="31"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7" hidden="1">{#N/A,#N/A,FALSE,"O&amp;M by processes";#N/A,#N/A,FALSE,"Elec Act vs Bud";#N/A,#N/A,FALSE,"G&amp;A";#N/A,#N/A,FALSE,"BGS";#N/A,#N/A,FALSE,"Res Cost"}</definedName>
    <definedName name="whowho" localSheetId="0" hidden="1">{#N/A,#N/A,FALSE,"O&amp;M by processes";#N/A,#N/A,FALSE,"Elec Act vs Bud";#N/A,#N/A,FALSE,"G&amp;A";#N/A,#N/A,FALSE,"BGS";#N/A,#N/A,FALSE,"Res Cost"}</definedName>
    <definedName name="whowho" localSheetId="10" hidden="1">{#N/A,#N/A,FALSE,"O&amp;M by processes";#N/A,#N/A,FALSE,"Elec Act vs Bud";#N/A,#N/A,FALSE,"G&amp;A";#N/A,#N/A,FALSE,"BGS";#N/A,#N/A,FALSE,"Res Cost"}</definedName>
    <definedName name="whowho" localSheetId="12"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1"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30" hidden="1">{#N/A,#N/A,FALSE,"O&amp;M by processes";#N/A,#N/A,FALSE,"Elec Act vs Bud";#N/A,#N/A,FALSE,"G&amp;A";#N/A,#N/A,FALSE,"BGS";#N/A,#N/A,FALSE,"Res Cost"}</definedName>
    <definedName name="whwh" localSheetId="31"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0" hidden="1">{#N/A,#N/A,FALSE,"O&amp;M by processes";#N/A,#N/A,FALSE,"Elec Act vs Bud";#N/A,#N/A,FALSE,"G&amp;A";#N/A,#N/A,FALSE,"BGS";#N/A,#N/A,FALSE,"Res Cost"}</definedName>
    <definedName name="whwh" localSheetId="10" hidden="1">{#N/A,#N/A,FALSE,"O&amp;M by processes";#N/A,#N/A,FALSE,"Elec Act vs Bud";#N/A,#N/A,FALSE,"G&amp;A";#N/A,#N/A,FALSE,"BGS";#N/A,#N/A,FALSE,"Res Cost"}</definedName>
    <definedName name="whwh" localSheetId="12"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7" hidden="1">{#N/A,#N/A,FALSE,"O&amp;M by processes";#N/A,#N/A,FALSE,"Elec Act vs Bud";#N/A,#N/A,FALSE,"G&amp;A";#N/A,#N/A,FALSE,"BGS";#N/A,#N/A,FALSE,"Res Cost"}</definedName>
    <definedName name="why" localSheetId="10" hidden="1">{#N/A,#N/A,FALSE,"O&amp;M by processes";#N/A,#N/A,FALSE,"Elec Act vs Bud";#N/A,#N/A,FALSE,"G&amp;A";#N/A,#N/A,FALSE,"BGS";#N/A,#N/A,FALSE,"Res Cost"}</definedName>
    <definedName name="why" localSheetId="12" hidden="1">{#N/A,#N/A,FALSE,"O&amp;M by processes";#N/A,#N/A,FALSE,"Elec Act vs Bud";#N/A,#N/A,FALSE,"G&amp;A";#N/A,#N/A,FALSE,"BGS";#N/A,#N/A,FALSE,"Res Cost"}</definedName>
    <definedName name="why" hidden="1">{#N/A,#N/A,FALSE,"O&amp;M by processes";#N/A,#N/A,FALSE,"Elec Act vs Bud";#N/A,#N/A,FALSE,"G&amp;A";#N/A,#N/A,FALSE,"BGS";#N/A,#N/A,FALSE,"Res Cost"}</definedName>
    <definedName name="why?" localSheetId="7" hidden="1">{#N/A,#N/A,TRUE,"TOTAL DSBN";#N/A,#N/A,TRUE,"WEST";#N/A,#N/A,TRUE,"SOUTH";#N/A,#N/A,TRUE,"NORTHEAST"}</definedName>
    <definedName name="why?" localSheetId="10" hidden="1">{#N/A,#N/A,TRUE,"TOTAL DSBN";#N/A,#N/A,TRUE,"WEST";#N/A,#N/A,TRUE,"SOUTH";#N/A,#N/A,TRUE,"NORTHEAST"}</definedName>
    <definedName name="why?" localSheetId="12" hidden="1">{#N/A,#N/A,TRUE,"TOTAL DSBN";#N/A,#N/A,TRUE,"WEST";#N/A,#N/A,TRUE,"SOUTH";#N/A,#N/A,TRUE,"NORTHEAST"}</definedName>
    <definedName name="why?" hidden="1">{#N/A,#N/A,TRUE,"TOTAL DSBN";#N/A,#N/A,TRUE,"WEST";#N/A,#N/A,TRUE,"SOUTH";#N/A,#N/A,TRUE,"NORTHEAST"}</definedName>
    <definedName name="willdo" localSheetId="1" hidden="1">#REF!</definedName>
    <definedName name="willdo" localSheetId="17" hidden="1">#REF!</definedName>
    <definedName name="willdo" localSheetId="30" hidden="1">#REF!</definedName>
    <definedName name="willdo" localSheetId="31" hidden="1">#REF!</definedName>
    <definedName name="willdo" localSheetId="7" hidden="1">#REF!</definedName>
    <definedName name="willdo" localSheetId="9" hidden="1">#REF!</definedName>
    <definedName name="willdo" hidden="1">#REF!</definedName>
    <definedName name="work">#REF!</definedName>
    <definedName name="WP" localSheetId="7">#REF!</definedName>
    <definedName name="WP">#REF!</definedName>
    <definedName name="WP_2_3" localSheetId="7">#REF!</definedName>
    <definedName name="WP_2_3">#REF!</definedName>
    <definedName name="WP_3_1" localSheetId="7">#REF!</definedName>
    <definedName name="WP_3_1">#REF!</definedName>
    <definedName name="WP_6_1">#REF!</definedName>
    <definedName name="WP_6_1_1">#REF!</definedName>
    <definedName name="WP_6_2">#REF!</definedName>
    <definedName name="WP_6_2_1">#REF!</definedName>
    <definedName name="WP_6_3">#REF!</definedName>
    <definedName name="WP_6_3_1">#REF!</definedName>
    <definedName name="WP_7_3">#REF!</definedName>
    <definedName name="WP_7_6">#REF!</definedName>
    <definedName name="WP_9_1">#REF!</definedName>
    <definedName name="WP_B9a">#REF!</definedName>
    <definedName name="WP_B9b">#REF!</definedName>
    <definedName name="WP_G6">#REF!</definedName>
    <definedName name="WPPRIM" localSheetId="10">#REF!</definedName>
    <definedName name="WPPRIM">#REF!</definedName>
    <definedName name="WProjectBudget">#REF!</definedName>
    <definedName name="WRB">#REF!</definedName>
    <definedName name="wrn" localSheetId="1"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30" hidden="1">{#N/A,#N/A,FALSE,"O&amp;M by processes";#N/A,#N/A,FALSE,"Elec Act vs Bud";#N/A,#N/A,FALSE,"G&amp;A";#N/A,#N/A,FALSE,"BGS";#N/A,#N/A,FALSE,"Res Cost"}</definedName>
    <definedName name="wrn" localSheetId="31"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7" hidden="1">{#N/A,#N/A,FALSE,"O&amp;M by processes";#N/A,#N/A,FALSE,"Elec Act vs Bud";#N/A,#N/A,FALSE,"G&amp;A";#N/A,#N/A,FALSE,"BGS";#N/A,#N/A,FALSE,"Res Cost"}</definedName>
    <definedName name="wrn" localSheetId="0" hidden="1">{#N/A,#N/A,FALSE,"O&amp;M by processes";#N/A,#N/A,FALSE,"Elec Act vs Bud";#N/A,#N/A,FALSE,"G&amp;A";#N/A,#N/A,FALSE,"BGS";#N/A,#N/A,FALSE,"Res Cost"}</definedName>
    <definedName name="wrn" localSheetId="10" hidden="1">{#N/A,#N/A,FALSE,"O&amp;M by processes";#N/A,#N/A,FALSE,"Elec Act vs Bud";#N/A,#N/A,FALSE,"G&amp;A";#N/A,#N/A,FALSE,"BGS";#N/A,#N/A,FALSE,"Res Cost"}</definedName>
    <definedName name="wrn" localSheetId="12"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hidden="1">{#N/A,#N/A,FALSE,"O&amp;M by processes";#N/A,#N/A,FALSE,"Elec Act vs Bud";#N/A,#N/A,FALSE,"G&amp;A";#N/A,#N/A,FALSE,"BGS";#N/A,#N/A,FALSE,"Res Cost"}</definedName>
    <definedName name="wrn.04._.PM._.Rpt._.Draft." localSheetId="1"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1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3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31"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1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7"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10"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12"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localSheetId="9"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localSheetId="1" hidden="1">{#N/A,#N/A,FALSE,"04 Target Calc.";#N/A,#N/A,FALSE,"03 Projection Calc"}</definedName>
    <definedName name="wrn.04._.Targets." localSheetId="17" hidden="1">{#N/A,#N/A,FALSE,"04 Target Calc.";#N/A,#N/A,FALSE,"03 Projection Calc"}</definedName>
    <definedName name="wrn.04._.Targets." localSheetId="30" hidden="1">{#N/A,#N/A,FALSE,"04 Target Calc.";#N/A,#N/A,FALSE,"03 Projection Calc"}</definedName>
    <definedName name="wrn.04._.Targets." localSheetId="31" hidden="1">{#N/A,#N/A,FALSE,"04 Target Calc.";#N/A,#N/A,FALSE,"03 Projection Calc"}</definedName>
    <definedName name="wrn.04._.Targets." localSheetId="19" hidden="1">{#N/A,#N/A,FALSE,"04 Target Calc.";#N/A,#N/A,FALSE,"03 Projection Calc"}</definedName>
    <definedName name="wrn.04._.Targets." localSheetId="7" hidden="1">{#N/A,#N/A,FALSE,"04 Target Calc.";#N/A,#N/A,FALSE,"03 Projection Calc"}</definedName>
    <definedName name="wrn.04._.Targets." localSheetId="0" hidden="1">{#N/A,#N/A,FALSE,"04 Target Calc.";#N/A,#N/A,FALSE,"03 Projection Calc"}</definedName>
    <definedName name="wrn.04._.Targets." localSheetId="10" hidden="1">{#N/A,#N/A,FALSE,"04 Target Calc.";#N/A,#N/A,FALSE,"03 Projection Calc"}</definedName>
    <definedName name="wrn.04._.Targets." localSheetId="12" hidden="1">{#N/A,#N/A,FALSE,"04 Target Calc.";#N/A,#N/A,FALSE,"03 Projection Calc"}</definedName>
    <definedName name="wrn.04._.Targets." localSheetId="9" hidden="1">{#N/A,#N/A,FALSE,"04 Target Calc.";#N/A,#N/A,FALSE,"03 Projection Calc"}</definedName>
    <definedName name="wrn.04._.Targets." hidden="1">{#N/A,#N/A,FALSE,"04 Target Calc.";#N/A,#N/A,FALSE,"03 Projection Calc"}</definedName>
    <definedName name="wrn.1._.month." localSheetId="7" hidden="1">{"1 month",#N/A,FALSE,"Hourly"}</definedName>
    <definedName name="wrn.1._.month." localSheetId="10" hidden="1">{"1 month",#N/A,FALSE,"Hourly"}</definedName>
    <definedName name="wrn.1._.month." localSheetId="12" hidden="1">{"1 month",#N/A,FALSE,"Hourly"}</definedName>
    <definedName name="wrn.1._.month." hidden="1">{"1 month",#N/A,FALSE,"Hourly"}</definedName>
    <definedName name="wrn.12._.months." localSheetId="7" hidden="1">{"12 months",#N/A,FALSE,"Hourly"}</definedName>
    <definedName name="wrn.12._.months." localSheetId="10" hidden="1">{"12 months",#N/A,FALSE,"Hourly"}</definedName>
    <definedName name="wrn.12._.months." localSheetId="12" hidden="1">{"12 months",#N/A,FALSE,"Hourly"}</definedName>
    <definedName name="wrn.12._.months." hidden="1">{"12 months",#N/A,FALSE,"Hourly"}</definedName>
    <definedName name="wrn.1ST._.AND._.2ND._.TIER._.GENERIC." localSheetId="7" hidden="1">{"EPS","IPGWW",FALSE,"WW 1re v ob v LY- GENERIC";"AGENCY","MEWG",FALSE,"WW 1re v ob v LY- GENERIC";"AGENCY","FCBPWWG",FALSE,"WW 1re v ob v LY- GENERIC";"AGENCY","PWW",FALSE,"WW 1re v ob v LY- GENERIC";"AGENCY","LGWW",FALSE,"WW 1re v ob v LY- GENERIC";"AGENCY","IMWW",FALSE,"WW 1re v ob v LY- GENERIC";"AGENCY","DRDWW",FALSE,"WW 1re v ob v LY- GENERIC";"AGENCY","DEUUSA",FALSE,"WW 1re v ob v LY- GENERIC";"AGENCY","PWWOTH",FALSE,"WW 1re v ob v LY- GENERIC";"AGENCY","AMSWW",FALSE,"WW 1re v ob v LY- GENERIC";"AGENCY","SEG",FALSE,"WW 1re v ob v LY- GENERIC";"AGENCY","WSBSMG",FALSE,"WW 1re v ob v LY- GENERIC";"AGENCY","GHWW",FALSE,"WW 1re v ob v LY- GENERIC";"AGENCY","NFOWW",FALSE,"WW 1re v ob v LY- GENERIC";"AGENCY","HCGWW",FALSE,"WW 1re v ob v LY- GENERIC";"AGENCY","OTHWWGRP",FALSE,"WW 1re v ob v LY- GENERIC";"AGENCY","TOTCORP",FALSE,"WW 1re v ob v LY- GENERIC";"AGENCY","TOTELM",FALSE,"WW 1re v ob v LY- GENERIC";"AGENCY","OTHIPGUSA",FALSE,"WW 1re v ob v LY- GENERIC"}</definedName>
    <definedName name="wrn.1ST._.AND._.2ND._.TIER._.GENERIC." localSheetId="10" hidden="1">{"EPS","IPGWW",FALSE,"WW 1re v ob v LY- GENERIC";"AGENCY","MEWG",FALSE,"WW 1re v ob v LY- GENERIC";"AGENCY","FCBPWWG",FALSE,"WW 1re v ob v LY- GENERIC";"AGENCY","PWW",FALSE,"WW 1re v ob v LY- GENERIC";"AGENCY","LGWW",FALSE,"WW 1re v ob v LY- GENERIC";"AGENCY","IMWW",FALSE,"WW 1re v ob v LY- GENERIC";"AGENCY","DRDWW",FALSE,"WW 1re v ob v LY- GENERIC";"AGENCY","DEUUSA",FALSE,"WW 1re v ob v LY- GENERIC";"AGENCY","PWWOTH",FALSE,"WW 1re v ob v LY- GENERIC";"AGENCY","AMSWW",FALSE,"WW 1re v ob v LY- GENERIC";"AGENCY","SEG",FALSE,"WW 1re v ob v LY- GENERIC";"AGENCY","WSBSMG",FALSE,"WW 1re v ob v LY- GENERIC";"AGENCY","GHWW",FALSE,"WW 1re v ob v LY- GENERIC";"AGENCY","NFOWW",FALSE,"WW 1re v ob v LY- GENERIC";"AGENCY","HCGWW",FALSE,"WW 1re v ob v LY- GENERIC";"AGENCY","OTHWWGRP",FALSE,"WW 1re v ob v LY- GENERIC";"AGENCY","TOTCORP",FALSE,"WW 1re v ob v LY- GENERIC";"AGENCY","TOTELM",FALSE,"WW 1re v ob v LY- GENERIC";"AGENCY","OTHIPGUSA",FALSE,"WW 1re v ob v LY- GENERIC"}</definedName>
    <definedName name="wrn.1ST._.AND._.2ND._.TIER._.GENERIC." localSheetId="12" hidden="1">{"EPS","IPGWW",FALSE,"WW 1re v ob v LY- GENERIC";"AGENCY","MEWG",FALSE,"WW 1re v ob v LY- GENERIC";"AGENCY","FCBPWWG",FALSE,"WW 1re v ob v LY- GENERIC";"AGENCY","PWW",FALSE,"WW 1re v ob v LY- GENERIC";"AGENCY","LGWW",FALSE,"WW 1re v ob v LY- GENERIC";"AGENCY","IMWW",FALSE,"WW 1re v ob v LY- GENERIC";"AGENCY","DRDWW",FALSE,"WW 1re v ob v LY- GENERIC";"AGENCY","DEUUSA",FALSE,"WW 1re v ob v LY- GENERIC";"AGENCY","PWWOTH",FALSE,"WW 1re v ob v LY- GENERIC";"AGENCY","AMSWW",FALSE,"WW 1re v ob v LY- GENERIC";"AGENCY","SEG",FALSE,"WW 1re v ob v LY- GENERIC";"AGENCY","WSBSMG",FALSE,"WW 1re v ob v LY- GENERIC";"AGENCY","GHWW",FALSE,"WW 1re v ob v LY- GENERIC";"AGENCY","NFOWW",FALSE,"WW 1re v ob v LY- GENERIC";"AGENCY","HCGWW",FALSE,"WW 1re v ob v LY- GENERIC";"AGENCY","OTHWWGRP",FALSE,"WW 1re v ob v LY- GENERIC";"AGENCY","TOTCORP",FALSE,"WW 1re v ob v LY- GENERIC";"AGENCY","TOTELM",FALSE,"WW 1re v ob v LY- GENERIC";"AGENCY","OTHIPGUSA",FALSE,"WW 1re v ob v LY- GENERIC"}</definedName>
    <definedName name="wrn.1ST._.AND._.2ND._.TIER._.GENERIC." hidden="1">{"EPS","IPGWW",FALSE,"WW 1re v ob v LY- GENERIC";"AGENCY","MEWG",FALSE,"WW 1re v ob v LY- GENERIC";"AGENCY","FCBPWWG",FALSE,"WW 1re v ob v LY- GENERIC";"AGENCY","PWW",FALSE,"WW 1re v ob v LY- GENERIC";"AGENCY","LGWW",FALSE,"WW 1re v ob v LY- GENERIC";"AGENCY","IMWW",FALSE,"WW 1re v ob v LY- GENERIC";"AGENCY","DRDWW",FALSE,"WW 1re v ob v LY- GENERIC";"AGENCY","DEUUSA",FALSE,"WW 1re v ob v LY- GENERIC";"AGENCY","PWWOTH",FALSE,"WW 1re v ob v LY- GENERIC";"AGENCY","AMSWW",FALSE,"WW 1re v ob v LY- GENERIC";"AGENCY","SEG",FALSE,"WW 1re v ob v LY- GENERIC";"AGENCY","WSBSMG",FALSE,"WW 1re v ob v LY- GENERIC";"AGENCY","GHWW",FALSE,"WW 1re v ob v LY- GENERIC";"AGENCY","NFOWW",FALSE,"WW 1re v ob v LY- GENERIC";"AGENCY","HCGWW",FALSE,"WW 1re v ob v LY- GENERIC";"AGENCY","OTHWWGRP",FALSE,"WW 1re v ob v LY- GENERIC";"AGENCY","TOTCORP",FALSE,"WW 1re v ob v LY- GENERIC";"AGENCY","TOTELM",FALSE,"WW 1re v ob v LY- GENERIC";"AGENCY","OTHIPGUSA",FALSE,"WW 1re v ob v LY- GENERIC"}</definedName>
    <definedName name="wrn.3._.Scenarios." localSheetId="7" hidden="1">{"full model","100% Stock",FALSE,"PROFORMA";"full model","50/50",FALSE,"PROFORMA";"full model","100% Cash",FALSE,"PROFORMA"}</definedName>
    <definedName name="wrn.3._.Scenarios." localSheetId="10" hidden="1">{"full model","100% Stock",FALSE,"PROFORMA";"full model","50/50",FALSE,"PROFORMA";"full model","100% Cash",FALSE,"PROFORMA"}</definedName>
    <definedName name="wrn.3._.Scenarios." localSheetId="12" hidden="1">{"full model","100% Stock",FALSE,"PROFORMA";"full model","50/50",FALSE,"PROFORMA";"full model","100% Cash",FALSE,"PROFORMA"}</definedName>
    <definedName name="wrn.3._.Scenarios." hidden="1">{"full model","100% Stock",FALSE,"PROFORMA";"full model","50/50",FALSE,"PROFORMA";"full model","100% Cash",FALSE,"PROFORMA"}</definedName>
    <definedName name="wrn.3cases." localSheetId="7" hidden="1">{#N/A,"Base",FALSE,"Dividend";#N/A,"Conservative",FALSE,"Dividend";#N/A,"Downside",FALSE,"Dividend"}</definedName>
    <definedName name="wrn.3cases." localSheetId="10" hidden="1">{#N/A,"Base",FALSE,"Dividend";#N/A,"Conservative",FALSE,"Dividend";#N/A,"Downside",FALSE,"Dividend"}</definedName>
    <definedName name="wrn.3cases." localSheetId="12" hidden="1">{#N/A,"Base",FALSE,"Dividend";#N/A,"Conservative",FALSE,"Dividend";#N/A,"Downside",FALSE,"Dividend"}</definedName>
    <definedName name="wrn.3cases." hidden="1">{#N/A,"Base",FALSE,"Dividend";#N/A,"Conservative",FALSE,"Dividend";#N/A,"Downside",FALSE,"Dividend"}</definedName>
    <definedName name="wrn.722." localSheetId="1" hidden="1">{#N/A,#N/A,FALSE,"CURRENT"}</definedName>
    <definedName name="wrn.722." localSheetId="17" hidden="1">{#N/A,#N/A,FALSE,"CURRENT"}</definedName>
    <definedName name="wrn.722." localSheetId="30" hidden="1">{#N/A,#N/A,FALSE,"CURRENT"}</definedName>
    <definedName name="wrn.722." localSheetId="31" hidden="1">{#N/A,#N/A,FALSE,"CURRENT"}</definedName>
    <definedName name="wrn.722." localSheetId="19" hidden="1">{#N/A,#N/A,FALSE,"CURRENT"}</definedName>
    <definedName name="wrn.722." localSheetId="7" hidden="1">{#N/A,#N/A,FALSE,"CURRENT"}</definedName>
    <definedName name="wrn.722." localSheetId="0" hidden="1">{#N/A,#N/A,FALSE,"CURRENT"}</definedName>
    <definedName name="wrn.722." localSheetId="10" hidden="1">{#N/A,#N/A,FALSE,"CURRENT"}</definedName>
    <definedName name="wrn.722." localSheetId="12" hidden="1">{#N/A,#N/A,FALSE,"CURRENT"}</definedName>
    <definedName name="wrn.722." localSheetId="9" hidden="1">{#N/A,#N/A,FALSE,"CURRENT"}</definedName>
    <definedName name="wrn.722." hidden="1">{#N/A,#N/A,FALSE,"CURRENT"}</definedName>
    <definedName name="wrn.9300." localSheetId="7" hidden="1">{#N/A,#N/A,FALSE,"721.919";#N/A,#N/A,FALSE,"Labour97"}</definedName>
    <definedName name="wrn.9300." localSheetId="10" hidden="1">{#N/A,#N/A,FALSE,"721.919";#N/A,#N/A,FALSE,"Labour97"}</definedName>
    <definedName name="wrn.9300." localSheetId="12" hidden="1">{#N/A,#N/A,FALSE,"721.919";#N/A,#N/A,FALSE,"Labour97"}</definedName>
    <definedName name="wrn.9300." hidden="1">{#N/A,#N/A,FALSE,"721.919";#N/A,#N/A,FALSE,"Labour97"}</definedName>
    <definedName name="wrn.9310." localSheetId="7" hidden="1">{#N/A,#N/A,FALSE,"001";#N/A,#N/A,FALSE,"011";#N/A,#N/A,FALSE,"015";#N/A,#N/A,FALSE,"018";#N/A,#N/A,FALSE,"222";#N/A,#N/A,FALSE,"225";#N/A,#N/A,FALSE,"228";#N/A,#N/A,FALSE,"301";#N/A,#N/A,FALSE,"303";#N/A,#N/A,FALSE,"306";#N/A,#N/A,FALSE,"367";#N/A,#N/A,FALSE,"369";#N/A,#N/A,FALSE,"391";#N/A,#N/A,FALSE,"421";#N/A,#N/A,FALSE,"422";#N/A,#N/A,FALSE,"423";#N/A,#N/A,FALSE,"425";#N/A,#N/A,FALSE,"671"}</definedName>
    <definedName name="wrn.9310." localSheetId="10" hidden="1">{#N/A,#N/A,FALSE,"001";#N/A,#N/A,FALSE,"011";#N/A,#N/A,FALSE,"015";#N/A,#N/A,FALSE,"018";#N/A,#N/A,FALSE,"222";#N/A,#N/A,FALSE,"225";#N/A,#N/A,FALSE,"228";#N/A,#N/A,FALSE,"301";#N/A,#N/A,FALSE,"303";#N/A,#N/A,FALSE,"306";#N/A,#N/A,FALSE,"367";#N/A,#N/A,FALSE,"369";#N/A,#N/A,FALSE,"391";#N/A,#N/A,FALSE,"421";#N/A,#N/A,FALSE,"422";#N/A,#N/A,FALSE,"423";#N/A,#N/A,FALSE,"425";#N/A,#N/A,FALSE,"671"}</definedName>
    <definedName name="wrn.9310." localSheetId="12" hidden="1">{#N/A,#N/A,FALSE,"001";#N/A,#N/A,FALSE,"011";#N/A,#N/A,FALSE,"015";#N/A,#N/A,FALSE,"018";#N/A,#N/A,FALSE,"222";#N/A,#N/A,FALSE,"225";#N/A,#N/A,FALSE,"228";#N/A,#N/A,FALSE,"301";#N/A,#N/A,FALSE,"303";#N/A,#N/A,FALSE,"306";#N/A,#N/A,FALSE,"367";#N/A,#N/A,FALSE,"369";#N/A,#N/A,FALSE,"391";#N/A,#N/A,FALSE,"421";#N/A,#N/A,FALSE,"422";#N/A,#N/A,FALSE,"423";#N/A,#N/A,FALSE,"425";#N/A,#N/A,FALSE,"671"}</definedName>
    <definedName name="wrn.9310." hidden="1">{#N/A,#N/A,FALSE,"001";#N/A,#N/A,FALSE,"011";#N/A,#N/A,FALSE,"015";#N/A,#N/A,FALSE,"018";#N/A,#N/A,FALSE,"222";#N/A,#N/A,FALSE,"225";#N/A,#N/A,FALSE,"228";#N/A,#N/A,FALSE,"301";#N/A,#N/A,FALSE,"303";#N/A,#N/A,FALSE,"306";#N/A,#N/A,FALSE,"367";#N/A,#N/A,FALSE,"369";#N/A,#N/A,FALSE,"391";#N/A,#N/A,FALSE,"421";#N/A,#N/A,FALSE,"422";#N/A,#N/A,FALSE,"423";#N/A,#N/A,FALSE,"425";#N/A,#N/A,FALSE,"671"}</definedName>
    <definedName name="wrn.9330." localSheetId="7" hidden="1">{#N/A,#N/A,FALSE,"011";#N/A,#N/A,FALSE,"015";#N/A,#N/A,FALSE,"222";#N/A,#N/A,FALSE,"225";#N/A,#N/A,FALSE,"228";#N/A,#N/A,FALSE,"301";#N/A,#N/A,FALSE,"303";#N/A,#N/A,FALSE,"306";#N/A,#N/A,FALSE,"421";#N/A,#N/A,FALSE,"422";#N/A,#N/A,FALSE,"423";#N/A,#N/A,FALSE,"425"}</definedName>
    <definedName name="wrn.9330." localSheetId="10" hidden="1">{#N/A,#N/A,FALSE,"011";#N/A,#N/A,FALSE,"015";#N/A,#N/A,FALSE,"222";#N/A,#N/A,FALSE,"225";#N/A,#N/A,FALSE,"228";#N/A,#N/A,FALSE,"301";#N/A,#N/A,FALSE,"303";#N/A,#N/A,FALSE,"306";#N/A,#N/A,FALSE,"421";#N/A,#N/A,FALSE,"422";#N/A,#N/A,FALSE,"423";#N/A,#N/A,FALSE,"425"}</definedName>
    <definedName name="wrn.9330." localSheetId="12" hidden="1">{#N/A,#N/A,FALSE,"011";#N/A,#N/A,FALSE,"015";#N/A,#N/A,FALSE,"222";#N/A,#N/A,FALSE,"225";#N/A,#N/A,FALSE,"228";#N/A,#N/A,FALSE,"301";#N/A,#N/A,FALSE,"303";#N/A,#N/A,FALSE,"306";#N/A,#N/A,FALSE,"421";#N/A,#N/A,FALSE,"422";#N/A,#N/A,FALSE,"423";#N/A,#N/A,FALSE,"425"}</definedName>
    <definedName name="wrn.9330." hidden="1">{#N/A,#N/A,FALSE,"011";#N/A,#N/A,FALSE,"015";#N/A,#N/A,FALSE,"222";#N/A,#N/A,FALSE,"225";#N/A,#N/A,FALSE,"228";#N/A,#N/A,FALSE,"301";#N/A,#N/A,FALSE,"303";#N/A,#N/A,FALSE,"306";#N/A,#N/A,FALSE,"421";#N/A,#N/A,FALSE,"422";#N/A,#N/A,FALSE,"423";#N/A,#N/A,FALSE,"425"}</definedName>
    <definedName name="wrn.9350_JKT." localSheetId="7" hidden="1">{#N/A,#N/A,FALSE,"011";#N/A,#N/A,FALSE,"015";#N/A,#N/A,FALSE,"018";#N/A,#N/A,FALSE,"222";#N/A,#N/A,FALSE,"225";#N/A,#N/A,FALSE,"228";#N/A,#N/A,FALSE,"301";#N/A,#N/A,FALSE,"306";#N/A,#N/A,FALSE,"391";#N/A,#N/A,FALSE,"421";#N/A,#N/A,FALSE,"422";#N/A,#N/A,FALSE,"423";#N/A,#N/A,FALSE,"425"}</definedName>
    <definedName name="wrn.9350_JKT." localSheetId="10" hidden="1">{#N/A,#N/A,FALSE,"011";#N/A,#N/A,FALSE,"015";#N/A,#N/A,FALSE,"018";#N/A,#N/A,FALSE,"222";#N/A,#N/A,FALSE,"225";#N/A,#N/A,FALSE,"228";#N/A,#N/A,FALSE,"301";#N/A,#N/A,FALSE,"306";#N/A,#N/A,FALSE,"391";#N/A,#N/A,FALSE,"421";#N/A,#N/A,FALSE,"422";#N/A,#N/A,FALSE,"423";#N/A,#N/A,FALSE,"425"}</definedName>
    <definedName name="wrn.9350_JKT." localSheetId="12" hidden="1">{#N/A,#N/A,FALSE,"011";#N/A,#N/A,FALSE,"015";#N/A,#N/A,FALSE,"018";#N/A,#N/A,FALSE,"222";#N/A,#N/A,FALSE,"225";#N/A,#N/A,FALSE,"228";#N/A,#N/A,FALSE,"301";#N/A,#N/A,FALSE,"306";#N/A,#N/A,FALSE,"391";#N/A,#N/A,FALSE,"421";#N/A,#N/A,FALSE,"422";#N/A,#N/A,FALSE,"423";#N/A,#N/A,FALSE,"425"}</definedName>
    <definedName name="wrn.9350_JKT." hidden="1">{#N/A,#N/A,FALSE,"011";#N/A,#N/A,FALSE,"015";#N/A,#N/A,FALSE,"018";#N/A,#N/A,FALSE,"222";#N/A,#N/A,FALSE,"225";#N/A,#N/A,FALSE,"228";#N/A,#N/A,FALSE,"301";#N/A,#N/A,FALSE,"306";#N/A,#N/A,FALSE,"391";#N/A,#N/A,FALSE,"421";#N/A,#N/A,FALSE,"422";#N/A,#N/A,FALSE,"423";#N/A,#N/A,FALSE,"425"}</definedName>
    <definedName name="wrn.95cap." localSheetId="7" hidden="1">{#N/A,#N/A,FALSE,"95CAPGRY"}</definedName>
    <definedName name="wrn.95cap." localSheetId="10" hidden="1">{#N/A,#N/A,FALSE,"95CAPGRY"}</definedName>
    <definedName name="wrn.95cap." localSheetId="12" hidden="1">{#N/A,#N/A,FALSE,"95CAPGRY"}</definedName>
    <definedName name="wrn.95cap." hidden="1">{#N/A,#N/A,FALSE,"95CAPGRY"}</definedName>
    <definedName name="wrn.95PROV." localSheetId="7" hidden="1">{#N/A,#N/A,FALSE,"Taxblinc";#N/A,#N/A,FALSE,"Rsvsacls"}</definedName>
    <definedName name="wrn.95PROV." localSheetId="10" hidden="1">{#N/A,#N/A,FALSE,"Taxblinc";#N/A,#N/A,FALSE,"Rsvsacls"}</definedName>
    <definedName name="wrn.95PROV." localSheetId="12" hidden="1">{#N/A,#N/A,FALSE,"Taxblinc";#N/A,#N/A,FALSE,"Rsvsacls"}</definedName>
    <definedName name="wrn.95PROV." hidden="1">{#N/A,#N/A,FALSE,"Taxblinc";#N/A,#N/A,FALSE,"Rsvsacls"}</definedName>
    <definedName name="wrn.97maint.xls." localSheetId="7" hidden="1">{#N/A,#N/A,TRUE,"TOTAL DISTRIBUTION";#N/A,#N/A,TRUE,"SOUTH";#N/A,#N/A,TRUE,"NORTHEAST";#N/A,#N/A,TRUE,"WEST"}</definedName>
    <definedName name="wrn.97maint.xls." localSheetId="10" hidden="1">{#N/A,#N/A,TRUE,"TOTAL DISTRIBUTION";#N/A,#N/A,TRUE,"SOUTH";#N/A,#N/A,TRUE,"NORTHEAST";#N/A,#N/A,TRUE,"WEST"}</definedName>
    <definedName name="wrn.97maint.xls." localSheetId="12" hidden="1">{#N/A,#N/A,TRUE,"TOTAL DISTRIBUTION";#N/A,#N/A,TRUE,"SOUTH";#N/A,#N/A,TRUE,"NORTHEAST";#N/A,#N/A,TRUE,"WEST"}</definedName>
    <definedName name="wrn.97maint.xls." hidden="1">{#N/A,#N/A,TRUE,"TOTAL DISTRIBUTION";#N/A,#N/A,TRUE,"SOUTH";#N/A,#N/A,TRUE,"NORTHEAST";#N/A,#N/A,TRUE,"WEST"}</definedName>
    <definedName name="wrn.97OR.XLs." localSheetId="7" hidden="1">{#N/A,#N/A,TRUE,"TOTAL DSBN";#N/A,#N/A,TRUE,"WEST";#N/A,#N/A,TRUE,"SOUTH";#N/A,#N/A,TRUE,"NORTHEAST"}</definedName>
    <definedName name="wrn.97OR.XLs." localSheetId="10" hidden="1">{#N/A,#N/A,TRUE,"TOTAL DSBN";#N/A,#N/A,TRUE,"WEST";#N/A,#N/A,TRUE,"SOUTH";#N/A,#N/A,TRUE,"NORTHEAST"}</definedName>
    <definedName name="wrn.97OR.XLs." localSheetId="12" hidden="1">{#N/A,#N/A,TRUE,"TOTAL DSBN";#N/A,#N/A,TRUE,"WEST";#N/A,#N/A,TRUE,"SOUTH";#N/A,#N/A,TRUE,"NORTHEAST"}</definedName>
    <definedName name="wrn.97OR.XLs." hidden="1">{#N/A,#N/A,TRUE,"TOTAL DSBN";#N/A,#N/A,TRUE,"WEST";#N/A,#N/A,TRUE,"SOUTH";#N/A,#N/A,TRUE,"NORTHEAST"}</definedName>
    <definedName name="wrn.ACC._.PROV." localSheetId="1" hidden="1">{"JURIS_ACC_PROV",#N/A,FALSE,"COSTSTUDY";"OKCLS_ACC_PROV",#N/A,FALSE,"COSTSTUDY"}</definedName>
    <definedName name="wrn.ACC._.PROV." localSheetId="17" hidden="1">{"JURIS_ACC_PROV",#N/A,FALSE,"COSTSTUDY";"OKCLS_ACC_PROV",#N/A,FALSE,"COSTSTUDY"}</definedName>
    <definedName name="wrn.ACC._.PROV." localSheetId="30" hidden="1">{"JURIS_ACC_PROV",#N/A,FALSE,"COSTSTUDY";"OKCLS_ACC_PROV",#N/A,FALSE,"COSTSTUDY"}</definedName>
    <definedName name="wrn.ACC._.PROV." localSheetId="31" hidden="1">{"JURIS_ACC_PROV",#N/A,FALSE,"COSTSTUDY";"OKCLS_ACC_PROV",#N/A,FALSE,"COSTSTUDY"}</definedName>
    <definedName name="wrn.ACC._.PROV." localSheetId="19" hidden="1">{"JURIS_ACC_PROV",#N/A,FALSE,"COSTSTUDY";"OKCLS_ACC_PROV",#N/A,FALSE,"COSTSTUDY"}</definedName>
    <definedName name="wrn.ACC._.PROV." localSheetId="7" hidden="1">{"JURIS_ACC_PROV",#N/A,FALSE,"COSTSTUDY";"OKCLS_ACC_PROV",#N/A,FALSE,"COSTSTUDY"}</definedName>
    <definedName name="wrn.ACC._.PROV." localSheetId="0" hidden="1">{"JURIS_ACC_PROV",#N/A,FALSE,"COSTSTUDY";"OKCLS_ACC_PROV",#N/A,FALSE,"COSTSTUDY"}</definedName>
    <definedName name="wrn.ACC._.PROV." localSheetId="10" hidden="1">{"JURIS_ACC_PROV",#N/A,FALSE,"COSTSTUDY";"OKCLS_ACC_PROV",#N/A,FALSE,"COSTSTUDY"}</definedName>
    <definedName name="wrn.ACC._.PROV." localSheetId="12" hidden="1">{"JURIS_ACC_PROV",#N/A,FALSE,"COSTSTUDY";"OKCLS_ACC_PROV",#N/A,FALSE,"COSTSTUDY"}</definedName>
    <definedName name="wrn.ACC._.PROV." localSheetId="9" hidden="1">{"JURIS_ACC_PROV",#N/A,FALSE,"COSTSTUDY";"OKCLS_ACC_PROV",#N/A,FALSE,"COSTSTUDY"}</definedName>
    <definedName name="wrn.ACC._.PROV." hidden="1">{"JURIS_ACC_PROV",#N/A,FALSE,"COSTSTUDY";"OKCLS_ACC_PROV",#N/A,FALSE,"COSTSTUDY"}</definedName>
    <definedName name="wrn.ACCOUNTS._.PAYABLE." localSheetId="7" hidden="1">{#N/A,#N/A,FALSE,"CC-1 Accounts Payable";#N/A,#N/A,FALSE,"CC-2 Search for Unrecorded Liab"}</definedName>
    <definedName name="wrn.ACCOUNTS._.PAYABLE." localSheetId="10" hidden="1">{#N/A,#N/A,FALSE,"CC-1 Accounts Payable";#N/A,#N/A,FALSE,"CC-2 Search for Unrecorded Liab"}</definedName>
    <definedName name="wrn.ACCOUNTS._.PAYABLE." localSheetId="12" hidden="1">{#N/A,#N/A,FALSE,"CC-1 Accounts Payable";#N/A,#N/A,FALSE,"CC-2 Search for Unrecorded Liab"}</definedName>
    <definedName name="wrn.ACCOUNTS._.PAYABLE." hidden="1">{#N/A,#N/A,FALSE,"CC-1 Accounts Payable";#N/A,#N/A,FALSE,"CC-2 Search for Unrecorded Liab"}</definedName>
    <definedName name="wrn.Accretion." localSheetId="7" hidden="1">{"Accretion",#N/A,FALSE,"Assum"}</definedName>
    <definedName name="wrn.Accretion." localSheetId="10" hidden="1">{"Accretion",#N/A,FALSE,"Assum"}</definedName>
    <definedName name="wrn.Accretion." localSheetId="12" hidden="1">{"Accretion",#N/A,FALSE,"Assum"}</definedName>
    <definedName name="wrn.Accretion." hidden="1">{"Accretion",#N/A,FALSE,"Assum"}</definedName>
    <definedName name="wrn.ACCRUED._.EXPENSES." localSheetId="7" hidden="1">{#N/A,#N/A,FALSE,"EE-1 Othr Acts. Pbl &amp; Accr. Exp";#N/A,#N/A,FALSE,"FF-1 Payroll Taxes";#N/A,#N/A,FALSE,"HH-1 Employee Benefit Plans"}</definedName>
    <definedName name="wrn.ACCRUED._.EXPENSES." localSheetId="10" hidden="1">{#N/A,#N/A,FALSE,"EE-1 Othr Acts. Pbl &amp; Accr. Exp";#N/A,#N/A,FALSE,"FF-1 Payroll Taxes";#N/A,#N/A,FALSE,"HH-1 Employee Benefit Plans"}</definedName>
    <definedName name="wrn.ACCRUED._.EXPENSES." localSheetId="12" hidden="1">{#N/A,#N/A,FALSE,"EE-1 Othr Acts. Pbl &amp; Accr. Exp";#N/A,#N/A,FALSE,"FF-1 Payroll Taxes";#N/A,#N/A,FALSE,"HH-1 Employee Benefit Plans"}</definedName>
    <definedName name="wrn.ACCRUED._.EXPENSES." hidden="1">{#N/A,#N/A,FALSE,"EE-1 Othr Acts. Pbl &amp; Accr. Exp";#N/A,#N/A,FALSE,"FF-1 Payroll Taxes";#N/A,#N/A,FALSE,"HH-1 Employee Benefit Plans"}</definedName>
    <definedName name="wrn.AFE._.REGISTER." localSheetId="7" hidden="1">{#N/A,#N/A,FALSE,"CLAIMS";#N/A,#N/A,FALSE,"EXPENSE";#N/A,#N/A,FALSE,"CAPITAL"}</definedName>
    <definedName name="wrn.AFE._.REGISTER." localSheetId="10" hidden="1">{#N/A,#N/A,FALSE,"CLAIMS";#N/A,#N/A,FALSE,"EXPENSE";#N/A,#N/A,FALSE,"CAPITAL"}</definedName>
    <definedName name="wrn.AFE._.REGISTER." localSheetId="12" hidden="1">{#N/A,#N/A,FALSE,"CLAIMS";#N/A,#N/A,FALSE,"EXPENSE";#N/A,#N/A,FALSE,"CAPITAL"}</definedName>
    <definedName name="wrn.AFE._.REGISTER." hidden="1">{#N/A,#N/A,FALSE,"CLAIMS";#N/A,#N/A,FALSE,"EXPENSE";#N/A,#N/A,FALSE,"CAPITAL"}</definedName>
    <definedName name="wrn.AFUDC." localSheetId="1" hidden="1">{#N/A,#N/A,FALSE,"COMPAPER";#N/A,#N/A,FALSE,"AFUDC";#N/A,#N/A,FALSE,"JE"}</definedName>
    <definedName name="wrn.AFUDC." localSheetId="17" hidden="1">{#N/A,#N/A,FALSE,"COMPAPER";#N/A,#N/A,FALSE,"AFUDC";#N/A,#N/A,FALSE,"JE"}</definedName>
    <definedName name="wrn.AFUDC." localSheetId="30" hidden="1">{#N/A,#N/A,FALSE,"COMPAPER";#N/A,#N/A,FALSE,"AFUDC";#N/A,#N/A,FALSE,"JE"}</definedName>
    <definedName name="wrn.AFUDC." localSheetId="31" hidden="1">{#N/A,#N/A,FALSE,"COMPAPER";#N/A,#N/A,FALSE,"AFUDC";#N/A,#N/A,FALSE,"JE"}</definedName>
    <definedName name="wrn.AFUDC." localSheetId="19" hidden="1">{#N/A,#N/A,FALSE,"COMPAPER";#N/A,#N/A,FALSE,"AFUDC";#N/A,#N/A,FALSE,"JE"}</definedName>
    <definedName name="wrn.AFUDC." localSheetId="7" hidden="1">{#N/A,#N/A,FALSE,"COMPAPER";#N/A,#N/A,FALSE,"AFUDC";#N/A,#N/A,FALSE,"JE"}</definedName>
    <definedName name="wrn.AFUDC." localSheetId="0" hidden="1">{#N/A,#N/A,FALSE,"COMPAPER";#N/A,#N/A,FALSE,"AFUDC";#N/A,#N/A,FALSE,"JE"}</definedName>
    <definedName name="wrn.AFUDC." localSheetId="10" hidden="1">{#N/A,#N/A,FALSE,"COMPAPER";#N/A,#N/A,FALSE,"AFUDC";#N/A,#N/A,FALSE,"JE"}</definedName>
    <definedName name="wrn.AFUDC." localSheetId="12" hidden="1">{#N/A,#N/A,FALSE,"COMPAPER";#N/A,#N/A,FALSE,"AFUDC";#N/A,#N/A,FALSE,"JE"}</definedName>
    <definedName name="wrn.AFUDC." localSheetId="9" hidden="1">{#N/A,#N/A,FALSE,"COMPAPER";#N/A,#N/A,FALSE,"AFUDC";#N/A,#N/A,FALSE,"JE"}</definedName>
    <definedName name="wrn.AFUDC." hidden="1">{#N/A,#N/A,FALSE,"COMPAPER";#N/A,#N/A,FALSE,"AFUDC";#N/A,#N/A,FALSE,"JE"}</definedName>
    <definedName name="wrn.agexpense." localSheetId="1" hidden="1">{"pb",#N/A,FALSE,"Sheet3";"pd",#N/A,FALSE,"Sheet3";"pe",#N/A,FALSE,"Sheet3"}</definedName>
    <definedName name="wrn.agexpense." localSheetId="17" hidden="1">{"pb",#N/A,FALSE,"Sheet3";"pd",#N/A,FALSE,"Sheet3";"pe",#N/A,FALSE,"Sheet3"}</definedName>
    <definedName name="wrn.agexpense." localSheetId="30" hidden="1">{"pb",#N/A,FALSE,"Sheet3";"pd",#N/A,FALSE,"Sheet3";"pe",#N/A,FALSE,"Sheet3"}</definedName>
    <definedName name="wrn.agexpense." localSheetId="31" hidden="1">{"pb",#N/A,FALSE,"Sheet3";"pd",#N/A,FALSE,"Sheet3";"pe",#N/A,FALSE,"Sheet3"}</definedName>
    <definedName name="wrn.agexpense." localSheetId="19" hidden="1">{"pb",#N/A,FALSE,"Sheet3";"pd",#N/A,FALSE,"Sheet3";"pe",#N/A,FALSE,"Sheet3"}</definedName>
    <definedName name="wrn.agexpense." localSheetId="7" hidden="1">{"pb",#N/A,FALSE,"Sheet3";"pd",#N/A,FALSE,"Sheet3";"pe",#N/A,FALSE,"Sheet3"}</definedName>
    <definedName name="wrn.agexpense." localSheetId="0" hidden="1">{"pb",#N/A,FALSE,"Sheet3";"pd",#N/A,FALSE,"Sheet3";"pe",#N/A,FALSE,"Sheet3"}</definedName>
    <definedName name="wrn.agexpense." localSheetId="10" hidden="1">{"pb",#N/A,FALSE,"Sheet3";"pd",#N/A,FALSE,"Sheet3";"pe",#N/A,FALSE,"Sheet3"}</definedName>
    <definedName name="wrn.agexpense." localSheetId="12" hidden="1">{"pb",#N/A,FALSE,"Sheet3";"pd",#N/A,FALSE,"Sheet3";"pe",#N/A,FALSE,"Sheet3"}</definedName>
    <definedName name="wrn.agexpense." localSheetId="9" hidden="1">{"pb",#N/A,FALSE,"Sheet3";"pd",#N/A,FALSE,"Sheet3";"pe",#N/A,FALSE,"Sheet3"}</definedName>
    <definedName name="wrn.agexpense." hidden="1">{"pb",#N/A,FALSE,"Sheet3";"pd",#N/A,FALSE,"Sheet3";"pe",#N/A,FALSE,"Sheet3"}</definedName>
    <definedName name="wrn.Aging._.and._.Trend._.Analysis." localSheetId="1"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1" hidden="1">{"AGT",#N/A,FALSE,"Revenue"}</definedName>
    <definedName name="wrn.AGT." localSheetId="17" hidden="1">{"AGT",#N/A,FALSE,"Revenue"}</definedName>
    <definedName name="wrn.AGT." localSheetId="30" hidden="1">{"AGT",#N/A,FALSE,"Revenue"}</definedName>
    <definedName name="wrn.AGT." localSheetId="31" hidden="1">{"AGT",#N/A,FALSE,"Revenue"}</definedName>
    <definedName name="wrn.AGT." localSheetId="19" hidden="1">{"AGT",#N/A,FALSE,"Revenue"}</definedName>
    <definedName name="wrn.AGT." localSheetId="7" hidden="1">{"AGT",#N/A,FALSE,"Revenue"}</definedName>
    <definedName name="wrn.AGT." localSheetId="0" hidden="1">{"AGT",#N/A,FALSE,"Revenue"}</definedName>
    <definedName name="wrn.AGT." localSheetId="10" hidden="1">{"AGT",#N/A,FALSE,"Revenue"}</definedName>
    <definedName name="wrn.AGT." localSheetId="12" hidden="1">{"AGT",#N/A,FALSE,"Revenue"}</definedName>
    <definedName name="wrn.AGT." localSheetId="9" hidden="1">{"AGT",#N/A,FALSE,"Revenue"}</definedName>
    <definedName name="wrn.AGT." hidden="1">{"AGT",#N/A,FALSE,"Revenue"}</definedName>
    <definedName name="wrn.ALL." localSheetId="1" hidden="1">{#N/A,#N/A,TRUE,"1990";#N/A,#N/A,TRUE,"1991";#N/A,#N/A,TRUE,"1992";#N/A,#N/A,TRUE,"1993"}</definedName>
    <definedName name="wrn.ALL." localSheetId="17" hidden="1">{#N/A,#N/A,TRUE,"1990";#N/A,#N/A,TRUE,"1991";#N/A,#N/A,TRUE,"1992";#N/A,#N/A,TRUE,"1993"}</definedName>
    <definedName name="wrn.ALL." localSheetId="30" hidden="1">{#N/A,#N/A,TRUE,"1990";#N/A,#N/A,TRUE,"1991";#N/A,#N/A,TRUE,"1992";#N/A,#N/A,TRUE,"1993"}</definedName>
    <definedName name="wrn.ALL." localSheetId="31" hidden="1">{#N/A,#N/A,TRUE,"1990";#N/A,#N/A,TRUE,"1991";#N/A,#N/A,TRUE,"1992";#N/A,#N/A,TRUE,"1993"}</definedName>
    <definedName name="wrn.ALL." localSheetId="19" hidden="1">{#N/A,#N/A,TRUE,"1990";#N/A,#N/A,TRUE,"1991";#N/A,#N/A,TRUE,"1992";#N/A,#N/A,TRUE,"1993"}</definedName>
    <definedName name="wrn.ALL." localSheetId="7" hidden="1">{#N/A,#N/A,TRUE,"1990";#N/A,#N/A,TRUE,"1991";#N/A,#N/A,TRUE,"1992";#N/A,#N/A,TRUE,"1993"}</definedName>
    <definedName name="wrn.ALL." localSheetId="0" hidden="1">{#N/A,#N/A,TRUE,"1990";#N/A,#N/A,TRUE,"1991";#N/A,#N/A,TRUE,"1992";#N/A,#N/A,TRUE,"1993"}</definedName>
    <definedName name="wrn.ALL." localSheetId="1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localSheetId="9" hidden="1">{#N/A,#N/A,TRUE,"1990";#N/A,#N/A,TRUE,"1991";#N/A,#N/A,TRUE,"1992";#N/A,#N/A,TRUE,"1993"}</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Countries." localSheetId="7"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10"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localSheetId="12" hidden="1">{#N/A,#N/A,FALSE,"Australia";#N/A,#N/A,FALSE,"Austria";#N/A,#N/A,FALSE,"Belgium";#N/A,#N/A,FALSE,"Canada";#N/A,#N/A,FALSE,"France";#N/A,#N/A,FALSE,"Germany";#N/A,#N/A,FALSE,"Hong Kong";#N/A,#N/A,FALSE,"Italy";#N/A,#N/A,FALSE,"Japan";#N/A,#N/A,FALSE,"Korea";#N/A,#N/A,FALSE,"Mexico";#N/A,#N/A,FALSE,"Poland";#N/A,#N/A,FALSE,"Spain";#N/A,#N/A,FALSE,"Switzerland";#N/A,#N/A,FALSE,"UK"}</definedName>
    <definedName name="wrn.All._.Countries." hidden="1">{#N/A,#N/A,FALSE,"Australia";#N/A,#N/A,FALSE,"Austria";#N/A,#N/A,FALSE,"Belgium";#N/A,#N/A,FALSE,"Canada";#N/A,#N/A,FALSE,"France";#N/A,#N/A,FALSE,"Germany";#N/A,#N/A,FALSE,"Hong Kong";#N/A,#N/A,FALSE,"Italy";#N/A,#N/A,FALSE,"Japan";#N/A,#N/A,FALSE,"Korea";#N/A,#N/A,FALSE,"Mexico";#N/A,#N/A,FALSE,"Poland";#N/A,#N/A,FALSE,"Spain";#N/A,#N/A,FALSE,"Switzerland";#N/A,#N/A,FALSE,"UK"}</definedName>
    <definedName name="wrn.All._.Pages."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0" hidden="1">{#N/A,#N/A,FALSE,"Summary";#N/A,#N/A,FALSE,"Fed.State Prov";#N/A,#N/A,FALSE,"Foreign Prov";#N/A,#N/A,FALSE,"Thera Fgrn";#N/A,#N/A,FALSE,"CCD Fgrn";#N/A,#N/A,FALSE,"Biocine Fgrn";#N/A,#N/A,FALSE,"Vision Fgrn";#N/A,#N/A,FALSE,"Frgn vs Dom"}</definedName>
    <definedName name="wrn.All._.Pages." localSheetId="12" hidden="1">{#N/A,#N/A,FALSE,"Summary";#N/A,#N/A,FALSE,"Fed.State Prov";#N/A,#N/A,FALSE,"Foreign Prov";#N/A,#N/A,FALSE,"Thera Fgrn";#N/A,#N/A,FALSE,"CCD Fgrn";#N/A,#N/A,FALSE,"Biocine Fgrn";#N/A,#N/A,FALSE,"Vision Fgrn";#N/A,#N/A,FALSE,"Frgn vs Dom"}</definedName>
    <definedName name="wrn.All._.Page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{#N/A,#N/A,FALSE,"Summary";#N/A,#N/A,FALSE,"Fed.State Prov";#N/A,#N/A,FALSE,"Foreign Prov";#N/A,#N/A,FALSE,"Thera Fgrn";#N/A,#N/A,FALSE,"CCD Fgrn";#N/A,#N/A,FALSE,"Biocine Fgrn";#N/A,#N/A,FALSE,"Vision Fgrn";#N/A,#N/A,FALSE,"Frgn vs Dom"}</definedName>
    <definedName name="wrn.All._.Sheets." localSheetId="1" hidden="1">{"IncSt",#N/A,FALSE,"IS";"BalSht",#N/A,FALSE,"BS";"IntCash",#N/A,FALSE,"Int. Cash";"Stats",#N/A,FALSE,"Stats"}</definedName>
    <definedName name="wrn.All._.Sheets." localSheetId="17" hidden="1">{"IncSt",#N/A,FALSE,"IS";"BalSht",#N/A,FALSE,"BS";"IntCash",#N/A,FALSE,"Int. Cash";"Stats",#N/A,FALSE,"Stats"}</definedName>
    <definedName name="wrn.All._.Sheets." localSheetId="30" hidden="1">{"IncSt",#N/A,FALSE,"IS";"BalSht",#N/A,FALSE,"BS";"IntCash",#N/A,FALSE,"Int. Cash";"Stats",#N/A,FALSE,"Stats"}</definedName>
    <definedName name="wrn.All._.Sheets." localSheetId="31" hidden="1">{"IncSt",#N/A,FALSE,"IS";"BalSht",#N/A,FALSE,"BS";"IntCash",#N/A,FALSE,"Int. Cash";"Stats",#N/A,FALSE,"Stats"}</definedName>
    <definedName name="wrn.All._.Sheets." localSheetId="19" hidden="1">{"IncSt",#N/A,FALSE,"IS";"BalSht",#N/A,FALSE,"BS";"IntCash",#N/A,FALSE,"Int. Cash";"Stats",#N/A,FALSE,"Stats"}</definedName>
    <definedName name="wrn.All._.Sheets." localSheetId="7" hidden="1">{"IncSt",#N/A,FALSE,"IS";"BalSht",#N/A,FALSE,"BS";"IntCash",#N/A,FALSE,"Int. Cash";"Stats",#N/A,FALSE,"Stats"}</definedName>
    <definedName name="wrn.All._.Sheets." localSheetId="0" hidden="1">{"IncSt",#N/A,FALSE,"IS";"BalSht",#N/A,FALSE,"BS";"IntCash",#N/A,FALSE,"Int. Cash";"Stats",#N/A,FALSE,"Stats"}</definedName>
    <definedName name="wrn.All._.Sheets." localSheetId="10" hidden="1">{"IncSt",#N/A,FALSE,"IS";"BalSht",#N/A,FALSE,"BS";"IntCash",#N/A,FALSE,"Int. Cash";"Stats",#N/A,FALSE,"Stats"}</definedName>
    <definedName name="wrn.All._.Sheets." localSheetId="12" hidden="1">{"IncSt",#N/A,FALSE,"IS";"BalSht",#N/A,FALSE,"BS";"IntCash",#N/A,FALSE,"Int. Cash";"Stats",#N/A,FALSE,"Stats"}</definedName>
    <definedName name="wrn.All._.Sheets." localSheetId="9" hidden="1">{"IncSt",#N/A,FALSE,"IS";"BalSht",#N/A,FALSE,"BS";"IntCash",#N/A,FALSE,"Int. Cash";"Stats",#N/A,FALSE,"Stats"}</definedName>
    <definedName name="wrn.All._.Sheets." hidden="1">{"IncSt",#N/A,FALSE,"IS";"BalSht",#N/A,FALSE,"BS";"IntCash",#N/A,FALSE,"Int. Cash";"Stats",#N/A,FALSE,"Stats"}</definedName>
    <definedName name="wrn.ALL._.WORKPAPERS." localSheetId="7"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PAPERS." localSheetId="10"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PAPERS." localSheetId="12"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PAPERS." hidden="1">{#N/A,#N/A,FALSE,"Std. Tickmark";#N/A,#N/A,FALSE,"Gen. File Index";#N/A,#N/A,FALSE,"Lead Index";#N/A,#N/A,FALSE,"1.2 - Cashflow";#N/A,#N/A,FALSE,"3.1 - Budget";#N/A,#N/A,FALSE,"9.3 - Analytical Procedures";#N/A,#N/A,FALSE,"AJE - Adj. Jnl. Entries";#N/A,#N/A,FALSE,"RJE - Reclass. Jnl. Entries";#N/A,#N/A,FALSE,"TB - Manual Trial Balance";#N/A,#N/A,FALSE,"A-1 Bank Reconcilation";#N/A,#N/A,FALSE,"A-2 Outstanding Checks";#N/A,#N/A,FALSE,"A-3 Savings Accounts";#N/A,#N/A,FALSE,"A-4 Certificates of Deposit";#N/A,#N/A,FALSE,"A-5 Bank Transfer Schedule";#N/A,#N/A,FALSE,"B-1 Mkt. Sec. - Int.";#N/A,#N/A,FALSE,"B-2 Mkt. Sec. - Val.";#N/A,#N/A,FALSE,"B-3 Mkt. Sec. - Gain (Loss)";#N/A,#N/A,FALSE,"C-1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Statistics";#N/A,#N/A,FALSE,"F-1 Inventory Price Test-RM";#N/A,#N/A,FALSE,"F-2 Inventory-Test Count";#N/A,#N/A,FALSE,"G-1 Prepaid Expenses-Other";#N/A,#N/A,FALSE,"G-2 Prepaid Property Taxes";#N/A,#N/A,FALSE,"G-3 Prepaid Insurance ";#N/A,#N/A,FALSE,"H-1 Notes Receivable";#N/A,#N/A,FALSE,"M-1 Property and Equipment";#N/A,#N/A,FALSE,"M-2 Asset Additions";#N/A,#N/A,FALSE,"M-3 Property Disposals";#N/A,#N/A,FALSE,"T-1 Intangibles";#N/A,#N/A,FALSE,"CC-1 Accounts Payable";#N/A,#N/A,FALSE,"CC-2 Search for Unrecorded Liab";#N/A,#N/A,FALSE,"EE-1 Othr Acts. Pbl &amp; Accr. Exp";#N/A,#N/A,FALSE,"FF-1 Payroll Taxes";#N/A,#N/A,FALSE,"HH-1 Employee Benefit Plans";#N/A,#N/A,FALSE,"JJ-1 Reg. Tax";#N/A,#N/A,FALSE,"JJ-2 Tax Jnl. Entry";#N/A,#N/A,FALSE,"JJ-3 Alt Min. Tax";#N/A,#N/A,FALSE,"JJ-4 Tax Checklist";#N/A,#N/A,FALSE,"KK-1 Def. Tax";#N/A,#N/A,FALSE,"KK-2 Rate Recon.";#N/A,#N/A,FALSE,"MM-1 Long Term Debt";#N/A,#N/A,FALSE,"NN-1 Capital Leases";#N/A,#N/A,FALSE,"TT-1 Officers' Life Insurance";#N/A,#N/A,FALSE,"WW-1 Stockholders' Equity";#N/A,#N/A,FALSE,"0400-1 Professional Services";#N/A,#N/A,FALSE,"0400-2 Taxes &amp; Licenses";#N/A,#N/A,FALSE,"0400-3 Repairs &amp; Maint.";#N/A,#N/A,FALSE,"0400-4 Officers Salaries";#N/A,#N/A,FALSE,"0400-5 Officers' Life Insurance";#N/A,#N/A,FALSE,"0400-6 Payroll Test";#N/A,#N/A,FALSE,"0400-7 Donations";#N/A,#N/A,FALSE,"0600-1 Other Income (Expense)";#N/A,#N/A,FALSE,"0700 Interest Expense";#N/A,#N/A,FALSE,"0700-1 Summary of Interest Earn";#N/A,#N/A,FALSE,"0800-2 Income Tax Provision";#N/A,#N/A,FALSE,"0800-3 Income Tax Provision H&amp;L"}</definedName>
    <definedName name="wrn.All._.Worksheets." localSheetId="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REPORTS." localSheetId="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1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31"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1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7"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10"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12"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localSheetId="9"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_REPORTS."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Rjs." localSheetId="1" hidden="1">{#N/A,#N/A,FALSE,"SCA";#N/A,#N/A,FALSE,"NCA";#N/A,#N/A,FALSE,"SAZ";#N/A,#N/A,FALSE,"CAZ";#N/A,#N/A,FALSE,"SNV";#N/A,#N/A,FALSE,"NNV";#N/A,#N/A,FALSE,"PP";#N/A,#N/A,FALSE,"SA"}</definedName>
    <definedName name="wrn.AllRjs." localSheetId="17" hidden="1">{#N/A,#N/A,FALSE,"SCA";#N/A,#N/A,FALSE,"NCA";#N/A,#N/A,FALSE,"SAZ";#N/A,#N/A,FALSE,"CAZ";#N/A,#N/A,FALSE,"SNV";#N/A,#N/A,FALSE,"NNV";#N/A,#N/A,FALSE,"PP";#N/A,#N/A,FALSE,"SA"}</definedName>
    <definedName name="wrn.AllRjs." localSheetId="30" hidden="1">{#N/A,#N/A,FALSE,"SCA";#N/A,#N/A,FALSE,"NCA";#N/A,#N/A,FALSE,"SAZ";#N/A,#N/A,FALSE,"CAZ";#N/A,#N/A,FALSE,"SNV";#N/A,#N/A,FALSE,"NNV";#N/A,#N/A,FALSE,"PP";#N/A,#N/A,FALSE,"SA"}</definedName>
    <definedName name="wrn.AllRjs." localSheetId="31" hidden="1">{#N/A,#N/A,FALSE,"SCA";#N/A,#N/A,FALSE,"NCA";#N/A,#N/A,FALSE,"SAZ";#N/A,#N/A,FALSE,"CAZ";#N/A,#N/A,FALSE,"SNV";#N/A,#N/A,FALSE,"NNV";#N/A,#N/A,FALSE,"PP";#N/A,#N/A,FALSE,"SA"}</definedName>
    <definedName name="wrn.AllRjs." localSheetId="19" hidden="1">{#N/A,#N/A,FALSE,"SCA";#N/A,#N/A,FALSE,"NCA";#N/A,#N/A,FALSE,"SAZ";#N/A,#N/A,FALSE,"CAZ";#N/A,#N/A,FALSE,"SNV";#N/A,#N/A,FALSE,"NNV";#N/A,#N/A,FALSE,"PP";#N/A,#N/A,FALSE,"SA"}</definedName>
    <definedName name="wrn.AllRjs." localSheetId="7" hidden="1">{#N/A,#N/A,FALSE,"SCA";#N/A,#N/A,FALSE,"NCA";#N/A,#N/A,FALSE,"SAZ";#N/A,#N/A,FALSE,"CAZ";#N/A,#N/A,FALSE,"SNV";#N/A,#N/A,FALSE,"NNV";#N/A,#N/A,FALSE,"PP";#N/A,#N/A,FALSE,"SA"}</definedName>
    <definedName name="wrn.AllRjs." localSheetId="0" hidden="1">{#N/A,#N/A,FALSE,"SCA";#N/A,#N/A,FALSE,"NCA";#N/A,#N/A,FALSE,"SAZ";#N/A,#N/A,FALSE,"CAZ";#N/A,#N/A,FALSE,"SNV";#N/A,#N/A,FALSE,"NNV";#N/A,#N/A,FALSE,"PP";#N/A,#N/A,FALSE,"SA"}</definedName>
    <definedName name="wrn.AllRjs." localSheetId="10" hidden="1">{#N/A,#N/A,FALSE,"SCA";#N/A,#N/A,FALSE,"NCA";#N/A,#N/A,FALSE,"SAZ";#N/A,#N/A,FALSE,"CAZ";#N/A,#N/A,FALSE,"SNV";#N/A,#N/A,FALSE,"NNV";#N/A,#N/A,FALSE,"PP";#N/A,#N/A,FALSE,"SA"}</definedName>
    <definedName name="wrn.AllRjs." localSheetId="12" hidden="1">{#N/A,#N/A,FALSE,"SCA";#N/A,#N/A,FALSE,"NCA";#N/A,#N/A,FALSE,"SAZ";#N/A,#N/A,FALSE,"CAZ";#N/A,#N/A,FALSE,"SNV";#N/A,#N/A,FALSE,"NNV";#N/A,#N/A,FALSE,"PP";#N/A,#N/A,FALSE,"SA"}</definedName>
    <definedName name="wrn.AllRjs." localSheetId="9" hidden="1">{#N/A,#N/A,FALSE,"SCA";#N/A,#N/A,FALSE,"NCA";#N/A,#N/A,FALSE,"SAZ";#N/A,#N/A,FALSE,"CAZ";#N/A,#N/A,FALSE,"SNV";#N/A,#N/A,FALSE,"NNV";#N/A,#N/A,FALSE,"PP";#N/A,#N/A,FALSE,"SA"}</definedName>
    <definedName name="wrn.AllRjs." hidden="1">{#N/A,#N/A,FALSE,"SCA";#N/A,#N/A,FALSE,"NCA";#N/A,#N/A,FALSE,"SAZ";#N/A,#N/A,FALSE,"CAZ";#N/A,#N/A,FALSE,"SNV";#N/A,#N/A,FALSE,"NNV";#N/A,#N/A,FALSE,"PP";#N/A,#N/A,FALSE,"SA"}</definedName>
    <definedName name="wrn.alrjs." localSheetId="1" hidden="1">{#N/A,#N/A,FALSE,"SCA";#N/A,#N/A,FALSE,"NCA";#N/A,#N/A,FALSE,"SAZ";#N/A,#N/A,FALSE,"CAZ";#N/A,#N/A,FALSE,"SNV";#N/A,#N/A,FALSE,"NNV";#N/A,#N/A,FALSE,"PP";#N/A,#N/A,FALSE,"SA"}</definedName>
    <definedName name="wrn.alrjs." localSheetId="17" hidden="1">{#N/A,#N/A,FALSE,"SCA";#N/A,#N/A,FALSE,"NCA";#N/A,#N/A,FALSE,"SAZ";#N/A,#N/A,FALSE,"CAZ";#N/A,#N/A,FALSE,"SNV";#N/A,#N/A,FALSE,"NNV";#N/A,#N/A,FALSE,"PP";#N/A,#N/A,FALSE,"SA"}</definedName>
    <definedName name="wrn.alrjs." localSheetId="30" hidden="1">{#N/A,#N/A,FALSE,"SCA";#N/A,#N/A,FALSE,"NCA";#N/A,#N/A,FALSE,"SAZ";#N/A,#N/A,FALSE,"CAZ";#N/A,#N/A,FALSE,"SNV";#N/A,#N/A,FALSE,"NNV";#N/A,#N/A,FALSE,"PP";#N/A,#N/A,FALSE,"SA"}</definedName>
    <definedName name="wrn.alrjs." localSheetId="31" hidden="1">{#N/A,#N/A,FALSE,"SCA";#N/A,#N/A,FALSE,"NCA";#N/A,#N/A,FALSE,"SAZ";#N/A,#N/A,FALSE,"CAZ";#N/A,#N/A,FALSE,"SNV";#N/A,#N/A,FALSE,"NNV";#N/A,#N/A,FALSE,"PP";#N/A,#N/A,FALSE,"SA"}</definedName>
    <definedName name="wrn.alrjs." localSheetId="19" hidden="1">{#N/A,#N/A,FALSE,"SCA";#N/A,#N/A,FALSE,"NCA";#N/A,#N/A,FALSE,"SAZ";#N/A,#N/A,FALSE,"CAZ";#N/A,#N/A,FALSE,"SNV";#N/A,#N/A,FALSE,"NNV";#N/A,#N/A,FALSE,"PP";#N/A,#N/A,FALSE,"SA"}</definedName>
    <definedName name="wrn.alrjs." localSheetId="7" hidden="1">{#N/A,#N/A,FALSE,"SCA";#N/A,#N/A,FALSE,"NCA";#N/A,#N/A,FALSE,"SAZ";#N/A,#N/A,FALSE,"CAZ";#N/A,#N/A,FALSE,"SNV";#N/A,#N/A,FALSE,"NNV";#N/A,#N/A,FALSE,"PP";#N/A,#N/A,FALSE,"SA"}</definedName>
    <definedName name="wrn.alrjs." localSheetId="0" hidden="1">{#N/A,#N/A,FALSE,"SCA";#N/A,#N/A,FALSE,"NCA";#N/A,#N/A,FALSE,"SAZ";#N/A,#N/A,FALSE,"CAZ";#N/A,#N/A,FALSE,"SNV";#N/A,#N/A,FALSE,"NNV";#N/A,#N/A,FALSE,"PP";#N/A,#N/A,FALSE,"SA"}</definedName>
    <definedName name="wrn.alrjs." localSheetId="10" hidden="1">{#N/A,#N/A,FALSE,"SCA";#N/A,#N/A,FALSE,"NCA";#N/A,#N/A,FALSE,"SAZ";#N/A,#N/A,FALSE,"CAZ";#N/A,#N/A,FALSE,"SNV";#N/A,#N/A,FALSE,"NNV";#N/A,#N/A,FALSE,"PP";#N/A,#N/A,FALSE,"SA"}</definedName>
    <definedName name="wrn.alrjs." localSheetId="12" hidden="1">{#N/A,#N/A,FALSE,"SCA";#N/A,#N/A,FALSE,"NCA";#N/A,#N/A,FALSE,"SAZ";#N/A,#N/A,FALSE,"CAZ";#N/A,#N/A,FALSE,"SNV";#N/A,#N/A,FALSE,"NNV";#N/A,#N/A,FALSE,"PP";#N/A,#N/A,FALSE,"SA"}</definedName>
    <definedName name="wrn.alrjs." localSheetId="9" hidden="1">{#N/A,#N/A,FALSE,"SCA";#N/A,#N/A,FALSE,"NCA";#N/A,#N/A,FALSE,"SAZ";#N/A,#N/A,FALSE,"CAZ";#N/A,#N/A,FALSE,"SNV";#N/A,#N/A,FALSE,"NNV";#N/A,#N/A,FALSE,"PP";#N/A,#N/A,FALSE,"SA"}</definedName>
    <definedName name="wrn.alrjs." hidden="1">{#N/A,#N/A,FALSE,"SCA";#N/A,#N/A,FALSE,"NCA";#N/A,#N/A,FALSE,"SAZ";#N/A,#N/A,FALSE,"CAZ";#N/A,#N/A,FALSE,"SNV";#N/A,#N/A,FALSE,"NNV";#N/A,#N/A,FALSE,"PP";#N/A,#N/A,FALSE,"SA"}</definedName>
    <definedName name="wrn.AMTNOL." localSheetId="7" hidden="1">{#N/A,#N/A,TRUE,"91AMTNOL";#N/A,#N/A,TRUE,"92AMTNOL";#N/A,#N/A,TRUE,"93AMTNOL"}</definedName>
    <definedName name="wrn.AMTNOL." localSheetId="10" hidden="1">{#N/A,#N/A,TRUE,"91AMTNOL";#N/A,#N/A,TRUE,"92AMTNOL";#N/A,#N/A,TRUE,"93AMTNOL"}</definedName>
    <definedName name="wrn.AMTNOL." localSheetId="12" hidden="1">{#N/A,#N/A,TRUE,"91AMTNOL";#N/A,#N/A,TRUE,"92AMTNOL";#N/A,#N/A,TRUE,"93AMTNOL"}</definedName>
    <definedName name="wrn.AMTNOL." hidden="1">{#N/A,#N/A,TRUE,"91AMTNOL";#N/A,#N/A,TRUE,"92AMTNOL";#N/A,#N/A,TRUE,"93AMTNOL"}</definedName>
    <definedName name="wrn.AnnualRentRoll." localSheetId="7" hidden="1">{"AnnualRentRollPg1",#N/A,FALSE,"RentRoll";"AnnualRentRollPg2",#N/A,FALSE,"RentRoll"}</definedName>
    <definedName name="wrn.AnnualRentRoll." localSheetId="10" hidden="1">{"AnnualRentRollPg1",#N/A,FALSE,"RentRoll";"AnnualRentRollPg2",#N/A,FALSE,"RentRoll"}</definedName>
    <definedName name="wrn.AnnualRentRoll." localSheetId="12" hidden="1">{"AnnualRentRollPg1",#N/A,FALSE,"RentRoll";"AnnualRentRollPg2",#N/A,FALSE,"RentRoll"}</definedName>
    <definedName name="wrn.AnnualRentRoll." hidden="1">{"AnnualRentRollPg1",#N/A,FALSE,"RentRoll";"AnnualRentRollPg2",#N/A,FALSE,"RentRoll"}</definedName>
    <definedName name="wrn.ar." localSheetId="7" hidden="1">{#N/A,#N/A,FALSE,"OUT  AREC"}</definedName>
    <definedName name="wrn.ar." localSheetId="10" hidden="1">{#N/A,#N/A,FALSE,"OUT  AREC"}</definedName>
    <definedName name="wrn.ar." localSheetId="12" hidden="1">{#N/A,#N/A,FALSE,"OUT  AREC"}</definedName>
    <definedName name="wrn.ar." hidden="1">{#N/A,#N/A,FALSE,"OUT  AREC"}</definedName>
    <definedName name="wrn.ARK._.JURIS._.FAC._.CALC." localSheetId="1" hidden="1">{"ARK_JURIS_FAC",#N/A,FALSE,"Ark_Fuel&amp;Rev"}</definedName>
    <definedName name="wrn.ARK._.JURIS._.FAC._.CALC." localSheetId="17" hidden="1">{"ARK_JURIS_FAC",#N/A,FALSE,"Ark_Fuel&amp;Rev"}</definedName>
    <definedName name="wrn.ARK._.JURIS._.FAC._.CALC." localSheetId="30" hidden="1">{"ARK_JURIS_FAC",#N/A,FALSE,"Ark_Fuel&amp;Rev"}</definedName>
    <definedName name="wrn.ARK._.JURIS._.FAC._.CALC." localSheetId="31" hidden="1">{"ARK_JURIS_FAC",#N/A,FALSE,"Ark_Fuel&amp;Rev"}</definedName>
    <definedName name="wrn.ARK._.JURIS._.FAC._.CALC." localSheetId="19" hidden="1">{"ARK_JURIS_FAC",#N/A,FALSE,"Ark_Fuel&amp;Rev"}</definedName>
    <definedName name="wrn.ARK._.JURIS._.FAC._.CALC." localSheetId="7" hidden="1">{"ARK_JURIS_FAC",#N/A,FALSE,"Ark_Fuel&amp;Rev"}</definedName>
    <definedName name="wrn.ARK._.JURIS._.FAC._.CALC." localSheetId="0" hidden="1">{"ARK_JURIS_FAC",#N/A,FALSE,"Ark_Fuel&amp;Rev"}</definedName>
    <definedName name="wrn.ARK._.JURIS._.FAC._.CALC." localSheetId="10" hidden="1">{"ARK_JURIS_FAC",#N/A,FALSE,"Ark_Fuel&amp;Rev"}</definedName>
    <definedName name="wrn.ARK._.JURIS._.FAC._.CALC." localSheetId="12" hidden="1">{"ARK_JURIS_FAC",#N/A,FALSE,"Ark_Fuel&amp;Rev"}</definedName>
    <definedName name="wrn.ARK._.JURIS._.FAC._.CALC." localSheetId="9" hidden="1">{"ARK_JURIS_FAC",#N/A,FALSE,"Ark_Fuel&amp;Rev"}</definedName>
    <definedName name="wrn.ARK._.JURIS._.FAC._.CALC." hidden="1">{"ARK_JURIS_FAC",#N/A,FALSE,"Ark_Fuel&amp;Rev"}</definedName>
    <definedName name="wrn.ARK._.JURIS._.FUEL._.COST." localSheetId="1" hidden="1">{"ARK_JURIS_FUEL",#N/A,FALSE,"Ark_Fuel&amp;Rev"}</definedName>
    <definedName name="wrn.ARK._.JURIS._.FUEL._.COST." localSheetId="17" hidden="1">{"ARK_JURIS_FUEL",#N/A,FALSE,"Ark_Fuel&amp;Rev"}</definedName>
    <definedName name="wrn.ARK._.JURIS._.FUEL._.COST." localSheetId="30" hidden="1">{"ARK_JURIS_FUEL",#N/A,FALSE,"Ark_Fuel&amp;Rev"}</definedName>
    <definedName name="wrn.ARK._.JURIS._.FUEL._.COST." localSheetId="31" hidden="1">{"ARK_JURIS_FUEL",#N/A,FALSE,"Ark_Fuel&amp;Rev"}</definedName>
    <definedName name="wrn.ARK._.JURIS._.FUEL._.COST." localSheetId="19" hidden="1">{"ARK_JURIS_FUEL",#N/A,FALSE,"Ark_Fuel&amp;Rev"}</definedName>
    <definedName name="wrn.ARK._.JURIS._.FUEL._.COST." localSheetId="7" hidden="1">{"ARK_JURIS_FUEL",#N/A,FALSE,"Ark_Fuel&amp;Rev"}</definedName>
    <definedName name="wrn.ARK._.JURIS._.FUEL._.COST." localSheetId="0" hidden="1">{"ARK_JURIS_FUEL",#N/A,FALSE,"Ark_Fuel&amp;Rev"}</definedName>
    <definedName name="wrn.ARK._.JURIS._.FUEL._.COST." localSheetId="10" hidden="1">{"ARK_JURIS_FUEL",#N/A,FALSE,"Ark_Fuel&amp;Rev"}</definedName>
    <definedName name="wrn.ARK._.JURIS._.FUEL._.COST." localSheetId="12" hidden="1">{"ARK_JURIS_FUEL",#N/A,FALSE,"Ark_Fuel&amp;Rev"}</definedName>
    <definedName name="wrn.ARK._.JURIS._.FUEL._.COST." localSheetId="9" hidden="1">{"ARK_JURIS_FUEL",#N/A,FALSE,"Ark_Fuel&amp;Rev"}</definedName>
    <definedName name="wrn.ARK._.JURIS._.FUEL._.COST." hidden="1">{"ARK_JURIS_FUEL",#N/A,FALSE,"Ark_Fuel&amp;Rev"}</definedName>
    <definedName name="wrn.Assumptions." localSheetId="7" hidden="1">{"Assumptions",#N/A,FALSE,"Assum"}</definedName>
    <definedName name="wrn.Assumptions." localSheetId="10" hidden="1">{"Assumptions",#N/A,FALSE,"Assum"}</definedName>
    <definedName name="wrn.Assumptions." localSheetId="12" hidden="1">{"Assumptions",#N/A,FALSE,"Assum"}</definedName>
    <definedName name="wrn.Assumptions." hidden="1">{"Assumptions",#N/A,FALSE,"Assum"}</definedName>
    <definedName name="wrn.ATOKA._.FAC._.CALC." localSheetId="1" hidden="1">{"ATOKA_FAC",#N/A,FALSE,"Atoka"}</definedName>
    <definedName name="wrn.ATOKA._.FAC._.CALC." localSheetId="17" hidden="1">{"ATOKA_FAC",#N/A,FALSE,"Atoka"}</definedName>
    <definedName name="wrn.ATOKA._.FAC._.CALC." localSheetId="30" hidden="1">{"ATOKA_FAC",#N/A,FALSE,"Atoka"}</definedName>
    <definedName name="wrn.ATOKA._.FAC._.CALC." localSheetId="31" hidden="1">{"ATOKA_FAC",#N/A,FALSE,"Atoka"}</definedName>
    <definedName name="wrn.ATOKA._.FAC._.CALC." localSheetId="19" hidden="1">{"ATOKA_FAC",#N/A,FALSE,"Atoka"}</definedName>
    <definedName name="wrn.ATOKA._.FAC._.CALC." localSheetId="7" hidden="1">{"ATOKA_FAC",#N/A,FALSE,"Atoka"}</definedName>
    <definedName name="wrn.ATOKA._.FAC._.CALC." localSheetId="0" hidden="1">{"ATOKA_FAC",#N/A,FALSE,"Atoka"}</definedName>
    <definedName name="wrn.ATOKA._.FAC._.CALC." localSheetId="10" hidden="1">{"ATOKA_FAC",#N/A,FALSE,"Atoka"}</definedName>
    <definedName name="wrn.ATOKA._.FAC._.CALC." localSheetId="12" hidden="1">{"ATOKA_FAC",#N/A,FALSE,"Atoka"}</definedName>
    <definedName name="wrn.ATOKA._.FAC._.CALC." localSheetId="9" hidden="1">{"ATOKA_FAC",#N/A,FALSE,"Atoka"}</definedName>
    <definedName name="wrn.ATOKA._.FAC._.CALC." hidden="1">{"ATOKA_FAC",#N/A,FALSE,"Atoka"}</definedName>
    <definedName name="wrn.audit._.adjustments." localSheetId="7" hidden="1">{#N/A,#N/A,TRUE,"Summary";#N/A,#N/A,TRUE,"Amort.";#N/A,#N/A,TRUE,"93TAX";#N/A,#N/A,TRUE,"93NOLCB";#N/A,#N/A,TRUE,"92TAX";#N/A,#N/A,TRUE,"92NOLCB";#N/A,#N/A,TRUE,"91TAX";#N/A,#N/A,TRUE,"91NOLCB";#N/A,#N/A,TRUE,"92AMTNOL";#N/A,#N/A,TRUE,"921120X"}</definedName>
    <definedName name="wrn.audit._.adjustments." localSheetId="10" hidden="1">{#N/A,#N/A,TRUE,"Summary";#N/A,#N/A,TRUE,"Amort.";#N/A,#N/A,TRUE,"93TAX";#N/A,#N/A,TRUE,"93NOLCB";#N/A,#N/A,TRUE,"92TAX";#N/A,#N/A,TRUE,"92NOLCB";#N/A,#N/A,TRUE,"91TAX";#N/A,#N/A,TRUE,"91NOLCB";#N/A,#N/A,TRUE,"92AMTNOL";#N/A,#N/A,TRUE,"921120X"}</definedName>
    <definedName name="wrn.audit._.adjustments." localSheetId="12" hidden="1">{#N/A,#N/A,TRUE,"Summary";#N/A,#N/A,TRUE,"Amort.";#N/A,#N/A,TRUE,"93TAX";#N/A,#N/A,TRUE,"93NOLCB";#N/A,#N/A,TRUE,"92TAX";#N/A,#N/A,TRUE,"92NOLCB";#N/A,#N/A,TRUE,"91TAX";#N/A,#N/A,TRUE,"91NOLCB";#N/A,#N/A,TRUE,"92AMTNOL";#N/A,#N/A,TRUE,"921120X"}</definedName>
    <definedName name="wrn.audit._.adjustments." hidden="1">{#N/A,#N/A,TRUE,"Summary";#N/A,#N/A,TRUE,"Amort.";#N/A,#N/A,TRUE,"93TAX";#N/A,#N/A,TRUE,"93NOLCB";#N/A,#N/A,TRUE,"92TAX";#N/A,#N/A,TRUE,"92NOLCB";#N/A,#N/A,TRUE,"91TAX";#N/A,#N/A,TRUE,"91NOLCB";#N/A,#N/A,TRUE,"92AMTNOL";#N/A,#N/A,TRUE,"921120X"}</definedName>
    <definedName name="wrn.August._.1._.2003._.Rate._.Change." localSheetId="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2"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Filing." localSheetId="1" hidden="1">{"2002 Scedule A Revenue Proof",#N/A,FALSE,"Schedule A";"2002 Rate Detail",#N/A,FALSE,"Schedule B";"2002 Light Rates Page 1",#N/A,FALSE,"Schedule B";"2002 Light Rates Page 2",#N/A,FALSE,"Schedule B";"Schedule C",#N/A,FALSE,"Schedule C"}</definedName>
    <definedName name="wrn.August._.1._.Filing." localSheetId="17" hidden="1">{"2002 Scedule A Revenue Proof",#N/A,FALSE,"Schedule A";"2002 Rate Detail",#N/A,FALSE,"Schedule B";"2002 Light Rates Page 1",#N/A,FALSE,"Schedule B";"2002 Light Rates Page 2",#N/A,FALSE,"Schedule B";"Schedule C",#N/A,FALSE,"Schedule C"}</definedName>
    <definedName name="wrn.August._.1._.Filing." localSheetId="30" hidden="1">{"2002 Scedule A Revenue Proof",#N/A,FALSE,"Schedule A";"2002 Rate Detail",#N/A,FALSE,"Schedule B";"2002 Light Rates Page 1",#N/A,FALSE,"Schedule B";"2002 Light Rates Page 2",#N/A,FALSE,"Schedule B";"Schedule C",#N/A,FALSE,"Schedule C"}</definedName>
    <definedName name="wrn.August._.1._.Filing." localSheetId="31" hidden="1">{"2002 Scedule A Revenue Proof",#N/A,FALSE,"Schedule A";"2002 Rate Detail",#N/A,FALSE,"Schedule B";"2002 Light Rates Page 1",#N/A,FALSE,"Schedule B";"2002 Light Rates Page 2",#N/A,FALSE,"Schedule B";"Schedule C",#N/A,FALSE,"Schedule C"}</definedName>
    <definedName name="wrn.August._.1._.Filing." localSheetId="19" hidden="1">{"2002 Scedule A Revenue Proof",#N/A,FALSE,"Schedule A";"2002 Rate Detail",#N/A,FALSE,"Schedule B";"2002 Light Rates Page 1",#N/A,FALSE,"Schedule B";"2002 Light Rates Page 2",#N/A,FALSE,"Schedule B";"Schedule C",#N/A,FALSE,"Schedule C"}</definedName>
    <definedName name="wrn.August._.1._.Filing." localSheetId="7" hidden="1">{"2002 Scedule A Revenue Proof",#N/A,FALSE,"Schedule A";"2002 Rate Detail",#N/A,FALSE,"Schedule B";"2002 Light Rates Page 1",#N/A,FALSE,"Schedule B";"2002 Light Rates Page 2",#N/A,FALSE,"Schedule B";"Schedule C",#N/A,FALSE,"Schedule C"}</definedName>
    <definedName name="wrn.August._.1._.Filing." localSheetId="0" hidden="1">{"2002 Scedule A Revenue Proof",#N/A,FALSE,"Schedule A";"2002 Rate Detail",#N/A,FALSE,"Schedule B";"2002 Light Rates Page 1",#N/A,FALSE,"Schedule B";"2002 Light Rates Page 2",#N/A,FALSE,"Schedule B";"Schedule C",#N/A,FALSE,"Schedule C"}</definedName>
    <definedName name="wrn.August._.1._.Filing." localSheetId="10" hidden="1">{"2002 Scedule A Revenue Proof",#N/A,FALSE,"Schedule A";"2002 Rate Detail",#N/A,FALSE,"Schedule B";"2002 Light Rates Page 1",#N/A,FALSE,"Schedule B";"2002 Light Rates Page 2",#N/A,FALSE,"Schedule B";"Schedule C",#N/A,FALSE,"Schedule C"}</definedName>
    <definedName name="wrn.August._.1._.Filing." localSheetId="12" hidden="1">{"2002 Scedule A Revenue Proof",#N/A,FALSE,"Schedule A";"2002 Rate Detail",#N/A,FALSE,"Schedule B";"2002 Light Rates Page 1",#N/A,FALSE,"Schedule B";"2002 Light Rates Page 2",#N/A,FALSE,"Schedule B";"Schedule C",#N/A,FALSE,"Schedule C"}</definedName>
    <definedName name="wrn.August._.1._.Filing." localSheetId="9" hidden="1">{"2002 Scedule A Revenue Proof",#N/A,FALSE,"Schedule A";"2002 Rate Detail",#N/A,FALSE,"Schedule B";"2002 Light Rates Page 1",#N/A,FALSE,"Schedule B";"2002 Light Rates Page 2",#N/A,FALSE,"Schedule B";"Schedule C",#N/A,FALSE,"Schedule C"}</definedName>
    <definedName name="wrn.August._.1._.Filing." hidden="1">{"2002 Scedule A Revenue Proof",#N/A,FALSE,"Schedule A";"2002 Rate Detail",#N/A,FALSE,"Schedule B";"2002 Light Rates Page 1",#N/A,FALSE,"Schedule B";"2002 Light Rates Page 2",#N/A,FALSE,"Schedule B";"Schedule C",#N/A,FALSE,"Schedule C"}</definedName>
    <definedName name="wrn.Auto._.Comp." localSheetId="7" hidden="1">{#N/A,#N/A,FALSE,"Sheet1"}</definedName>
    <definedName name="wrn.Auto._.Comp." localSheetId="10" hidden="1">{#N/A,#N/A,FALSE,"Sheet1"}</definedName>
    <definedName name="wrn.Auto._.Comp." localSheetId="12" hidden="1">{#N/A,#N/A,FALSE,"Sheet1"}</definedName>
    <definedName name="wrn.Auto._.Comp." hidden="1">{#N/A,#N/A,FALSE,"Sheet1"}</definedName>
    <definedName name="wrn.Basic." localSheetId="1"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30" hidden="1">{#N/A,#N/A,FALSE,"O&amp;M by processes";#N/A,#N/A,FALSE,"Elec Act vs Bud";#N/A,#N/A,FALSE,"G&amp;A";#N/A,#N/A,FALSE,"BGS";#N/A,#N/A,FALSE,"Res Cost"}</definedName>
    <definedName name="wrn.Basic." localSheetId="31"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7" hidden="1">{#N/A,#N/A,FALSE,"O&amp;M by processes";#N/A,#N/A,FALSE,"Elec Act vs Bud";#N/A,#N/A,FALSE,"G&amp;A";#N/A,#N/A,FALSE,"BGS";#N/A,#N/A,FALSE,"Res Cost"}</definedName>
    <definedName name="wrn.Basic." localSheetId="0" hidden="1">{#N/A,#N/A,FALSE,"O&amp;M by processes";#N/A,#N/A,FALSE,"Elec Act vs Bud";#N/A,#N/A,FALSE,"G&amp;A";#N/A,#N/A,FALSE,"BGS";#N/A,#N/A,FALSE,"Res Cost"}</definedName>
    <definedName name="wrn.Basic." localSheetId="10" hidden="1">{#N/A,#N/A,FALSE,"O&amp;M by processes";#N/A,#N/A,FALSE,"Elec Act vs Bud";#N/A,#N/A,FALSE,"G&amp;A";#N/A,#N/A,FALSE,"BGS";#N/A,#N/A,FALSE,"Res Cost"}</definedName>
    <definedName name="wrn.Basic." localSheetId="12"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hidden="1">{#N/A,#N/A,FALSE,"O&amp;M by processes";#N/A,#N/A,FALSE,"Elec Act vs Bud";#N/A,#N/A,FALSE,"G&amp;A";#N/A,#N/A,FALSE,"BGS";#N/A,#N/A,FALSE,"Res Cost"}</definedName>
    <definedName name="wrn.Basic._.Print._.Value._.MLP." localSheetId="7" hidden="1">{#N/A,#N/A,FALSE,"Valuation";#N/A,#N/A,FALSE,"MLP Impact"}</definedName>
    <definedName name="wrn.Basic._.Print._.Value._.MLP." localSheetId="10" hidden="1">{#N/A,#N/A,FALSE,"Valuation";#N/A,#N/A,FALSE,"MLP Impact"}</definedName>
    <definedName name="wrn.Basic._.Print._.Value._.MLP." localSheetId="12" hidden="1">{#N/A,#N/A,FALSE,"Valuation";#N/A,#N/A,FALSE,"MLP Impact"}</definedName>
    <definedName name="wrn.Basic._.Print._.Value._.MLP." hidden="1">{#N/A,#N/A,FALSE,"Valuation";#N/A,#N/A,FALSE,"MLP Impact"}</definedName>
    <definedName name="wrn.Basic._.Report." localSheetId="7" hidden="1">{#N/A,#N/A,FALSE,"Valuation";#N/A,#N/A,FALSE,"Inputs";#N/A,#N/A,FALSE,"Financial Statements";#N/A,#N/A,FALSE,"MLP Impact";#N/A,#N/A,FALSE,"Revenues"}</definedName>
    <definedName name="wrn.Basic._.Report." localSheetId="10" hidden="1">{#N/A,#N/A,FALSE,"Valuation";#N/A,#N/A,FALSE,"Inputs";#N/A,#N/A,FALSE,"Financial Statements";#N/A,#N/A,FALSE,"MLP Impact";#N/A,#N/A,FALSE,"Revenues"}</definedName>
    <definedName name="wrn.Basic._.Report." localSheetId="12" hidden="1">{#N/A,#N/A,FALSE,"Valuation";#N/A,#N/A,FALSE,"Inputs";#N/A,#N/A,FALSE,"Financial Statements";#N/A,#N/A,FALSE,"MLP Impact";#N/A,#N/A,FALSE,"Revenues"}</definedName>
    <definedName name="wrn.Basic._.Report." hidden="1">{#N/A,#N/A,FALSE,"Valuation";#N/A,#N/A,FALSE,"Inputs";#N/A,#N/A,FALSE,"Financial Statements";#N/A,#N/A,FALSE,"MLP Impact";#N/A,#N/A,FALSE,"Revenues"}</definedName>
    <definedName name="wrn.Benefits." localSheetId="1" hidden="1">{"Benefits Summary",#N/A,FALSE,"Benefits Info without WC Amount";"Medical and Dental Costs",#N/A,FALSE,"Benefits Info without WC Amount";"Workers' Compensation",#N/A,FALSE,"Benefits Info without WC Amount"}</definedName>
    <definedName name="wrn.Benefits." localSheetId="17" hidden="1">{"Benefits Summary",#N/A,FALSE,"Benefits Info without WC Amount";"Medical and Dental Costs",#N/A,FALSE,"Benefits Info without WC Amount";"Workers' Compensation",#N/A,FALSE,"Benefits Info without WC Amount"}</definedName>
    <definedName name="wrn.Benefits." localSheetId="30" hidden="1">{"Benefits Summary",#N/A,FALSE,"Benefits Info without WC Amount";"Medical and Dental Costs",#N/A,FALSE,"Benefits Info without WC Amount";"Workers' Compensation",#N/A,FALSE,"Benefits Info without WC Amount"}</definedName>
    <definedName name="wrn.Benefits." localSheetId="31" hidden="1">{"Benefits Summary",#N/A,FALSE,"Benefits Info without WC Amount";"Medical and Dental Costs",#N/A,FALSE,"Benefits Info without WC Amount";"Workers' Compensation",#N/A,FALSE,"Benefits Info without WC Amount"}</definedName>
    <definedName name="wrn.Benefits." localSheetId="19" hidden="1">{"Benefits Summary",#N/A,FALSE,"Benefits Info without WC Amount";"Medical and Dental Costs",#N/A,FALSE,"Benefits Info without WC Amount";"Workers' Compensation",#N/A,FALSE,"Benefits Info without WC Amount"}</definedName>
    <definedName name="wrn.Benefits." localSheetId="7" hidden="1">{"Benefits Summary",#N/A,FALSE,"Benefits Info without WC Amount";"Medical and Dental Costs",#N/A,FALSE,"Benefits Info without WC Amount";"Workers' Compensation",#N/A,FALSE,"Benefits Info without WC Amount"}</definedName>
    <definedName name="wrn.Benefits." localSheetId="0" hidden="1">{"Benefits Summary",#N/A,FALSE,"Benefits Info without WC Amount";"Medical and Dental Costs",#N/A,FALSE,"Benefits Info without WC Amount";"Workers' Compensation",#N/A,FALSE,"Benefits Info without WC Amount"}</definedName>
    <definedName name="wrn.Benefits." localSheetId="10" hidden="1">{"Benefits Summary",#N/A,FALSE,"Benefits Info without WC Amount";"Medical and Dental Costs",#N/A,FALSE,"Benefits Info without WC Amount";"Workers' Compensation",#N/A,FALSE,"Benefits Info without WC Amount"}</definedName>
    <definedName name="wrn.Benefits." localSheetId="12" hidden="1">{"Benefits Summary",#N/A,FALSE,"Benefits Info without WC Amount";"Medical and Dental Costs",#N/A,FALSE,"Benefits Info without WC Amount";"Workers' Compensation",#N/A,FALSE,"Benefits Info without WC Amount"}</definedName>
    <definedName name="wrn.Benefits." localSheetId="9" hidden="1">{"Benefits Summary",#N/A,FALSE,"Benefits Info without WC Amount";"Medical and Dental Costs",#N/A,FALSE,"Benefits Info without WC Amount";"Workers' Compensation",#N/A,FALSE,"Benefits Info without WC Amount"}</definedName>
    <definedName name="wrn.Benefits." hidden="1">{"Benefits Summary",#N/A,FALSE,"Benefits Info without WC Amount";"Medical and Dental Costs",#N/A,FALSE,"Benefits Info without WC Amount";"Workers' Compensation",#N/A,FALSE,"Benefits Info without WC Amount"}</definedName>
    <definedName name="wrn.Bill._.Comparisons." localSheetId="1" hidden="1">{#N/A,#N/A,TRUE,"Bill Comp - 60";#N/A,#N/A,TRUE,"Bill Comp - 70";#N/A,#N/A,TRUE,"Bill Comp - 71";#N/A,#N/A,TRUE,"Bill Comp- 85"}</definedName>
    <definedName name="wrn.Bill._.Comparisons." localSheetId="17" hidden="1">{#N/A,#N/A,TRUE,"Bill Comp - 60";#N/A,#N/A,TRUE,"Bill Comp - 70";#N/A,#N/A,TRUE,"Bill Comp - 71";#N/A,#N/A,TRUE,"Bill Comp- 85"}</definedName>
    <definedName name="wrn.Bill._.Comparisons." localSheetId="30" hidden="1">{#N/A,#N/A,TRUE,"Bill Comp - 60";#N/A,#N/A,TRUE,"Bill Comp - 70";#N/A,#N/A,TRUE,"Bill Comp - 71";#N/A,#N/A,TRUE,"Bill Comp- 85"}</definedName>
    <definedName name="wrn.Bill._.Comparisons." localSheetId="31" hidden="1">{#N/A,#N/A,TRUE,"Bill Comp - 60";#N/A,#N/A,TRUE,"Bill Comp - 70";#N/A,#N/A,TRUE,"Bill Comp - 71";#N/A,#N/A,TRUE,"Bill Comp- 85"}</definedName>
    <definedName name="wrn.Bill._.Comparisons." localSheetId="19" hidden="1">{#N/A,#N/A,TRUE,"Bill Comp - 60";#N/A,#N/A,TRUE,"Bill Comp - 70";#N/A,#N/A,TRUE,"Bill Comp - 71";#N/A,#N/A,TRUE,"Bill Comp- 85"}</definedName>
    <definedName name="wrn.Bill._.Comparisons." localSheetId="7" hidden="1">{#N/A,#N/A,TRUE,"Bill Comp - 60";#N/A,#N/A,TRUE,"Bill Comp - 70";#N/A,#N/A,TRUE,"Bill Comp - 71";#N/A,#N/A,TRUE,"Bill Comp- 85"}</definedName>
    <definedName name="wrn.Bill._.Comparisons." localSheetId="0" hidden="1">{#N/A,#N/A,TRUE,"Bill Comp - 60";#N/A,#N/A,TRUE,"Bill Comp - 70";#N/A,#N/A,TRUE,"Bill Comp - 71";#N/A,#N/A,TRUE,"Bill Comp- 85"}</definedName>
    <definedName name="wrn.Bill._.Comparisons." localSheetId="10" hidden="1">{#N/A,#N/A,TRUE,"Bill Comp - 60";#N/A,#N/A,TRUE,"Bill Comp - 70";#N/A,#N/A,TRUE,"Bill Comp - 71";#N/A,#N/A,TRUE,"Bill Comp- 85"}</definedName>
    <definedName name="wrn.Bill._.Comparisons." localSheetId="12" hidden="1">{#N/A,#N/A,TRUE,"Bill Comp - 60";#N/A,#N/A,TRUE,"Bill Comp - 70";#N/A,#N/A,TRUE,"Bill Comp - 71";#N/A,#N/A,TRUE,"Bill Comp- 85"}</definedName>
    <definedName name="wrn.Bill._.Comparisons." localSheetId="9" hidden="1">{#N/A,#N/A,TRUE,"Bill Comp - 60";#N/A,#N/A,TRUE,"Bill Comp - 70";#N/A,#N/A,TRUE,"Bill Comp - 71";#N/A,#N/A,TRUE,"Bill Comp- 85"}</definedName>
    <definedName name="wrn.Bill._.Comparisons." hidden="1">{#N/A,#N/A,TRUE,"Bill Comp - 60";#N/A,#N/A,TRUE,"Bill Comp - 70";#N/A,#N/A,TRUE,"Bill Comp - 71";#N/A,#N/A,TRUE,"Bill Comp- 85"}</definedName>
    <definedName name="wrn.BOD._.QTR." localSheetId="1"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1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30"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31"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19"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7"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0"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10"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12"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localSheetId="9"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udget._.Exhibits."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3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12"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localSheetId="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Budget._.Exhibits."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CAPACITY._.ALLOC._.SUMMARY." localSheetId="1" hidden="1">{"CAP_ALLOC_SUMMARY",#N/A,FALSE,"Alloc Summary"}</definedName>
    <definedName name="wrn.CAPACITY._.ALLOC._.SUMMARY." localSheetId="17" hidden="1">{"CAP_ALLOC_SUMMARY",#N/A,FALSE,"Alloc Summary"}</definedName>
    <definedName name="wrn.CAPACITY._.ALLOC._.SUMMARY." localSheetId="30" hidden="1">{"CAP_ALLOC_SUMMARY",#N/A,FALSE,"Alloc Summary"}</definedName>
    <definedName name="wrn.CAPACITY._.ALLOC._.SUMMARY." localSheetId="31" hidden="1">{"CAP_ALLOC_SUMMARY",#N/A,FALSE,"Alloc Summary"}</definedName>
    <definedName name="wrn.CAPACITY._.ALLOC._.SUMMARY." localSheetId="19" hidden="1">{"CAP_ALLOC_SUMMARY",#N/A,FALSE,"Alloc Summary"}</definedName>
    <definedName name="wrn.CAPACITY._.ALLOC._.SUMMARY." localSheetId="7" hidden="1">{"CAP_ALLOC_SUMMARY",#N/A,FALSE,"Alloc Summary"}</definedName>
    <definedName name="wrn.CAPACITY._.ALLOC._.SUMMARY." localSheetId="0" hidden="1">{"CAP_ALLOC_SUMMARY",#N/A,FALSE,"Alloc Summary"}</definedName>
    <definedName name="wrn.CAPACITY._.ALLOC._.SUMMARY." localSheetId="10" hidden="1">{"CAP_ALLOC_SUMMARY",#N/A,FALSE,"Alloc Summary"}</definedName>
    <definedName name="wrn.CAPACITY._.ALLOC._.SUMMARY." localSheetId="12" hidden="1">{"CAP_ALLOC_SUMMARY",#N/A,FALSE,"Alloc Summary"}</definedName>
    <definedName name="wrn.CAPACITY._.ALLOC._.SUMMARY." localSheetId="9" hidden="1">{"CAP_ALLOC_SUMMARY",#N/A,FALSE,"Alloc Summary"}</definedName>
    <definedName name="wrn.CAPACITY._.ALLOC._.SUMMARY." hidden="1">{"CAP_ALLOC_SUMMARY",#N/A,FALSE,"Alloc Summary"}</definedName>
    <definedName name="wrn.CAPITAL._.LEASES." localSheetId="7" hidden="1">{#N/A,#N/A,FALSE,"NN-1 Capital Leases"}</definedName>
    <definedName name="wrn.CAPITAL._.LEASES." localSheetId="10" hidden="1">{#N/A,#N/A,FALSE,"NN-1 Capital Leases"}</definedName>
    <definedName name="wrn.CAPITAL._.LEASES." localSheetId="12" hidden="1">{#N/A,#N/A,FALSE,"NN-1 Capital Leases"}</definedName>
    <definedName name="wrn.CAPITAL._.LEASES." hidden="1">{#N/A,#N/A,FALSE,"NN-1 Capital Leases"}</definedName>
    <definedName name="wrn.CASH." localSheetId="7" hidden="1">{#N/A,#N/A,FALSE,"A-1 Bank Reconcilation";#N/A,#N/A,FALSE,"A-2 Outstanding Checks";#N/A,#N/A,FALSE,"A-3 Savings Accounts";#N/A,#N/A,FALSE,"A-4 Certificates of Deposit";#N/A,#N/A,FALSE,"A-5 Bank Transfer Schedule"}</definedName>
    <definedName name="wrn.CASH." localSheetId="10" hidden="1">{#N/A,#N/A,FALSE,"A-1 Bank Reconcilation";#N/A,#N/A,FALSE,"A-2 Outstanding Checks";#N/A,#N/A,FALSE,"A-3 Savings Accounts";#N/A,#N/A,FALSE,"A-4 Certificates of Deposit";#N/A,#N/A,FALSE,"A-5 Bank Transfer Schedule"}</definedName>
    <definedName name="wrn.CASH." localSheetId="12" hidden="1">{#N/A,#N/A,FALSE,"A-1 Bank Reconcilation";#N/A,#N/A,FALSE,"A-2 Outstanding Checks";#N/A,#N/A,FALSE,"A-3 Savings Accounts";#N/A,#N/A,FALSE,"A-4 Certificates of Deposit";#N/A,#N/A,FALSE,"A-5 Bank Transfer Schedule"}</definedName>
    <definedName name="wrn.CASH." hidden="1">{#N/A,#N/A,FALSE,"A-1 Bank Reconcilation";#N/A,#N/A,FALSE,"A-2 Outstanding Checks";#N/A,#N/A,FALSE,"A-3 Savings Accounts";#N/A,#N/A,FALSE,"A-4 Certificates of Deposit";#N/A,#N/A,FALSE,"A-5 Bank Transfer Schedule"}</definedName>
    <definedName name="wrn.ChartSet." localSheetId="1"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30" hidden="1">{#N/A,#N/A,FALSE,"Elec Deliv";#N/A,#N/A,FALSE,"Atlantic Pie";#N/A,#N/A,FALSE,"Bay Pie";#N/A,#N/A,FALSE,"New Castle Pie";#N/A,#N/A,FALSE,"Transmission Pie"}</definedName>
    <definedName name="wrn.ChartSet." localSheetId="31"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7" hidden="1">{#N/A,#N/A,FALSE,"Elec Deliv";#N/A,#N/A,FALSE,"Atlantic Pie";#N/A,#N/A,FALSE,"Bay Pie";#N/A,#N/A,FALSE,"New Castle Pie";#N/A,#N/A,FALSE,"Transmission Pie"}</definedName>
    <definedName name="wrn.ChartSet." localSheetId="0" hidden="1">{#N/A,#N/A,FALSE,"Elec Deliv";#N/A,#N/A,FALSE,"Atlantic Pie";#N/A,#N/A,FALSE,"Bay Pie";#N/A,#N/A,FALSE,"New Castle Pie";#N/A,#N/A,FALSE,"Transmission Pie"}</definedName>
    <definedName name="wrn.ChartSet." localSheetId="10" hidden="1">{#N/A,#N/A,FALSE,"Elec Deliv";#N/A,#N/A,FALSE,"Atlantic Pie";#N/A,#N/A,FALSE,"Bay Pie";#N/A,#N/A,FALSE,"New Castle Pie";#N/A,#N/A,FALSE,"Transmission Pie"}</definedName>
    <definedName name="wrn.ChartSet." localSheetId="12"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hiron._.IRS._.Audit." localSheetId="7" hidden="1">{#N/A,#N/A,FALSE,"Summary";#N/A,#N/A,FALSE,"1991";#N/A,#N/A,FALSE,"91 AMT";#N/A,#N/A,FALSE,"1992";#N/A,#N/A,FALSE,"92 AMT";#N/A,#N/A,FALSE,"1993";#N/A,#N/A,FALSE,"93 AMT"}</definedName>
    <definedName name="wrn.Chiron._.IRS._.Audit." localSheetId="10" hidden="1">{#N/A,#N/A,FALSE,"Summary";#N/A,#N/A,FALSE,"1991";#N/A,#N/A,FALSE,"91 AMT";#N/A,#N/A,FALSE,"1992";#N/A,#N/A,FALSE,"92 AMT";#N/A,#N/A,FALSE,"1993";#N/A,#N/A,FALSE,"93 AMT"}</definedName>
    <definedName name="wrn.Chiron._.IRS._.Audit." localSheetId="12" hidden="1">{#N/A,#N/A,FALSE,"Summary";#N/A,#N/A,FALSE,"1991";#N/A,#N/A,FALSE,"91 AMT";#N/A,#N/A,FALSE,"1992";#N/A,#N/A,FALSE,"92 AMT";#N/A,#N/A,FALSE,"1993";#N/A,#N/A,FALSE,"93 AMT"}</definedName>
    <definedName name="wrn.Chiron._.IRS._.Audit." hidden="1">{#N/A,#N/A,FALSE,"Summary";#N/A,#N/A,FALSE,"1991";#N/A,#N/A,FALSE,"91 AMT";#N/A,#N/A,FALSE,"1992";#N/A,#N/A,FALSE,"92 AMT";#N/A,#N/A,FALSE,"1993";#N/A,#N/A,FALSE,"93 AMT"}</definedName>
    <definedName name="wrn.clientcopy." localSheetId="7"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0"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localSheetId="12"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P._.SEG._.INPUTS." localSheetId="1" hidden="1">{#N/A,#N/A,FALSE,"Rev Seg Taxes";#N/A,#N/A,FALSE,"BookRev Seg";#N/A,#N/A,FALSE,"Supp Adj Seg";#N/A,#N/A,FALSE,"outside prov seg taxes"}</definedName>
    <definedName name="wrn.CLP._.SEG._.INPUTS." localSheetId="17" hidden="1">{#N/A,#N/A,FALSE,"Rev Seg Taxes";#N/A,#N/A,FALSE,"BookRev Seg";#N/A,#N/A,FALSE,"Supp Adj Seg";#N/A,#N/A,FALSE,"outside prov seg taxes"}</definedName>
    <definedName name="wrn.CLP._.SEG._.INPUTS." localSheetId="30" hidden="1">{#N/A,#N/A,FALSE,"Rev Seg Taxes";#N/A,#N/A,FALSE,"BookRev Seg";#N/A,#N/A,FALSE,"Supp Adj Seg";#N/A,#N/A,FALSE,"outside prov seg taxes"}</definedName>
    <definedName name="wrn.CLP._.SEG._.INPUTS." localSheetId="31" hidden="1">{#N/A,#N/A,FALSE,"Rev Seg Taxes";#N/A,#N/A,FALSE,"BookRev Seg";#N/A,#N/A,FALSE,"Supp Adj Seg";#N/A,#N/A,FALSE,"outside prov seg taxes"}</definedName>
    <definedName name="wrn.CLP._.SEG._.INPUTS." localSheetId="19" hidden="1">{#N/A,#N/A,FALSE,"Rev Seg Taxes";#N/A,#N/A,FALSE,"BookRev Seg";#N/A,#N/A,FALSE,"Supp Adj Seg";#N/A,#N/A,FALSE,"outside prov seg taxes"}</definedName>
    <definedName name="wrn.CLP._.SEG._.INPUTS." localSheetId="7" hidden="1">{#N/A,#N/A,FALSE,"Rev Seg Taxes";#N/A,#N/A,FALSE,"BookRev Seg";#N/A,#N/A,FALSE,"Supp Adj Seg";#N/A,#N/A,FALSE,"outside prov seg taxes"}</definedName>
    <definedName name="wrn.CLP._.SEG._.INPUTS." localSheetId="0" hidden="1">{#N/A,#N/A,FALSE,"Rev Seg Taxes";#N/A,#N/A,FALSE,"BookRev Seg";#N/A,#N/A,FALSE,"Supp Adj Seg";#N/A,#N/A,FALSE,"outside prov seg taxes"}</definedName>
    <definedName name="wrn.CLP._.SEG._.INPUTS." localSheetId="10" hidden="1">{#N/A,#N/A,FALSE,"Rev Seg Taxes";#N/A,#N/A,FALSE,"BookRev Seg";#N/A,#N/A,FALSE,"Supp Adj Seg";#N/A,#N/A,FALSE,"outside prov seg taxes"}</definedName>
    <definedName name="wrn.CLP._.SEG._.INPUTS." localSheetId="12" hidden="1">{#N/A,#N/A,FALSE,"Rev Seg Taxes";#N/A,#N/A,FALSE,"BookRev Seg";#N/A,#N/A,FALSE,"Supp Adj Seg";#N/A,#N/A,FALSE,"outside prov seg taxes"}</definedName>
    <definedName name="wrn.CLP._.SEG._.INPUTS." localSheetId="9" hidden="1">{#N/A,#N/A,FALSE,"Rev Seg Taxes";#N/A,#N/A,FALSE,"BookRev Seg";#N/A,#N/A,FALSE,"Supp Adj Seg";#N/A,#N/A,FALSE,"outside prov seg taxes"}</definedName>
    <definedName name="wrn.CLP._.SEG._.INPUTS." hidden="1">{#N/A,#N/A,FALSE,"Rev Seg Taxes";#N/A,#N/A,FALSE,"BookRev Seg";#N/A,#N/A,FALSE,"Supp Adj Seg";#N/A,#N/A,FALSE,"outside prov seg taxes"}</definedName>
    <definedName name="wrn.CLP._.SEG._.PROV." localSheetId="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31"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7"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0"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12"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localSheetId="9"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localSheetId="1" hidden="1">{#N/A,#N/A,FALSE,"GLDwnLoad"}</definedName>
    <definedName name="wrn.CLP_GL." localSheetId="17" hidden="1">{#N/A,#N/A,FALSE,"GLDwnLoad"}</definedName>
    <definedName name="wrn.CLP_GL." localSheetId="30" hidden="1">{#N/A,#N/A,FALSE,"GLDwnLoad"}</definedName>
    <definedName name="wrn.CLP_GL." localSheetId="31" hidden="1">{#N/A,#N/A,FALSE,"GLDwnLoad"}</definedName>
    <definedName name="wrn.CLP_GL." localSheetId="19" hidden="1">{#N/A,#N/A,FALSE,"GLDwnLoad"}</definedName>
    <definedName name="wrn.CLP_GL." localSheetId="7" hidden="1">{#N/A,#N/A,FALSE,"GLDwnLoad"}</definedName>
    <definedName name="wrn.CLP_GL." localSheetId="0" hidden="1">{#N/A,#N/A,FALSE,"GLDwnLoad"}</definedName>
    <definedName name="wrn.CLP_GL." localSheetId="10" hidden="1">{#N/A,#N/A,FALSE,"GLDwnLoad"}</definedName>
    <definedName name="wrn.CLP_GL." localSheetId="12" hidden="1">{#N/A,#N/A,FALSE,"GLDwnLoad"}</definedName>
    <definedName name="wrn.CLP_GL." localSheetId="9" hidden="1">{#N/A,#N/A,FALSE,"GLDwnLoad"}</definedName>
    <definedName name="wrn.CLP_GL." hidden="1">{#N/A,#N/A,FALSE,"GLDwnLoad"}</definedName>
    <definedName name="wrn.CLP_INPUTS." localSheetId="1" hidden="1">{#N/A,#N/A,FALSE,"OTHERINPUTS";#N/A,#N/A,FALSE,"DITRATEINPUTS";#N/A,#N/A,FALSE,"SUPPLIEDADJINPUT";#N/A,#N/A,FALSE,"BR&amp;SUPADJ."}</definedName>
    <definedName name="wrn.CLP_INPUTS." localSheetId="17" hidden="1">{#N/A,#N/A,FALSE,"OTHERINPUTS";#N/A,#N/A,FALSE,"DITRATEINPUTS";#N/A,#N/A,FALSE,"SUPPLIEDADJINPUT";#N/A,#N/A,FALSE,"BR&amp;SUPADJ."}</definedName>
    <definedName name="wrn.CLP_INPUTS." localSheetId="30" hidden="1">{#N/A,#N/A,FALSE,"OTHERINPUTS";#N/A,#N/A,FALSE,"DITRATEINPUTS";#N/A,#N/A,FALSE,"SUPPLIEDADJINPUT";#N/A,#N/A,FALSE,"BR&amp;SUPADJ."}</definedName>
    <definedName name="wrn.CLP_INPUTS." localSheetId="31" hidden="1">{#N/A,#N/A,FALSE,"OTHERINPUTS";#N/A,#N/A,FALSE,"DITRATEINPUTS";#N/A,#N/A,FALSE,"SUPPLIEDADJINPUT";#N/A,#N/A,FALSE,"BR&amp;SUPADJ."}</definedName>
    <definedName name="wrn.CLP_INPUTS." localSheetId="19" hidden="1">{#N/A,#N/A,FALSE,"OTHERINPUTS";#N/A,#N/A,FALSE,"DITRATEINPUTS";#N/A,#N/A,FALSE,"SUPPLIEDADJINPUT";#N/A,#N/A,FALSE,"BR&amp;SUPADJ."}</definedName>
    <definedName name="wrn.CLP_INPUTS." localSheetId="7" hidden="1">{#N/A,#N/A,FALSE,"OTHERINPUTS";#N/A,#N/A,FALSE,"DITRATEINPUTS";#N/A,#N/A,FALSE,"SUPPLIEDADJINPUT";#N/A,#N/A,FALSE,"BR&amp;SUPADJ."}</definedName>
    <definedName name="wrn.CLP_INPUTS." localSheetId="0" hidden="1">{#N/A,#N/A,FALSE,"OTHERINPUTS";#N/A,#N/A,FALSE,"DITRATEINPUTS";#N/A,#N/A,FALSE,"SUPPLIEDADJINPUT";#N/A,#N/A,FALSE,"BR&amp;SUPADJ."}</definedName>
    <definedName name="wrn.CLP_INPUTS." localSheetId="10" hidden="1">{#N/A,#N/A,FALSE,"OTHERINPUTS";#N/A,#N/A,FALSE,"DITRATEINPUTS";#N/A,#N/A,FALSE,"SUPPLIEDADJINPUT";#N/A,#N/A,FALSE,"BR&amp;SUPADJ."}</definedName>
    <definedName name="wrn.CLP_INPUTS." localSheetId="12" hidden="1">{#N/A,#N/A,FALSE,"OTHERINPUTS";#N/A,#N/A,FALSE,"DITRATEINPUTS";#N/A,#N/A,FALSE,"SUPPLIEDADJINPUT";#N/A,#N/A,FALSE,"BR&amp;SUPADJ."}</definedName>
    <definedName name="wrn.CLP_INPUTS." localSheetId="9" hidden="1">{#N/A,#N/A,FALSE,"OTHERINPUTS";#N/A,#N/A,FALSE,"DITRATEINPUTS";#N/A,#N/A,FALSE,"SUPPLIEDADJINPUT";#N/A,#N/A,FALSE,"BR&amp;SUPADJ."}</definedName>
    <definedName name="wrn.CLP_INPUTS." hidden="1">{#N/A,#N/A,FALSE,"OTHERINPUTS";#N/A,#N/A,FALSE,"DITRATEINPUTS";#N/A,#N/A,FALSE,"SUPPLIEDADJINPUT";#N/A,#N/A,FALSE,"BR&amp;SUPADJ."}</definedName>
    <definedName name="wrn.CLP_PROV." localSheetId="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31"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0"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12"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localSheetId="9"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OMPLETE." localSheetId="7" hidden="1">{#N/A,#N/A,FALSE,"VOLUMES";#N/A,#N/A,FALSE,"REVENUES";#N/A,#N/A,FALSE,"VALUATION"}</definedName>
    <definedName name="wrn.COMPLETE." localSheetId="10" hidden="1">{#N/A,#N/A,FALSE,"VOLUMES";#N/A,#N/A,FALSE,"REVENUES";#N/A,#N/A,FALSE,"VALUATION"}</definedName>
    <definedName name="wrn.COMPLETE." localSheetId="12" hidden="1">{#N/A,#N/A,FALSE,"VOLUMES";#N/A,#N/A,FALSE,"REVENUES";#N/A,#N/A,FALSE,"VALUATION"}</definedName>
    <definedName name="wrn.COMPLETE." hidden="1">{#N/A,#N/A,FALSE,"VOLUMES";#N/A,#N/A,FALSE,"REVENUES";#N/A,#N/A,FALSE,"VALUATION"}</definedName>
    <definedName name="wrn.Complete._.Report." localSheetId="7" hidden="1">{#N/A,#N/A,FALSE,"Assumptions";#N/A,#N/A,FALSE,"Proforma IS";#N/A,#N/A,FALSE,"Cash Flows RLP";#N/A,#N/A,FALSE,"IRR";#N/A,#N/A,FALSE,"New Depr Sch-150% DB";#N/A,#N/A,FALSE,"Comments"}</definedName>
    <definedName name="wrn.Complete._.Report." localSheetId="10" hidden="1">{#N/A,#N/A,FALSE,"Assumptions";#N/A,#N/A,FALSE,"Proforma IS";#N/A,#N/A,FALSE,"Cash Flows RLP";#N/A,#N/A,FALSE,"IRR";#N/A,#N/A,FALSE,"New Depr Sch-150% DB";#N/A,#N/A,FALSE,"Comments"}</definedName>
    <definedName name="wrn.Complete._.Report." localSheetId="12"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Review." localSheetId="7" hidden="1">{#N/A,#N/A,FALSE,"Occ and Rate";#N/A,#N/A,FALSE,"PF Input";#N/A,#N/A,FALSE,"Capital Input";#N/A,#N/A,FALSE,"Proforma Five Yr";#N/A,#N/A,FALSE,"Calculations";#N/A,#N/A,FALSE,"Transaction Summary-DTW"}</definedName>
    <definedName name="wrn.Complete._.Review." localSheetId="10" hidden="1">{#N/A,#N/A,FALSE,"Occ and Rate";#N/A,#N/A,FALSE,"PF Input";#N/A,#N/A,FALSE,"Capital Input";#N/A,#N/A,FALSE,"Proforma Five Yr";#N/A,#N/A,FALSE,"Calculations";#N/A,#N/A,FALSE,"Transaction Summary-DTW"}</definedName>
    <definedName name="wrn.Complete._.Review." localSheetId="12"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LEX." localSheetId="7" hidden="1">{"CASHFLOW",#N/A,FALSE,"CF";"COSOL",#N/A,FALSE,"Consol";"CONTRACTS",#N/A,FALSE,"Contracts";"CCOPSTAT",#N/A,FALSE,"CoalCreek";"CCPROD",#N/A,FALSE,"CC PROD";"BTOPSTAT",#N/A,FALSE,"BlackThunder";"BTPROD",#N/A,FALSE,"BT PROD";"capital",#N/A,FALSE,"capital"}</definedName>
    <definedName name="wrn.COMPLEX." localSheetId="10" hidden="1">{"CASHFLOW",#N/A,FALSE,"CF";"COSOL",#N/A,FALSE,"Consol";"CONTRACTS",#N/A,FALSE,"Contracts";"CCOPSTAT",#N/A,FALSE,"CoalCreek";"CCPROD",#N/A,FALSE,"CC PROD";"BTOPSTAT",#N/A,FALSE,"BlackThunder";"BTPROD",#N/A,FALSE,"BT PROD";"capital",#N/A,FALSE,"capital"}</definedName>
    <definedName name="wrn.COMPLEX." localSheetId="12" hidden="1">{"CASHFLOW",#N/A,FALSE,"CF";"COSOL",#N/A,FALSE,"Consol";"CONTRACTS",#N/A,FALSE,"Contracts";"CCOPSTAT",#N/A,FALSE,"CoalCreek";"CCPROD",#N/A,FALSE,"CC PROD";"BTOPSTAT",#N/A,FALSE,"BlackThunder";"BTPROD",#N/A,FALSE,"BT PROD";"capital",#N/A,FALSE,"capital"}</definedName>
    <definedName name="wrn.COMPLEX." hidden="1">{"CASHFLOW",#N/A,FALSE,"CF";"COSOL",#N/A,FALSE,"Consol";"CONTRACTS",#N/A,FALSE,"Contracts";"CCOPSTAT",#N/A,FALSE,"CoalCreek";"CCPROD",#N/A,FALSE,"CC PROD";"BTOPSTAT",#N/A,FALSE,"BlackThunder";"BTPROD",#N/A,FALSE,"BT PROD";"capital",#N/A,FALSE,"capital"}</definedName>
    <definedName name="wrn.COMPLEX_BALANCE_SHEET." localSheetId="7" hidden="1">{"BALANCESHEET",#N/A,FALSE,"BS"}</definedName>
    <definedName name="wrn.COMPLEX_BALANCE_SHEET." localSheetId="10" hidden="1">{"BALANCESHEET",#N/A,FALSE,"BS"}</definedName>
    <definedName name="wrn.COMPLEX_BALANCE_SHEET." localSheetId="12" hidden="1">{"BALANCESHEET",#N/A,FALSE,"BS"}</definedName>
    <definedName name="wrn.COMPLEX_BALANCE_SHEET." hidden="1">{"BALANCESHEET",#N/A,FALSE,"BS"}</definedName>
    <definedName name="wrn.COMPLEX_SALES." localSheetId="7" hidden="1">{"Contracts",#N/A,FALSE,"Contracts";"cccont",#N/A,FALSE,"Contracts"}</definedName>
    <definedName name="wrn.COMPLEX_SALES." localSheetId="10" hidden="1">{"Contracts",#N/A,FALSE,"Contracts";"cccont",#N/A,FALSE,"Contracts"}</definedName>
    <definedName name="wrn.COMPLEX_SALES." localSheetId="12" hidden="1">{"Contracts",#N/A,FALSE,"Contracts";"cccont",#N/A,FALSE,"Contracts"}</definedName>
    <definedName name="wrn.COMPLEX_SALES." hidden="1">{"Contracts",#N/A,FALSE,"Contracts";"cccont",#N/A,FALSE,"Contracts"}</definedName>
    <definedName name="wrn.COMPLEX_TAX." localSheetId="7" hidden="1">{"CASHFLOW",#N/A,FALSE,"CF";"TAX",#N/A,FALSE,"CF"}</definedName>
    <definedName name="wrn.COMPLEX_TAX." localSheetId="10" hidden="1">{"CASHFLOW",#N/A,FALSE,"CF";"TAX",#N/A,FALSE,"CF"}</definedName>
    <definedName name="wrn.COMPLEX_TAX." localSheetId="12" hidden="1">{"CASHFLOW",#N/A,FALSE,"CF";"TAX",#N/A,FALSE,"CF"}</definedName>
    <definedName name="wrn.COMPLEX_TAX." hidden="1">{"CASHFLOW",#N/A,FALSE,"CF";"TAX",#N/A,FALSE,"CF"}</definedName>
    <definedName name="wrn.Component._.Analy." localSheetId="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0"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localSheetId="1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7" hidden="1">{#N/A,#N/A,FALSE,"SUMMARY";#N/A,#N/A,FALSE,"INPUTDATA";#N/A,#N/A,FALSE,"Condenser Performance"}</definedName>
    <definedName name="wrn.Condenser._.Summary." localSheetId="10" hidden="1">{#N/A,#N/A,FALSE,"SUMMARY";#N/A,#N/A,FALSE,"INPUTDATA";#N/A,#N/A,FALSE,"Condenser Performance"}</definedName>
    <definedName name="wrn.Condenser._.Summary." localSheetId="12" hidden="1">{#N/A,#N/A,FALSE,"SUMMARY";#N/A,#N/A,FALSE,"INPUTDATA";#N/A,#N/A,FALSE,"Condenser Performance"}</definedName>
    <definedName name="wrn.Condenser._.Summary." hidden="1">{#N/A,#N/A,FALSE,"SUMMARY";#N/A,#N/A,FALSE,"INPUTDATA";#N/A,#N/A,FALSE,"Condenser Performance"}</definedName>
    <definedName name="wrn.Config._.and._.Calcs." localSheetId="17" hidden="1">{#N/A,#N/A,FALSE,"Configuration";#N/A,#N/A,FALSE,"Summary of Transaction";#N/A,#N/A,FALSE,"Calculations"}</definedName>
    <definedName name="wrn.Config._.and._.Calcs." localSheetId="30" hidden="1">{#N/A,#N/A,FALSE,"Configuration";#N/A,#N/A,FALSE,"Summary of Transaction";#N/A,#N/A,FALSE,"Calculations"}</definedName>
    <definedName name="wrn.Config._.and._.Calcs." localSheetId="31" hidden="1">{#N/A,#N/A,FALSE,"Configuration";#N/A,#N/A,FALSE,"Summary of Transaction";#N/A,#N/A,FALSE,"Calculations"}</definedName>
    <definedName name="wrn.Config._.and._.Calcs." localSheetId="19" hidden="1">{#N/A,#N/A,FALSE,"Configuration";#N/A,#N/A,FALSE,"Summary of Transaction";#N/A,#N/A,FALSE,"Calculations"}</definedName>
    <definedName name="wrn.Config._.and._.Calcs." localSheetId="7" hidden="1">{#N/A,#N/A,FALSE,"Configuration";#N/A,#N/A,FALSE,"Summary of Transaction";#N/A,#N/A,FALSE,"Calculations"}</definedName>
    <definedName name="wrn.Config._.and._.Calcs." localSheetId="0" hidden="1">{#N/A,#N/A,FALSE,"Configuration";#N/A,#N/A,FALSE,"Summary of Transaction";#N/A,#N/A,FALSE,"Calculations"}</definedName>
    <definedName name="wrn.Config._.and._.Calcs." localSheetId="10" hidden="1">{#N/A,#N/A,FALSE,"Configuration";#N/A,#N/A,FALSE,"Summary of Transaction";#N/A,#N/A,FALSE,"Calculations"}</definedName>
    <definedName name="wrn.Config._.and._.Calcs." localSheetId="12" hidden="1">{#N/A,#N/A,FALSE,"Configuration";#N/A,#N/A,FALSE,"Summary of Transaction";#N/A,#N/A,FALSE,"Calculations"}</definedName>
    <definedName name="wrn.Config._.and._.Calcs." localSheetId="9" hidden="1">{#N/A,#N/A,FALSE,"Configuration";#N/A,#N/A,FALSE,"Summary of Transaction";#N/A,#N/A,FALSE,"Calculations"}</definedName>
    <definedName name="wrn.Config._.and._.Calcs." hidden="1">{#N/A,#N/A,FALSE,"Configuration";#N/A,#N/A,FALSE,"Summary of Transaction";#N/A,#N/A,FALSE,"Calculations"}</definedName>
    <definedName name="wrn.CONOCO._.FAC." localSheetId="1" hidden="1">{"CONOCO_FAC",#N/A,FALSE,"Conoco FAC"}</definedName>
    <definedName name="wrn.CONOCO._.FAC." localSheetId="17" hidden="1">{"CONOCO_FAC",#N/A,FALSE,"Conoco FAC"}</definedName>
    <definedName name="wrn.CONOCO._.FAC." localSheetId="30" hidden="1">{"CONOCO_FAC",#N/A,FALSE,"Conoco FAC"}</definedName>
    <definedName name="wrn.CONOCO._.FAC." localSheetId="31" hidden="1">{"CONOCO_FAC",#N/A,FALSE,"Conoco FAC"}</definedName>
    <definedName name="wrn.CONOCO._.FAC." localSheetId="19" hidden="1">{"CONOCO_FAC",#N/A,FALSE,"Conoco FAC"}</definedName>
    <definedName name="wrn.CONOCO._.FAC." localSheetId="7" hidden="1">{"CONOCO_FAC",#N/A,FALSE,"Conoco FAC"}</definedName>
    <definedName name="wrn.CONOCO._.FAC." localSheetId="0" hidden="1">{"CONOCO_FAC",#N/A,FALSE,"Conoco FAC"}</definedName>
    <definedName name="wrn.CONOCO._.FAC." localSheetId="10" hidden="1">{"CONOCO_FAC",#N/A,FALSE,"Conoco FAC"}</definedName>
    <definedName name="wrn.CONOCO._.FAC." localSheetId="12" hidden="1">{"CONOCO_FAC",#N/A,FALSE,"Conoco FAC"}</definedName>
    <definedName name="wrn.CONOCO._.FAC." localSheetId="9" hidden="1">{"CONOCO_FAC",#N/A,FALSE,"Conoco FAC"}</definedName>
    <definedName name="wrn.CONOCO._.FAC." hidden="1">{"CONOCO_FAC",#N/A,FALSE,"Conoco FAC"}</definedName>
    <definedName name="wrn.CONSOL_UWNJ_UWNY." localSheetId="1" hidden="1">{"CONSOL_UWNJ_ISV",#N/A,FALSE,"Sheet1";"CONSOL_UWNJ_SAV",#N/A,FALSE,"Sheet1";"CONSOL_UWNJ_BSV",#N/A,FALSE,"Sheet1";"CONSOL_UWNJ_SFDV",#N/A,FALSE,"Sheet1"}</definedName>
    <definedName name="wrn.CONSOL_UWNJ_UWNY." localSheetId="17" hidden="1">{"CONSOL_UWNJ_ISV",#N/A,FALSE,"Sheet1";"CONSOL_UWNJ_SAV",#N/A,FALSE,"Sheet1";"CONSOL_UWNJ_BSV",#N/A,FALSE,"Sheet1";"CONSOL_UWNJ_SFDV",#N/A,FALSE,"Sheet1"}</definedName>
    <definedName name="wrn.CONSOL_UWNJ_UWNY." localSheetId="30" hidden="1">{"CONSOL_UWNJ_ISV",#N/A,FALSE,"Sheet1";"CONSOL_UWNJ_SAV",#N/A,FALSE,"Sheet1";"CONSOL_UWNJ_BSV",#N/A,FALSE,"Sheet1";"CONSOL_UWNJ_SFDV",#N/A,FALSE,"Sheet1"}</definedName>
    <definedName name="wrn.CONSOL_UWNJ_UWNY." localSheetId="31" hidden="1">{"CONSOL_UWNJ_ISV",#N/A,FALSE,"Sheet1";"CONSOL_UWNJ_SAV",#N/A,FALSE,"Sheet1";"CONSOL_UWNJ_BSV",#N/A,FALSE,"Sheet1";"CONSOL_UWNJ_SFDV",#N/A,FALSE,"Sheet1"}</definedName>
    <definedName name="wrn.CONSOL_UWNJ_UWNY." localSheetId="19" hidden="1">{"CONSOL_UWNJ_ISV",#N/A,FALSE,"Sheet1";"CONSOL_UWNJ_SAV",#N/A,FALSE,"Sheet1";"CONSOL_UWNJ_BSV",#N/A,FALSE,"Sheet1";"CONSOL_UWNJ_SFDV",#N/A,FALSE,"Sheet1"}</definedName>
    <definedName name="wrn.CONSOL_UWNJ_UWNY." localSheetId="7" hidden="1">{"CONSOL_UWNJ_ISV",#N/A,FALSE,"Sheet1";"CONSOL_UWNJ_SAV",#N/A,FALSE,"Sheet1";"CONSOL_UWNJ_BSV",#N/A,FALSE,"Sheet1";"CONSOL_UWNJ_SFDV",#N/A,FALSE,"Sheet1"}</definedName>
    <definedName name="wrn.CONSOL_UWNJ_UWNY." localSheetId="0" hidden="1">{"CONSOL_UWNJ_ISV",#N/A,FALSE,"Sheet1";"CONSOL_UWNJ_SAV",#N/A,FALSE,"Sheet1";"CONSOL_UWNJ_BSV",#N/A,FALSE,"Sheet1";"CONSOL_UWNJ_SFDV",#N/A,FALSE,"Sheet1"}</definedName>
    <definedName name="wrn.CONSOL_UWNJ_UWNY." localSheetId="10" hidden="1">{"CONSOL_UWNJ_ISV",#N/A,FALSE,"Sheet1";"CONSOL_UWNJ_SAV",#N/A,FALSE,"Sheet1";"CONSOL_UWNJ_BSV",#N/A,FALSE,"Sheet1";"CONSOL_UWNJ_SFDV",#N/A,FALSE,"Sheet1"}</definedName>
    <definedName name="wrn.CONSOL_UWNJ_UWNY." localSheetId="12" hidden="1">{"CONSOL_UWNJ_ISV",#N/A,FALSE,"Sheet1";"CONSOL_UWNJ_SAV",#N/A,FALSE,"Sheet1";"CONSOL_UWNJ_BSV",#N/A,FALSE,"Sheet1";"CONSOL_UWNJ_SFDV",#N/A,FALSE,"Sheet1"}</definedName>
    <definedName name="wrn.CONSOL_UWNJ_UWNY." localSheetId="9" hidden="1">{"CONSOL_UWNJ_ISV",#N/A,FALSE,"Sheet1";"CONSOL_UWNJ_SAV",#N/A,FALSE,"Sheet1";"CONSOL_UWNJ_BSV",#N/A,FALSE,"Sheet1";"CONSOL_UWNJ_SFDV",#N/A,FALSE,"Sheet1"}</definedName>
    <definedName name="wrn.CONSOL_UWNJ_UWNY." hidden="1">{"CONSOL_UWNJ_ISV",#N/A,FALSE,"Sheet1";"CONSOL_UWNJ_SAV",#N/A,FALSE,"Sheet1";"CONSOL_UWNJ_BSV",#N/A,FALSE,"Sheet1";"CONSOL_UWNJ_SFDV",#N/A,FALSE,"Sheet1"}</definedName>
    <definedName name="wrn.CONSOL_WO." localSheetId="1" hidden="1">{"CONSOL_WO_ISV",#N/A,FALSE,"Sheet1";"CONSOL_WO_SAV",#N/A,FALSE,"Sheet1";"CONSOL_WO_BSV",#N/A,FALSE,"Sheet1";"CONSOL_WO_SFDV",#N/A,FALSE,"Sheet1"}</definedName>
    <definedName name="wrn.CONSOL_WO." localSheetId="17" hidden="1">{"CONSOL_WO_ISV",#N/A,FALSE,"Sheet1";"CONSOL_WO_SAV",#N/A,FALSE,"Sheet1";"CONSOL_WO_BSV",#N/A,FALSE,"Sheet1";"CONSOL_WO_SFDV",#N/A,FALSE,"Sheet1"}</definedName>
    <definedName name="wrn.CONSOL_WO." localSheetId="30" hidden="1">{"CONSOL_WO_ISV",#N/A,FALSE,"Sheet1";"CONSOL_WO_SAV",#N/A,FALSE,"Sheet1";"CONSOL_WO_BSV",#N/A,FALSE,"Sheet1";"CONSOL_WO_SFDV",#N/A,FALSE,"Sheet1"}</definedName>
    <definedName name="wrn.CONSOL_WO." localSheetId="31" hidden="1">{"CONSOL_WO_ISV",#N/A,FALSE,"Sheet1";"CONSOL_WO_SAV",#N/A,FALSE,"Sheet1";"CONSOL_WO_BSV",#N/A,FALSE,"Sheet1";"CONSOL_WO_SFDV",#N/A,FALSE,"Sheet1"}</definedName>
    <definedName name="wrn.CONSOL_WO." localSheetId="19" hidden="1">{"CONSOL_WO_ISV",#N/A,FALSE,"Sheet1";"CONSOL_WO_SAV",#N/A,FALSE,"Sheet1";"CONSOL_WO_BSV",#N/A,FALSE,"Sheet1";"CONSOL_WO_SFDV",#N/A,FALSE,"Sheet1"}</definedName>
    <definedName name="wrn.CONSOL_WO." localSheetId="7" hidden="1">{"CONSOL_WO_ISV",#N/A,FALSE,"Sheet1";"CONSOL_WO_SAV",#N/A,FALSE,"Sheet1";"CONSOL_WO_BSV",#N/A,FALSE,"Sheet1";"CONSOL_WO_SFDV",#N/A,FALSE,"Sheet1"}</definedName>
    <definedName name="wrn.CONSOL_WO." localSheetId="0" hidden="1">{"CONSOL_WO_ISV",#N/A,FALSE,"Sheet1";"CONSOL_WO_SAV",#N/A,FALSE,"Sheet1";"CONSOL_WO_BSV",#N/A,FALSE,"Sheet1";"CONSOL_WO_SFDV",#N/A,FALSE,"Sheet1"}</definedName>
    <definedName name="wrn.CONSOL_WO." localSheetId="10" hidden="1">{"CONSOL_WO_ISV",#N/A,FALSE,"Sheet1";"CONSOL_WO_SAV",#N/A,FALSE,"Sheet1";"CONSOL_WO_BSV",#N/A,FALSE,"Sheet1";"CONSOL_WO_SFDV",#N/A,FALSE,"Sheet1"}</definedName>
    <definedName name="wrn.CONSOL_WO." localSheetId="12" hidden="1">{"CONSOL_WO_ISV",#N/A,FALSE,"Sheet1";"CONSOL_WO_SAV",#N/A,FALSE,"Sheet1";"CONSOL_WO_BSV",#N/A,FALSE,"Sheet1";"CONSOL_WO_SFDV",#N/A,FALSE,"Sheet1"}</definedName>
    <definedName name="wrn.CONSOL_WO." localSheetId="9" hidden="1">{"CONSOL_WO_ISV",#N/A,FALSE,"Sheet1";"CONSOL_WO_SAV",#N/A,FALSE,"Sheet1";"CONSOL_WO_BSV",#N/A,FALSE,"Sheet1";"CONSOL_WO_SFDV",#N/A,FALSE,"Sheet1"}</definedName>
    <definedName name="wrn.CONSOL_WO." hidden="1">{"CONSOL_WO_ISV",#N/A,FALSE,"Sheet1";"CONSOL_WO_SAV",#N/A,FALSE,"Sheet1";"CONSOL_WO_BSV",#N/A,FALSE,"Sheet1";"CONSOL_WO_SFDV",#N/A,FALSE,"Sheet1"}</definedName>
    <definedName name="wrn.COST." localSheetId="7" hidden="1">{#N/A,#N/A,FALSE,"T COST";#N/A,#N/A,FALSE,"COST_FH"}</definedName>
    <definedName name="wrn.COST." localSheetId="10" hidden="1">{#N/A,#N/A,FALSE,"T COST";#N/A,#N/A,FALSE,"COST_FH"}</definedName>
    <definedName name="wrn.COST." localSheetId="12" hidden="1">{#N/A,#N/A,FALSE,"T COST";#N/A,#N/A,FALSE,"COST_FH"}</definedName>
    <definedName name="wrn.COST." hidden="1">{#N/A,#N/A,FALSE,"T COST";#N/A,#N/A,FALSE,"COST_FH"}</definedName>
    <definedName name="wrn.CUST._.REV._.ALLOC._.INPUT." localSheetId="1" hidden="1">{"SECTK_JURIS_CUSTREV",#N/A,FALSE,"COSTSTUDY";"SECTK_OKCLS_CUSTREV",#N/A,FALSE,"COSTSTUDY"}</definedName>
    <definedName name="wrn.CUST._.REV._.ALLOC._.INPUT." localSheetId="17" hidden="1">{"SECTK_JURIS_CUSTREV",#N/A,FALSE,"COSTSTUDY";"SECTK_OKCLS_CUSTREV",#N/A,FALSE,"COSTSTUDY"}</definedName>
    <definedName name="wrn.CUST._.REV._.ALLOC._.INPUT." localSheetId="30" hidden="1">{"SECTK_JURIS_CUSTREV",#N/A,FALSE,"COSTSTUDY";"SECTK_OKCLS_CUSTREV",#N/A,FALSE,"COSTSTUDY"}</definedName>
    <definedName name="wrn.CUST._.REV._.ALLOC._.INPUT." localSheetId="31" hidden="1">{"SECTK_JURIS_CUSTREV",#N/A,FALSE,"COSTSTUDY";"SECTK_OKCLS_CUSTREV",#N/A,FALSE,"COSTSTUDY"}</definedName>
    <definedName name="wrn.CUST._.REV._.ALLOC._.INPUT." localSheetId="19" hidden="1">{"SECTK_JURIS_CUSTREV",#N/A,FALSE,"COSTSTUDY";"SECTK_OKCLS_CUSTREV",#N/A,FALSE,"COSTSTUDY"}</definedName>
    <definedName name="wrn.CUST._.REV._.ALLOC._.INPUT." localSheetId="7" hidden="1">{"SECTK_JURIS_CUSTREV",#N/A,FALSE,"COSTSTUDY";"SECTK_OKCLS_CUSTREV",#N/A,FALSE,"COSTSTUDY"}</definedName>
    <definedName name="wrn.CUST._.REV._.ALLOC._.INPUT." localSheetId="0" hidden="1">{"SECTK_JURIS_CUSTREV",#N/A,FALSE,"COSTSTUDY";"SECTK_OKCLS_CUSTREV",#N/A,FALSE,"COSTSTUDY"}</definedName>
    <definedName name="wrn.CUST._.REV._.ALLOC._.INPUT." localSheetId="10" hidden="1">{"SECTK_JURIS_CUSTREV",#N/A,FALSE,"COSTSTUDY";"SECTK_OKCLS_CUSTREV",#N/A,FALSE,"COSTSTUDY"}</definedName>
    <definedName name="wrn.CUST._.REV._.ALLOC._.INPUT." localSheetId="12" hidden="1">{"SECTK_JURIS_CUSTREV",#N/A,FALSE,"COSTSTUDY";"SECTK_OKCLS_CUSTREV",#N/A,FALSE,"COSTSTUDY"}</definedName>
    <definedName name="wrn.CUST._.REV._.ALLOC._.INPUT." localSheetId="9" hidden="1">{"SECTK_JURIS_CUSTREV",#N/A,FALSE,"COSTSTUDY";"SECTK_OKCLS_CUSTREV",#N/A,FALSE,"COSTSTUDY"}</definedName>
    <definedName name="wrn.CUST._.REV._.ALLOC._.INPUT." hidden="1">{"SECTK_JURIS_CUSTREV",#N/A,FALSE,"COSTSTUDY";"SECTK_OKCLS_CUSTREV",#N/A,FALSE,"COSTSTUDY"}</definedName>
    <definedName name="wrn.CUSTOMER._.ALLOC._.RATIOS." localSheetId="1" hidden="1">{"JURIS_CUST_ALLOC_RATIOS",#N/A,FALSE,"COSTSTUDY";"OKCLS_CUST_ALLOC_RATIOS",#N/A,FALSE,"COSTSTUDY"}</definedName>
    <definedName name="wrn.CUSTOMER._.ALLOC._.RATIOS." localSheetId="17" hidden="1">{"JURIS_CUST_ALLOC_RATIOS",#N/A,FALSE,"COSTSTUDY";"OKCLS_CUST_ALLOC_RATIOS",#N/A,FALSE,"COSTSTUDY"}</definedName>
    <definedName name="wrn.CUSTOMER._.ALLOC._.RATIOS." localSheetId="30" hidden="1">{"JURIS_CUST_ALLOC_RATIOS",#N/A,FALSE,"COSTSTUDY";"OKCLS_CUST_ALLOC_RATIOS",#N/A,FALSE,"COSTSTUDY"}</definedName>
    <definedName name="wrn.CUSTOMER._.ALLOC._.RATIOS." localSheetId="31" hidden="1">{"JURIS_CUST_ALLOC_RATIOS",#N/A,FALSE,"COSTSTUDY";"OKCLS_CUST_ALLOC_RATIOS",#N/A,FALSE,"COSTSTUDY"}</definedName>
    <definedName name="wrn.CUSTOMER._.ALLOC._.RATIOS." localSheetId="19" hidden="1">{"JURIS_CUST_ALLOC_RATIOS",#N/A,FALSE,"COSTSTUDY";"OKCLS_CUST_ALLOC_RATIOS",#N/A,FALSE,"COSTSTUDY"}</definedName>
    <definedName name="wrn.CUSTOMER._.ALLOC._.RATIOS." localSheetId="7" hidden="1">{"JURIS_CUST_ALLOC_RATIOS",#N/A,FALSE,"COSTSTUDY";"OKCLS_CUST_ALLOC_RATIOS",#N/A,FALSE,"COSTSTUDY"}</definedName>
    <definedName name="wrn.CUSTOMER._.ALLOC._.RATIOS." localSheetId="0" hidden="1">{"JURIS_CUST_ALLOC_RATIOS",#N/A,FALSE,"COSTSTUDY";"OKCLS_CUST_ALLOC_RATIOS",#N/A,FALSE,"COSTSTUDY"}</definedName>
    <definedName name="wrn.CUSTOMER._.ALLOC._.RATIOS." localSheetId="10" hidden="1">{"JURIS_CUST_ALLOC_RATIOS",#N/A,FALSE,"COSTSTUDY";"OKCLS_CUST_ALLOC_RATIOS",#N/A,FALSE,"COSTSTUDY"}</definedName>
    <definedName name="wrn.CUSTOMER._.ALLOC._.RATIOS." localSheetId="12" hidden="1">{"JURIS_CUST_ALLOC_RATIOS",#N/A,FALSE,"COSTSTUDY";"OKCLS_CUST_ALLOC_RATIOS",#N/A,FALSE,"COSTSTUDY"}</definedName>
    <definedName name="wrn.CUSTOMER._.ALLOC._.RATIOS." localSheetId="9" hidden="1">{"JURIS_CUST_ALLOC_RATIOS",#N/A,FALSE,"COSTSTUDY";"OKCLS_CUST_ALLOC_RATIOS",#N/A,FALSE,"COSTSTUDY"}</definedName>
    <definedName name="wrn.CUSTOMER._.ALLOC._.RATIOS." hidden="1">{"JURIS_CUST_ALLOC_RATIOS",#N/A,FALSE,"COSTSTUDY";"OKCLS_CUST_ALLOC_RATIOS",#N/A,FALSE,"COSTSTUDY"}</definedName>
    <definedName name="wrn.CY_GL." localSheetId="1" hidden="1">{#N/A,#N/A,FALSE,"GLDwnLoad"}</definedName>
    <definedName name="wrn.CY_GL." localSheetId="17" hidden="1">{#N/A,#N/A,FALSE,"GLDwnLoad"}</definedName>
    <definedName name="wrn.CY_GL." localSheetId="30" hidden="1">{#N/A,#N/A,FALSE,"GLDwnLoad"}</definedName>
    <definedName name="wrn.CY_GL." localSheetId="31" hidden="1">{#N/A,#N/A,FALSE,"GLDwnLoad"}</definedName>
    <definedName name="wrn.CY_GL." localSheetId="19" hidden="1">{#N/A,#N/A,FALSE,"GLDwnLoad"}</definedName>
    <definedName name="wrn.CY_GL." localSheetId="7" hidden="1">{#N/A,#N/A,FALSE,"GLDwnLoad"}</definedName>
    <definedName name="wrn.CY_GL." localSheetId="0" hidden="1">{#N/A,#N/A,FALSE,"GLDwnLoad"}</definedName>
    <definedName name="wrn.CY_GL." localSheetId="10" hidden="1">{#N/A,#N/A,FALSE,"GLDwnLoad"}</definedName>
    <definedName name="wrn.CY_GL." localSheetId="12" hidden="1">{#N/A,#N/A,FALSE,"GLDwnLoad"}</definedName>
    <definedName name="wrn.CY_GL." localSheetId="9" hidden="1">{#N/A,#N/A,FALSE,"GLDwnLoad"}</definedName>
    <definedName name="wrn.CY_GL." hidden="1">{#N/A,#N/A,FALSE,"GLDwnLoad"}</definedName>
    <definedName name="wrn.CY_INPUTS." localSheetId="1" hidden="1">{#N/A,#N/A,FALSE,"OTHERINPUTS";#N/A,#N/A,FALSE,"DITRATEINPUTS";#N/A,#N/A,FALSE,"SUPPLIEDADJINPUT";#N/A,#N/A,FALSE,"TIMINGDIFFINPUTS";#N/A,#N/A,FALSE,"COSSINPUT";#N/A,#N/A,FALSE,"BR&amp;SUPADJ."}</definedName>
    <definedName name="wrn.CY_INPUTS." localSheetId="17" hidden="1">{#N/A,#N/A,FALSE,"OTHERINPUTS";#N/A,#N/A,FALSE,"DITRATEINPUTS";#N/A,#N/A,FALSE,"SUPPLIEDADJINPUT";#N/A,#N/A,FALSE,"TIMINGDIFFINPUTS";#N/A,#N/A,FALSE,"COSSINPUT";#N/A,#N/A,FALSE,"BR&amp;SUPADJ."}</definedName>
    <definedName name="wrn.CY_INPUTS." localSheetId="30" hidden="1">{#N/A,#N/A,FALSE,"OTHERINPUTS";#N/A,#N/A,FALSE,"DITRATEINPUTS";#N/A,#N/A,FALSE,"SUPPLIEDADJINPUT";#N/A,#N/A,FALSE,"TIMINGDIFFINPUTS";#N/A,#N/A,FALSE,"COSSINPUT";#N/A,#N/A,FALSE,"BR&amp;SUPADJ."}</definedName>
    <definedName name="wrn.CY_INPUTS." localSheetId="31" hidden="1">{#N/A,#N/A,FALSE,"OTHERINPUTS";#N/A,#N/A,FALSE,"DITRATEINPUTS";#N/A,#N/A,FALSE,"SUPPLIEDADJINPUT";#N/A,#N/A,FALSE,"TIMINGDIFFINPUTS";#N/A,#N/A,FALSE,"COSSINPUT";#N/A,#N/A,FALSE,"BR&amp;SUPADJ."}</definedName>
    <definedName name="wrn.CY_INPUTS." localSheetId="19" hidden="1">{#N/A,#N/A,FALSE,"OTHERINPUTS";#N/A,#N/A,FALSE,"DITRATEINPUTS";#N/A,#N/A,FALSE,"SUPPLIEDADJINPUT";#N/A,#N/A,FALSE,"TIMINGDIFFINPUTS";#N/A,#N/A,FALSE,"COSSINPUT";#N/A,#N/A,FALSE,"BR&amp;SUPADJ."}</definedName>
    <definedName name="wrn.CY_INPUTS." localSheetId="7" hidden="1">{#N/A,#N/A,FALSE,"OTHERINPUTS";#N/A,#N/A,FALSE,"DITRATEINPUTS";#N/A,#N/A,FALSE,"SUPPLIEDADJINPUT";#N/A,#N/A,FALSE,"TIMINGDIFFINPUTS";#N/A,#N/A,FALSE,"COSSINPUT";#N/A,#N/A,FALSE,"BR&amp;SUPADJ."}</definedName>
    <definedName name="wrn.CY_INPUTS." localSheetId="0" hidden="1">{#N/A,#N/A,FALSE,"OTHERINPUTS";#N/A,#N/A,FALSE,"DITRATEINPUTS";#N/A,#N/A,FALSE,"SUPPLIEDADJINPUT";#N/A,#N/A,FALSE,"TIMINGDIFFINPUTS";#N/A,#N/A,FALSE,"COSSINPUT";#N/A,#N/A,FALSE,"BR&amp;SUPADJ."}</definedName>
    <definedName name="wrn.CY_INPUTS." localSheetId="10" hidden="1">{#N/A,#N/A,FALSE,"OTHERINPUTS";#N/A,#N/A,FALSE,"DITRATEINPUTS";#N/A,#N/A,FALSE,"SUPPLIEDADJINPUT";#N/A,#N/A,FALSE,"TIMINGDIFFINPUTS";#N/A,#N/A,FALSE,"COSSINPUT";#N/A,#N/A,FALSE,"BR&amp;SUPADJ."}</definedName>
    <definedName name="wrn.CY_INPUTS." localSheetId="12" hidden="1">{#N/A,#N/A,FALSE,"OTHERINPUTS";#N/A,#N/A,FALSE,"DITRATEINPUTS";#N/A,#N/A,FALSE,"SUPPLIEDADJINPUT";#N/A,#N/A,FALSE,"TIMINGDIFFINPUTS";#N/A,#N/A,FALSE,"COSSINPUT";#N/A,#N/A,FALSE,"BR&amp;SUPADJ."}</definedName>
    <definedName name="wrn.CY_INPUTS." localSheetId="9" hidden="1">{#N/A,#N/A,FALSE,"OTHERINPUTS";#N/A,#N/A,FALSE,"DITRATEINPUTS";#N/A,#N/A,FALSE,"SUPPLIEDADJINPUT";#N/A,#N/A,FALSE,"TIMINGDIFFINPUTS";#N/A,#N/A,FALSE,"COSSINPUT";#N/A,#N/A,FALSE,"BR&amp;SUPADJ."}</definedName>
    <definedName name="wrn.CY_INPUTS." hidden="1">{#N/A,#N/A,FALSE,"OTHERINPUTS";#N/A,#N/A,FALSE,"DITRATEINPUTS";#N/A,#N/A,FALSE,"SUPPLIEDADJINPUT";#N/A,#N/A,FALSE,"TIMINGDIFFINPUTS";#N/A,#N/A,FALSE,"COSSINPUT";#N/A,#N/A,FALSE,"BR&amp;SUPADJ."}</definedName>
    <definedName name="wrn.CY_PROV." localSheetId="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3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7"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0"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12"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localSheetId="9"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localSheetId="1" hidden="1">{#N/A,#N/A,FALSE,"FAS109 Summary";#N/A,#N/A,FALSE,"FAS109 OPER 190 ITC";#N/A,#N/A,FALSE,"FAS109 OPER 190 Other";#N/A,#N/A,FALSE,"FAS109 OPER 282";#N/A,#N/A,FALSE,"FAS109 OPER 283";#N/A,#N/A,FALSE,"FAS109 Non OPER 283 ";#N/A,#N/A,FALSE,"J.E.UPLOAD DATA"}</definedName>
    <definedName name="wrn.CYFAS109." localSheetId="17" hidden="1">{#N/A,#N/A,FALSE,"FAS109 Summary";#N/A,#N/A,FALSE,"FAS109 OPER 190 ITC";#N/A,#N/A,FALSE,"FAS109 OPER 190 Other";#N/A,#N/A,FALSE,"FAS109 OPER 282";#N/A,#N/A,FALSE,"FAS109 OPER 283";#N/A,#N/A,FALSE,"FAS109 Non OPER 283 ";#N/A,#N/A,FALSE,"J.E.UPLOAD DATA"}</definedName>
    <definedName name="wrn.CYFAS109." localSheetId="30" hidden="1">{#N/A,#N/A,FALSE,"FAS109 Summary";#N/A,#N/A,FALSE,"FAS109 OPER 190 ITC";#N/A,#N/A,FALSE,"FAS109 OPER 190 Other";#N/A,#N/A,FALSE,"FAS109 OPER 282";#N/A,#N/A,FALSE,"FAS109 OPER 283";#N/A,#N/A,FALSE,"FAS109 Non OPER 283 ";#N/A,#N/A,FALSE,"J.E.UPLOAD DATA"}</definedName>
    <definedName name="wrn.CYFAS109." localSheetId="31" hidden="1">{#N/A,#N/A,FALSE,"FAS109 Summary";#N/A,#N/A,FALSE,"FAS109 OPER 190 ITC";#N/A,#N/A,FALSE,"FAS109 OPER 190 Other";#N/A,#N/A,FALSE,"FAS109 OPER 282";#N/A,#N/A,FALSE,"FAS109 OPER 283";#N/A,#N/A,FALSE,"FAS109 Non OPER 283 ";#N/A,#N/A,FALSE,"J.E.UPLOAD DATA"}</definedName>
    <definedName name="wrn.CYFAS109." localSheetId="19" hidden="1">{#N/A,#N/A,FALSE,"FAS109 Summary";#N/A,#N/A,FALSE,"FAS109 OPER 190 ITC";#N/A,#N/A,FALSE,"FAS109 OPER 190 Other";#N/A,#N/A,FALSE,"FAS109 OPER 282";#N/A,#N/A,FALSE,"FAS109 OPER 283";#N/A,#N/A,FALSE,"FAS109 Non OPER 283 ";#N/A,#N/A,FALSE,"J.E.UPLOAD DATA"}</definedName>
    <definedName name="wrn.CYFAS109." localSheetId="7" hidden="1">{#N/A,#N/A,FALSE,"FAS109 Summary";#N/A,#N/A,FALSE,"FAS109 OPER 190 ITC";#N/A,#N/A,FALSE,"FAS109 OPER 190 Other";#N/A,#N/A,FALSE,"FAS109 OPER 282";#N/A,#N/A,FALSE,"FAS109 OPER 283";#N/A,#N/A,FALSE,"FAS109 Non OPER 283 ";#N/A,#N/A,FALSE,"J.E.UPLOAD DATA"}</definedName>
    <definedName name="wrn.CYFAS109." localSheetId="0" hidden="1">{#N/A,#N/A,FALSE,"FAS109 Summary";#N/A,#N/A,FALSE,"FAS109 OPER 190 ITC";#N/A,#N/A,FALSE,"FAS109 OPER 190 Other";#N/A,#N/A,FALSE,"FAS109 OPER 282";#N/A,#N/A,FALSE,"FAS109 OPER 283";#N/A,#N/A,FALSE,"FAS109 Non OPER 283 ";#N/A,#N/A,FALSE,"J.E.UPLOAD DATA"}</definedName>
    <definedName name="wrn.CYFAS109." localSheetId="10" hidden="1">{#N/A,#N/A,FALSE,"FAS109 Summary";#N/A,#N/A,FALSE,"FAS109 OPER 190 ITC";#N/A,#N/A,FALSE,"FAS109 OPER 190 Other";#N/A,#N/A,FALSE,"FAS109 OPER 282";#N/A,#N/A,FALSE,"FAS109 OPER 283";#N/A,#N/A,FALSE,"FAS109 Non OPER 283 ";#N/A,#N/A,FALSE,"J.E.UPLOAD DATA"}</definedName>
    <definedName name="wrn.CYFAS109." localSheetId="12" hidden="1">{#N/A,#N/A,FALSE,"FAS109 Summary";#N/A,#N/A,FALSE,"FAS109 OPER 190 ITC";#N/A,#N/A,FALSE,"FAS109 OPER 190 Other";#N/A,#N/A,FALSE,"FAS109 OPER 282";#N/A,#N/A,FALSE,"FAS109 OPER 283";#N/A,#N/A,FALSE,"FAS109 Non OPER 283 ";#N/A,#N/A,FALSE,"J.E.UPLOAD DATA"}</definedName>
    <definedName name="wrn.CYFAS109." localSheetId="9" hidden="1">{#N/A,#N/A,FALSE,"FAS109 Summary";#N/A,#N/A,FALSE,"FAS109 OPER 190 ITC";#N/A,#N/A,FALSE,"FAS109 OPER 190 Other";#N/A,#N/A,FALSE,"FAS109 OPER 282";#N/A,#N/A,FALSE,"FAS109 OPER 283";#N/A,#N/A,FALSE,"FAS109 Non OPER 283 ";#N/A,#N/A,FALSE,"J.E.UPLOAD DATA"}</definedName>
    <definedName name="wrn.CYFAS109." hidden="1">{#N/A,#N/A,FALSE,"FAS109 Summary";#N/A,#N/A,FALSE,"FAS109 OPER 190 ITC";#N/A,#N/A,FALSE,"FAS109 OPER 190 Other";#N/A,#N/A,FALSE,"FAS109 OPER 282";#N/A,#N/A,FALSE,"FAS109 OPER 283";#N/A,#N/A,FALSE,"FAS109 Non OPER 283 ";#N/A,#N/A,FALSE,"J.E.UPLOAD DATA"}</definedName>
    <definedName name="wrn.daily." localSheetId="7" hidden="1">{"daily",#N/A,FALSE,"Daily"}</definedName>
    <definedName name="wrn.daily." localSheetId="10" hidden="1">{"daily",#N/A,FALSE,"Daily"}</definedName>
    <definedName name="wrn.daily." localSheetId="12" hidden="1">{"daily",#N/A,FALSE,"Daily"}</definedName>
    <definedName name="wrn.daily." hidden="1">{"daily",#N/A,FALSE,"Daily"}</definedName>
    <definedName name="wrn.Data._.dump." localSheetId="1" hidden="1">{"Input Data",#N/A,FALSE,"Input";"Income and Cash Flow",#N/A,FALSE,"Calculations"}</definedName>
    <definedName name="wrn.Data._.dump." localSheetId="17" hidden="1">{"Input Data",#N/A,FALSE,"Input";"Income and Cash Flow",#N/A,FALSE,"Calculations"}</definedName>
    <definedName name="wrn.Data._.dump." localSheetId="30" hidden="1">{"Input Data",#N/A,FALSE,"Input";"Income and Cash Flow",#N/A,FALSE,"Calculations"}</definedName>
    <definedName name="wrn.Data._.dump." localSheetId="31" hidden="1">{"Input Data",#N/A,FALSE,"Input";"Income and Cash Flow",#N/A,FALSE,"Calculations"}</definedName>
    <definedName name="wrn.Data._.dump." localSheetId="19" hidden="1">{"Input Data",#N/A,FALSE,"Input";"Income and Cash Flow",#N/A,FALSE,"Calculations"}</definedName>
    <definedName name="wrn.Data._.dump." localSheetId="7" hidden="1">{"Input Data",#N/A,FALSE,"Input";"Income and Cash Flow",#N/A,FALSE,"Calculations"}</definedName>
    <definedName name="wrn.Data._.dump." localSheetId="0" hidden="1">{"Input Data",#N/A,FALSE,"Input";"Income and Cash Flow",#N/A,FALSE,"Calculations"}</definedName>
    <definedName name="wrn.Data._.dump." localSheetId="10" hidden="1">{"Input Data",#N/A,FALSE,"Input";"Income and Cash Flow",#N/A,FALSE,"Calculations"}</definedName>
    <definedName name="wrn.Data._.dump." localSheetId="12" hidden="1">{"Input Data",#N/A,FALSE,"Input";"Income and Cash Flow",#N/A,FALSE,"Calculations"}</definedName>
    <definedName name="wrn.Data._.dump." localSheetId="9" hidden="1">{"Input Data",#N/A,FALSE,"Input";"Income and Cash Flow",#N/A,FALSE,"Calculations"}</definedName>
    <definedName name="wrn.Data._.dump." hidden="1">{"Input Data",#N/A,FALSE,"Input";"Income and Cash Flow",#N/A,FALSE,"Calculations"}</definedName>
    <definedName name="wrn.Deferral._.Forecast." localSheetId="1"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30" hidden="1">{"Summary Deferral Forecast",#N/A,FALSE,"Deferral Forecast";"BGS Deferral Forecast",#N/A,FALSE,"BGS Deferral";"NNC Deferral Forecast",#N/A,FALSE,"NNC Deferral";"MTCDeferralForecast",#N/A,FALSE,"MTC Deferral";"SBC Deferral Forecast",#N/A,FALSE,"SBC Deferral"}</definedName>
    <definedName name="wrn.Deferral._.Forecast." localSheetId="31"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0" hidden="1">{"Summary Deferral Forecast",#N/A,FALSE,"Deferral Forecast";"BGS Deferral Forecast",#N/A,FALSE,"BGS Deferral";"NNC Deferral Forecast",#N/A,FALSE,"NNC Deferral";"MTCDeferralForecast",#N/A,FALSE,"MTC Deferral";"SBC Deferral Forecast",#N/A,FALSE,"SBC Deferral"}</definedName>
    <definedName name="wrn.Deferral._.Forecast." localSheetId="10" hidden="1">{"Summary Deferral Forecast",#N/A,FALSE,"Deferral Forecast";"BGS Deferral Forecast",#N/A,FALSE,"BGS Deferral";"NNC Deferral Forecast",#N/A,FALSE,"NNC Deferral";"MTCDeferralForecast",#N/A,FALSE,"MTC Deferral";"SBC Deferral Forecast",#N/A,FALSE,"SBC Deferral"}</definedName>
    <definedName name="wrn.Deferral._.Forecast." localSheetId="12"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MAND._.ENERGY._.RATIOS." localSheetId="1" hidden="1">{"JURIS_DMDENRGY_RATIOS",#N/A,FALSE,"COSTSTUDY";"OKCLS_DMDENRGY_RATIOS",#N/A,FALSE,"COSTSTUDY"}</definedName>
    <definedName name="wrn.DEMAND._.ENERGY._.RATIOS." localSheetId="17" hidden="1">{"JURIS_DMDENRGY_RATIOS",#N/A,FALSE,"COSTSTUDY";"OKCLS_DMDENRGY_RATIOS",#N/A,FALSE,"COSTSTUDY"}</definedName>
    <definedName name="wrn.DEMAND._.ENERGY._.RATIOS." localSheetId="30" hidden="1">{"JURIS_DMDENRGY_RATIOS",#N/A,FALSE,"COSTSTUDY";"OKCLS_DMDENRGY_RATIOS",#N/A,FALSE,"COSTSTUDY"}</definedName>
    <definedName name="wrn.DEMAND._.ENERGY._.RATIOS." localSheetId="31" hidden="1">{"JURIS_DMDENRGY_RATIOS",#N/A,FALSE,"COSTSTUDY";"OKCLS_DMDENRGY_RATIOS",#N/A,FALSE,"COSTSTUDY"}</definedName>
    <definedName name="wrn.DEMAND._.ENERGY._.RATIOS." localSheetId="19" hidden="1">{"JURIS_DMDENRGY_RATIOS",#N/A,FALSE,"COSTSTUDY";"OKCLS_DMDENRGY_RATIOS",#N/A,FALSE,"COSTSTUDY"}</definedName>
    <definedName name="wrn.DEMAND._.ENERGY._.RATIOS." localSheetId="7" hidden="1">{"JURIS_DMDENRGY_RATIOS",#N/A,FALSE,"COSTSTUDY";"OKCLS_DMDENRGY_RATIOS",#N/A,FALSE,"COSTSTUDY"}</definedName>
    <definedName name="wrn.DEMAND._.ENERGY._.RATIOS." localSheetId="0" hidden="1">{"JURIS_DMDENRGY_RATIOS",#N/A,FALSE,"COSTSTUDY";"OKCLS_DMDENRGY_RATIOS",#N/A,FALSE,"COSTSTUDY"}</definedName>
    <definedName name="wrn.DEMAND._.ENERGY._.RATIOS." localSheetId="10" hidden="1">{"JURIS_DMDENRGY_RATIOS",#N/A,FALSE,"COSTSTUDY";"OKCLS_DMDENRGY_RATIOS",#N/A,FALSE,"COSTSTUDY"}</definedName>
    <definedName name="wrn.DEMAND._.ENERGY._.RATIOS." localSheetId="12" hidden="1">{"JURIS_DMDENRGY_RATIOS",#N/A,FALSE,"COSTSTUDY";"OKCLS_DMDENRGY_RATIOS",#N/A,FALSE,"COSTSTUDY"}</definedName>
    <definedName name="wrn.DEMAND._.ENERGY._.RATIOS." localSheetId="9" hidden="1">{"JURIS_DMDENRGY_RATIOS",#N/A,FALSE,"COSTSTUDY";"OKCLS_DMDENRGY_RATIOS",#N/A,FALSE,"COSTSTUDY"}</definedName>
    <definedName name="wrn.DEMAND._.ENERGY._.RATIOS." hidden="1">{"JURIS_DMDENRGY_RATIOS",#N/A,FALSE,"COSTSTUDY";"OKCLS_DMDENRGY_RATIOS",#N/A,FALSE,"COSTSTUDY"}</definedName>
    <definedName name="wrn.Depreciation." localSheetId="7" hidden="1">{"DE_asfiled",#N/A,TRUE,"Amort.";"IRS_addl",#N/A,TRUE,"Amort."}</definedName>
    <definedName name="wrn.Depreciation." localSheetId="10" hidden="1">{"DE_asfiled",#N/A,TRUE,"Amort.";"IRS_addl",#N/A,TRUE,"Amort."}</definedName>
    <definedName name="wrn.Depreciation." localSheetId="12" hidden="1">{"DE_asfiled",#N/A,TRUE,"Amort.";"IRS_addl",#N/A,TRUE,"Amort."}</definedName>
    <definedName name="wrn.Depreciation." hidden="1">{"DE_asfiled",#N/A,TRUE,"Amort.";"IRS_addl",#N/A,TRUE,"Amort."}</definedName>
    <definedName name="wrn.DEPRECIATION._.EXPENSE." localSheetId="1" hidden="1">{"JURIS_DEPR_EXP",#N/A,FALSE,"COSTSTUDY";"OKCLS_DEPR_EXP",#N/A,FALSE,"COSTSTUDY"}</definedName>
    <definedName name="wrn.DEPRECIATION._.EXPENSE." localSheetId="17" hidden="1">{"JURIS_DEPR_EXP",#N/A,FALSE,"COSTSTUDY";"OKCLS_DEPR_EXP",#N/A,FALSE,"COSTSTUDY"}</definedName>
    <definedName name="wrn.DEPRECIATION._.EXPENSE." localSheetId="30" hidden="1">{"JURIS_DEPR_EXP",#N/A,FALSE,"COSTSTUDY";"OKCLS_DEPR_EXP",#N/A,FALSE,"COSTSTUDY"}</definedName>
    <definedName name="wrn.DEPRECIATION._.EXPENSE." localSheetId="31" hidden="1">{"JURIS_DEPR_EXP",#N/A,FALSE,"COSTSTUDY";"OKCLS_DEPR_EXP",#N/A,FALSE,"COSTSTUDY"}</definedName>
    <definedName name="wrn.DEPRECIATION._.EXPENSE." localSheetId="19" hidden="1">{"JURIS_DEPR_EXP",#N/A,FALSE,"COSTSTUDY";"OKCLS_DEPR_EXP",#N/A,FALSE,"COSTSTUDY"}</definedName>
    <definedName name="wrn.DEPRECIATION._.EXPENSE." localSheetId="7" hidden="1">{"JURIS_DEPR_EXP",#N/A,FALSE,"COSTSTUDY";"OKCLS_DEPR_EXP",#N/A,FALSE,"COSTSTUDY"}</definedName>
    <definedName name="wrn.DEPRECIATION._.EXPENSE." localSheetId="0" hidden="1">{"JURIS_DEPR_EXP",#N/A,FALSE,"COSTSTUDY";"OKCLS_DEPR_EXP",#N/A,FALSE,"COSTSTUDY"}</definedName>
    <definedName name="wrn.DEPRECIATION._.EXPENSE." localSheetId="10" hidden="1">{"JURIS_DEPR_EXP",#N/A,FALSE,"COSTSTUDY";"OKCLS_DEPR_EXP",#N/A,FALSE,"COSTSTUDY"}</definedName>
    <definedName name="wrn.DEPRECIATION._.EXPENSE." localSheetId="12" hidden="1">{"JURIS_DEPR_EXP",#N/A,FALSE,"COSTSTUDY";"OKCLS_DEPR_EXP",#N/A,FALSE,"COSTSTUDY"}</definedName>
    <definedName name="wrn.DEPRECIATION._.EXPENSE." localSheetId="9" hidden="1">{"JURIS_DEPR_EXP",#N/A,FALSE,"COSTSTUDY";"OKCLS_DEPR_EXP",#N/A,FALSE,"COSTSTUDY"}</definedName>
    <definedName name="wrn.DEPRECIATION._.EXPENSE." hidden="1">{"JURIS_DEPR_EXP",#N/A,FALSE,"COSTSTUDY";"OKCLS_DEPR_EXP",#N/A,FALSE,"COSTSTUDY"}</definedName>
    <definedName name="wrn.Description_._.Assumption." localSheetId="1" hidden="1">{"Assumption-Description",#N/A,FALSE,"Assumptions"}</definedName>
    <definedName name="wrn.Description_._.Assumption." localSheetId="17" hidden="1">{"Assumption-Description",#N/A,FALSE,"Assumptions"}</definedName>
    <definedName name="wrn.Description_._.Assumption." localSheetId="30" hidden="1">{"Assumption-Description",#N/A,FALSE,"Assumptions"}</definedName>
    <definedName name="wrn.Description_._.Assumption." localSheetId="31" hidden="1">{"Assumption-Description",#N/A,FALSE,"Assumptions"}</definedName>
    <definedName name="wrn.Description_._.Assumption." localSheetId="19" hidden="1">{"Assumption-Description",#N/A,FALSE,"Assumptions"}</definedName>
    <definedName name="wrn.Description_._.Assumption." localSheetId="7" hidden="1">{"Assumption-Description",#N/A,FALSE,"Assumptions"}</definedName>
    <definedName name="wrn.Description_._.Assumption." localSheetId="0" hidden="1">{"Assumption-Description",#N/A,FALSE,"Assumptions"}</definedName>
    <definedName name="wrn.Description_._.Assumption." localSheetId="10" hidden="1">{"Assumption-Description",#N/A,FALSE,"Assumptions"}</definedName>
    <definedName name="wrn.Description_._.Assumption." localSheetId="12" hidden="1">{"Assumption-Description",#N/A,FALSE,"Assumptions"}</definedName>
    <definedName name="wrn.Description_._.Assumption." localSheetId="9" hidden="1">{"Assumption-Description",#N/A,FALSE,"Assumptions"}</definedName>
    <definedName name="wrn.Description_._.Assumption." hidden="1">{"Assumption-Description",#N/A,FALSE,"Assumptions"}</definedName>
    <definedName name="wrn.Detail." localSheetId="1" hidden="1">{"Print_Detail",#N/A,FALSE,"Redemption_Maturity Extract"}</definedName>
    <definedName name="wrn.Detail." localSheetId="17" hidden="1">{"Print_Detail",#N/A,FALSE,"Redemption_Maturity Extract"}</definedName>
    <definedName name="wrn.Detail." localSheetId="30" hidden="1">{"Print_Detail",#N/A,FALSE,"Redemption_Maturity Extract"}</definedName>
    <definedName name="wrn.Detail." localSheetId="31" hidden="1">{"Print_Detail",#N/A,FALSE,"Redemption_Maturity Extract"}</definedName>
    <definedName name="wrn.Detail." localSheetId="19" hidden="1">{"Print_Detail",#N/A,FALSE,"Redemption_Maturity Extract"}</definedName>
    <definedName name="wrn.Detail." localSheetId="7" hidden="1">{"Print_Detail",#N/A,FALSE,"Redemption_Maturity Extract"}</definedName>
    <definedName name="wrn.Detail." localSheetId="0" hidden="1">{"Print_Detail",#N/A,FALSE,"Redemption_Maturity Extract"}</definedName>
    <definedName name="wrn.Detail." localSheetId="10" hidden="1">{"Print_Detail",#N/A,FALSE,"Redemption_Maturity Extract"}</definedName>
    <definedName name="wrn.Detail." localSheetId="12" hidden="1">{"Print_Detail",#N/A,FALSE,"Redemption_Maturity Extract"}</definedName>
    <definedName name="wrn.Detail." localSheetId="9" hidden="1">{"Print_Detail",#N/A,FALSE,"Redemption_Maturity Extract"}</definedName>
    <definedName name="wrn.Detail." hidden="1">{"Print_Detail",#N/A,FALSE,"Redemption_Maturity Extract"}</definedName>
    <definedName name="wrn.DEVLP._.LABOR._.ALLOC." localSheetId="1" hidden="1">{"JURIS_LAB_ALOC_DEVLP",#N/A,FALSE,"COSTSTUDY";"OKCLS_LAB_ALOC_DEVLP",#N/A,FALSE,"COSTSTUDY"}</definedName>
    <definedName name="wrn.DEVLP._.LABOR._.ALLOC." localSheetId="17" hidden="1">{"JURIS_LAB_ALOC_DEVLP",#N/A,FALSE,"COSTSTUDY";"OKCLS_LAB_ALOC_DEVLP",#N/A,FALSE,"COSTSTUDY"}</definedName>
    <definedName name="wrn.DEVLP._.LABOR._.ALLOC." localSheetId="30" hidden="1">{"JURIS_LAB_ALOC_DEVLP",#N/A,FALSE,"COSTSTUDY";"OKCLS_LAB_ALOC_DEVLP",#N/A,FALSE,"COSTSTUDY"}</definedName>
    <definedName name="wrn.DEVLP._.LABOR._.ALLOC." localSheetId="31" hidden="1">{"JURIS_LAB_ALOC_DEVLP",#N/A,FALSE,"COSTSTUDY";"OKCLS_LAB_ALOC_DEVLP",#N/A,FALSE,"COSTSTUDY"}</definedName>
    <definedName name="wrn.DEVLP._.LABOR._.ALLOC." localSheetId="19" hidden="1">{"JURIS_LAB_ALOC_DEVLP",#N/A,FALSE,"COSTSTUDY";"OKCLS_LAB_ALOC_DEVLP",#N/A,FALSE,"COSTSTUDY"}</definedName>
    <definedName name="wrn.DEVLP._.LABOR._.ALLOC." localSheetId="7" hidden="1">{"JURIS_LAB_ALOC_DEVLP",#N/A,FALSE,"COSTSTUDY";"OKCLS_LAB_ALOC_DEVLP",#N/A,FALSE,"COSTSTUDY"}</definedName>
    <definedName name="wrn.DEVLP._.LABOR._.ALLOC." localSheetId="0" hidden="1">{"JURIS_LAB_ALOC_DEVLP",#N/A,FALSE,"COSTSTUDY";"OKCLS_LAB_ALOC_DEVLP",#N/A,FALSE,"COSTSTUDY"}</definedName>
    <definedName name="wrn.DEVLP._.LABOR._.ALLOC." localSheetId="10" hidden="1">{"JURIS_LAB_ALOC_DEVLP",#N/A,FALSE,"COSTSTUDY";"OKCLS_LAB_ALOC_DEVLP",#N/A,FALSE,"COSTSTUDY"}</definedName>
    <definedName name="wrn.DEVLP._.LABOR._.ALLOC." localSheetId="12" hidden="1">{"JURIS_LAB_ALOC_DEVLP",#N/A,FALSE,"COSTSTUDY";"OKCLS_LAB_ALOC_DEVLP",#N/A,FALSE,"COSTSTUDY"}</definedName>
    <definedName name="wrn.DEVLP._.LABOR._.ALLOC." localSheetId="9" hidden="1">{"JURIS_LAB_ALOC_DEVLP",#N/A,FALSE,"COSTSTUDY";"OKCLS_LAB_ALOC_DEVLP",#N/A,FALSE,"COSTSTUDY"}</definedName>
    <definedName name="wrn.DEVLP._.LABOR._.ALLOC." hidden="1">{"JURIS_LAB_ALOC_DEVLP",#N/A,FALSE,"COSTSTUDY";"OKCLS_LAB_ALOC_DEVLP",#N/A,FALSE,"COSTSTUDY"}</definedName>
    <definedName name="wrn.Diane._.s._.Version." localSheetId="1" hidden="1">{"Full",#N/A,FALSE,"Sec MTN B Summary"}</definedName>
    <definedName name="wrn.Diane._.s._.Version." localSheetId="17" hidden="1">{"Full",#N/A,FALSE,"Sec MTN B Summary"}</definedName>
    <definedName name="wrn.Diane._.s._.Version." localSheetId="30" hidden="1">{"Full",#N/A,FALSE,"Sec MTN B Summary"}</definedName>
    <definedName name="wrn.Diane._.s._.Version." localSheetId="31" hidden="1">{"Full",#N/A,FALSE,"Sec MTN B Summary"}</definedName>
    <definedName name="wrn.Diane._.s._.Version." localSheetId="19" hidden="1">{"Full",#N/A,FALSE,"Sec MTN B Summary"}</definedName>
    <definedName name="wrn.Diane._.s._.Version." localSheetId="7" hidden="1">{"Full",#N/A,FALSE,"Sec MTN B Summary"}</definedName>
    <definedName name="wrn.Diane._.s._.Version." localSheetId="0" hidden="1">{"Full",#N/A,FALSE,"Sec MTN B Summary"}</definedName>
    <definedName name="wrn.Diane._.s._.Version." localSheetId="10" hidden="1">{"Full",#N/A,FALSE,"Sec MTN B Summary"}</definedName>
    <definedName name="wrn.Diane._.s._.Version." localSheetId="12" hidden="1">{"Full",#N/A,FALSE,"Sec MTN B Summary"}</definedName>
    <definedName name="wrn.Diane._.s._.Version." localSheetId="9" hidden="1">{"Full",#N/A,FALSE,"Sec MTN B Summary"}</definedName>
    <definedName name="wrn.Diane._.s._.Version." hidden="1">{"Full",#N/A,FALSE,"Sec MTN B Summary"}</definedName>
    <definedName name="wrn.Distribution._.Version." localSheetId="1" hidden="1">{"RedPrem_InitRed View",#N/A,FALSE,"Sec MTN B Summary"}</definedName>
    <definedName name="wrn.Distribution._.Version." localSheetId="17" hidden="1">{"RedPrem_InitRed View",#N/A,FALSE,"Sec MTN B Summary"}</definedName>
    <definedName name="wrn.Distribution._.Version." localSheetId="30" hidden="1">{"RedPrem_InitRed View",#N/A,FALSE,"Sec MTN B Summary"}</definedName>
    <definedName name="wrn.Distribution._.Version." localSheetId="31" hidden="1">{"RedPrem_InitRed View",#N/A,FALSE,"Sec MTN B Summary"}</definedName>
    <definedName name="wrn.Distribution._.Version." localSheetId="19" hidden="1">{"RedPrem_InitRed View",#N/A,FALSE,"Sec MTN B Summary"}</definedName>
    <definedName name="wrn.Distribution._.Version." localSheetId="7" hidden="1">{"RedPrem_InitRed View",#N/A,FALSE,"Sec MTN B Summary"}</definedName>
    <definedName name="wrn.Distribution._.Version." localSheetId="0" hidden="1">{"RedPrem_InitRed View",#N/A,FALSE,"Sec MTN B Summary"}</definedName>
    <definedName name="wrn.Distribution._.Version." localSheetId="10" hidden="1">{"RedPrem_InitRed View",#N/A,FALSE,"Sec MTN B Summary"}</definedName>
    <definedName name="wrn.Distribution._.Version." localSheetId="12" hidden="1">{"RedPrem_InitRed View",#N/A,FALSE,"Sec MTN B Summary"}</definedName>
    <definedName name="wrn.Distribution._.Version." localSheetId="9" hidden="1">{"RedPrem_InitRed View",#N/A,FALSE,"Sec MTN B Summary"}</definedName>
    <definedName name="wrn.Distribution._.Version." hidden="1">{"RedPrem_InitRed View",#N/A,FALSE,"Sec MTN B Summary"}</definedName>
    <definedName name="wrn.DLC." localSheetId="7" hidden="1">{"BST_DLC",#N/A,FALSE,"BST";"AL_DLC",#N/A,FALSE,"AL";"FL_DLC",#N/A,FALSE,"FL";"GA_DLC",#N/A,FALSE,"GA";"KY_DLC",#N/A,FALSE,"KY";"LA_DLC",#N/A,FALSE,"LA";"MS_DLC",#N/A,FALSE,"MS";"NC_DLC",#N/A,FALSE,"NC";"SC_DLC",#N/A,FALSE,"SC";"TN_DLC",#N/A,FALSE,"TN"}</definedName>
    <definedName name="wrn.DLC." localSheetId="10" hidden="1">{"BST_DLC",#N/A,FALSE,"BST";"AL_DLC",#N/A,FALSE,"AL";"FL_DLC",#N/A,FALSE,"FL";"GA_DLC",#N/A,FALSE,"GA";"KY_DLC",#N/A,FALSE,"KY";"LA_DLC",#N/A,FALSE,"LA";"MS_DLC",#N/A,FALSE,"MS";"NC_DLC",#N/A,FALSE,"NC";"SC_DLC",#N/A,FALSE,"SC";"TN_DLC",#N/A,FALSE,"TN"}</definedName>
    <definedName name="wrn.DLC." localSheetId="12" hidden="1">{"BST_DLC",#N/A,FALSE,"BST";"AL_DLC",#N/A,FALSE,"AL";"FL_DLC",#N/A,FALSE,"FL";"GA_DLC",#N/A,FALSE,"GA";"KY_DLC",#N/A,FALSE,"KY";"LA_DLC",#N/A,FALSE,"LA";"MS_DLC",#N/A,FALSE,"MS";"NC_DLC",#N/A,FALSE,"NC";"SC_DLC",#N/A,FALSE,"SC";"TN_DLC",#N/A,FALSE,"TN"}</definedName>
    <definedName name="wrn.DLC." hidden="1">{"BST_DLC",#N/A,FALSE,"BST";"AL_DLC",#N/A,FALSE,"AL";"FL_DLC",#N/A,FALSE,"FL";"GA_DLC",#N/A,FALSE,"GA";"KY_DLC",#N/A,FALSE,"KY";"LA_DLC",#N/A,FALSE,"LA";"MS_DLC",#N/A,FALSE,"MS";"NC_DLC",#N/A,FALSE,"NC";"SC_DLC",#N/A,FALSE,"SC";"TN_DLC",#N/A,FALSE,"TN"}</definedName>
    <definedName name="wrn.DMD._.ENERGY._.ALLOC._.INPUT." localSheetId="1" hidden="1">{"JURIS_DMDENRGY_AL_INPUT",#N/A,FALSE,"COSTSTUDY";"OKCLS_DMDENRGY_AL_INPUT",#N/A,FALSE,"COSTSTUDY"}</definedName>
    <definedName name="wrn.DMD._.ENERGY._.ALLOC._.INPUT." localSheetId="17" hidden="1">{"JURIS_DMDENRGY_AL_INPUT",#N/A,FALSE,"COSTSTUDY";"OKCLS_DMDENRGY_AL_INPUT",#N/A,FALSE,"COSTSTUDY"}</definedName>
    <definedName name="wrn.DMD._.ENERGY._.ALLOC._.INPUT." localSheetId="30" hidden="1">{"JURIS_DMDENRGY_AL_INPUT",#N/A,FALSE,"COSTSTUDY";"OKCLS_DMDENRGY_AL_INPUT",#N/A,FALSE,"COSTSTUDY"}</definedName>
    <definedName name="wrn.DMD._.ENERGY._.ALLOC._.INPUT." localSheetId="31" hidden="1">{"JURIS_DMDENRGY_AL_INPUT",#N/A,FALSE,"COSTSTUDY";"OKCLS_DMDENRGY_AL_INPUT",#N/A,FALSE,"COSTSTUDY"}</definedName>
    <definedName name="wrn.DMD._.ENERGY._.ALLOC._.INPUT." localSheetId="19" hidden="1">{"JURIS_DMDENRGY_AL_INPUT",#N/A,FALSE,"COSTSTUDY";"OKCLS_DMDENRGY_AL_INPUT",#N/A,FALSE,"COSTSTUDY"}</definedName>
    <definedName name="wrn.DMD._.ENERGY._.ALLOC._.INPUT." localSheetId="7" hidden="1">{"JURIS_DMDENRGY_AL_INPUT",#N/A,FALSE,"COSTSTUDY";"OKCLS_DMDENRGY_AL_INPUT",#N/A,FALSE,"COSTSTUDY"}</definedName>
    <definedName name="wrn.DMD._.ENERGY._.ALLOC._.INPUT." localSheetId="0" hidden="1">{"JURIS_DMDENRGY_AL_INPUT",#N/A,FALSE,"COSTSTUDY";"OKCLS_DMDENRGY_AL_INPUT",#N/A,FALSE,"COSTSTUDY"}</definedName>
    <definedName name="wrn.DMD._.ENERGY._.ALLOC._.INPUT." localSheetId="10" hidden="1">{"JURIS_DMDENRGY_AL_INPUT",#N/A,FALSE,"COSTSTUDY";"OKCLS_DMDENRGY_AL_INPUT",#N/A,FALSE,"COSTSTUDY"}</definedName>
    <definedName name="wrn.DMD._.ENERGY._.ALLOC._.INPUT." localSheetId="12" hidden="1">{"JURIS_DMDENRGY_AL_INPUT",#N/A,FALSE,"COSTSTUDY";"OKCLS_DMDENRGY_AL_INPUT",#N/A,FALSE,"COSTSTUDY"}</definedName>
    <definedName name="wrn.DMD._.ENERGY._.ALLOC._.INPUT." localSheetId="9" hidden="1">{"JURIS_DMDENRGY_AL_INPUT",#N/A,FALSE,"COSTSTUDY";"OKCLS_DMDENRGY_AL_INPUT",#N/A,FALSE,"COSTSTUDY"}</definedName>
    <definedName name="wrn.DMD._.ENERGY._.ALLOC._.INPUT." hidden="1">{"JURIS_DMDENRGY_AL_INPUT",#N/A,FALSE,"COSTSTUDY";"OKCLS_DMDENRGY_AL_INPUT",#N/A,FALSE,"COSTSTUDY"}</definedName>
    <definedName name="wrn.Earnings._.Model." localSheetId="1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3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1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LIM_CWO." localSheetId="1" hidden="1">{"ELIM_CWO_ISV",#N/A,FALSE,"Sheet1";"ELIM_CWO_SAV",#N/A,FALSE,"Sheet1";"ELIM_CWO_BSV",#N/A,FALSE,"Sheet1";"ELIM_CWO_SFDV",#N/A,FALSE,"Sheet1"}</definedName>
    <definedName name="wrn.ELIM_CWO." localSheetId="17" hidden="1">{"ELIM_CWO_ISV",#N/A,FALSE,"Sheet1";"ELIM_CWO_SAV",#N/A,FALSE,"Sheet1";"ELIM_CWO_BSV",#N/A,FALSE,"Sheet1";"ELIM_CWO_SFDV",#N/A,FALSE,"Sheet1"}</definedName>
    <definedName name="wrn.ELIM_CWO." localSheetId="30" hidden="1">{"ELIM_CWO_ISV",#N/A,FALSE,"Sheet1";"ELIM_CWO_SAV",#N/A,FALSE,"Sheet1";"ELIM_CWO_BSV",#N/A,FALSE,"Sheet1";"ELIM_CWO_SFDV",#N/A,FALSE,"Sheet1"}</definedName>
    <definedName name="wrn.ELIM_CWO." localSheetId="31" hidden="1">{"ELIM_CWO_ISV",#N/A,FALSE,"Sheet1";"ELIM_CWO_SAV",#N/A,FALSE,"Sheet1";"ELIM_CWO_BSV",#N/A,FALSE,"Sheet1";"ELIM_CWO_SFDV",#N/A,FALSE,"Sheet1"}</definedName>
    <definedName name="wrn.ELIM_CWO." localSheetId="19" hidden="1">{"ELIM_CWO_ISV",#N/A,FALSE,"Sheet1";"ELIM_CWO_SAV",#N/A,FALSE,"Sheet1";"ELIM_CWO_BSV",#N/A,FALSE,"Sheet1";"ELIM_CWO_SFDV",#N/A,FALSE,"Sheet1"}</definedName>
    <definedName name="wrn.ELIM_CWO." localSheetId="7" hidden="1">{"ELIM_CWO_ISV",#N/A,FALSE,"Sheet1";"ELIM_CWO_SAV",#N/A,FALSE,"Sheet1";"ELIM_CWO_BSV",#N/A,FALSE,"Sheet1";"ELIM_CWO_SFDV",#N/A,FALSE,"Sheet1"}</definedName>
    <definedName name="wrn.ELIM_CWO." localSheetId="0" hidden="1">{"ELIM_CWO_ISV",#N/A,FALSE,"Sheet1";"ELIM_CWO_SAV",#N/A,FALSE,"Sheet1";"ELIM_CWO_BSV",#N/A,FALSE,"Sheet1";"ELIM_CWO_SFDV",#N/A,FALSE,"Sheet1"}</definedName>
    <definedName name="wrn.ELIM_CWO." localSheetId="10" hidden="1">{"ELIM_CWO_ISV",#N/A,FALSE,"Sheet1";"ELIM_CWO_SAV",#N/A,FALSE,"Sheet1";"ELIM_CWO_BSV",#N/A,FALSE,"Sheet1";"ELIM_CWO_SFDV",#N/A,FALSE,"Sheet1"}</definedName>
    <definedName name="wrn.ELIM_CWO." localSheetId="12" hidden="1">{"ELIM_CWO_ISV",#N/A,FALSE,"Sheet1";"ELIM_CWO_SAV",#N/A,FALSE,"Sheet1";"ELIM_CWO_BSV",#N/A,FALSE,"Sheet1";"ELIM_CWO_SFDV",#N/A,FALSE,"Sheet1"}</definedName>
    <definedName name="wrn.ELIM_CWO." localSheetId="9" hidden="1">{"ELIM_CWO_ISV",#N/A,FALSE,"Sheet1";"ELIM_CWO_SAV",#N/A,FALSE,"Sheet1";"ELIM_CWO_BSV",#N/A,FALSE,"Sheet1";"ELIM_CWO_SFDV",#N/A,FALSE,"Sheet1"}</definedName>
    <definedName name="wrn.ELIM_CWO." hidden="1">{"ELIM_CWO_ISV",#N/A,FALSE,"Sheet1";"ELIM_CWO_SAV",#N/A,FALSE,"Sheet1";"ELIM_CWO_BSV",#N/A,FALSE,"Sheet1";"ELIM_CWO_SFDV",#N/A,FALSE,"Sheet1"}</definedName>
    <definedName name="wrn.ELIM_UWNJ_UWNY." localSheetId="1" hidden="1">{"ELIM_UWNJ_UWNY_ISV",#N/A,FALSE,"Sheet1";"ELIM_UWNJ_UWNY_SAV",#N/A,FALSE,"Sheet1";"ELIM_UWNJ_UWNY_BSV",#N/A,FALSE,"Sheet1";"ELIM_UWNJ_UWNY_SFDV",#N/A,FALSE,"Sheet1"}</definedName>
    <definedName name="wrn.ELIM_UWNJ_UWNY." localSheetId="17" hidden="1">{"ELIM_UWNJ_UWNY_ISV",#N/A,FALSE,"Sheet1";"ELIM_UWNJ_UWNY_SAV",#N/A,FALSE,"Sheet1";"ELIM_UWNJ_UWNY_BSV",#N/A,FALSE,"Sheet1";"ELIM_UWNJ_UWNY_SFDV",#N/A,FALSE,"Sheet1"}</definedName>
    <definedName name="wrn.ELIM_UWNJ_UWNY." localSheetId="30" hidden="1">{"ELIM_UWNJ_UWNY_ISV",#N/A,FALSE,"Sheet1";"ELIM_UWNJ_UWNY_SAV",#N/A,FALSE,"Sheet1";"ELIM_UWNJ_UWNY_BSV",#N/A,FALSE,"Sheet1";"ELIM_UWNJ_UWNY_SFDV",#N/A,FALSE,"Sheet1"}</definedName>
    <definedName name="wrn.ELIM_UWNJ_UWNY." localSheetId="31" hidden="1">{"ELIM_UWNJ_UWNY_ISV",#N/A,FALSE,"Sheet1";"ELIM_UWNJ_UWNY_SAV",#N/A,FALSE,"Sheet1";"ELIM_UWNJ_UWNY_BSV",#N/A,FALSE,"Sheet1";"ELIM_UWNJ_UWNY_SFDV",#N/A,FALSE,"Sheet1"}</definedName>
    <definedName name="wrn.ELIM_UWNJ_UWNY." localSheetId="19" hidden="1">{"ELIM_UWNJ_UWNY_ISV",#N/A,FALSE,"Sheet1";"ELIM_UWNJ_UWNY_SAV",#N/A,FALSE,"Sheet1";"ELIM_UWNJ_UWNY_BSV",#N/A,FALSE,"Sheet1";"ELIM_UWNJ_UWNY_SFDV",#N/A,FALSE,"Sheet1"}</definedName>
    <definedName name="wrn.ELIM_UWNJ_UWNY." localSheetId="7" hidden="1">{"ELIM_UWNJ_UWNY_ISV",#N/A,FALSE,"Sheet1";"ELIM_UWNJ_UWNY_SAV",#N/A,FALSE,"Sheet1";"ELIM_UWNJ_UWNY_BSV",#N/A,FALSE,"Sheet1";"ELIM_UWNJ_UWNY_SFDV",#N/A,FALSE,"Sheet1"}</definedName>
    <definedName name="wrn.ELIM_UWNJ_UWNY." localSheetId="0" hidden="1">{"ELIM_UWNJ_UWNY_ISV",#N/A,FALSE,"Sheet1";"ELIM_UWNJ_UWNY_SAV",#N/A,FALSE,"Sheet1";"ELIM_UWNJ_UWNY_BSV",#N/A,FALSE,"Sheet1";"ELIM_UWNJ_UWNY_SFDV",#N/A,FALSE,"Sheet1"}</definedName>
    <definedName name="wrn.ELIM_UWNJ_UWNY." localSheetId="10" hidden="1">{"ELIM_UWNJ_UWNY_ISV",#N/A,FALSE,"Sheet1";"ELIM_UWNJ_UWNY_SAV",#N/A,FALSE,"Sheet1";"ELIM_UWNJ_UWNY_BSV",#N/A,FALSE,"Sheet1";"ELIM_UWNJ_UWNY_SFDV",#N/A,FALSE,"Sheet1"}</definedName>
    <definedName name="wrn.ELIM_UWNJ_UWNY." localSheetId="12" hidden="1">{"ELIM_UWNJ_UWNY_ISV",#N/A,FALSE,"Sheet1";"ELIM_UWNJ_UWNY_SAV",#N/A,FALSE,"Sheet1";"ELIM_UWNJ_UWNY_BSV",#N/A,FALSE,"Sheet1";"ELIM_UWNJ_UWNY_SFDV",#N/A,FALSE,"Sheet1"}</definedName>
    <definedName name="wrn.ELIM_UWNJ_UWNY." localSheetId="9" hidden="1">{"ELIM_UWNJ_UWNY_ISV",#N/A,FALSE,"Sheet1";"ELIM_UWNJ_UWNY_SAV",#N/A,FALSE,"Sheet1";"ELIM_UWNJ_UWNY_BSV",#N/A,FALSE,"Sheet1";"ELIM_UWNJ_UWNY_SFDV",#N/A,FALSE,"Sheet1"}</definedName>
    <definedName name="wrn.ELIM_UWNJ_UWNY." hidden="1">{"ELIM_UWNJ_UWNY_ISV",#N/A,FALSE,"Sheet1";"ELIM_UWNJ_UWNY_SAV",#N/A,FALSE,"Sheet1";"ELIM_UWNJ_UWNY_BSV",#N/A,FALSE,"Sheet1";"ELIM_UWNJ_UWNY_SFDV",#N/A,FALSE,"Sheet1"}</definedName>
    <definedName name="wrn.Engr._.Summary." localSheetId="7" hidden="1">{#N/A,#N/A,FALSE,"INPUTDATA";#N/A,#N/A,FALSE,"SUMMARY";#N/A,#N/A,FALSE,"CTAREP";#N/A,#N/A,FALSE,"CTBREP";#N/A,#N/A,FALSE,"TURBEFF";#N/A,#N/A,FALSE,"Condenser Performance"}</definedName>
    <definedName name="wrn.Engr._.Summary." localSheetId="10" hidden="1">{#N/A,#N/A,FALSE,"INPUTDATA";#N/A,#N/A,FALSE,"SUMMARY";#N/A,#N/A,FALSE,"CTAREP";#N/A,#N/A,FALSE,"CTBREP";#N/A,#N/A,FALSE,"TURBEFF";#N/A,#N/A,FALSE,"Condenser Performance"}</definedName>
    <definedName name="wrn.Engr._.Summary." localSheetId="12"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RI2._.AIMR." localSheetId="7" hidden="1">{#N/A,#N/A,FALSE,"NA_Roll";#N/A,#N/A,FALSE,"NAV_recon";#N/A,#N/A,FALSE,"NII";#N/A,#N/A,FALSE,"Contrbtns";#N/A,#N/A,FALSE,"Distrbtns";#N/A,#N/A,FALSE,"QWAE";#N/A,#N/A,FALSE,"AWAE";#N/A,#N/A,FALSE,"Rtrns_bf_fees";#N/A,#N/A,FALSE,"Rtrns_aft_fees";#N/A,#N/A,FALSE,"Inc_bfr_fees";#N/A,#N/A,FALSE,"ERI-II Summary";#N/A,#N/A,FALSE,"ERI-II Fees"}</definedName>
    <definedName name="wrn.ERI2._.AIMR." localSheetId="10" hidden="1">{#N/A,#N/A,FALSE,"NA_Roll";#N/A,#N/A,FALSE,"NAV_recon";#N/A,#N/A,FALSE,"NII";#N/A,#N/A,FALSE,"Contrbtns";#N/A,#N/A,FALSE,"Distrbtns";#N/A,#N/A,FALSE,"QWAE";#N/A,#N/A,FALSE,"AWAE";#N/A,#N/A,FALSE,"Rtrns_bf_fees";#N/A,#N/A,FALSE,"Rtrns_aft_fees";#N/A,#N/A,FALSE,"Inc_bfr_fees";#N/A,#N/A,FALSE,"ERI-II Summary";#N/A,#N/A,FALSE,"ERI-II Fees"}</definedName>
    <definedName name="wrn.ERI2._.AIMR." localSheetId="12"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xec._.Summary." localSheetId="7" hidden="1">{#N/A,#N/A,FALSE,"INPUTDATA";#N/A,#N/A,FALSE,"SUMMARY"}</definedName>
    <definedName name="wrn.Exec._.Summary." localSheetId="10" hidden="1">{#N/A,#N/A,FALSE,"INPUTDATA";#N/A,#N/A,FALSE,"SUMMARY"}</definedName>
    <definedName name="wrn.Exec._.Summary." localSheetId="12" hidden="1">{#N/A,#N/A,FALSE,"INPUTDATA";#N/A,#N/A,FALSE,"SUMMARY"}</definedName>
    <definedName name="wrn.Exec._.Summary." hidden="1">{#N/A,#N/A,FALSE,"INPUTDATA";#N/A,#N/A,FALSE,"SUMMARY"}</definedName>
    <definedName name="wrn.Exec1._.Summary" localSheetId="7" hidden="1">{#N/A,#N/A,FALSE,"INPUTDATA";#N/A,#N/A,FALSE,"SUMMARY"}</definedName>
    <definedName name="wrn.Exec1._.Summary" localSheetId="10" hidden="1">{#N/A,#N/A,FALSE,"INPUTDATA";#N/A,#N/A,FALSE,"SUMMARY"}</definedName>
    <definedName name="wrn.Exec1._.Summary" localSheetId="12" hidden="1">{#N/A,#N/A,FALSE,"INPUTDATA";#N/A,#N/A,FALSE,"SUMMARY"}</definedName>
    <definedName name="wrn.Exec1._.Summary" hidden="1">{#N/A,#N/A,FALSE,"INPUTDATA";#N/A,#N/A,FALSE,"SUMMARY"}</definedName>
    <definedName name="wrn.Exhibits._.Clean." localSheetId="17" hidden="1">{"Exhibit 1",#N/A,FALSE,"MCMANEUS EXH 1";"Exhibit 5",#N/A,FALSE,"MCMANEUS EXH 5";"Exhibit 6",#N/A,FALSE,"MCMANEUS EXH 6";"Exhibit 7",#N/A,FALSE,"MCMANEUS EXH 7";"Exhibit 8",#N/A,FALSE,"MCMANEUS EXH 8";"Exhibit 9",#N/A,FALSE,"MCMANEUS EXH 9"}</definedName>
    <definedName name="wrn.Exhibits._.Clean." localSheetId="30" hidden="1">{"Exhibit 1",#N/A,FALSE,"MCMANEUS EXH 1";"Exhibit 5",#N/A,FALSE,"MCMANEUS EXH 5";"Exhibit 6",#N/A,FALSE,"MCMANEUS EXH 6";"Exhibit 7",#N/A,FALSE,"MCMANEUS EXH 7";"Exhibit 8",#N/A,FALSE,"MCMANEUS EXH 8";"Exhibit 9",#N/A,FALSE,"MCMANEUS EXH 9"}</definedName>
    <definedName name="wrn.Exhibits._.Clean." localSheetId="31" hidden="1">{"Exhibit 1",#N/A,FALSE,"MCMANEUS EXH 1";"Exhibit 5",#N/A,FALSE,"MCMANEUS EXH 5";"Exhibit 6",#N/A,FALSE,"MCMANEUS EXH 6";"Exhibit 7",#N/A,FALSE,"MCMANEUS EXH 7";"Exhibit 8",#N/A,FALSE,"MCMANEUS EXH 8";"Exhibit 9",#N/A,FALSE,"MCMANEUS EXH 9"}</definedName>
    <definedName name="wrn.Exhibits._.Clean." localSheetId="19" hidden="1">{"Exhibit 1",#N/A,FALSE,"MCMANEUS EXH 1";"Exhibit 5",#N/A,FALSE,"MCMANEUS EXH 5";"Exhibit 6",#N/A,FALSE,"MCMANEUS EXH 6";"Exhibit 7",#N/A,FALSE,"MCMANEUS EXH 7";"Exhibit 8",#N/A,FALSE,"MCMANEUS EXH 8";"Exhibit 9",#N/A,FALSE,"MCMANEUS EXH 9"}</definedName>
    <definedName name="wrn.Exhibits._.Clean." localSheetId="7" hidden="1">{"Exhibit 1",#N/A,FALSE,"MCMANEUS EXH 1";"Exhibit 5",#N/A,FALSE,"MCMANEUS EXH 5";"Exhibit 6",#N/A,FALSE,"MCMANEUS EXH 6";"Exhibit 7",#N/A,FALSE,"MCMANEUS EXH 7";"Exhibit 8",#N/A,FALSE,"MCMANEUS EXH 8";"Exhibit 9",#N/A,FALSE,"MCMANEUS EXH 9"}</definedName>
    <definedName name="wrn.Exhibits._.Clean." localSheetId="0" hidden="1">{"Exhibit 1",#N/A,FALSE,"MCMANEUS EXH 1";"Exhibit 5",#N/A,FALSE,"MCMANEUS EXH 5";"Exhibit 6",#N/A,FALSE,"MCMANEUS EXH 6";"Exhibit 7",#N/A,FALSE,"MCMANEUS EXH 7";"Exhibit 8",#N/A,FALSE,"MCMANEUS EXH 8";"Exhibit 9",#N/A,FALSE,"MCMANEUS EXH 9"}</definedName>
    <definedName name="wrn.Exhibits._.Clean." localSheetId="10" hidden="1">{"Exhibit 1",#N/A,FALSE,"MCMANEUS EXH 1";"Exhibit 5",#N/A,FALSE,"MCMANEUS EXH 5";"Exhibit 6",#N/A,FALSE,"MCMANEUS EXH 6";"Exhibit 7",#N/A,FALSE,"MCMANEUS EXH 7";"Exhibit 8",#N/A,FALSE,"MCMANEUS EXH 8";"Exhibit 9",#N/A,FALSE,"MCMANEUS EXH 9"}</definedName>
    <definedName name="wrn.Exhibits._.Clean." localSheetId="12" hidden="1">{"Exhibit 1",#N/A,FALSE,"MCMANEUS EXH 1";"Exhibit 5",#N/A,FALSE,"MCMANEUS EXH 5";"Exhibit 6",#N/A,FALSE,"MCMANEUS EXH 6";"Exhibit 7",#N/A,FALSE,"MCMANEUS EXH 7";"Exhibit 8",#N/A,FALSE,"MCMANEUS EXH 8";"Exhibit 9",#N/A,FALSE,"MCMANEUS EXH 9"}</definedName>
    <definedName name="wrn.Exhibits._.Clean." localSheetId="9" hidden="1">{"Exhibit 1",#N/A,FALSE,"MCMANEUS EXH 1";"Exhibit 5",#N/A,FALSE,"MCMANEUS EXH 5";"Exhibit 6",#N/A,FALSE,"MCMANEUS EXH 6";"Exhibit 7",#N/A,FALSE,"MCMANEUS EXH 7";"Exhibit 8",#N/A,FALSE,"MCMANEUS EXH 8";"Exhibit 9",#N/A,FALSE,"MCMANEUS EXH 9"}</definedName>
    <definedName name="wrn.Exhibits._.Clean." hidden="1">{"Exhibit 1",#N/A,FALSE,"MCMANEUS EXH 1";"Exhibit 5",#N/A,FALSE,"MCMANEUS EXH 5";"Exhibit 6",#N/A,FALSE,"MCMANEUS EXH 6";"Exhibit 7",#N/A,FALSE,"MCMANEUS EXH 7";"Exhibit 8",#N/A,FALSE,"MCMANEUS EXH 8";"Exhibit 9",#N/A,FALSE,"MCMANEUS EXH 9"}</definedName>
    <definedName name="wrn.ExitAndSalesAssumptions." localSheetId="7" hidden="1">{#N/A,#N/A,FALSE,"ExitStrategy"}</definedName>
    <definedName name="wrn.ExitAndSalesAssumptions." localSheetId="10" hidden="1">{#N/A,#N/A,FALSE,"ExitStrategy"}</definedName>
    <definedName name="wrn.ExitAndSalesAssumptions." localSheetId="12" hidden="1">{#N/A,#N/A,FALSE,"ExitStrategy"}</definedName>
    <definedName name="wrn.ExitAndSalesAssumptions." hidden="1">{#N/A,#N/A,FALSE,"ExitStrategy"}</definedName>
    <definedName name="wrn.EXPENSES." localSheetId="7" hidden="1">{#N/A,#N/A,FALSE,"0400-1 Professional Services";#N/A,#N/A,FALSE,"0400-2 Taxes &amp; Licenses";#N/A,#N/A,FALSE,"0400-3 Repairs &amp; Maint.";#N/A,#N/A,FALSE,"0400-4 Officers Salaries";#N/A,#N/A,FALSE,"0400-5 Officers' Life Insurance";#N/A,#N/A,FALSE,"0400-6 Payroll Test";#N/A,#N/A,FALSE,"0400-7 Donations"}</definedName>
    <definedName name="wrn.EXPENSES." localSheetId="10" hidden="1">{#N/A,#N/A,FALSE,"0400-1 Professional Services";#N/A,#N/A,FALSE,"0400-2 Taxes &amp; Licenses";#N/A,#N/A,FALSE,"0400-3 Repairs &amp; Maint.";#N/A,#N/A,FALSE,"0400-4 Officers Salaries";#N/A,#N/A,FALSE,"0400-5 Officers' Life Insurance";#N/A,#N/A,FALSE,"0400-6 Payroll Test";#N/A,#N/A,FALSE,"0400-7 Donations"}</definedName>
    <definedName name="wrn.EXPENSES." localSheetId="12" hidden="1">{#N/A,#N/A,FALSE,"0400-1 Professional Services";#N/A,#N/A,FALSE,"0400-2 Taxes &amp; Licenses";#N/A,#N/A,FALSE,"0400-3 Repairs &amp; Maint.";#N/A,#N/A,FALSE,"0400-4 Officers Salaries";#N/A,#N/A,FALSE,"0400-5 Officers' Life Insurance";#N/A,#N/A,FALSE,"0400-6 Payroll Test";#N/A,#N/A,FALSE,"0400-7 Donations"}</definedName>
    <definedName name="wrn.EXPENSES." hidden="1">{#N/A,#N/A,FALSE,"0400-1 Professional Services";#N/A,#N/A,FALSE,"0400-2 Taxes &amp; Licenses";#N/A,#N/A,FALSE,"0400-3 Repairs &amp; Maint.";#N/A,#N/A,FALSE,"0400-4 Officers Salaries";#N/A,#N/A,FALSE,"0400-5 Officers' Life Insurance";#N/A,#N/A,FALSE,"0400-6 Payroll Test";#N/A,#N/A,FALSE,"0400-7 Donations"}</definedName>
    <definedName name="wrn.FAC._.SUMMARY." localSheetId="1" hidden="1">{"FAC_SUMMARY",#N/A,FALSE,"Summaries"}</definedName>
    <definedName name="wrn.FAC._.SUMMARY." localSheetId="17" hidden="1">{"FAC_SUMMARY",#N/A,FALSE,"Summaries"}</definedName>
    <definedName name="wrn.FAC._.SUMMARY." localSheetId="30" hidden="1">{"FAC_SUMMARY",#N/A,FALSE,"Summaries"}</definedName>
    <definedName name="wrn.FAC._.SUMMARY." localSheetId="31" hidden="1">{"FAC_SUMMARY",#N/A,FALSE,"Summaries"}</definedName>
    <definedName name="wrn.FAC._.SUMMARY." localSheetId="19" hidden="1">{"FAC_SUMMARY",#N/A,FALSE,"Summaries"}</definedName>
    <definedName name="wrn.FAC._.SUMMARY." localSheetId="7" hidden="1">{"FAC_SUMMARY",#N/A,FALSE,"Summaries"}</definedName>
    <definedName name="wrn.FAC._.SUMMARY." localSheetId="0" hidden="1">{"FAC_SUMMARY",#N/A,FALSE,"Summaries"}</definedName>
    <definedName name="wrn.FAC._.SUMMARY." localSheetId="10" hidden="1">{"FAC_SUMMARY",#N/A,FALSE,"Summaries"}</definedName>
    <definedName name="wrn.FAC._.SUMMARY." localSheetId="12" hidden="1">{"FAC_SUMMARY",#N/A,FALSE,"Summaries"}</definedName>
    <definedName name="wrn.FAC._.SUMMARY." localSheetId="9" hidden="1">{"FAC_SUMMARY",#N/A,FALSE,"Summaries"}</definedName>
    <definedName name="wrn.FAC._.SUMMARY." hidden="1">{"FAC_SUMMARY",#N/A,FALSE,"Summaries"}</definedName>
    <definedName name="wrn.FAS109." localSheetId="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1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0"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31"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1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7"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0"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10"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12"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localSheetId="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AS10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CB." localSheetId="7" hidden="1">{"FCB_ALL",#N/A,FALSE,"FCB"}</definedName>
    <definedName name="wrn.FCB." localSheetId="10" hidden="1">{"FCB_ALL",#N/A,FALSE,"FCB"}</definedName>
    <definedName name="wrn.FCB." localSheetId="12" hidden="1">{"FCB_ALL",#N/A,FALSE,"FCB"}</definedName>
    <definedName name="wrn.FCB." hidden="1">{"FCB_ALL",#N/A,FALSE,"FCB"}</definedName>
    <definedName name="wrn.fcb2" localSheetId="7" hidden="1">{"FCB_ALL",#N/A,FALSE,"FCB"}</definedName>
    <definedName name="wrn.fcb2" localSheetId="10" hidden="1">{"FCB_ALL",#N/A,FALSE,"FCB"}</definedName>
    <definedName name="wrn.fcb2" localSheetId="12" hidden="1">{"FCB_ALL",#N/A,FALSE,"FCB"}</definedName>
    <definedName name="wrn.fcb2" hidden="1">{"FCB_ALL",#N/A,FALSE,"FCB"}</definedName>
    <definedName name="wrn.Feb._.Senior._.Staff." localSheetId="1"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1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3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31"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1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7"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10"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12"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localSheetId="9"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b._.Senior._.Staff."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RC._.FAC._.CALC." localSheetId="1" hidden="1">{"FERC_FAC",#N/A,FALSE,"FERC_Fuel&amp;Rev"}</definedName>
    <definedName name="wrn.FERC._.FAC._.CALC." localSheetId="17" hidden="1">{"FERC_FAC",#N/A,FALSE,"FERC_Fuel&amp;Rev"}</definedName>
    <definedName name="wrn.FERC._.FAC._.CALC." localSheetId="30" hidden="1">{"FERC_FAC",#N/A,FALSE,"FERC_Fuel&amp;Rev"}</definedName>
    <definedName name="wrn.FERC._.FAC._.CALC." localSheetId="31" hidden="1">{"FERC_FAC",#N/A,FALSE,"FERC_Fuel&amp;Rev"}</definedName>
    <definedName name="wrn.FERC._.FAC._.CALC." localSheetId="19" hidden="1">{"FERC_FAC",#N/A,FALSE,"FERC_Fuel&amp;Rev"}</definedName>
    <definedName name="wrn.FERC._.FAC._.CALC." localSheetId="7" hidden="1">{"FERC_FAC",#N/A,FALSE,"FERC_Fuel&amp;Rev"}</definedName>
    <definedName name="wrn.FERC._.FAC._.CALC." localSheetId="0" hidden="1">{"FERC_FAC",#N/A,FALSE,"FERC_Fuel&amp;Rev"}</definedName>
    <definedName name="wrn.FERC._.FAC._.CALC." localSheetId="10" hidden="1">{"FERC_FAC",#N/A,FALSE,"FERC_Fuel&amp;Rev"}</definedName>
    <definedName name="wrn.FERC._.FAC._.CALC." localSheetId="12" hidden="1">{"FERC_FAC",#N/A,FALSE,"FERC_Fuel&amp;Rev"}</definedName>
    <definedName name="wrn.FERC._.FAC._.CALC." localSheetId="9" hidden="1">{"FERC_FAC",#N/A,FALSE,"FERC_Fuel&amp;Rev"}</definedName>
    <definedName name="wrn.FERC._.FAC._.CALC." hidden="1">{"FERC_FAC",#N/A,FALSE,"FERC_Fuel&amp;Rev"}</definedName>
    <definedName name="wrn.FERC._.WEATHER._.and._.JURIS._.FUEL." localSheetId="1" hidden="1">{"FERC_WEATHER_AND_FUEL",#N/A,FALSE,"FERC_Fuel&amp;Rev"}</definedName>
    <definedName name="wrn.FERC._.WEATHER._.and._.JURIS._.FUEL." localSheetId="17" hidden="1">{"FERC_WEATHER_AND_FUEL",#N/A,FALSE,"FERC_Fuel&amp;Rev"}</definedName>
    <definedName name="wrn.FERC._.WEATHER._.and._.JURIS._.FUEL." localSheetId="30" hidden="1">{"FERC_WEATHER_AND_FUEL",#N/A,FALSE,"FERC_Fuel&amp;Rev"}</definedName>
    <definedName name="wrn.FERC._.WEATHER._.and._.JURIS._.FUEL." localSheetId="31" hidden="1">{"FERC_WEATHER_AND_FUEL",#N/A,FALSE,"FERC_Fuel&amp;Rev"}</definedName>
    <definedName name="wrn.FERC._.WEATHER._.and._.JURIS._.FUEL." localSheetId="19" hidden="1">{"FERC_WEATHER_AND_FUEL",#N/A,FALSE,"FERC_Fuel&amp;Rev"}</definedName>
    <definedName name="wrn.FERC._.WEATHER._.and._.JURIS._.FUEL." localSheetId="7" hidden="1">{"FERC_WEATHER_AND_FUEL",#N/A,FALSE,"FERC_Fuel&amp;Rev"}</definedName>
    <definedName name="wrn.FERC._.WEATHER._.and._.JURIS._.FUEL." localSheetId="0" hidden="1">{"FERC_WEATHER_AND_FUEL",#N/A,FALSE,"FERC_Fuel&amp;Rev"}</definedName>
    <definedName name="wrn.FERC._.WEATHER._.and._.JURIS._.FUEL." localSheetId="10" hidden="1">{"FERC_WEATHER_AND_FUEL",#N/A,FALSE,"FERC_Fuel&amp;Rev"}</definedName>
    <definedName name="wrn.FERC._.WEATHER._.and._.JURIS._.FUEL." localSheetId="12" hidden="1">{"FERC_WEATHER_AND_FUEL",#N/A,FALSE,"FERC_Fuel&amp;Rev"}</definedName>
    <definedName name="wrn.FERC._.WEATHER._.and._.JURIS._.FUEL." localSheetId="9" hidden="1">{"FERC_WEATHER_AND_FUEL",#N/A,FALSE,"FERC_Fuel&amp;Rev"}</definedName>
    <definedName name="wrn.FERC._.WEATHER._.and._.JURIS._.FUEL." hidden="1">{"FERC_WEATHER_AND_FUEL",#N/A,FALSE,"FERC_Fuel&amp;Rev"}</definedName>
    <definedName name="wrn.filecopy." localSheetId="7"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0"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localSheetId="12"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ing." localSheetId="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2"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_.Update." localSheetId="1"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1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3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31"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1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7"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10"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12"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localSheetId="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n_Book." localSheetId="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1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0"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31"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19"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7"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0"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10"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12"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localSheetId="9"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in_Book."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or._.filling._.out._.assessments." localSheetId="1" hidden="1">{"Print Empty Template",#N/A,FALSE,"Input"}</definedName>
    <definedName name="wrn.For._.filling._.out._.assessments." localSheetId="17" hidden="1">{"Print Empty Template",#N/A,FALSE,"Input"}</definedName>
    <definedName name="wrn.For._.filling._.out._.assessments." localSheetId="30" hidden="1">{"Print Empty Template",#N/A,FALSE,"Input"}</definedName>
    <definedName name="wrn.For._.filling._.out._.assessments." localSheetId="31" hidden="1">{"Print Empty Template",#N/A,FALSE,"Input"}</definedName>
    <definedName name="wrn.For._.filling._.out._.assessments." localSheetId="19" hidden="1">{"Print Empty Template",#N/A,FALSE,"Input"}</definedName>
    <definedName name="wrn.For._.filling._.out._.assessments." localSheetId="7" hidden="1">{"Print Empty Template",#N/A,FALSE,"Input"}</definedName>
    <definedName name="wrn.For._.filling._.out._.assessments." localSheetId="0" hidden="1">{"Print Empty Template",#N/A,FALSE,"Input"}</definedName>
    <definedName name="wrn.For._.filling._.out._.assessments." localSheetId="10" hidden="1">{"Print Empty Template",#N/A,FALSE,"Input"}</definedName>
    <definedName name="wrn.For._.filling._.out._.assessments." localSheetId="12" hidden="1">{"Print Empty Template",#N/A,FALSE,"Input"}</definedName>
    <definedName name="wrn.For._.filling._.out._.assessments." localSheetId="9" hidden="1">{"Print Empty Template",#N/A,FALSE,"Input"}</definedName>
    <definedName name="wrn.For._.filling._.out._.assessments." hidden="1">{"Print Empty Template",#N/A,FALSE,"Input"}</definedName>
    <definedName name="wrn.Fuel._.Cycle." localSheetId="17" hidden="1">{#N/A,#N/A,FALSE,"AltFuel"}</definedName>
    <definedName name="wrn.Fuel._.Cycle." localSheetId="30" hidden="1">{#N/A,#N/A,FALSE,"AltFuel"}</definedName>
    <definedName name="wrn.Fuel._.Cycle." localSheetId="31" hidden="1">{#N/A,#N/A,FALSE,"AltFuel"}</definedName>
    <definedName name="wrn.Fuel._.Cycle." localSheetId="19" hidden="1">{#N/A,#N/A,FALSE,"AltFuel"}</definedName>
    <definedName name="wrn.Fuel._.Cycle." localSheetId="7" hidden="1">{#N/A,#N/A,FALSE,"AltFuel"}</definedName>
    <definedName name="wrn.Fuel._.Cycle." localSheetId="0" hidden="1">{#N/A,#N/A,FALSE,"AltFuel"}</definedName>
    <definedName name="wrn.Fuel._.Cycle." localSheetId="10" hidden="1">{#N/A,#N/A,FALSE,"AltFuel"}</definedName>
    <definedName name="wrn.Fuel._.Cycle." localSheetId="12" hidden="1">{#N/A,#N/A,FALSE,"AltFuel"}</definedName>
    <definedName name="wrn.Fuel._.Cycle." localSheetId="9" hidden="1">{#N/A,#N/A,FALSE,"AltFuel"}</definedName>
    <definedName name="wrn.Fuel._.Cycle." hidden="1">{#N/A,#N/A,FALSE,"AltFuel"}</definedName>
    <definedName name="wrn.Full._.Budget." localSheetId="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10"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localSheetId="1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Y97SBP." localSheetId="7" hidden="1">{#N/A,#N/A,FALSE,"FY97";#N/A,#N/A,FALSE,"FY98";#N/A,#N/A,FALSE,"FY99";#N/A,#N/A,FALSE,"FY00";#N/A,#N/A,FALSE,"FY01"}</definedName>
    <definedName name="wrn.FY97SBP." localSheetId="10" hidden="1">{#N/A,#N/A,FALSE,"FY97";#N/A,#N/A,FALSE,"FY98";#N/A,#N/A,FALSE,"FY99";#N/A,#N/A,FALSE,"FY00";#N/A,#N/A,FALSE,"FY01"}</definedName>
    <definedName name="wrn.FY97SBP." localSheetId="12" hidden="1">{#N/A,#N/A,FALSE,"FY97";#N/A,#N/A,FALSE,"FY98";#N/A,#N/A,FALSE,"FY99";#N/A,#N/A,FALSE,"FY00";#N/A,#N/A,FALSE,"FY01"}</definedName>
    <definedName name="wrn.FY97SBP." hidden="1">{#N/A,#N/A,FALSE,"FY97";#N/A,#N/A,FALSE,"FY98";#N/A,#N/A,FALSE,"FY99";#N/A,#N/A,FALSE,"FY00";#N/A,#N/A,FALSE,"FY01"}</definedName>
    <definedName name="wrn.go." localSheetId="1" hidden="1">{"wp_h4.2",#N/A,FALSE,"WP_H4.2";"wp_h4.3",#N/A,FALSE,"WP_H4.3"}</definedName>
    <definedName name="wrn.go." localSheetId="17" hidden="1">{"wp_h4.2",#N/A,FALSE,"WP_H4.2";"wp_h4.3",#N/A,FALSE,"WP_H4.3"}</definedName>
    <definedName name="wrn.go." localSheetId="30" hidden="1">{"wp_h4.2",#N/A,FALSE,"WP_H4.2";"wp_h4.3",#N/A,FALSE,"WP_H4.3"}</definedName>
    <definedName name="wrn.go." localSheetId="31" hidden="1">{"wp_h4.2",#N/A,FALSE,"WP_H4.2";"wp_h4.3",#N/A,FALSE,"WP_H4.3"}</definedName>
    <definedName name="wrn.go." localSheetId="19" hidden="1">{"wp_h4.2",#N/A,FALSE,"WP_H4.2";"wp_h4.3",#N/A,FALSE,"WP_H4.3"}</definedName>
    <definedName name="wrn.go." localSheetId="7" hidden="1">{"wp_h4.2",#N/A,FALSE,"WP_H4.2";"wp_h4.3",#N/A,FALSE,"WP_H4.3"}</definedName>
    <definedName name="wrn.go." localSheetId="0" hidden="1">{"wp_h4.2",#N/A,FALSE,"WP_H4.2";"wp_h4.3",#N/A,FALSE,"WP_H4.3"}</definedName>
    <definedName name="wrn.go." localSheetId="10" hidden="1">{"wp_h4.2",#N/A,FALSE,"WP_H4.2";"wp_h4.3",#N/A,FALSE,"WP_H4.3"}</definedName>
    <definedName name="wrn.go." localSheetId="12" hidden="1">{"wp_h4.2",#N/A,FALSE,"WP_H4.2";"wp_h4.3",#N/A,FALSE,"WP_H4.3"}</definedName>
    <definedName name="wrn.go." localSheetId="9" hidden="1">{"wp_h4.2",#N/A,FALSE,"WP_H4.2";"wp_h4.3",#N/A,FALSE,"WP_H4.3"}</definedName>
    <definedName name="wrn.go." hidden="1">{"wp_h4.2",#N/A,FALSE,"WP_H4.2";"wp_h4.3",#N/A,FALSE,"WP_H4.3"}</definedName>
    <definedName name="wrn.Graph._.SBU._.by._.Year._.1997_2000." localSheetId="1" hidden="1">{"Graph SBU by Year 1997_2000",#N/A,FALSE,"Strategic Business Lines"}</definedName>
    <definedName name="wrn.Graph._.SBU._.by._.Year._.1997_2000." localSheetId="17" hidden="1">{"Graph SBU by Year 1997_2000",#N/A,FALSE,"Strategic Business Lines"}</definedName>
    <definedName name="wrn.Graph._.SBU._.by._.Year._.1997_2000." localSheetId="30" hidden="1">{"Graph SBU by Year 1997_2000",#N/A,FALSE,"Strategic Business Lines"}</definedName>
    <definedName name="wrn.Graph._.SBU._.by._.Year._.1997_2000." localSheetId="31" hidden="1">{"Graph SBU by Year 1997_2000",#N/A,FALSE,"Strategic Business Lines"}</definedName>
    <definedName name="wrn.Graph._.SBU._.by._.Year._.1997_2000." localSheetId="19" hidden="1">{"Graph SBU by Year 1997_2000",#N/A,FALSE,"Strategic Business Lines"}</definedName>
    <definedName name="wrn.Graph._.SBU._.by._.Year._.1997_2000." localSheetId="7" hidden="1">{"Graph SBU by Year 1997_2000",#N/A,FALSE,"Strategic Business Lines"}</definedName>
    <definedName name="wrn.Graph._.SBU._.by._.Year._.1997_2000." localSheetId="0" hidden="1">{"Graph SBU by Year 1997_2000",#N/A,FALSE,"Strategic Business Lines"}</definedName>
    <definedName name="wrn.Graph._.SBU._.by._.Year._.1997_2000." localSheetId="10" hidden="1">{"Graph SBU by Year 1997_2000",#N/A,FALSE,"Strategic Business Lines"}</definedName>
    <definedName name="wrn.Graph._.SBU._.by._.Year._.1997_2000." localSheetId="12" hidden="1">{"Graph SBU by Year 1997_2000",#N/A,FALSE,"Strategic Business Lines"}</definedName>
    <definedName name="wrn.Graph._.SBU._.by._.Year._.1997_2000." localSheetId="9" hidden="1">{"Graph SBU by Year 1997_2000",#N/A,FALSE,"Strategic Business Lines"}</definedName>
    <definedName name="wrn.Graph._.SBU._.by._.Year._.1997_2000." hidden="1">{"Graph SBU by Year 1997_2000",#N/A,FALSE,"Strategic Business Lines"}</definedName>
    <definedName name="wrn.Graph._.SBU._.Contribution._.1997_2000." localSheetId="1" hidden="1">{"Graph_SBU_Contirbution 1991_2000",#N/A,FALSE,"Strategic Business Lines"}</definedName>
    <definedName name="wrn.Graph._.SBU._.Contribution._.1997_2000." localSheetId="17" hidden="1">{"Graph_SBU_Contirbution 1991_2000",#N/A,FALSE,"Strategic Business Lines"}</definedName>
    <definedName name="wrn.Graph._.SBU._.Contribution._.1997_2000." localSheetId="30" hidden="1">{"Graph_SBU_Contirbution 1991_2000",#N/A,FALSE,"Strategic Business Lines"}</definedName>
    <definedName name="wrn.Graph._.SBU._.Contribution._.1997_2000." localSheetId="31" hidden="1">{"Graph_SBU_Contirbution 1991_2000",#N/A,FALSE,"Strategic Business Lines"}</definedName>
    <definedName name="wrn.Graph._.SBU._.Contribution._.1997_2000." localSheetId="19" hidden="1">{"Graph_SBU_Contirbution 1991_2000",#N/A,FALSE,"Strategic Business Lines"}</definedName>
    <definedName name="wrn.Graph._.SBU._.Contribution._.1997_2000." localSheetId="7" hidden="1">{"Graph_SBU_Contirbution 1991_2000",#N/A,FALSE,"Strategic Business Lines"}</definedName>
    <definedName name="wrn.Graph._.SBU._.Contribution._.1997_2000." localSheetId="0" hidden="1">{"Graph_SBU_Contirbution 1991_2000",#N/A,FALSE,"Strategic Business Lines"}</definedName>
    <definedName name="wrn.Graph._.SBU._.Contribution._.1997_2000." localSheetId="10" hidden="1">{"Graph_SBU_Contirbution 1991_2000",#N/A,FALSE,"Strategic Business Lines"}</definedName>
    <definedName name="wrn.Graph._.SBU._.Contribution._.1997_2000." localSheetId="12" hidden="1">{"Graph_SBU_Contirbution 1991_2000",#N/A,FALSE,"Strategic Business Lines"}</definedName>
    <definedName name="wrn.Graph._.SBU._.Contribution._.1997_2000." localSheetId="9" hidden="1">{"Graph_SBU_Contirbution 1991_2000",#N/A,FALSE,"Strategic Business Lines"}</definedName>
    <definedName name="wrn.Graph._.SBU._.Contribution._.1997_2000." hidden="1">{"Graph_SBU_Contirbution 1991_2000",#N/A,FALSE,"Strategic Business Lines"}</definedName>
    <definedName name="wrn.group._.detail." localSheetId="7" hidden="1">{"group detail",#N/A,FALSE,"Hourly Detail"}</definedName>
    <definedName name="wrn.group._.detail." localSheetId="10" hidden="1">{"group detail",#N/A,FALSE,"Hourly Detail"}</definedName>
    <definedName name="wrn.group._.detail." localSheetId="12" hidden="1">{"group detail",#N/A,FALSE,"Hourly Detail"}</definedName>
    <definedName name="wrn.group._.detail." hidden="1">{"group detail",#N/A,FALSE,"Hourly Detail"}</definedName>
    <definedName name="wrn.handout." localSheetId="17" hidden="1">{"quarterly",#N/A,FALSE,"Income Statement";#N/A,#N/A,FALSE,"print segment";#N/A,#N/A,FALSE,"Balance Sheet";#N/A,#N/A,FALSE,"Annl Inc";#N/A,#N/A,FALSE,"Cash Flow"}</definedName>
    <definedName name="wrn.handout." localSheetId="30" hidden="1">{"quarterly",#N/A,FALSE,"Income Statement";#N/A,#N/A,FALSE,"print segment";#N/A,#N/A,FALSE,"Balance Sheet";#N/A,#N/A,FALSE,"Annl Inc";#N/A,#N/A,FALSE,"Cash Flow"}</definedName>
    <definedName name="wrn.handout." localSheetId="31" hidden="1">{"quarterly",#N/A,FALSE,"Income Statement";#N/A,#N/A,FALSE,"print segment";#N/A,#N/A,FALSE,"Balance Sheet";#N/A,#N/A,FALSE,"Annl Inc";#N/A,#N/A,FALSE,"Cash Flow"}</definedName>
    <definedName name="wrn.handout." localSheetId="19" hidden="1">{"quarterly",#N/A,FALSE,"Income Statement";#N/A,#N/A,FALSE,"print segment";#N/A,#N/A,FALSE,"Balance Sheet";#N/A,#N/A,FALSE,"Annl Inc";#N/A,#N/A,FALSE,"Cash Flow"}</definedName>
    <definedName name="wrn.handout." localSheetId="7" hidden="1">{"quarterly",#N/A,FALSE,"Income Statement";#N/A,#N/A,FALSE,"print segment";#N/A,#N/A,FALSE,"Balance Sheet";#N/A,#N/A,FALSE,"Annl Inc";#N/A,#N/A,FALSE,"Cash Flow"}</definedName>
    <definedName name="wrn.handout." localSheetId="0" hidden="1">{"quarterly",#N/A,FALSE,"Income Statement";#N/A,#N/A,FALSE,"print segment";#N/A,#N/A,FALSE,"Balance Sheet";#N/A,#N/A,FALSE,"Annl Inc";#N/A,#N/A,FALSE,"Cash Flow"}</definedName>
    <definedName name="wrn.handout." localSheetId="10" hidden="1">{"quarterly",#N/A,FALSE,"Income Statement";#N/A,#N/A,FALSE,"print segment";#N/A,#N/A,FALSE,"Balance Sheet";#N/A,#N/A,FALSE,"Annl Inc";#N/A,#N/A,FALSE,"Cash Flow"}</definedName>
    <definedName name="wrn.handout." localSheetId="12" hidden="1">{"quarterly",#N/A,FALSE,"Income Statement";#N/A,#N/A,FALSE,"print segment";#N/A,#N/A,FALSE,"Balance Sheet";#N/A,#N/A,FALSE,"Annl Inc";#N/A,#N/A,FALSE,"Cash Flow"}</definedName>
    <definedName name="wrn.handout." localSheetId="9" hidden="1">{"quarterly",#N/A,FALSE,"Income Statement";#N/A,#N/A,FALSE,"print segment";#N/A,#N/A,FALSE,"Balance Sheet";#N/A,#N/A,FALSE,"Annl Inc";#N/A,#N/A,FALSE,"Cash Flow"}</definedName>
    <definedName name="wrn.handout." hidden="1">{"quarterly",#N/A,FALSE,"Income Statement";#N/A,#N/A,FALSE,"print segment";#N/A,#N/A,FALSE,"Balance Sheet";#N/A,#N/A,FALSE,"Annl Inc";#N/A,#N/A,FALSE,"Cash Flow"}</definedName>
    <definedName name="wrn.HLP._.Detail." localSheetId="1"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30" hidden="1">{"2002 - 2006 Detail Income Statement",#N/A,FALSE,"TUB Income Statement wo DW";"BGS Deferral",#N/A,FALSE,"BGS Deferral";"NNC Deferral",#N/A,FALSE,"NNC Deferral";"MTC Deferral",#N/A,FALSE,"MTC Deferral";#N/A,#N/A,FALSE,"Schedule D"}</definedName>
    <definedName name="wrn.HLP._.Detail." localSheetId="31"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0" hidden="1">{"2002 - 2006 Detail Income Statement",#N/A,FALSE,"TUB Income Statement wo DW";"BGS Deferral",#N/A,FALSE,"BGS Deferral";"NNC Deferral",#N/A,FALSE,"NNC Deferral";"MTC Deferral",#N/A,FALSE,"MTC Deferral";#N/A,#N/A,FALSE,"Schedule D"}</definedName>
    <definedName name="wrn.HLP._.Detail." localSheetId="10" hidden="1">{"2002 - 2006 Detail Income Statement",#N/A,FALSE,"TUB Income Statement wo DW";"BGS Deferral",#N/A,FALSE,"BGS Deferral";"NNC Deferral",#N/A,FALSE,"NNC Deferral";"MTC Deferral",#N/A,FALSE,"MTC Deferral";#N/A,#N/A,FALSE,"Schedule D"}</definedName>
    <definedName name="wrn.HLP._.Detail." localSheetId="12"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HWP_GL." localSheetId="1" hidden="1">{#N/A,#N/A,FALSE,"GLDwnLoad"}</definedName>
    <definedName name="wrn.HWP_GL." localSheetId="17" hidden="1">{#N/A,#N/A,FALSE,"GLDwnLoad"}</definedName>
    <definedName name="wrn.HWP_GL." localSheetId="30" hidden="1">{#N/A,#N/A,FALSE,"GLDwnLoad"}</definedName>
    <definedName name="wrn.HWP_GL." localSheetId="31" hidden="1">{#N/A,#N/A,FALSE,"GLDwnLoad"}</definedName>
    <definedName name="wrn.HWP_GL." localSheetId="19" hidden="1">{#N/A,#N/A,FALSE,"GLDwnLoad"}</definedName>
    <definedName name="wrn.HWP_GL." localSheetId="7" hidden="1">{#N/A,#N/A,FALSE,"GLDwnLoad"}</definedName>
    <definedName name="wrn.HWP_GL." localSheetId="0" hidden="1">{#N/A,#N/A,FALSE,"GLDwnLoad"}</definedName>
    <definedName name="wrn.HWP_GL." localSheetId="10" hidden="1">{#N/A,#N/A,FALSE,"GLDwnLoad"}</definedName>
    <definedName name="wrn.HWP_GL." localSheetId="12" hidden="1">{#N/A,#N/A,FALSE,"GLDwnLoad"}</definedName>
    <definedName name="wrn.HWP_GL." localSheetId="9" hidden="1">{#N/A,#N/A,FALSE,"GLDwnLoad"}</definedName>
    <definedName name="wrn.HWP_GL." hidden="1">{#N/A,#N/A,FALSE,"GLDwnLoad"}</definedName>
    <definedName name="wrn.HWP_INPUTS." localSheetId="1" hidden="1">{#N/A,#N/A,FALSE,"OTHERINPUTS";#N/A,#N/A,FALSE,"SUPPLIEDADJINPUT";#N/A,#N/A,FALSE,"BR&amp;SUPADJ."}</definedName>
    <definedName name="wrn.HWP_INPUTS." localSheetId="17" hidden="1">{#N/A,#N/A,FALSE,"OTHERINPUTS";#N/A,#N/A,FALSE,"SUPPLIEDADJINPUT";#N/A,#N/A,FALSE,"BR&amp;SUPADJ."}</definedName>
    <definedName name="wrn.HWP_INPUTS." localSheetId="30" hidden="1">{#N/A,#N/A,FALSE,"OTHERINPUTS";#N/A,#N/A,FALSE,"SUPPLIEDADJINPUT";#N/A,#N/A,FALSE,"BR&amp;SUPADJ."}</definedName>
    <definedName name="wrn.HWP_INPUTS." localSheetId="31" hidden="1">{#N/A,#N/A,FALSE,"OTHERINPUTS";#N/A,#N/A,FALSE,"SUPPLIEDADJINPUT";#N/A,#N/A,FALSE,"BR&amp;SUPADJ."}</definedName>
    <definedName name="wrn.HWP_INPUTS." localSheetId="19" hidden="1">{#N/A,#N/A,FALSE,"OTHERINPUTS";#N/A,#N/A,FALSE,"SUPPLIEDADJINPUT";#N/A,#N/A,FALSE,"BR&amp;SUPADJ."}</definedName>
    <definedName name="wrn.HWP_INPUTS." localSheetId="7" hidden="1">{#N/A,#N/A,FALSE,"OTHERINPUTS";#N/A,#N/A,FALSE,"SUPPLIEDADJINPUT";#N/A,#N/A,FALSE,"BR&amp;SUPADJ."}</definedName>
    <definedName name="wrn.HWP_INPUTS." localSheetId="0" hidden="1">{#N/A,#N/A,FALSE,"OTHERINPUTS";#N/A,#N/A,FALSE,"SUPPLIEDADJINPUT";#N/A,#N/A,FALSE,"BR&amp;SUPADJ."}</definedName>
    <definedName name="wrn.HWP_INPUTS." localSheetId="10" hidden="1">{#N/A,#N/A,FALSE,"OTHERINPUTS";#N/A,#N/A,FALSE,"SUPPLIEDADJINPUT";#N/A,#N/A,FALSE,"BR&amp;SUPADJ."}</definedName>
    <definedName name="wrn.HWP_INPUTS." localSheetId="12" hidden="1">{#N/A,#N/A,FALSE,"OTHERINPUTS";#N/A,#N/A,FALSE,"SUPPLIEDADJINPUT";#N/A,#N/A,FALSE,"BR&amp;SUPADJ."}</definedName>
    <definedName name="wrn.HWP_INPUTS." localSheetId="9" hidden="1">{#N/A,#N/A,FALSE,"OTHERINPUTS";#N/A,#N/A,FALSE,"SUPPLIEDADJINPUT";#N/A,#N/A,FALSE,"BR&amp;SUPADJ."}</definedName>
    <definedName name="wrn.HWP_INPUTS." hidden="1">{#N/A,#N/A,FALSE,"OTHERINPUTS";#N/A,#N/A,FALSE,"SUPPLIEDADJINPUT";#N/A,#N/A,FALSE,"BR&amp;SUPADJ."}</definedName>
    <definedName name="wrn.HWP_PROV." localSheetId="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31"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7"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0"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12"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localSheetId="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lijan._.Print." localSheetId="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TAX._.CALCULATION." localSheetId="1" hidden="1">{"JURIS_INC_TAX_CALC",#N/A,FALSE,"COSTSTUDY";"OKCLS_INC_TAX_CALC",#N/A,FALSE,"COSTSTUDY"}</definedName>
    <definedName name="wrn.INCOME._.TAX._.CALCULATION." localSheetId="17" hidden="1">{"JURIS_INC_TAX_CALC",#N/A,FALSE,"COSTSTUDY";"OKCLS_INC_TAX_CALC",#N/A,FALSE,"COSTSTUDY"}</definedName>
    <definedName name="wrn.INCOME._.TAX._.CALCULATION." localSheetId="30" hidden="1">{"JURIS_INC_TAX_CALC",#N/A,FALSE,"COSTSTUDY";"OKCLS_INC_TAX_CALC",#N/A,FALSE,"COSTSTUDY"}</definedName>
    <definedName name="wrn.INCOME._.TAX._.CALCULATION." localSheetId="31" hidden="1">{"JURIS_INC_TAX_CALC",#N/A,FALSE,"COSTSTUDY";"OKCLS_INC_TAX_CALC",#N/A,FALSE,"COSTSTUDY"}</definedName>
    <definedName name="wrn.INCOME._.TAX._.CALCULATION." localSheetId="19" hidden="1">{"JURIS_INC_TAX_CALC",#N/A,FALSE,"COSTSTUDY";"OKCLS_INC_TAX_CALC",#N/A,FALSE,"COSTSTUDY"}</definedName>
    <definedName name="wrn.INCOME._.TAX._.CALCULATION." localSheetId="7" hidden="1">{"JURIS_INC_TAX_CALC",#N/A,FALSE,"COSTSTUDY";"OKCLS_INC_TAX_CALC",#N/A,FALSE,"COSTSTUDY"}</definedName>
    <definedName name="wrn.INCOME._.TAX._.CALCULATION." localSheetId="0" hidden="1">{"JURIS_INC_TAX_CALC",#N/A,FALSE,"COSTSTUDY";"OKCLS_INC_TAX_CALC",#N/A,FALSE,"COSTSTUDY"}</definedName>
    <definedName name="wrn.INCOME._.TAX._.CALCULATION." localSheetId="10" hidden="1">{"JURIS_INC_TAX_CALC",#N/A,FALSE,"COSTSTUDY";"OKCLS_INC_TAX_CALC",#N/A,FALSE,"COSTSTUDY"}</definedName>
    <definedName name="wrn.INCOME._.TAX._.CALCULATION." localSheetId="12" hidden="1">{"JURIS_INC_TAX_CALC",#N/A,FALSE,"COSTSTUDY";"OKCLS_INC_TAX_CALC",#N/A,FALSE,"COSTSTUDY"}</definedName>
    <definedName name="wrn.INCOME._.TAX._.CALCULATION." localSheetId="9" hidden="1">{"JURIS_INC_TAX_CALC",#N/A,FALSE,"COSTSTUDY";"OKCLS_INC_TAX_CALC",#N/A,FALSE,"COSTSTUDY"}</definedName>
    <definedName name="wrn.INCOME._.TAX._.CALCULATION." hidden="1">{"JURIS_INC_TAX_CALC",#N/A,FALSE,"COSTSTUDY";"OKCLS_INC_TAX_CALC",#N/A,FALSE,"COSTSTUDY"}</definedName>
    <definedName name="wrn.IncStatement._.15._.years." localSheetId="17" hidden="1">{#N/A,#N/A,FALSE,"FinStateUS"}</definedName>
    <definedName name="wrn.IncStatement._.15._.years." localSheetId="30" hidden="1">{#N/A,#N/A,FALSE,"FinStateUS"}</definedName>
    <definedName name="wrn.IncStatement._.15._.years." localSheetId="31" hidden="1">{#N/A,#N/A,FALSE,"FinStateUS"}</definedName>
    <definedName name="wrn.IncStatement._.15._.years." localSheetId="19" hidden="1">{#N/A,#N/A,FALSE,"FinStateUS"}</definedName>
    <definedName name="wrn.IncStatement._.15._.years." localSheetId="7" hidden="1">{#N/A,#N/A,FALSE,"FinStateUS"}</definedName>
    <definedName name="wrn.IncStatement._.15._.years." localSheetId="0" hidden="1">{#N/A,#N/A,FALSE,"FinStateUS"}</definedName>
    <definedName name="wrn.IncStatement._.15._.years." localSheetId="10" hidden="1">{#N/A,#N/A,FALSE,"FinStateUS"}</definedName>
    <definedName name="wrn.IncStatement._.15._.years." localSheetId="12" hidden="1">{#N/A,#N/A,FALSE,"FinStateUS"}</definedName>
    <definedName name="wrn.IncStatement._.15._.years." localSheetId="9" hidden="1">{#N/A,#N/A,FALSE,"FinStateUS"}</definedName>
    <definedName name="wrn.IncStatement._.15._.years." hidden="1">{#N/A,#N/A,FALSE,"FinStateUS"}</definedName>
    <definedName name="wrn.IncStatement._.6._.years." localSheetId="17" hidden="1">{"IncStatement 6 years",#N/A,FALSE,"FinStateUS"}</definedName>
    <definedName name="wrn.IncStatement._.6._.years." localSheetId="30" hidden="1">{"IncStatement 6 years",#N/A,FALSE,"FinStateUS"}</definedName>
    <definedName name="wrn.IncStatement._.6._.years." localSheetId="31" hidden="1">{"IncStatement 6 years",#N/A,FALSE,"FinStateUS"}</definedName>
    <definedName name="wrn.IncStatement._.6._.years." localSheetId="19" hidden="1">{"IncStatement 6 years",#N/A,FALSE,"FinStateUS"}</definedName>
    <definedName name="wrn.IncStatement._.6._.years." localSheetId="7" hidden="1">{"IncStatement 6 years",#N/A,FALSE,"FinStateUS"}</definedName>
    <definedName name="wrn.IncStatement._.6._.years." localSheetId="0" hidden="1">{"IncStatement 6 years",#N/A,FALSE,"FinStateUS"}</definedName>
    <definedName name="wrn.IncStatement._.6._.years." localSheetId="10" hidden="1">{"IncStatement 6 years",#N/A,FALSE,"FinStateUS"}</definedName>
    <definedName name="wrn.IncStatement._.6._.years." localSheetId="12" hidden="1">{"IncStatement 6 years",#N/A,FALSE,"FinStateUS"}</definedName>
    <definedName name="wrn.IncStatement._.6._.years." localSheetId="9" hidden="1">{"IncStatement 6 years",#N/A,FALSE,"FinStateUS"}</definedName>
    <definedName name="wrn.IncStatement._.6._.years." hidden="1">{"IncStatement 6 years",#N/A,FALSE,"FinStateUS"}</definedName>
    <definedName name="wrn.Initial." localSheetId="1" hidden="1">{#N/A,"Anonymous",FALSE,"30 30k Table";#N/A,#N/A,FALSE,"30 50k Table";#N/A,#N/A,FALSE,"40 100k Table"}</definedName>
    <definedName name="wrn.Initial." localSheetId="17" hidden="1">{#N/A,"Anonymous",FALSE,"30 30k Table";#N/A,#N/A,FALSE,"30 50k Table";#N/A,#N/A,FALSE,"40 100k Table"}</definedName>
    <definedName name="wrn.Initial." localSheetId="30" hidden="1">{#N/A,"Anonymous",FALSE,"30 30k Table";#N/A,#N/A,FALSE,"30 50k Table";#N/A,#N/A,FALSE,"40 100k Table"}</definedName>
    <definedName name="wrn.Initial." localSheetId="31" hidden="1">{#N/A,"Anonymous",FALSE,"30 30k Table";#N/A,#N/A,FALSE,"30 50k Table";#N/A,#N/A,FALSE,"40 100k Table"}</definedName>
    <definedName name="wrn.Initial." localSheetId="19" hidden="1">{#N/A,"Anonymous",FALSE,"30 30k Table";#N/A,#N/A,FALSE,"30 50k Table";#N/A,#N/A,FALSE,"40 100k Table"}</definedName>
    <definedName name="wrn.Initial." localSheetId="7" hidden="1">{#N/A,"Anonymous",FALSE,"30 30k Table";#N/A,#N/A,FALSE,"30 50k Table";#N/A,#N/A,FALSE,"40 100k Table"}</definedName>
    <definedName name="wrn.Initial." localSheetId="0" hidden="1">{#N/A,"Anonymous",FALSE,"30 30k Table";#N/A,#N/A,FALSE,"30 50k Table";#N/A,#N/A,FALSE,"40 100k Table"}</definedName>
    <definedName name="wrn.Initial." localSheetId="10" hidden="1">{#N/A,"Anonymous",FALSE,"30 30k Table";#N/A,#N/A,FALSE,"30 50k Table";#N/A,#N/A,FALSE,"40 100k Table"}</definedName>
    <definedName name="wrn.Initial." localSheetId="12" hidden="1">{#N/A,"Anonymous",FALSE,"30 30k Table";#N/A,#N/A,FALSE,"30 50k Table";#N/A,#N/A,FALSE,"40 100k Table"}</definedName>
    <definedName name="wrn.Initial." localSheetId="9" hidden="1">{#N/A,"Anonymous",FALSE,"30 30k Table";#N/A,#N/A,FALSE,"30 50k Table";#N/A,#N/A,FALSE,"40 100k Table"}</definedName>
    <definedName name="wrn.Initial." hidden="1">{#N/A,"Anonymous",FALSE,"30 30k Table";#N/A,#N/A,FALSE,"30 50k Table";#N/A,#N/A,FALSE,"40 100k Table"}</definedName>
    <definedName name="wrn.INTANGIBLES." localSheetId="7" hidden="1">{#N/A,#N/A,FALSE,"T-1 Intangibles"}</definedName>
    <definedName name="wrn.INTANGIBLES." localSheetId="10" hidden="1">{#N/A,#N/A,FALSE,"T-1 Intangibles"}</definedName>
    <definedName name="wrn.INTANGIBLES." localSheetId="12" hidden="1">{#N/A,#N/A,FALSE,"T-1 Intangibles"}</definedName>
    <definedName name="wrn.INTANGIBLES." hidden="1">{#N/A,#N/A,FALSE,"T-1 Intangibles"}</definedName>
    <definedName name="wrn.INTEREST." localSheetId="7" hidden="1">{#N/A,#N/A,FALSE,"0700 Interest Expense";#N/A,#N/A,FALSE,"0700-1 Summary of Interest Earn"}</definedName>
    <definedName name="wrn.INTEREST." localSheetId="10" hidden="1">{#N/A,#N/A,FALSE,"0700 Interest Expense";#N/A,#N/A,FALSE,"0700-1 Summary of Interest Earn"}</definedName>
    <definedName name="wrn.INTEREST." localSheetId="12" hidden="1">{#N/A,#N/A,FALSE,"0700 Interest Expense";#N/A,#N/A,FALSE,"0700-1 Summary of Interest Earn"}</definedName>
    <definedName name="wrn.INTEREST." hidden="1">{#N/A,#N/A,FALSE,"0700 Interest Expense";#N/A,#N/A,FALSE,"0700-1 Summary of Interest Earn"}</definedName>
    <definedName name="wrn.INTERNAL._.ALLOC._.INPUT." localSheetId="1" hidden="1">{"JURIS_INT_ALOC_AMTS",#N/A,FALSE,"COSTSTUDY";"OKCLS_INT_ALOC_AMTS",#N/A,FALSE,"COSTSTUDY"}</definedName>
    <definedName name="wrn.INTERNAL._.ALLOC._.INPUT." localSheetId="17" hidden="1">{"JURIS_INT_ALOC_AMTS",#N/A,FALSE,"COSTSTUDY";"OKCLS_INT_ALOC_AMTS",#N/A,FALSE,"COSTSTUDY"}</definedName>
    <definedName name="wrn.INTERNAL._.ALLOC._.INPUT." localSheetId="30" hidden="1">{"JURIS_INT_ALOC_AMTS",#N/A,FALSE,"COSTSTUDY";"OKCLS_INT_ALOC_AMTS",#N/A,FALSE,"COSTSTUDY"}</definedName>
    <definedName name="wrn.INTERNAL._.ALLOC._.INPUT." localSheetId="31" hidden="1">{"JURIS_INT_ALOC_AMTS",#N/A,FALSE,"COSTSTUDY";"OKCLS_INT_ALOC_AMTS",#N/A,FALSE,"COSTSTUDY"}</definedName>
    <definedName name="wrn.INTERNAL._.ALLOC._.INPUT." localSheetId="19" hidden="1">{"JURIS_INT_ALOC_AMTS",#N/A,FALSE,"COSTSTUDY";"OKCLS_INT_ALOC_AMTS",#N/A,FALSE,"COSTSTUDY"}</definedName>
    <definedName name="wrn.INTERNAL._.ALLOC._.INPUT." localSheetId="7" hidden="1">{"JURIS_INT_ALOC_AMTS",#N/A,FALSE,"COSTSTUDY";"OKCLS_INT_ALOC_AMTS",#N/A,FALSE,"COSTSTUDY"}</definedName>
    <definedName name="wrn.INTERNAL._.ALLOC._.INPUT." localSheetId="0" hidden="1">{"JURIS_INT_ALOC_AMTS",#N/A,FALSE,"COSTSTUDY";"OKCLS_INT_ALOC_AMTS",#N/A,FALSE,"COSTSTUDY"}</definedName>
    <definedName name="wrn.INTERNAL._.ALLOC._.INPUT." localSheetId="10" hidden="1">{"JURIS_INT_ALOC_AMTS",#N/A,FALSE,"COSTSTUDY";"OKCLS_INT_ALOC_AMTS",#N/A,FALSE,"COSTSTUDY"}</definedName>
    <definedName name="wrn.INTERNAL._.ALLOC._.INPUT." localSheetId="12" hidden="1">{"JURIS_INT_ALOC_AMTS",#N/A,FALSE,"COSTSTUDY";"OKCLS_INT_ALOC_AMTS",#N/A,FALSE,"COSTSTUDY"}</definedName>
    <definedName name="wrn.INTERNAL._.ALLOC._.INPUT." localSheetId="9" hidden="1">{"JURIS_INT_ALOC_AMTS",#N/A,FALSE,"COSTSTUDY";"OKCLS_INT_ALOC_AMTS",#N/A,FALSE,"COSTSTUDY"}</definedName>
    <definedName name="wrn.INTERNAL._.ALLOC._.INPUT." hidden="1">{"JURIS_INT_ALOC_AMTS",#N/A,FALSE,"COSTSTUDY";"OKCLS_INT_ALOC_AMTS",#N/A,FALSE,"COSTSTUDY"}</definedName>
    <definedName name="wrn.INTERNAL._.ALLOC._.RATIOS." localSheetId="1" hidden="1">{"JURIS_INTAL_RATIOS",#N/A,FALSE,"COSTSTUDY";"OKCLS_INTAL_RATIOS",#N/A,FALSE,"COSTSTUDY"}</definedName>
    <definedName name="wrn.INTERNAL._.ALLOC._.RATIOS." localSheetId="17" hidden="1">{"JURIS_INTAL_RATIOS",#N/A,FALSE,"COSTSTUDY";"OKCLS_INTAL_RATIOS",#N/A,FALSE,"COSTSTUDY"}</definedName>
    <definedName name="wrn.INTERNAL._.ALLOC._.RATIOS." localSheetId="30" hidden="1">{"JURIS_INTAL_RATIOS",#N/A,FALSE,"COSTSTUDY";"OKCLS_INTAL_RATIOS",#N/A,FALSE,"COSTSTUDY"}</definedName>
    <definedName name="wrn.INTERNAL._.ALLOC._.RATIOS." localSheetId="31" hidden="1">{"JURIS_INTAL_RATIOS",#N/A,FALSE,"COSTSTUDY";"OKCLS_INTAL_RATIOS",#N/A,FALSE,"COSTSTUDY"}</definedName>
    <definedName name="wrn.INTERNAL._.ALLOC._.RATIOS." localSheetId="19" hidden="1">{"JURIS_INTAL_RATIOS",#N/A,FALSE,"COSTSTUDY";"OKCLS_INTAL_RATIOS",#N/A,FALSE,"COSTSTUDY"}</definedName>
    <definedName name="wrn.INTERNAL._.ALLOC._.RATIOS." localSheetId="7" hidden="1">{"JURIS_INTAL_RATIOS",#N/A,FALSE,"COSTSTUDY";"OKCLS_INTAL_RATIOS",#N/A,FALSE,"COSTSTUDY"}</definedName>
    <definedName name="wrn.INTERNAL._.ALLOC._.RATIOS." localSheetId="0" hidden="1">{"JURIS_INTAL_RATIOS",#N/A,FALSE,"COSTSTUDY";"OKCLS_INTAL_RATIOS",#N/A,FALSE,"COSTSTUDY"}</definedName>
    <definedName name="wrn.INTERNAL._.ALLOC._.RATIOS." localSheetId="10" hidden="1">{"JURIS_INTAL_RATIOS",#N/A,FALSE,"COSTSTUDY";"OKCLS_INTAL_RATIOS",#N/A,FALSE,"COSTSTUDY"}</definedName>
    <definedName name="wrn.INTERNAL._.ALLOC._.RATIOS." localSheetId="12" hidden="1">{"JURIS_INTAL_RATIOS",#N/A,FALSE,"COSTSTUDY";"OKCLS_INTAL_RATIOS",#N/A,FALSE,"COSTSTUDY"}</definedName>
    <definedName name="wrn.INTERNAL._.ALLOC._.RATIOS." localSheetId="9" hidden="1">{"JURIS_INTAL_RATIOS",#N/A,FALSE,"COSTSTUDY";"OKCLS_INTAL_RATIOS",#N/A,FALSE,"COSTSTUDY"}</definedName>
    <definedName name="wrn.INTERNAL._.ALLOC._.RATIOS." hidden="1">{"JURIS_INTAL_RATIOS",#N/A,FALSE,"COSTSTUDY";"OKCLS_INTAL_RATIOS",#N/A,FALSE,"COSTSTUDY"}</definedName>
    <definedName name="wrn.InterSystem." localSheetId="17" hidden="1">{"Purchases",#N/A,TRUE,"Sheet1";"Sales",#N/A,TRUE,"Sheet1"}</definedName>
    <definedName name="wrn.InterSystem." localSheetId="30" hidden="1">{"Purchases",#N/A,TRUE,"Sheet1";"Sales",#N/A,TRUE,"Sheet1"}</definedName>
    <definedName name="wrn.InterSystem." localSheetId="31" hidden="1">{"Purchases",#N/A,TRUE,"Sheet1";"Sales",#N/A,TRUE,"Sheet1"}</definedName>
    <definedName name="wrn.InterSystem." localSheetId="19" hidden="1">{"Purchases",#N/A,TRUE,"Sheet1";"Sales",#N/A,TRUE,"Sheet1"}</definedName>
    <definedName name="wrn.InterSystem." localSheetId="7" hidden="1">{"Purchases",#N/A,TRUE,"Sheet1";"Sales",#N/A,TRUE,"Sheet1"}</definedName>
    <definedName name="wrn.InterSystem." localSheetId="0" hidden="1">{"Purchases",#N/A,TRUE,"Sheet1";"Sales",#N/A,TRUE,"Sheet1"}</definedName>
    <definedName name="wrn.InterSystem." localSheetId="10" hidden="1">{"Purchases",#N/A,TRUE,"Sheet1";"Sales",#N/A,TRUE,"Sheet1"}</definedName>
    <definedName name="wrn.InterSystem." localSheetId="12" hidden="1">{"Purchases",#N/A,TRUE,"Sheet1";"Sales",#N/A,TRUE,"Sheet1"}</definedName>
    <definedName name="wrn.InterSystem." localSheetId="9" hidden="1">{"Purchases",#N/A,TRUE,"Sheet1";"Sales",#N/A,TRUE,"Sheet1"}</definedName>
    <definedName name="wrn.InterSystem." hidden="1">{"Purchases",#N/A,TRUE,"Sheet1";"Sales",#N/A,TRUE,"Sheet1"}</definedName>
    <definedName name="wrn.INVENTORY." localSheetId="7" hidden="1">{#N/A,#N/A,FALSE,"F-1 Inventory Price Test-RM";#N/A,#N/A,FALSE,"F-2 Inventory-Test Count"}</definedName>
    <definedName name="wrn.INVENTORY." localSheetId="10" hidden="1">{#N/A,#N/A,FALSE,"F-1 Inventory Price Test-RM";#N/A,#N/A,FALSE,"F-2 Inventory-Test Count"}</definedName>
    <definedName name="wrn.INVENTORY." localSheetId="12" hidden="1">{#N/A,#N/A,FALSE,"F-1 Inventory Price Test-RM";#N/A,#N/A,FALSE,"F-2 Inventory-Test Count"}</definedName>
    <definedName name="wrn.INVENTORY." hidden="1">{#N/A,#N/A,FALSE,"F-1 Inventory Price Test-RM";#N/A,#N/A,FALSE,"F-2 Inventory-Test Count"}</definedName>
    <definedName name="wrn.Investment._.Review." localSheetId="7" hidden="1">{#N/A,#N/A,FALSE,"Proforma Five Yr";#N/A,#N/A,FALSE,"Capital Input";#N/A,#N/A,FALSE,"Calculations";#N/A,#N/A,FALSE,"Transaction Summary-DTW"}</definedName>
    <definedName name="wrn.Investment._.Review." localSheetId="10" hidden="1">{#N/A,#N/A,FALSE,"Proforma Five Yr";#N/A,#N/A,FALSE,"Capital Input";#N/A,#N/A,FALSE,"Calculations";#N/A,#N/A,FALSE,"Transaction Summary-DTW"}</definedName>
    <definedName name="wrn.Investment._.Review." localSheetId="12"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7" hidden="1">{"assumptions",#N/A,FALSE,"Scenario 1";"valuation",#N/A,FALSE,"Scenario 1"}</definedName>
    <definedName name="wrn.IPO._.Valuation." localSheetId="10" hidden="1">{"assumptions",#N/A,FALSE,"Scenario 1";"valuation",#N/A,FALSE,"Scenario 1"}</definedName>
    <definedName name="wrn.IPO._.Valuation." localSheetId="12" hidden="1">{"assumptions",#N/A,FALSE,"Scenario 1";"valuation",#N/A,FALSE,"Scenario 1"}</definedName>
    <definedName name="wrn.IPO._.Valuation." hidden="1">{"assumptions",#N/A,FALSE,"Scenario 1";"valuation",#N/A,FALSE,"Scenario 1"}</definedName>
    <definedName name="wrn.LANDMGMT." localSheetId="7" hidden="1">{#N/A,#N/A,FALSE,"CAP 1998";#N/A,#N/A,FALSE,"CAP 1999";#N/A,#N/A,FALSE,"CAP 2000";#N/A,#N/A,FALSE,"CAP_2001";#N/A,#N/A,FALSE,"CAP_2002";#N/A,#N/A,FALSE,"MAINT_1998";#N/A,#N/A,FALSE,"MAINT_1999";#N/A,#N/A,FALSE,"MAINT_2000";#N/A,#N/A,FALSE,"MAINT_2001";#N/A,#N/A,FALSE,"MAINT_2002"}</definedName>
    <definedName name="wrn.LANDMGMT." localSheetId="10" hidden="1">{#N/A,#N/A,FALSE,"CAP 1998";#N/A,#N/A,FALSE,"CAP 1999";#N/A,#N/A,FALSE,"CAP 2000";#N/A,#N/A,FALSE,"CAP_2001";#N/A,#N/A,FALSE,"CAP_2002";#N/A,#N/A,FALSE,"MAINT_1998";#N/A,#N/A,FALSE,"MAINT_1999";#N/A,#N/A,FALSE,"MAINT_2000";#N/A,#N/A,FALSE,"MAINT_2001";#N/A,#N/A,FALSE,"MAINT_2002"}</definedName>
    <definedName name="wrn.LANDMGMT." localSheetId="12"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BO._.Summary." localSheetId="7" hidden="1">{"LBO Summary",#N/A,FALSE,"Summary"}</definedName>
    <definedName name="wrn.LBO._.Summary." localSheetId="10" hidden="1">{"LBO Summary",#N/A,FALSE,"Summary"}</definedName>
    <definedName name="wrn.LBO._.Summary." localSheetId="12" hidden="1">{"LBO Summary",#N/A,FALSE,"Summary"}</definedName>
    <definedName name="wrn.LBO._.Summary." hidden="1">{"LBO Summary",#N/A,FALSE,"Summary"}</definedName>
    <definedName name="wrn.LIFE._.INS.._.LOANS." localSheetId="7" hidden="1">{#N/A,#N/A,FALSE,"TT-1 Officers' Life Insurance"}</definedName>
    <definedName name="wrn.LIFE._.INS.._.LOANS." localSheetId="10" hidden="1">{#N/A,#N/A,FALSE,"TT-1 Officers' Life Insurance"}</definedName>
    <definedName name="wrn.LIFE._.INS.._.LOANS." localSheetId="12" hidden="1">{#N/A,#N/A,FALSE,"TT-1 Officers' Life Insurance"}</definedName>
    <definedName name="wrn.LIFE._.INS.._.LOANS." hidden="1">{#N/A,#N/A,FALSE,"TT-1 Officers' Life Insurance"}</definedName>
    <definedName name="wrn.LoanInformation." localSheetId="7" hidden="1">{"LoanSchedule",#N/A,FALSE,"LoanAssumptions";"LoanAssumptions",#N/A,FALSE,"LoanAssumptions"}</definedName>
    <definedName name="wrn.LoanInformation." localSheetId="10" hidden="1">{"LoanSchedule",#N/A,FALSE,"LoanAssumptions";"LoanAssumptions",#N/A,FALSE,"LoanAssumptions"}</definedName>
    <definedName name="wrn.LoanInformation." localSheetId="12" hidden="1">{"LoanSchedule",#N/A,FALSE,"LoanAssumptions";"LoanAssumptions",#N/A,FALSE,"LoanAssumptions"}</definedName>
    <definedName name="wrn.LoanInformation." hidden="1">{"LoanSchedule",#N/A,FALSE,"LoanAssumptions";"LoanAssumptions",#N/A,FALSE,"LoanAssumptions"}</definedName>
    <definedName name="wrn.LONG._.TERM._.DEBT." localSheetId="7" hidden="1">{#N/A,#N/A,FALSE,"MM-1 Long Term Debt"}</definedName>
    <definedName name="wrn.LONG._.TERM._.DEBT." localSheetId="10" hidden="1">{#N/A,#N/A,FALSE,"MM-1 Long Term Debt"}</definedName>
    <definedName name="wrn.LONG._.TERM._.DEBT." localSheetId="12" hidden="1">{#N/A,#N/A,FALSE,"MM-1 Long Term Debt"}</definedName>
    <definedName name="wrn.LONG._.TERM._.DEBT." hidden="1">{#N/A,#N/A,FALSE,"MM-1 Long Term Debt"}</definedName>
    <definedName name="wrn.market._.share." localSheetId="1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31"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19"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7"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1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12"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9"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ABLE._.SEC.." localSheetId="7" hidden="1">{#N/A,#N/A,FALSE,"B-1 Mkt. Sec. - Int.";#N/A,#N/A,FALSE,"B-2 Mkt. Sec. - Val.";#N/A,#N/A,FALSE,"B-3 Mkt. Sec. - Gain (Loss)"}</definedName>
    <definedName name="wrn.MARKETABLE._.SEC.." localSheetId="10" hidden="1">{#N/A,#N/A,FALSE,"B-1 Mkt. Sec. - Int.";#N/A,#N/A,FALSE,"B-2 Mkt. Sec. - Val.";#N/A,#N/A,FALSE,"B-3 Mkt. Sec. - Gain (Loss)"}</definedName>
    <definedName name="wrn.MARKETABLE._.SEC.." localSheetId="12" hidden="1">{#N/A,#N/A,FALSE,"B-1 Mkt. Sec. - Int.";#N/A,#N/A,FALSE,"B-2 Mkt. Sec. - Val.";#N/A,#N/A,FALSE,"B-3 Mkt. Sec. - Gain (Loss)"}</definedName>
    <definedName name="wrn.MARKETABLE._.SEC.." hidden="1">{#N/A,#N/A,FALSE,"B-1 Mkt. Sec. - Int.";#N/A,#N/A,FALSE,"B-2 Mkt. Sec. - Val.";#N/A,#N/A,FALSE,"B-3 Mkt. Sec. - Gain (Loss)"}</definedName>
    <definedName name="wrn.MFR."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3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localSheetId="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localSheetId="1" hidden="1">{#N/A,#N/A,FALSE,"Page 1";#N/A,#N/A,FALSE,"Page 2";#N/A,#N/A,FALSE,"Page 3";#N/A,#N/A,FALSE,"Page 4";#N/A,#N/A,FALSE,"Page 5";#N/A,#N/A,FALSE,"Page 6";#N/A,#N/A,FALSE,"Page 7";#N/A,#N/A,FALSE,"Page 8";#N/A,#N/A,FALSE,"Page 9";#N/A,#N/A,FALSE,"PG8WP";#N/A,#N/A,FALSE,"PG9WP"}</definedName>
    <definedName name="wrn.MMFRENT." localSheetId="17" hidden="1">{#N/A,#N/A,FALSE,"Page 1";#N/A,#N/A,FALSE,"Page 2";#N/A,#N/A,FALSE,"Page 3";#N/A,#N/A,FALSE,"Page 4";#N/A,#N/A,FALSE,"Page 5";#N/A,#N/A,FALSE,"Page 6";#N/A,#N/A,FALSE,"Page 7";#N/A,#N/A,FALSE,"Page 8";#N/A,#N/A,FALSE,"Page 9";#N/A,#N/A,FALSE,"PG8WP";#N/A,#N/A,FALSE,"PG9WP"}</definedName>
    <definedName name="wrn.MMFRENT." localSheetId="30" hidden="1">{#N/A,#N/A,FALSE,"Page 1";#N/A,#N/A,FALSE,"Page 2";#N/A,#N/A,FALSE,"Page 3";#N/A,#N/A,FALSE,"Page 4";#N/A,#N/A,FALSE,"Page 5";#N/A,#N/A,FALSE,"Page 6";#N/A,#N/A,FALSE,"Page 7";#N/A,#N/A,FALSE,"Page 8";#N/A,#N/A,FALSE,"Page 9";#N/A,#N/A,FALSE,"PG8WP";#N/A,#N/A,FALSE,"PG9WP"}</definedName>
    <definedName name="wrn.MMFRENT." localSheetId="31" hidden="1">{#N/A,#N/A,FALSE,"Page 1";#N/A,#N/A,FALSE,"Page 2";#N/A,#N/A,FALSE,"Page 3";#N/A,#N/A,FALSE,"Page 4";#N/A,#N/A,FALSE,"Page 5";#N/A,#N/A,FALSE,"Page 6";#N/A,#N/A,FALSE,"Page 7";#N/A,#N/A,FALSE,"Page 8";#N/A,#N/A,FALSE,"Page 9";#N/A,#N/A,FALSE,"PG8WP";#N/A,#N/A,FALSE,"PG9WP"}</definedName>
    <definedName name="wrn.MMFRENT." localSheetId="19" hidden="1">{#N/A,#N/A,FALSE,"Page 1";#N/A,#N/A,FALSE,"Page 2";#N/A,#N/A,FALSE,"Page 3";#N/A,#N/A,FALSE,"Page 4";#N/A,#N/A,FALSE,"Page 5";#N/A,#N/A,FALSE,"Page 6";#N/A,#N/A,FALSE,"Page 7";#N/A,#N/A,FALSE,"Page 8";#N/A,#N/A,FALSE,"Page 9";#N/A,#N/A,FALSE,"PG8WP";#N/A,#N/A,FALSE,"PG9WP"}</definedName>
    <definedName name="wrn.MMFRENT." localSheetId="7" hidden="1">{#N/A,#N/A,FALSE,"Page 1";#N/A,#N/A,FALSE,"Page 2";#N/A,#N/A,FALSE,"Page 3";#N/A,#N/A,FALSE,"Page 4";#N/A,#N/A,FALSE,"Page 5";#N/A,#N/A,FALSE,"Page 6";#N/A,#N/A,FALSE,"Page 7";#N/A,#N/A,FALSE,"Page 8";#N/A,#N/A,FALSE,"Page 9";#N/A,#N/A,FALSE,"PG8WP";#N/A,#N/A,FALSE,"PG9WP"}</definedName>
    <definedName name="wrn.MMFRENT." localSheetId="0" hidden="1">{#N/A,#N/A,FALSE,"Page 1";#N/A,#N/A,FALSE,"Page 2";#N/A,#N/A,FALSE,"Page 3";#N/A,#N/A,FALSE,"Page 4";#N/A,#N/A,FALSE,"Page 5";#N/A,#N/A,FALSE,"Page 6";#N/A,#N/A,FALSE,"Page 7";#N/A,#N/A,FALSE,"Page 8";#N/A,#N/A,FALSE,"Page 9";#N/A,#N/A,FALSE,"PG8WP";#N/A,#N/A,FALSE,"PG9WP"}</definedName>
    <definedName name="wrn.MMFRENT." localSheetId="10" hidden="1">{#N/A,#N/A,FALSE,"Page 1";#N/A,#N/A,FALSE,"Page 2";#N/A,#N/A,FALSE,"Page 3";#N/A,#N/A,FALSE,"Page 4";#N/A,#N/A,FALSE,"Page 5";#N/A,#N/A,FALSE,"Page 6";#N/A,#N/A,FALSE,"Page 7";#N/A,#N/A,FALSE,"Page 8";#N/A,#N/A,FALSE,"Page 9";#N/A,#N/A,FALSE,"PG8WP";#N/A,#N/A,FALSE,"PG9WP"}</definedName>
    <definedName name="wrn.MMFRENT." localSheetId="12" hidden="1">{#N/A,#N/A,FALSE,"Page 1";#N/A,#N/A,FALSE,"Page 2";#N/A,#N/A,FALSE,"Page 3";#N/A,#N/A,FALSE,"Page 4";#N/A,#N/A,FALSE,"Page 5";#N/A,#N/A,FALSE,"Page 6";#N/A,#N/A,FALSE,"Page 7";#N/A,#N/A,FALSE,"Page 8";#N/A,#N/A,FALSE,"Page 9";#N/A,#N/A,FALSE,"PG8WP";#N/A,#N/A,FALSE,"PG9WP"}</definedName>
    <definedName name="wrn.MMFRENT." localSheetId="9" hidden="1">{#N/A,#N/A,FALSE,"Page 1";#N/A,#N/A,FALSE,"Page 2";#N/A,#N/A,FALSE,"Page 3";#N/A,#N/A,FALSE,"Page 4";#N/A,#N/A,FALSE,"Page 5";#N/A,#N/A,FALSE,"Page 6";#N/A,#N/A,FALSE,"Page 7";#N/A,#N/A,FALSE,"Page 8";#N/A,#N/A,FALSE,"Page 9";#N/A,#N/A,FALSE,"PG8WP";#N/A,#N/A,FALSE,"PG9WP"}</definedName>
    <definedName name="wrn.MMFRENT." hidden="1">{#N/A,#N/A,FALSE,"Page 1";#N/A,#N/A,FALSE,"Page 2";#N/A,#N/A,FALSE,"Page 3";#N/A,#N/A,FALSE,"Page 4";#N/A,#N/A,FALSE,"Page 5";#N/A,#N/A,FALSE,"Page 6";#N/A,#N/A,FALSE,"Page 7";#N/A,#N/A,FALSE,"Page 8";#N/A,#N/A,FALSE,"Page 9";#N/A,#N/A,FALSE,"PG8WP";#N/A,#N/A,FALSE,"PG9WP"}</definedName>
    <definedName name="wrn.mmfrent2" localSheetId="1" hidden="1">{#N/A,#N/A,FALSE,"Page 1";#N/A,#N/A,FALSE,"Page 2";#N/A,#N/A,FALSE,"Page 3";#N/A,#N/A,FALSE,"Page 4";#N/A,#N/A,FALSE,"Page 5";#N/A,#N/A,FALSE,"Page 6";#N/A,#N/A,FALSE,"Page 7";#N/A,#N/A,FALSE,"Page 8";#N/A,#N/A,FALSE,"Page 9";#N/A,#N/A,FALSE,"PG8WP";#N/A,#N/A,FALSE,"PG9WP"}</definedName>
    <definedName name="wrn.mmfrent2" localSheetId="17" hidden="1">{#N/A,#N/A,FALSE,"Page 1";#N/A,#N/A,FALSE,"Page 2";#N/A,#N/A,FALSE,"Page 3";#N/A,#N/A,FALSE,"Page 4";#N/A,#N/A,FALSE,"Page 5";#N/A,#N/A,FALSE,"Page 6";#N/A,#N/A,FALSE,"Page 7";#N/A,#N/A,FALSE,"Page 8";#N/A,#N/A,FALSE,"Page 9";#N/A,#N/A,FALSE,"PG8WP";#N/A,#N/A,FALSE,"PG9WP"}</definedName>
    <definedName name="wrn.mmfrent2" localSheetId="30" hidden="1">{#N/A,#N/A,FALSE,"Page 1";#N/A,#N/A,FALSE,"Page 2";#N/A,#N/A,FALSE,"Page 3";#N/A,#N/A,FALSE,"Page 4";#N/A,#N/A,FALSE,"Page 5";#N/A,#N/A,FALSE,"Page 6";#N/A,#N/A,FALSE,"Page 7";#N/A,#N/A,FALSE,"Page 8";#N/A,#N/A,FALSE,"Page 9";#N/A,#N/A,FALSE,"PG8WP";#N/A,#N/A,FALSE,"PG9WP"}</definedName>
    <definedName name="wrn.mmfrent2" localSheetId="31" hidden="1">{#N/A,#N/A,FALSE,"Page 1";#N/A,#N/A,FALSE,"Page 2";#N/A,#N/A,FALSE,"Page 3";#N/A,#N/A,FALSE,"Page 4";#N/A,#N/A,FALSE,"Page 5";#N/A,#N/A,FALSE,"Page 6";#N/A,#N/A,FALSE,"Page 7";#N/A,#N/A,FALSE,"Page 8";#N/A,#N/A,FALSE,"Page 9";#N/A,#N/A,FALSE,"PG8WP";#N/A,#N/A,FALSE,"PG9WP"}</definedName>
    <definedName name="wrn.mmfrent2" localSheetId="19" hidden="1">{#N/A,#N/A,FALSE,"Page 1";#N/A,#N/A,FALSE,"Page 2";#N/A,#N/A,FALSE,"Page 3";#N/A,#N/A,FALSE,"Page 4";#N/A,#N/A,FALSE,"Page 5";#N/A,#N/A,FALSE,"Page 6";#N/A,#N/A,FALSE,"Page 7";#N/A,#N/A,FALSE,"Page 8";#N/A,#N/A,FALSE,"Page 9";#N/A,#N/A,FALSE,"PG8WP";#N/A,#N/A,FALSE,"PG9WP"}</definedName>
    <definedName name="wrn.mmfrent2" localSheetId="7" hidden="1">{#N/A,#N/A,FALSE,"Page 1";#N/A,#N/A,FALSE,"Page 2";#N/A,#N/A,FALSE,"Page 3";#N/A,#N/A,FALSE,"Page 4";#N/A,#N/A,FALSE,"Page 5";#N/A,#N/A,FALSE,"Page 6";#N/A,#N/A,FALSE,"Page 7";#N/A,#N/A,FALSE,"Page 8";#N/A,#N/A,FALSE,"Page 9";#N/A,#N/A,FALSE,"PG8WP";#N/A,#N/A,FALSE,"PG9WP"}</definedName>
    <definedName name="wrn.mmfrent2" localSheetId="0" hidden="1">{#N/A,#N/A,FALSE,"Page 1";#N/A,#N/A,FALSE,"Page 2";#N/A,#N/A,FALSE,"Page 3";#N/A,#N/A,FALSE,"Page 4";#N/A,#N/A,FALSE,"Page 5";#N/A,#N/A,FALSE,"Page 6";#N/A,#N/A,FALSE,"Page 7";#N/A,#N/A,FALSE,"Page 8";#N/A,#N/A,FALSE,"Page 9";#N/A,#N/A,FALSE,"PG8WP";#N/A,#N/A,FALSE,"PG9WP"}</definedName>
    <definedName name="wrn.mmfrent2" localSheetId="10" hidden="1">{#N/A,#N/A,FALSE,"Page 1";#N/A,#N/A,FALSE,"Page 2";#N/A,#N/A,FALSE,"Page 3";#N/A,#N/A,FALSE,"Page 4";#N/A,#N/A,FALSE,"Page 5";#N/A,#N/A,FALSE,"Page 6";#N/A,#N/A,FALSE,"Page 7";#N/A,#N/A,FALSE,"Page 8";#N/A,#N/A,FALSE,"Page 9";#N/A,#N/A,FALSE,"PG8WP";#N/A,#N/A,FALSE,"PG9WP"}</definedName>
    <definedName name="wrn.mmfrent2" localSheetId="12" hidden="1">{#N/A,#N/A,FALSE,"Page 1";#N/A,#N/A,FALSE,"Page 2";#N/A,#N/A,FALSE,"Page 3";#N/A,#N/A,FALSE,"Page 4";#N/A,#N/A,FALSE,"Page 5";#N/A,#N/A,FALSE,"Page 6";#N/A,#N/A,FALSE,"Page 7";#N/A,#N/A,FALSE,"Page 8";#N/A,#N/A,FALSE,"Page 9";#N/A,#N/A,FALSE,"PG8WP";#N/A,#N/A,FALSE,"PG9WP"}</definedName>
    <definedName name="wrn.mmfrent2" localSheetId="9" hidden="1">{#N/A,#N/A,FALSE,"Page 1";#N/A,#N/A,FALSE,"Page 2";#N/A,#N/A,FALSE,"Page 3";#N/A,#N/A,FALSE,"Page 4";#N/A,#N/A,FALSE,"Page 5";#N/A,#N/A,FALSE,"Page 6";#N/A,#N/A,FALSE,"Page 7";#N/A,#N/A,FALSE,"Page 8";#N/A,#N/A,FALSE,"Page 9";#N/A,#N/A,FALSE,"PG8WP";#N/A,#N/A,FALSE,"PG9WP"}</definedName>
    <definedName name="wrn.mmfrent2" hidden="1">{#N/A,#N/A,FALSE,"Page 1";#N/A,#N/A,FALSE,"Page 2";#N/A,#N/A,FALSE,"Page 3";#N/A,#N/A,FALSE,"Page 4";#N/A,#N/A,FALSE,"Page 5";#N/A,#N/A,FALSE,"Page 6";#N/A,#N/A,FALSE,"Page 7";#N/A,#N/A,FALSE,"Page 8";#N/A,#N/A,FALSE,"Page 9";#N/A,#N/A,FALSE,"PG8WP";#N/A,#N/A,FALSE,"PG9WP"}</definedName>
    <definedName name="wrn.Model." localSheetId="7" hidden="1">{"EM",#N/A,FALSE,"EM";"EM_Quarters",#N/A,FALSE,"EM";"BS",#N/A,FALSE,"BS";"CF",#N/A,FALSE,"CF"}</definedName>
    <definedName name="wrn.Model." localSheetId="10" hidden="1">{"EM",#N/A,FALSE,"EM";"EM_Quarters",#N/A,FALSE,"EM";"BS",#N/A,FALSE,"BS";"CF",#N/A,FALSE,"CF"}</definedName>
    <definedName name="wrn.Model." localSheetId="12" hidden="1">{"EM",#N/A,FALSE,"EM";"EM_Quarters",#N/A,FALSE,"EM";"BS",#N/A,FALSE,"BS";"CF",#N/A,FALSE,"CF"}</definedName>
    <definedName name="wrn.Model." hidden="1">{"EM",#N/A,FALSE,"EM";"EM_Quarters",#N/A,FALSE,"EM";"BS",#N/A,FALSE,"BS";"CF",#N/A,FALSE,"CF"}</definedName>
    <definedName name="wrn.Month.Qtr.YTD." localSheetId="7" hidden="1">{#N/A,#N/A,FALSE,"Cover";"NI_Mon.Qtr.YTD",#N/A,FALSE,"Net Income";"Earnings_Month.Qtr.YTD",#N/A,FALSE,"Earnings";#N/A,#N/A,FALSE,"Indicators"}</definedName>
    <definedName name="wrn.Month.Qtr.YTD." localSheetId="10" hidden="1">{#N/A,#N/A,FALSE,"Cover";"NI_Mon.Qtr.YTD",#N/A,FALSE,"Net Income";"Earnings_Month.Qtr.YTD",#N/A,FALSE,"Earnings";#N/A,#N/A,FALSE,"Indicators"}</definedName>
    <definedName name="wrn.Month.Qtr.YTD." localSheetId="12" hidden="1">{#N/A,#N/A,FALSE,"Cover";"NI_Mon.Qtr.YTD",#N/A,FALSE,"Net Income";"Earnings_Month.Qtr.YTD",#N/A,FALSE,"Earnings";#N/A,#N/A,FALSE,"Indicators"}</definedName>
    <definedName name="wrn.Month.Qtr.YTD." hidden="1">{#N/A,#N/A,FALSE,"Cover";"NI_Mon.Qtr.YTD",#N/A,FALSE,"Net Income";"Earnings_Month.Qtr.YTD",#N/A,FALSE,"Earnings";#N/A,#N/A,FALSE,"Indicators"}</definedName>
    <definedName name="wrn.Month.YTD." localSheetId="7" hidden="1">{#N/A,#N/A,FALSE,"Cover";"NI_Mon.YTD",#N/A,FALSE,"Net Income";"Earnings_Month.YTD",#N/A,FALSE,"Earnings";#N/A,#N/A,FALSE,"Indicators"}</definedName>
    <definedName name="wrn.Month.YTD." localSheetId="10" hidden="1">{#N/A,#N/A,FALSE,"Cover";"NI_Mon.YTD",#N/A,FALSE,"Net Income";"Earnings_Month.YTD",#N/A,FALSE,"Earnings";#N/A,#N/A,FALSE,"Indicators"}</definedName>
    <definedName name="wrn.Month.YTD." localSheetId="12" hidden="1">{#N/A,#N/A,FALSE,"Cover";"NI_Mon.YTD",#N/A,FALSE,"Net Income";"Earnings_Month.YTD",#N/A,FALSE,"Earnings";#N/A,#N/A,FALSE,"Indicators"}</definedName>
    <definedName name="wrn.Month.YTD." hidden="1">{#N/A,#N/A,FALSE,"Cover";"NI_Mon.YTD",#N/A,FALSE,"Net Income";"Earnings_Month.YTD",#N/A,FALSE,"Earnings";#N/A,#N/A,FALSE,"Indicators"}</definedName>
    <definedName name="wrn.MONTH_QTR_YTD." localSheetId="7" hidden="1">{"MTH_QTR_YTD",#N/A,FALSE,"Summary";"VAR_MTH_QTR_YTD",#N/A,FALSE,"Summary"}</definedName>
    <definedName name="wrn.MONTH_QTR_YTD." localSheetId="10" hidden="1">{"MTH_QTR_YTD",#N/A,FALSE,"Summary";"VAR_MTH_QTR_YTD",#N/A,FALSE,"Summary"}</definedName>
    <definedName name="wrn.MONTH_QTR_YTD." localSheetId="12" hidden="1">{"MTH_QTR_YTD",#N/A,FALSE,"Summary";"VAR_MTH_QTR_YTD",#N/A,FALSE,"Summary"}</definedName>
    <definedName name="wrn.MONTH_QTR_YTD." hidden="1">{"MTH_QTR_YTD",#N/A,FALSE,"Summary";"VAR_MTH_QTR_YTD",#N/A,FALSE,"Summary"}</definedName>
    <definedName name="wrn.MONTH_YTD." localSheetId="7" hidden="1">{"MTH_YTD",#N/A,FALSE,"Summary";"VAR_MTH_YTD",#N/A,FALSE,"Summary"}</definedName>
    <definedName name="wrn.MONTH_YTD." localSheetId="10" hidden="1">{"MTH_YTD",#N/A,FALSE,"Summary";"VAR_MTH_YTD",#N/A,FALSE,"Summary"}</definedName>
    <definedName name="wrn.MONTH_YTD." localSheetId="12" hidden="1">{"MTH_YTD",#N/A,FALSE,"Summary";"VAR_MTH_YTD",#N/A,FALSE,"Summary"}</definedName>
    <definedName name="wrn.MONTH_YTD." hidden="1">{"MTH_YTD",#N/A,FALSE,"Summary";"VAR_MTH_YTD",#N/A,FALSE,"Summary"}</definedName>
    <definedName name="wrn.monthly." localSheetId="7" hidden="1">{"monthly",#N/A,FALSE,"Monthly"}</definedName>
    <definedName name="wrn.monthly." localSheetId="10" hidden="1">{"monthly",#N/A,FALSE,"Monthly"}</definedName>
    <definedName name="wrn.monthly." localSheetId="12" hidden="1">{"monthly",#N/A,FALSE,"Monthly"}</definedName>
    <definedName name="wrn.monthly." hidden="1">{"monthly",#N/A,FALSE,"Monthly"}</definedName>
    <definedName name="wrn.MonthlyRentRoll." localSheetId="7" hidden="1">{"MonthlyRentRoll",#N/A,FALSE,"RentRoll"}</definedName>
    <definedName name="wrn.MonthlyRentRoll." localSheetId="10" hidden="1">{"MonthlyRentRoll",#N/A,FALSE,"RentRoll"}</definedName>
    <definedName name="wrn.MonthlyRentRoll." localSheetId="12" hidden="1">{"MonthlyRentRoll",#N/A,FALSE,"RentRoll"}</definedName>
    <definedName name="wrn.MonthlyRentRoll." hidden="1">{"MonthlyRentRoll",#N/A,FALSE,"RentRoll"}</definedName>
    <definedName name="wrn.N.O.L.." localSheetId="7" hidden="1">{#N/A,#N/A,FALSE,"91NOLCB";#N/A,#N/A,FALSE,"92NOLCB";#N/A,#N/A,FALSE,"93NOLCB"}</definedName>
    <definedName name="wrn.N.O.L.." localSheetId="10" hidden="1">{#N/A,#N/A,FALSE,"91NOLCB";#N/A,#N/A,FALSE,"92NOLCB";#N/A,#N/A,FALSE,"93NOLCB"}</definedName>
    <definedName name="wrn.N.O.L.." localSheetId="12" hidden="1">{#N/A,#N/A,FALSE,"91NOLCB";#N/A,#N/A,FALSE,"92NOLCB";#N/A,#N/A,FALSE,"93NOLCB"}</definedName>
    <definedName name="wrn.N.O.L.." hidden="1">{#N/A,#N/A,FALSE,"91NOLCB";#N/A,#N/A,FALSE,"92NOLCB";#N/A,#N/A,FALSE,"93NOLCB"}</definedName>
    <definedName name="wrn.ND._.Schedules._.Clean." localSheetId="1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30"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31"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19"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7"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0"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10"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12"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localSheetId="9"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NOTES._.REC.." localSheetId="7" hidden="1">{#N/A,#N/A,FALSE,"H-1 Notes Receivable"}</definedName>
    <definedName name="wrn.NOTES._.REC.." localSheetId="10" hidden="1">{#N/A,#N/A,FALSE,"H-1 Notes Receivable"}</definedName>
    <definedName name="wrn.NOTES._.REC.." localSheetId="12" hidden="1">{#N/A,#N/A,FALSE,"H-1 Notes Receivable"}</definedName>
    <definedName name="wrn.NOTES._.REC.." hidden="1">{#N/A,#N/A,FALSE,"H-1 Notes Receivable"}</definedName>
    <definedName name="wrn.OK._.FUEL._.COMPARISON." localSheetId="1" hidden="1">{"OK_FUEL_COMPARISON",#N/A,FALSE,"Ok_Fuel&amp;Rev"}</definedName>
    <definedName name="wrn.OK._.FUEL._.COMPARISON." localSheetId="17" hidden="1">{"OK_FUEL_COMPARISON",#N/A,FALSE,"Ok_Fuel&amp;Rev"}</definedName>
    <definedName name="wrn.OK._.FUEL._.COMPARISON." localSheetId="30" hidden="1">{"OK_FUEL_COMPARISON",#N/A,FALSE,"Ok_Fuel&amp;Rev"}</definedName>
    <definedName name="wrn.OK._.FUEL._.COMPARISON." localSheetId="31" hidden="1">{"OK_FUEL_COMPARISON",#N/A,FALSE,"Ok_Fuel&amp;Rev"}</definedName>
    <definedName name="wrn.OK._.FUEL._.COMPARISON." localSheetId="19" hidden="1">{"OK_FUEL_COMPARISON",#N/A,FALSE,"Ok_Fuel&amp;Rev"}</definedName>
    <definedName name="wrn.OK._.FUEL._.COMPARISON." localSheetId="7" hidden="1">{"OK_FUEL_COMPARISON",#N/A,FALSE,"Ok_Fuel&amp;Rev"}</definedName>
    <definedName name="wrn.OK._.FUEL._.COMPARISON." localSheetId="0" hidden="1">{"OK_FUEL_COMPARISON",#N/A,FALSE,"Ok_Fuel&amp;Rev"}</definedName>
    <definedName name="wrn.OK._.FUEL._.COMPARISON." localSheetId="10" hidden="1">{"OK_FUEL_COMPARISON",#N/A,FALSE,"Ok_Fuel&amp;Rev"}</definedName>
    <definedName name="wrn.OK._.FUEL._.COMPARISON." localSheetId="12" hidden="1">{"OK_FUEL_COMPARISON",#N/A,FALSE,"Ok_Fuel&amp;Rev"}</definedName>
    <definedName name="wrn.OK._.FUEL._.COMPARISON." localSheetId="9" hidden="1">{"OK_FUEL_COMPARISON",#N/A,FALSE,"Ok_Fuel&amp;Rev"}</definedName>
    <definedName name="wrn.OK._.FUEL._.COMPARISON." hidden="1">{"OK_FUEL_COMPARISON",#N/A,FALSE,"Ok_Fuel&amp;Rev"}</definedName>
    <definedName name="wrn.OK._.JURIS._.FAC._.CALCULATION." localSheetId="1" hidden="1">{"OK_JURIS_FAC",#N/A,FALSE,"Ok_Fuel&amp;Rev"}</definedName>
    <definedName name="wrn.OK._.JURIS._.FAC._.CALCULATION." localSheetId="17" hidden="1">{"OK_JURIS_FAC",#N/A,FALSE,"Ok_Fuel&amp;Rev"}</definedName>
    <definedName name="wrn.OK._.JURIS._.FAC._.CALCULATION." localSheetId="30" hidden="1">{"OK_JURIS_FAC",#N/A,FALSE,"Ok_Fuel&amp;Rev"}</definedName>
    <definedName name="wrn.OK._.JURIS._.FAC._.CALCULATION." localSheetId="31" hidden="1">{"OK_JURIS_FAC",#N/A,FALSE,"Ok_Fuel&amp;Rev"}</definedName>
    <definedName name="wrn.OK._.JURIS._.FAC._.CALCULATION." localSheetId="19" hidden="1">{"OK_JURIS_FAC",#N/A,FALSE,"Ok_Fuel&amp;Rev"}</definedName>
    <definedName name="wrn.OK._.JURIS._.FAC._.CALCULATION." localSheetId="7" hidden="1">{"OK_JURIS_FAC",#N/A,FALSE,"Ok_Fuel&amp;Rev"}</definedName>
    <definedName name="wrn.OK._.JURIS._.FAC._.CALCULATION." localSheetId="0" hidden="1">{"OK_JURIS_FAC",#N/A,FALSE,"Ok_Fuel&amp;Rev"}</definedName>
    <definedName name="wrn.OK._.JURIS._.FAC._.CALCULATION." localSheetId="10" hidden="1">{"OK_JURIS_FAC",#N/A,FALSE,"Ok_Fuel&amp;Rev"}</definedName>
    <definedName name="wrn.OK._.JURIS._.FAC._.CALCULATION." localSheetId="12" hidden="1">{"OK_JURIS_FAC",#N/A,FALSE,"Ok_Fuel&amp;Rev"}</definedName>
    <definedName name="wrn.OK._.JURIS._.FAC._.CALCULATION." localSheetId="9" hidden="1">{"OK_JURIS_FAC",#N/A,FALSE,"Ok_Fuel&amp;Rev"}</definedName>
    <definedName name="wrn.OK._.JURIS._.FAC._.CALCULATION." hidden="1">{"OK_JURIS_FAC",#N/A,FALSE,"Ok_Fuel&amp;Rev"}</definedName>
    <definedName name="wrn.OK._.JURIS._.FUEL._.COST." localSheetId="1" hidden="1">{"OK_JURIS_FUEL",#N/A,FALSE,"Ok_Fuel&amp;Rev"}</definedName>
    <definedName name="wrn.OK._.JURIS._.FUEL._.COST." localSheetId="17" hidden="1">{"OK_JURIS_FUEL",#N/A,FALSE,"Ok_Fuel&amp;Rev"}</definedName>
    <definedName name="wrn.OK._.JURIS._.FUEL._.COST." localSheetId="30" hidden="1">{"OK_JURIS_FUEL",#N/A,FALSE,"Ok_Fuel&amp;Rev"}</definedName>
    <definedName name="wrn.OK._.JURIS._.FUEL._.COST." localSheetId="31" hidden="1">{"OK_JURIS_FUEL",#N/A,FALSE,"Ok_Fuel&amp;Rev"}</definedName>
    <definedName name="wrn.OK._.JURIS._.FUEL._.COST." localSheetId="19" hidden="1">{"OK_JURIS_FUEL",#N/A,FALSE,"Ok_Fuel&amp;Rev"}</definedName>
    <definedName name="wrn.OK._.JURIS._.FUEL._.COST." localSheetId="7" hidden="1">{"OK_JURIS_FUEL",#N/A,FALSE,"Ok_Fuel&amp;Rev"}</definedName>
    <definedName name="wrn.OK._.JURIS._.FUEL._.COST." localSheetId="0" hidden="1">{"OK_JURIS_FUEL",#N/A,FALSE,"Ok_Fuel&amp;Rev"}</definedName>
    <definedName name="wrn.OK._.JURIS._.FUEL._.COST." localSheetId="10" hidden="1">{"OK_JURIS_FUEL",#N/A,FALSE,"Ok_Fuel&amp;Rev"}</definedName>
    <definedName name="wrn.OK._.JURIS._.FUEL._.COST." localSheetId="12" hidden="1">{"OK_JURIS_FUEL",#N/A,FALSE,"Ok_Fuel&amp;Rev"}</definedName>
    <definedName name="wrn.OK._.JURIS._.FUEL._.COST." localSheetId="9" hidden="1">{"OK_JURIS_FUEL",#N/A,FALSE,"Ok_Fuel&amp;Rev"}</definedName>
    <definedName name="wrn.OK._.JURIS._.FUEL._.COST." hidden="1">{"OK_JURIS_FUEL",#N/A,FALSE,"Ok_Fuel&amp;Rev"}</definedName>
    <definedName name="wrn.OKLA._.PRO._.FORMA._.FUEL." localSheetId="1" hidden="1">{"OK_PRO_FORMA_FUEL",#N/A,FALSE,"Ok_Fuel&amp;Rev"}</definedName>
    <definedName name="wrn.OKLA._.PRO._.FORMA._.FUEL." localSheetId="17" hidden="1">{"OK_PRO_FORMA_FUEL",#N/A,FALSE,"Ok_Fuel&amp;Rev"}</definedName>
    <definedName name="wrn.OKLA._.PRO._.FORMA._.FUEL." localSheetId="30" hidden="1">{"OK_PRO_FORMA_FUEL",#N/A,FALSE,"Ok_Fuel&amp;Rev"}</definedName>
    <definedName name="wrn.OKLA._.PRO._.FORMA._.FUEL." localSheetId="31" hidden="1">{"OK_PRO_FORMA_FUEL",#N/A,FALSE,"Ok_Fuel&amp;Rev"}</definedName>
    <definedName name="wrn.OKLA._.PRO._.FORMA._.FUEL." localSheetId="19" hidden="1">{"OK_PRO_FORMA_FUEL",#N/A,FALSE,"Ok_Fuel&amp;Rev"}</definedName>
    <definedName name="wrn.OKLA._.PRO._.FORMA._.FUEL." localSheetId="7" hidden="1">{"OK_PRO_FORMA_FUEL",#N/A,FALSE,"Ok_Fuel&amp;Rev"}</definedName>
    <definedName name="wrn.OKLA._.PRO._.FORMA._.FUEL." localSheetId="0" hidden="1">{"OK_PRO_FORMA_FUEL",#N/A,FALSE,"Ok_Fuel&amp;Rev"}</definedName>
    <definedName name="wrn.OKLA._.PRO._.FORMA._.FUEL." localSheetId="10" hidden="1">{"OK_PRO_FORMA_FUEL",#N/A,FALSE,"Ok_Fuel&amp;Rev"}</definedName>
    <definedName name="wrn.OKLA._.PRO._.FORMA._.FUEL." localSheetId="12" hidden="1">{"OK_PRO_FORMA_FUEL",#N/A,FALSE,"Ok_Fuel&amp;Rev"}</definedName>
    <definedName name="wrn.OKLA._.PRO._.FORMA._.FUEL." localSheetId="9" hidden="1">{"OK_PRO_FORMA_FUEL",#N/A,FALSE,"Ok_Fuel&amp;Rev"}</definedName>
    <definedName name="wrn.OKLA._.PRO._.FORMA._.FUEL." hidden="1">{"OK_PRO_FORMA_FUEL",#N/A,FALSE,"Ok_Fuel&amp;Rev"}</definedName>
    <definedName name="wrn.OM._.EXPENSES." localSheetId="1" hidden="1">{"JURIS_OM_EXP",#N/A,FALSE,"COSTSTUDY";"OKCLS_OM_EXP",#N/A,FALSE,"COSTSTUDY"}</definedName>
    <definedName name="wrn.OM._.EXPENSES." localSheetId="17" hidden="1">{"JURIS_OM_EXP",#N/A,FALSE,"COSTSTUDY";"OKCLS_OM_EXP",#N/A,FALSE,"COSTSTUDY"}</definedName>
    <definedName name="wrn.OM._.EXPENSES." localSheetId="30" hidden="1">{"JURIS_OM_EXP",#N/A,FALSE,"COSTSTUDY";"OKCLS_OM_EXP",#N/A,FALSE,"COSTSTUDY"}</definedName>
    <definedName name="wrn.OM._.EXPENSES." localSheetId="31" hidden="1">{"JURIS_OM_EXP",#N/A,FALSE,"COSTSTUDY";"OKCLS_OM_EXP",#N/A,FALSE,"COSTSTUDY"}</definedName>
    <definedName name="wrn.OM._.EXPENSES." localSheetId="19" hidden="1">{"JURIS_OM_EXP",#N/A,FALSE,"COSTSTUDY";"OKCLS_OM_EXP",#N/A,FALSE,"COSTSTUDY"}</definedName>
    <definedName name="wrn.OM._.EXPENSES." localSheetId="7" hidden="1">{"JURIS_OM_EXP",#N/A,FALSE,"COSTSTUDY";"OKCLS_OM_EXP",#N/A,FALSE,"COSTSTUDY"}</definedName>
    <definedName name="wrn.OM._.EXPENSES." localSheetId="0" hidden="1">{"JURIS_OM_EXP",#N/A,FALSE,"COSTSTUDY";"OKCLS_OM_EXP",#N/A,FALSE,"COSTSTUDY"}</definedName>
    <definedName name="wrn.OM._.EXPENSES." localSheetId="10" hidden="1">{"JURIS_OM_EXP",#N/A,FALSE,"COSTSTUDY";"OKCLS_OM_EXP",#N/A,FALSE,"COSTSTUDY"}</definedName>
    <definedName name="wrn.OM._.EXPENSES." localSheetId="12" hidden="1">{"JURIS_OM_EXP",#N/A,FALSE,"COSTSTUDY";"OKCLS_OM_EXP",#N/A,FALSE,"COSTSTUDY"}</definedName>
    <definedName name="wrn.OM._.EXPENSES." localSheetId="9" hidden="1">{"JURIS_OM_EXP",#N/A,FALSE,"COSTSTUDY";"OKCLS_OM_EXP",#N/A,FALSE,"COSTSTUDY"}</definedName>
    <definedName name="wrn.OM._.EXPENSES." hidden="1">{"JURIS_OM_EXP",#N/A,FALSE,"COSTSTUDY";"OKCLS_OM_EXP",#N/A,FALSE,"COSTSTUDY"}</definedName>
    <definedName name="wrn.OMEXPENSE." localSheetId="1" hidden="1">{"PF",#N/A,FALSE,"Sheet4";"PG",#N/A,FALSE,"Sheet4";"PH",#N/A,FALSE,"Sheet4";"PI",#N/A,FALSE,"Sheet4";"PJ",#N/A,FALSE,"Sheet4"}</definedName>
    <definedName name="wrn.OMEXPENSE." localSheetId="17" hidden="1">{"PF",#N/A,FALSE,"Sheet4";"PG",#N/A,FALSE,"Sheet4";"PH",#N/A,FALSE,"Sheet4";"PI",#N/A,FALSE,"Sheet4";"PJ",#N/A,FALSE,"Sheet4"}</definedName>
    <definedName name="wrn.OMEXPENSE." localSheetId="30" hidden="1">{"PF",#N/A,FALSE,"Sheet4";"PG",#N/A,FALSE,"Sheet4";"PH",#N/A,FALSE,"Sheet4";"PI",#N/A,FALSE,"Sheet4";"PJ",#N/A,FALSE,"Sheet4"}</definedName>
    <definedName name="wrn.OMEXPENSE." localSheetId="31" hidden="1">{"PF",#N/A,FALSE,"Sheet4";"PG",#N/A,FALSE,"Sheet4";"PH",#N/A,FALSE,"Sheet4";"PI",#N/A,FALSE,"Sheet4";"PJ",#N/A,FALSE,"Sheet4"}</definedName>
    <definedName name="wrn.OMEXPENSE." localSheetId="19" hidden="1">{"PF",#N/A,FALSE,"Sheet4";"PG",#N/A,FALSE,"Sheet4";"PH",#N/A,FALSE,"Sheet4";"PI",#N/A,FALSE,"Sheet4";"PJ",#N/A,FALSE,"Sheet4"}</definedName>
    <definedName name="wrn.OMEXPENSE." localSheetId="7" hidden="1">{"PF",#N/A,FALSE,"Sheet4";"PG",#N/A,FALSE,"Sheet4";"PH",#N/A,FALSE,"Sheet4";"PI",#N/A,FALSE,"Sheet4";"PJ",#N/A,FALSE,"Sheet4"}</definedName>
    <definedName name="wrn.OMEXPENSE." localSheetId="0" hidden="1">{"PF",#N/A,FALSE,"Sheet4";"PG",#N/A,FALSE,"Sheet4";"PH",#N/A,FALSE,"Sheet4";"PI",#N/A,FALSE,"Sheet4";"PJ",#N/A,FALSE,"Sheet4"}</definedName>
    <definedName name="wrn.OMEXPENSE." localSheetId="10" hidden="1">{"PF",#N/A,FALSE,"Sheet4";"PG",#N/A,FALSE,"Sheet4";"PH",#N/A,FALSE,"Sheet4";"PI",#N/A,FALSE,"Sheet4";"PJ",#N/A,FALSE,"Sheet4"}</definedName>
    <definedName name="wrn.OMEXPENSE." localSheetId="12" hidden="1">{"PF",#N/A,FALSE,"Sheet4";"PG",#N/A,FALSE,"Sheet4";"PH",#N/A,FALSE,"Sheet4";"PI",#N/A,FALSE,"Sheet4";"PJ",#N/A,FALSE,"Sheet4"}</definedName>
    <definedName name="wrn.OMEXPENSE." localSheetId="9" hidden="1">{"PF",#N/A,FALSE,"Sheet4";"PG",#N/A,FALSE,"Sheet4";"PH",#N/A,FALSE,"Sheet4";"PI",#N/A,FALSE,"Sheet4";"PJ",#N/A,FALSE,"Sheet4"}</definedName>
    <definedName name="wrn.OMEXPENSE." hidden="1">{"PF",#N/A,FALSE,"Sheet4";"PG",#N/A,FALSE,"Sheet4";"PH",#N/A,FALSE,"Sheet4";"PI",#N/A,FALSE,"Sheet4";"PJ",#N/A,FALSE,"Sheet4"}</definedName>
    <definedName name="wrn.OMPA._.FAC." localSheetId="1" hidden="1">{"OMPA_FAC",#N/A,FALSE,"OMPA FAC"}</definedName>
    <definedName name="wrn.OMPA._.FAC." localSheetId="17" hidden="1">{"OMPA_FAC",#N/A,FALSE,"OMPA FAC"}</definedName>
    <definedName name="wrn.OMPA._.FAC." localSheetId="30" hidden="1">{"OMPA_FAC",#N/A,FALSE,"OMPA FAC"}</definedName>
    <definedName name="wrn.OMPA._.FAC." localSheetId="31" hidden="1">{"OMPA_FAC",#N/A,FALSE,"OMPA FAC"}</definedName>
    <definedName name="wrn.OMPA._.FAC." localSheetId="19" hidden="1">{"OMPA_FAC",#N/A,FALSE,"OMPA FAC"}</definedName>
    <definedName name="wrn.OMPA._.FAC." localSheetId="7" hidden="1">{"OMPA_FAC",#N/A,FALSE,"OMPA FAC"}</definedName>
    <definedName name="wrn.OMPA._.FAC." localSheetId="0" hidden="1">{"OMPA_FAC",#N/A,FALSE,"OMPA FAC"}</definedName>
    <definedName name="wrn.OMPA._.FAC." localSheetId="10" hidden="1">{"OMPA_FAC",#N/A,FALSE,"OMPA FAC"}</definedName>
    <definedName name="wrn.OMPA._.FAC." localSheetId="12" hidden="1">{"OMPA_FAC",#N/A,FALSE,"OMPA FAC"}</definedName>
    <definedName name="wrn.OMPA._.FAC." localSheetId="9" hidden="1">{"OMPA_FAC",#N/A,FALSE,"OMPA FAC"}</definedName>
    <definedName name="wrn.OMPA._.FAC." hidden="1">{"OMPA_FAC",#N/A,FALSE,"OMPA FAC"}</definedName>
    <definedName name="wrn.one." localSheetId="17" hidden="1">{"page1",#N/A,FALSE,"A";"page2",#N/A,FALSE,"A"}</definedName>
    <definedName name="wrn.one." localSheetId="30" hidden="1">{"page1",#N/A,FALSE,"A";"page2",#N/A,FALSE,"A"}</definedName>
    <definedName name="wrn.one." localSheetId="31" hidden="1">{"page1",#N/A,FALSE,"A";"page2",#N/A,FALSE,"A"}</definedName>
    <definedName name="wrn.one." localSheetId="19" hidden="1">{"page1",#N/A,FALSE,"A";"page2",#N/A,FALSE,"A"}</definedName>
    <definedName name="wrn.one." localSheetId="7" hidden="1">{"page1",#N/A,FALSE,"A";"page2",#N/A,FALSE,"A"}</definedName>
    <definedName name="wrn.one." localSheetId="0" hidden="1">{"page1",#N/A,FALSE,"A";"page2",#N/A,FALSE,"A"}</definedName>
    <definedName name="wrn.one." localSheetId="10" hidden="1">{"page1",#N/A,FALSE,"A";"page2",#N/A,FALSE,"A"}</definedName>
    <definedName name="wrn.one." localSheetId="12" hidden="1">{"page1",#N/A,FALSE,"A";"page2",#N/A,FALSE,"A"}</definedName>
    <definedName name="wrn.one." localSheetId="9" hidden="1">{"page1",#N/A,FALSE,"A";"page2",#N/A,FALSE,"A"}</definedName>
    <definedName name="wrn.one." hidden="1">{"page1",#N/A,FALSE,"A";"page2",#N/A,FALSE,"A"}</definedName>
    <definedName name="wrn.OperatingAssumtions." localSheetId="7" hidden="1">{#N/A,#N/A,FALSE,"OperatingAssumptions"}</definedName>
    <definedName name="wrn.OperatingAssumtions." localSheetId="10" hidden="1">{#N/A,#N/A,FALSE,"OperatingAssumptions"}</definedName>
    <definedName name="wrn.OperatingAssumtions." localSheetId="12" hidden="1">{#N/A,#N/A,FALSE,"OperatingAssumptions"}</definedName>
    <definedName name="wrn.OperatingAssumtions." hidden="1">{#N/A,#N/A,FALSE,"OperatingAssumptions"}</definedName>
    <definedName name="wrn.Operations._.Review." localSheetId="7" hidden="1">{#N/A,#N/A,FALSE,"Proforma Five Yr";#N/A,#N/A,FALSE,"Occ and Rate";#N/A,#N/A,FALSE,"PF Input";#N/A,#N/A,FALSE,"Hotcomps"}</definedName>
    <definedName name="wrn.Operations._.Review." localSheetId="10" hidden="1">{#N/A,#N/A,FALSE,"Proforma Five Yr";#N/A,#N/A,FALSE,"Occ and Rate";#N/A,#N/A,FALSE,"PF Input";#N/A,#N/A,FALSE,"Hotcomps"}</definedName>
    <definedName name="wrn.Operations._.Review." localSheetId="12" hidden="1">{#N/A,#N/A,FALSE,"Proforma Five Yr";#N/A,#N/A,FALSE,"Occ and Rate";#N/A,#N/A,FALSE,"PF Input";#N/A,#N/A,FALSE,"Hotcomps"}</definedName>
    <definedName name="wrn.Operations._.Review." hidden="1">{#N/A,#N/A,FALSE,"Proforma Five Yr";#N/A,#N/A,FALSE,"Occ and Rate";#N/A,#N/A,FALSE,"PF Input";#N/A,#N/A,FALSE,"Hotcomps"}</definedName>
    <definedName name="wrn.OTHER._.DATA." localSheetId="1" hidden="1">{"OTHER_DATA",#N/A,FALSE,"Ok_Fuel&amp;Rev"}</definedName>
    <definedName name="wrn.OTHER._.DATA." localSheetId="17" hidden="1">{"OTHER_DATA",#N/A,FALSE,"Ok_Fuel&amp;Rev"}</definedName>
    <definedName name="wrn.OTHER._.DATA." localSheetId="30" hidden="1">{"OTHER_DATA",#N/A,FALSE,"Ok_Fuel&amp;Rev"}</definedName>
    <definedName name="wrn.OTHER._.DATA." localSheetId="31" hidden="1">{"OTHER_DATA",#N/A,FALSE,"Ok_Fuel&amp;Rev"}</definedName>
    <definedName name="wrn.OTHER._.DATA." localSheetId="19" hidden="1">{"OTHER_DATA",#N/A,FALSE,"Ok_Fuel&amp;Rev"}</definedName>
    <definedName name="wrn.OTHER._.DATA." localSheetId="7" hidden="1">{"OTHER_DATA",#N/A,FALSE,"Ok_Fuel&amp;Rev"}</definedName>
    <definedName name="wrn.OTHER._.DATA." localSheetId="0" hidden="1">{"OTHER_DATA",#N/A,FALSE,"Ok_Fuel&amp;Rev"}</definedName>
    <definedName name="wrn.OTHER._.DATA." localSheetId="10" hidden="1">{"OTHER_DATA",#N/A,FALSE,"Ok_Fuel&amp;Rev"}</definedName>
    <definedName name="wrn.OTHER._.DATA." localSheetId="12" hidden="1">{"OTHER_DATA",#N/A,FALSE,"Ok_Fuel&amp;Rev"}</definedName>
    <definedName name="wrn.OTHER._.DATA." localSheetId="9" hidden="1">{"OTHER_DATA",#N/A,FALSE,"Ok_Fuel&amp;Rev"}</definedName>
    <definedName name="wrn.OTHER._.DATA." hidden="1">{"OTHER_DATA",#N/A,FALSE,"Ok_Fuel&amp;Rev"}</definedName>
    <definedName name="wrn.OTHER._.INCOME." localSheetId="7" hidden="1">{#N/A,#N/A,FALSE,"0600-1 Other Income (Expense)"}</definedName>
    <definedName name="wrn.OTHER._.INCOME." localSheetId="10" hidden="1">{#N/A,#N/A,FALSE,"0600-1 Other Income (Expense)"}</definedName>
    <definedName name="wrn.OTHER._.INCOME." localSheetId="12" hidden="1">{#N/A,#N/A,FALSE,"0600-1 Other Income (Expense)"}</definedName>
    <definedName name="wrn.OTHER._.INCOME." hidden="1">{#N/A,#N/A,FALSE,"0600-1 Other Income (Expense)"}</definedName>
    <definedName name="wrn.Overall_Scorecard." localSheetId="1" hidden="1">{"Overall Scorecard",#N/A,FALSE,"Overall Scorecard"}</definedName>
    <definedName name="wrn.Overall_Scorecard." localSheetId="17" hidden="1">{"Overall Scorecard",#N/A,FALSE,"Overall Scorecard"}</definedName>
    <definedName name="wrn.Overall_Scorecard." localSheetId="30" hidden="1">{"Overall Scorecard",#N/A,FALSE,"Overall Scorecard"}</definedName>
    <definedName name="wrn.Overall_Scorecard." localSheetId="31" hidden="1">{"Overall Scorecard",#N/A,FALSE,"Overall Scorecard"}</definedName>
    <definedName name="wrn.Overall_Scorecard." localSheetId="19" hidden="1">{"Overall Scorecard",#N/A,FALSE,"Overall Scorecard"}</definedName>
    <definedName name="wrn.Overall_Scorecard." localSheetId="7" hidden="1">{"Overall Scorecard",#N/A,FALSE,"Overall Scorecard"}</definedName>
    <definedName name="wrn.Overall_Scorecard." localSheetId="0" hidden="1">{"Overall Scorecard",#N/A,FALSE,"Overall Scorecard"}</definedName>
    <definedName name="wrn.Overall_Scorecard." localSheetId="10" hidden="1">{"Overall Scorecard",#N/A,FALSE,"Overall Scorecard"}</definedName>
    <definedName name="wrn.Overall_Scorecard." localSheetId="12" hidden="1">{"Overall Scorecard",#N/A,FALSE,"Overall Scorecard"}</definedName>
    <definedName name="wrn.Overall_Scorecard." localSheetId="9" hidden="1">{"Overall Scorecard",#N/A,FALSE,"Overall Scorecard"}</definedName>
    <definedName name="wrn.Overall_Scorecard." hidden="1">{"Overall Scorecard",#N/A,FALSE,"Overall Scorecard"}</definedName>
    <definedName name="wrn.Percent_of_Change." localSheetId="1" hidden="1">{"% of Change=O&amp;M per Customer+Equiv Employee",#N/A,FALSE,"% Change";"% o Change=OR + Rev per Equivalent Employee",#N/A,FALSE,"% Change"}</definedName>
    <definedName name="wrn.Percent_of_Change." localSheetId="17" hidden="1">{"% of Change=O&amp;M per Customer+Equiv Employee",#N/A,FALSE,"% Change";"% o Change=OR + Rev per Equivalent Employee",#N/A,FALSE,"% Change"}</definedName>
    <definedName name="wrn.Percent_of_Change." localSheetId="30" hidden="1">{"% of Change=O&amp;M per Customer+Equiv Employee",#N/A,FALSE,"% Change";"% o Change=OR + Rev per Equivalent Employee",#N/A,FALSE,"% Change"}</definedName>
    <definedName name="wrn.Percent_of_Change." localSheetId="31" hidden="1">{"% of Change=O&amp;M per Customer+Equiv Employee",#N/A,FALSE,"% Change";"% o Change=OR + Rev per Equivalent Employee",#N/A,FALSE,"% Change"}</definedName>
    <definedName name="wrn.Percent_of_Change." localSheetId="19" hidden="1">{"% of Change=O&amp;M per Customer+Equiv Employee",#N/A,FALSE,"% Change";"% o Change=OR + Rev per Equivalent Employee",#N/A,FALSE,"% Change"}</definedName>
    <definedName name="wrn.Percent_of_Change." localSheetId="7" hidden="1">{"% of Change=O&amp;M per Customer+Equiv Employee",#N/A,FALSE,"% Change";"% o Change=OR + Rev per Equivalent Employee",#N/A,FALSE,"% Change"}</definedName>
    <definedName name="wrn.Percent_of_Change." localSheetId="0" hidden="1">{"% of Change=O&amp;M per Customer+Equiv Employee",#N/A,FALSE,"% Change";"% o Change=OR + Rev per Equivalent Employee",#N/A,FALSE,"% Change"}</definedName>
    <definedName name="wrn.Percent_of_Change." localSheetId="10" hidden="1">{"% of Change=O&amp;M per Customer+Equiv Employee",#N/A,FALSE,"% Change";"% o Change=OR + Rev per Equivalent Employee",#N/A,FALSE,"% Change"}</definedName>
    <definedName name="wrn.Percent_of_Change." localSheetId="12" hidden="1">{"% of Change=O&amp;M per Customer+Equiv Employee",#N/A,FALSE,"% Change";"% o Change=OR + Rev per Equivalent Employee",#N/A,FALSE,"% Change"}</definedName>
    <definedName name="wrn.Percent_of_Change." localSheetId="9" hidden="1">{"% of Change=O&amp;M per Customer+Equiv Employee",#N/A,FALSE,"% Change";"% o Change=OR + Rev per Equivalent Employee",#N/A,FALSE,"% Change"}</definedName>
    <definedName name="wrn.Percent_of_Change." hidden="1">{"% of Change=O&amp;M per Customer+Equiv Employee",#N/A,FALSE,"% Change";"% o Change=OR + Rev per Equivalent Employee",#N/A,FALSE,"% Change"}</definedName>
    <definedName name="wrn.Percent_of_Goal." localSheetId="1" hidden="1">{"% of Goals=O&amp;M per Customer + Equiv Employee",#N/A,FALSE,"% of Goal";"% of Goals=Operating Ration + Return on Net Plnt",#N/A,FALSE,"% of Goal";"% of Goals=Revenue per Equivalent Employee",#N/A,FALSE,"% of Goal"}</definedName>
    <definedName name="wrn.Percent_of_Goal." localSheetId="17" hidden="1">{"% of Goals=O&amp;M per Customer + Equiv Employee",#N/A,FALSE,"% of Goal";"% of Goals=Operating Ration + Return on Net Plnt",#N/A,FALSE,"% of Goal";"% of Goals=Revenue per Equivalent Employee",#N/A,FALSE,"% of Goal"}</definedName>
    <definedName name="wrn.Percent_of_Goal." localSheetId="30" hidden="1">{"% of Goals=O&amp;M per Customer + Equiv Employee",#N/A,FALSE,"% of Goal";"% of Goals=Operating Ration + Return on Net Plnt",#N/A,FALSE,"% of Goal";"% of Goals=Revenue per Equivalent Employee",#N/A,FALSE,"% of Goal"}</definedName>
    <definedName name="wrn.Percent_of_Goal." localSheetId="31" hidden="1">{"% of Goals=O&amp;M per Customer + Equiv Employee",#N/A,FALSE,"% of Goal";"% of Goals=Operating Ration + Return on Net Plnt",#N/A,FALSE,"% of Goal";"% of Goals=Revenue per Equivalent Employee",#N/A,FALSE,"% of Goal"}</definedName>
    <definedName name="wrn.Percent_of_Goal." localSheetId="19" hidden="1">{"% of Goals=O&amp;M per Customer + Equiv Employee",#N/A,FALSE,"% of Goal";"% of Goals=Operating Ration + Return on Net Plnt",#N/A,FALSE,"% of Goal";"% of Goals=Revenue per Equivalent Employee",#N/A,FALSE,"% of Goal"}</definedName>
    <definedName name="wrn.Percent_of_Goal." localSheetId="7" hidden="1">{"% of Goals=O&amp;M per Customer + Equiv Employee",#N/A,FALSE,"% of Goal";"% of Goals=Operating Ration + Return on Net Plnt",#N/A,FALSE,"% of Goal";"% of Goals=Revenue per Equivalent Employee",#N/A,FALSE,"% of Goal"}</definedName>
    <definedName name="wrn.Percent_of_Goal." localSheetId="0" hidden="1">{"% of Goals=O&amp;M per Customer + Equiv Employee",#N/A,FALSE,"% of Goal";"% of Goals=Operating Ration + Return on Net Plnt",#N/A,FALSE,"% of Goal";"% of Goals=Revenue per Equivalent Employee",#N/A,FALSE,"% of Goal"}</definedName>
    <definedName name="wrn.Percent_of_Goal." localSheetId="10" hidden="1">{"% of Goals=O&amp;M per Customer + Equiv Employee",#N/A,FALSE,"% of Goal";"% of Goals=Operating Ration + Return on Net Plnt",#N/A,FALSE,"% of Goal";"% of Goals=Revenue per Equivalent Employee",#N/A,FALSE,"% of Goal"}</definedName>
    <definedName name="wrn.Percent_of_Goal." localSheetId="12" hidden="1">{"% of Goals=O&amp;M per Customer + Equiv Employee",#N/A,FALSE,"% of Goal";"% of Goals=Operating Ration + Return on Net Plnt",#N/A,FALSE,"% of Goal";"% of Goals=Revenue per Equivalent Employee",#N/A,FALSE,"% of Goal"}</definedName>
    <definedName name="wrn.Percent_of_Goal." localSheetId="9" hidden="1">{"% of Goals=O&amp;M per Customer + Equiv Employee",#N/A,FALSE,"% of Goal";"% of Goals=Operating Ration + Return on Net Plnt",#N/A,FALSE,"% of Goal";"% of Goals=Revenue per Equivalent Employee",#N/A,FALSE,"% of Goal"}</definedName>
    <definedName name="wrn.Percent_of_Goal." hidden="1">{"% of Goals=O&amp;M per Customer + Equiv Employee",#N/A,FALSE,"% of Goal";"% of Goals=Operating Ration + Return on Net Plnt",#N/A,FALSE,"% of Goal";"% of Goals=Revenue per Equivalent Employee",#N/A,FALSE,"% of Goal"}</definedName>
    <definedName name="wrn.Percentage." localSheetId="1" hidden="1">{"Summary",#N/A,FALSE,"Options "}</definedName>
    <definedName name="wrn.Percentage." localSheetId="17" hidden="1">{"Summary",#N/A,FALSE,"Options "}</definedName>
    <definedName name="wrn.Percentage." localSheetId="30" hidden="1">{"Summary",#N/A,FALSE,"Options "}</definedName>
    <definedName name="wrn.Percentage." localSheetId="31" hidden="1">{"Summary",#N/A,FALSE,"Options "}</definedName>
    <definedName name="wrn.Percentage." localSheetId="19" hidden="1">{"Summary",#N/A,FALSE,"Options "}</definedName>
    <definedName name="wrn.Percentage." localSheetId="7" hidden="1">{"Summary",#N/A,FALSE,"Options "}</definedName>
    <definedName name="wrn.Percentage." localSheetId="0" hidden="1">{"Summary",#N/A,FALSE,"Options "}</definedName>
    <definedName name="wrn.Percentage." localSheetId="10" hidden="1">{"Summary",#N/A,FALSE,"Options "}</definedName>
    <definedName name="wrn.Percentage." localSheetId="12" hidden="1">{"Summary",#N/A,FALSE,"Options "}</definedName>
    <definedName name="wrn.Percentage." localSheetId="9" hidden="1">{"Summary",#N/A,FALSE,"Options "}</definedName>
    <definedName name="wrn.Percentage." hidden="1">{"Summary",#N/A,FALSE,"Options "}</definedName>
    <definedName name="wrn.Phase._.I." localSheetId="7" hidden="1">{#N/A,#N/A,FALSE,"Transaction Summary-DTW";#N/A,#N/A,FALSE,"Proforma Five Yr";#N/A,#N/A,FALSE,"Occ and Rate"}</definedName>
    <definedName name="wrn.Phase._.I." localSheetId="10" hidden="1">{#N/A,#N/A,FALSE,"Transaction Summary-DTW";#N/A,#N/A,FALSE,"Proforma Five Yr";#N/A,#N/A,FALSE,"Occ and Rate"}</definedName>
    <definedName name="wrn.Phase._.I." localSheetId="12" hidden="1">{#N/A,#N/A,FALSE,"Transaction Summary-DTW";#N/A,#N/A,FALSE,"Proforma Five Yr";#N/A,#N/A,FALSE,"Occ and Rate"}</definedName>
    <definedName name="wrn.Phase._.I." hidden="1">{#N/A,#N/A,FALSE,"Transaction Summary-DTW";#N/A,#N/A,FALSE,"Proforma Five Yr";#N/A,#N/A,FALSE,"Occ and Rate"}</definedName>
    <definedName name="wrn.Pivot1." localSheetId="1" hidden="1">{"Pivot1",#N/A,FALSE,"Redemption_Maturity Extract"}</definedName>
    <definedName name="wrn.Pivot1." localSheetId="17" hidden="1">{"Pivot1",#N/A,FALSE,"Redemption_Maturity Extract"}</definedName>
    <definedName name="wrn.Pivot1." localSheetId="30" hidden="1">{"Pivot1",#N/A,FALSE,"Redemption_Maturity Extract"}</definedName>
    <definedName name="wrn.Pivot1." localSheetId="31" hidden="1">{"Pivot1",#N/A,FALSE,"Redemption_Maturity Extract"}</definedName>
    <definedName name="wrn.Pivot1." localSheetId="19" hidden="1">{"Pivot1",#N/A,FALSE,"Redemption_Maturity Extract"}</definedName>
    <definedName name="wrn.Pivot1." localSheetId="7" hidden="1">{"Pivot1",#N/A,FALSE,"Redemption_Maturity Extract"}</definedName>
    <definedName name="wrn.Pivot1." localSheetId="0" hidden="1">{"Pivot1",#N/A,FALSE,"Redemption_Maturity Extract"}</definedName>
    <definedName name="wrn.Pivot1." localSheetId="10" hidden="1">{"Pivot1",#N/A,FALSE,"Redemption_Maturity Extract"}</definedName>
    <definedName name="wrn.Pivot1." localSheetId="12" hidden="1">{"Pivot1",#N/A,FALSE,"Redemption_Maturity Extract"}</definedName>
    <definedName name="wrn.Pivot1." localSheetId="9" hidden="1">{"Pivot1",#N/A,FALSE,"Redemption_Maturity Extract"}</definedName>
    <definedName name="wrn.Pivot1." hidden="1">{"Pivot1",#N/A,FALSE,"Redemption_Maturity Extract"}</definedName>
    <definedName name="wrn.Pivot2." localSheetId="1" hidden="1">{"Pivot2",#N/A,FALSE,"Redemption_Maturity Extract"}</definedName>
    <definedName name="wrn.Pivot2." localSheetId="17" hidden="1">{"Pivot2",#N/A,FALSE,"Redemption_Maturity Extract"}</definedName>
    <definedName name="wrn.Pivot2." localSheetId="30" hidden="1">{"Pivot2",#N/A,FALSE,"Redemption_Maturity Extract"}</definedName>
    <definedName name="wrn.Pivot2." localSheetId="31" hidden="1">{"Pivot2",#N/A,FALSE,"Redemption_Maturity Extract"}</definedName>
    <definedName name="wrn.Pivot2." localSheetId="19" hidden="1">{"Pivot2",#N/A,FALSE,"Redemption_Maturity Extract"}</definedName>
    <definedName name="wrn.Pivot2." localSheetId="7" hidden="1">{"Pivot2",#N/A,FALSE,"Redemption_Maturity Extract"}</definedName>
    <definedName name="wrn.Pivot2." localSheetId="0" hidden="1">{"Pivot2",#N/A,FALSE,"Redemption_Maturity Extract"}</definedName>
    <definedName name="wrn.Pivot2." localSheetId="10" hidden="1">{"Pivot2",#N/A,FALSE,"Redemption_Maturity Extract"}</definedName>
    <definedName name="wrn.Pivot2." localSheetId="12" hidden="1">{"Pivot2",#N/A,FALSE,"Redemption_Maturity Extract"}</definedName>
    <definedName name="wrn.Pivot2." localSheetId="9" hidden="1">{"Pivot2",#N/A,FALSE,"Redemption_Maturity Extract"}</definedName>
    <definedName name="wrn.Pivot2." hidden="1">{"Pivot2",#N/A,FALSE,"Redemption_Maturity Extract"}</definedName>
    <definedName name="wrn.PLANT._.IN._.SERVICE." localSheetId="1" hidden="1">{"JURIS_PLT_IN_SERV",#N/A,FALSE,"COSTSTUDY";"OKCLS_PLT_IN_SERV",#N/A,FALSE,"COSTSTUDY"}</definedName>
    <definedName name="wrn.PLANT._.IN._.SERVICE." localSheetId="17" hidden="1">{"JURIS_PLT_IN_SERV",#N/A,FALSE,"COSTSTUDY";"OKCLS_PLT_IN_SERV",#N/A,FALSE,"COSTSTUDY"}</definedName>
    <definedName name="wrn.PLANT._.IN._.SERVICE." localSheetId="30" hidden="1">{"JURIS_PLT_IN_SERV",#N/A,FALSE,"COSTSTUDY";"OKCLS_PLT_IN_SERV",#N/A,FALSE,"COSTSTUDY"}</definedName>
    <definedName name="wrn.PLANT._.IN._.SERVICE." localSheetId="31" hidden="1">{"JURIS_PLT_IN_SERV",#N/A,FALSE,"COSTSTUDY";"OKCLS_PLT_IN_SERV",#N/A,FALSE,"COSTSTUDY"}</definedName>
    <definedName name="wrn.PLANT._.IN._.SERVICE." localSheetId="19" hidden="1">{"JURIS_PLT_IN_SERV",#N/A,FALSE,"COSTSTUDY";"OKCLS_PLT_IN_SERV",#N/A,FALSE,"COSTSTUDY"}</definedName>
    <definedName name="wrn.PLANT._.IN._.SERVICE." localSheetId="7" hidden="1">{"JURIS_PLT_IN_SERV",#N/A,FALSE,"COSTSTUDY";"OKCLS_PLT_IN_SERV",#N/A,FALSE,"COSTSTUDY"}</definedName>
    <definedName name="wrn.PLANT._.IN._.SERVICE." localSheetId="0" hidden="1">{"JURIS_PLT_IN_SERV",#N/A,FALSE,"COSTSTUDY";"OKCLS_PLT_IN_SERV",#N/A,FALSE,"COSTSTUDY"}</definedName>
    <definedName name="wrn.PLANT._.IN._.SERVICE." localSheetId="10" hidden="1">{"JURIS_PLT_IN_SERV",#N/A,FALSE,"COSTSTUDY";"OKCLS_PLT_IN_SERV",#N/A,FALSE,"COSTSTUDY"}</definedName>
    <definedName name="wrn.PLANT._.IN._.SERVICE." localSheetId="12" hidden="1">{"JURIS_PLT_IN_SERV",#N/A,FALSE,"COSTSTUDY";"OKCLS_PLT_IN_SERV",#N/A,FALSE,"COSTSTUDY"}</definedName>
    <definedName name="wrn.PLANT._.IN._.SERVICE." localSheetId="9" hidden="1">{"JURIS_PLT_IN_SERV",#N/A,FALSE,"COSTSTUDY";"OKCLS_PLT_IN_SERV",#N/A,FALSE,"COSTSTUDY"}</definedName>
    <definedName name="wrn.PLANT._.IN._.SERVICE." hidden="1">{"JURIS_PLT_IN_SERV",#N/A,FALSE,"COSTSTUDY";"OKCLS_PLT_IN_SERV",#N/A,FALSE,"COSTSTUDY"}</definedName>
    <definedName name="wrn.Points_Achieved." localSheetId="1" hidden="1">{"Points=O&amp;M per Customer + per Equiv Employee",#N/A,FALSE,"Points";"Points=Operating Ratio + Return on Net Plant",#N/A,FALSE,"Points";"Points=Revenue per Equivalent Employee",#N/A,FALSE,"Points"}</definedName>
    <definedName name="wrn.Points_Achieved." localSheetId="17" hidden="1">{"Points=O&amp;M per Customer + per Equiv Employee",#N/A,FALSE,"Points";"Points=Operating Ratio + Return on Net Plant",#N/A,FALSE,"Points";"Points=Revenue per Equivalent Employee",#N/A,FALSE,"Points"}</definedName>
    <definedName name="wrn.Points_Achieved." localSheetId="30" hidden="1">{"Points=O&amp;M per Customer + per Equiv Employee",#N/A,FALSE,"Points";"Points=Operating Ratio + Return on Net Plant",#N/A,FALSE,"Points";"Points=Revenue per Equivalent Employee",#N/A,FALSE,"Points"}</definedName>
    <definedName name="wrn.Points_Achieved." localSheetId="31" hidden="1">{"Points=O&amp;M per Customer + per Equiv Employee",#N/A,FALSE,"Points";"Points=Operating Ratio + Return on Net Plant",#N/A,FALSE,"Points";"Points=Revenue per Equivalent Employee",#N/A,FALSE,"Points"}</definedName>
    <definedName name="wrn.Points_Achieved." localSheetId="19" hidden="1">{"Points=O&amp;M per Customer + per Equiv Employee",#N/A,FALSE,"Points";"Points=Operating Ratio + Return on Net Plant",#N/A,FALSE,"Points";"Points=Revenue per Equivalent Employee",#N/A,FALSE,"Points"}</definedName>
    <definedName name="wrn.Points_Achieved." localSheetId="7" hidden="1">{"Points=O&amp;M per Customer + per Equiv Employee",#N/A,FALSE,"Points";"Points=Operating Ratio + Return on Net Plant",#N/A,FALSE,"Points";"Points=Revenue per Equivalent Employee",#N/A,FALSE,"Points"}</definedName>
    <definedName name="wrn.Points_Achieved." localSheetId="0" hidden="1">{"Points=O&amp;M per Customer + per Equiv Employee",#N/A,FALSE,"Points";"Points=Operating Ratio + Return on Net Plant",#N/A,FALSE,"Points";"Points=Revenue per Equivalent Employee",#N/A,FALSE,"Points"}</definedName>
    <definedName name="wrn.Points_Achieved." localSheetId="10" hidden="1">{"Points=O&amp;M per Customer + per Equiv Employee",#N/A,FALSE,"Points";"Points=Operating Ratio + Return on Net Plant",#N/A,FALSE,"Points";"Points=Revenue per Equivalent Employee",#N/A,FALSE,"Points"}</definedName>
    <definedName name="wrn.Points_Achieved." localSheetId="12" hidden="1">{"Points=O&amp;M per Customer + per Equiv Employee",#N/A,FALSE,"Points";"Points=Operating Ratio + Return on Net Plant",#N/A,FALSE,"Points";"Points=Revenue per Equivalent Employee",#N/A,FALSE,"Points"}</definedName>
    <definedName name="wrn.Points_Achieved." localSheetId="9" hidden="1">{"Points=O&amp;M per Customer + per Equiv Employee",#N/A,FALSE,"Points";"Points=Operating Ratio + Return on Net Plant",#N/A,FALSE,"Points";"Points=Revenue per Equivalent Employee",#N/A,FALSE,"Points"}</definedName>
    <definedName name="wrn.Points_Achieved." hidden="1">{"Points=O&amp;M per Customer + per Equiv Employee",#N/A,FALSE,"Points";"Points=Operating Ratio + Return on Net Plant",#N/A,FALSE,"Points";"Points=Revenue per Equivalent Employee",#N/A,FALSE,"Points"}</definedName>
    <definedName name="wrn.PPJOURNAL._.ENTRY." localSheetId="1" hidden="1">{"PPDEFERREDBAL",#N/A,FALSE,"PRIOR PERIOD ADJMT";#N/A,#N/A,FALSE,"PRIOR PERIOD ADJMT";"PPJOURNALENTRY",#N/A,FALSE,"PRIOR PERIOD ADJMT"}</definedName>
    <definedName name="wrn.PPJOURNAL._.ENTRY." localSheetId="17" hidden="1">{"PPDEFERREDBAL",#N/A,FALSE,"PRIOR PERIOD ADJMT";#N/A,#N/A,FALSE,"PRIOR PERIOD ADJMT";"PPJOURNALENTRY",#N/A,FALSE,"PRIOR PERIOD ADJMT"}</definedName>
    <definedName name="wrn.PPJOURNAL._.ENTRY." localSheetId="30" hidden="1">{"PPDEFERREDBAL",#N/A,FALSE,"PRIOR PERIOD ADJMT";#N/A,#N/A,FALSE,"PRIOR PERIOD ADJMT";"PPJOURNALENTRY",#N/A,FALSE,"PRIOR PERIOD ADJMT"}</definedName>
    <definedName name="wrn.PPJOURNAL._.ENTRY." localSheetId="31" hidden="1">{"PPDEFERREDBAL",#N/A,FALSE,"PRIOR PERIOD ADJMT";#N/A,#N/A,FALSE,"PRIOR PERIOD ADJMT";"PPJOURNALENTRY",#N/A,FALSE,"PRIOR PERIOD ADJMT"}</definedName>
    <definedName name="wrn.PPJOURNAL._.ENTRY." localSheetId="19" hidden="1">{"PPDEFERREDBAL",#N/A,FALSE,"PRIOR PERIOD ADJMT";#N/A,#N/A,FALSE,"PRIOR PERIOD ADJMT";"PPJOURNALENTRY",#N/A,FALSE,"PRIOR PERIOD ADJMT"}</definedName>
    <definedName name="wrn.PPJOURNAL._.ENTRY." localSheetId="7" hidden="1">{"PPDEFERREDBAL",#N/A,FALSE,"PRIOR PERIOD ADJMT";#N/A,#N/A,FALSE,"PRIOR PERIOD ADJMT";"PPJOURNALENTRY",#N/A,FALSE,"PRIOR PERIOD ADJMT"}</definedName>
    <definedName name="wrn.PPJOURNAL._.ENTRY." localSheetId="0" hidden="1">{"PPDEFERREDBAL",#N/A,FALSE,"PRIOR PERIOD ADJMT";#N/A,#N/A,FALSE,"PRIOR PERIOD ADJMT";"PPJOURNALENTRY",#N/A,FALSE,"PRIOR PERIOD ADJMT"}</definedName>
    <definedName name="wrn.PPJOURNAL._.ENTRY." localSheetId="10" hidden="1">{"PPDEFERREDBAL",#N/A,FALSE,"PRIOR PERIOD ADJMT";#N/A,#N/A,FALSE,"PRIOR PERIOD ADJMT";"PPJOURNALENTRY",#N/A,FALSE,"PRIOR PERIOD ADJMT"}</definedName>
    <definedName name="wrn.PPJOURNAL._.ENTRY." localSheetId="12" hidden="1">{"PPDEFERREDBAL",#N/A,FALSE,"PRIOR PERIOD ADJMT";#N/A,#N/A,FALSE,"PRIOR PERIOD ADJMT";"PPJOURNALENTRY",#N/A,FALSE,"PRIOR PERIOD ADJMT"}</definedName>
    <definedName name="wrn.PPJOURNAL._.ENTRY." localSheetId="9" hidden="1">{"PPDEFERREDBAL",#N/A,FALSE,"PRIOR PERIOD ADJMT";#N/A,#N/A,FALSE,"PRIOR PERIOD ADJMT";"PPJOURNALENTRY",#N/A,FALSE,"PRIOR PERIOD ADJMT"}</definedName>
    <definedName name="wrn.PPJOURNAL._.ENTRY." hidden="1">{"PPDEFERREDBAL",#N/A,FALSE,"PRIOR PERIOD ADJMT";#N/A,#N/A,FALSE,"PRIOR PERIOD ADJMT";"PPJOURNALENTRY",#N/A,FALSE,"PRIOR PERIOD ADJMT"}</definedName>
    <definedName name="wrn.PREPAIDS." localSheetId="7" hidden="1">{#N/A,#N/A,FALSE,"G-1 Prepaid Expenses-Other";#N/A,#N/A,FALSE,"G-2 Prepaid Property Taxes";#N/A,#N/A,FALSE,"G-3 Prepaid Insurance "}</definedName>
    <definedName name="wrn.PREPAIDS." localSheetId="10" hidden="1">{#N/A,#N/A,FALSE,"G-1 Prepaid Expenses-Other";#N/A,#N/A,FALSE,"G-2 Prepaid Property Taxes";#N/A,#N/A,FALSE,"G-3 Prepaid Insurance "}</definedName>
    <definedName name="wrn.PREPAIDS." localSheetId="12" hidden="1">{#N/A,#N/A,FALSE,"G-1 Prepaid Expenses-Other";#N/A,#N/A,FALSE,"G-2 Prepaid Property Taxes";#N/A,#N/A,FALSE,"G-3 Prepaid Insurance "}</definedName>
    <definedName name="wrn.PREPAIDS." hidden="1">{#N/A,#N/A,FALSE,"G-1 Prepaid Expenses-Other";#N/A,#N/A,FALSE,"G-2 Prepaid Property Taxes";#N/A,#N/A,FALSE,"G-3 Prepaid Insurance "}</definedName>
    <definedName name="wrn.Presentation." localSheetId="7" hidden="1">{#N/A,#N/A,TRUE,"Summary";#N/A,#N/A,TRUE,"ExitStrategy";"SalesAndConstruction",#N/A,TRUE,"cs";#N/A,#N/A,TRUE,"OperatingAssumptions";"PresentationRentRoll",#N/A,TRUE,"RentRoll"}</definedName>
    <definedName name="wrn.Presentation." localSheetId="10" hidden="1">{#N/A,#N/A,TRUE,"Summary";#N/A,#N/A,TRUE,"ExitStrategy";"SalesAndConstruction",#N/A,TRUE,"cs";#N/A,#N/A,TRUE,"OperatingAssumptions";"PresentationRentRoll",#N/A,TRUE,"RentRoll"}</definedName>
    <definedName name="wrn.Presentation." localSheetId="12"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7" hidden="1">{"page1",#N/A,FALSE,"PROFORMA";"page2",#N/A,FALSE,"PROFORMA";"page3",#N/A,FALSE,"PROFORMA";"page4",#N/A,FALSE,"PROFORMA";"page5",#N/A,FALSE,"PROFORMA";"page6",#N/A,FALSE,"PROFORMA";"page7",#N/A,FALSE,"PROFORMA";"page8",#N/A,FALSE,"PROFORMA"}</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3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0"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0" hidden="1">{"page1",#N/A,FALSE,"PROFORMA";"page2",#N/A,FALSE,"PROFORMA";"page3",#N/A,FALSE,"PROFORMA";"page4",#N/A,FALSE,"PROFORMA";"page5",#N/A,FALSE,"PROFORMA";"page6",#N/A,FALSE,"PROFORMA";"page7",#N/A,FALSE,"PROFORMA";"page8",#N/A,FALSE,"PROFORMA"}</definedName>
    <definedName name="wrn.print." localSheetId="12" hidden="1">{"page1",#N/A,FALSE,"PROFORMA";"page2",#N/A,FALSE,"PROFORMA";"page3",#N/A,FALSE,"PROFORMA";"page4",#N/A,FALSE,"PROFORMA";"page5",#N/A,FALSE,"PROFORMA";"page6",#N/A,FALSE,"PROFORMA";"page7",#N/A,FALSE,"PROFORMA";"page8",#N/A,FALSE,"PROFORMA"}</definedName>
    <definedName name="wrn.print." localSheetId="9"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hidden="1">{"page1",#N/A,FALSE,"PROFORMA";"page2",#N/A,FALSE,"PROFORMA";"page3",#N/A,FALSE,"PROFORMA";"page4",#N/A,FALSE,"PROFORMA";"page5",#N/A,FALSE,"PROFORMA";"page6",#N/A,FALSE,"PROFORMA";"page7",#N/A,FALSE,"PROFORMA";"page8",#N/A,FALSE,"PROFORMA"}</definedName>
    <definedName name="wrn.Print._.All." localSheetId="7" hidden="1">{#N/A,#N/A,FALSE,"Valuation";#N/A,#N/A,FALSE,"Financial Statements";#N/A,#N/A,FALSE,"MLP Impact";#N/A,#N/A,FALSE,"Inputs";#N/A,#N/A,FALSE,"Contracts";#N/A,#N/A,FALSE,"Financing";#N/A,#N/A,FALSE,"Depreciation";#N/A,#N/A,FALSE,"Income Taxes";#N/A,#N/A,FALSE,"Revenues"}</definedName>
    <definedName name="wrn.Print._.All." localSheetId="10" hidden="1">{#N/A,#N/A,FALSE,"Valuation";#N/A,#N/A,FALSE,"Financial Statements";#N/A,#N/A,FALSE,"MLP Impact";#N/A,#N/A,FALSE,"Inputs";#N/A,#N/A,FALSE,"Contracts";#N/A,#N/A,FALSE,"Financing";#N/A,#N/A,FALSE,"Depreciation";#N/A,#N/A,FALSE,"Income Taxes";#N/A,#N/A,FALSE,"Revenues"}</definedName>
    <definedName name="wrn.Print._.All." localSheetId="12" hidden="1">{#N/A,#N/A,FALSE,"Valuation";#N/A,#N/A,FALSE,"Financial Statements";#N/A,#N/A,FALSE,"MLP Impact";#N/A,#N/A,FALSE,"Inputs";#N/A,#N/A,FALSE,"Contracts";#N/A,#N/A,FALSE,"Financing";#N/A,#N/A,FALSE,"Depreciation";#N/A,#N/A,FALSE,"Income Taxes";#N/A,#N/A,FALSE,"Revenues"}</definedName>
    <definedName name="wrn.Print._.All." hidden="1">{#N/A,#N/A,FALSE,"Valuation";#N/A,#N/A,FALSE,"Financial Statements";#N/A,#N/A,FALSE,"MLP Impact";#N/A,#N/A,FALSE,"Inputs";#N/A,#N/A,FALSE,"Contracts";#N/A,#N/A,FALSE,"Financing";#N/A,#N/A,FALSE,"Depreciation";#N/A,#N/A,FALSE,"Income Taxes";#N/A,#N/A,FALSE,"Revenues"}</definedName>
    <definedName name="wrn.Print._.All._.Pages." localSheetId="7" hidden="1">{"LBO Summary",#N/A,FALSE,"Summary";"Income Statement",#N/A,FALSE,"Model";"Cash Flow",#N/A,FALSE,"Model";"Balance Sheet",#N/A,FALSE,"Model";"Working Capital",#N/A,FALSE,"Model";"Pro Forma Balance Sheets",#N/A,FALSE,"PFBS";"Debt Balances",#N/A,FALSE,"Model";"Fee Schedules",#N/A,FALSE,"Model"}</definedName>
    <definedName name="wrn.Print._.All._.Pages." localSheetId="10" hidden="1">{"LBO Summary",#N/A,FALSE,"Summary";"Income Statement",#N/A,FALSE,"Model";"Cash Flow",#N/A,FALSE,"Model";"Balance Sheet",#N/A,FALSE,"Model";"Working Capital",#N/A,FALSE,"Model";"Pro Forma Balance Sheets",#N/A,FALSE,"PFBS";"Debt Balances",#N/A,FALSE,"Model";"Fee Schedules",#N/A,FALSE,"Model"}</definedName>
    <definedName name="wrn.Print._.All._.Pages." localSheetId="12"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7"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Model." localSheetId="7" hidden="1">{"EM",#N/A,FALSE,"EM";"EMQuarterly",#N/A,FALSE,"EM";"BS",#N/A,FALSE,"BS";"CF",#N/A,FALSE,"CF"}</definedName>
    <definedName name="wrn.Print._.Model." localSheetId="10" hidden="1">{"EM",#N/A,FALSE,"EM";"EMQuarterly",#N/A,FALSE,"EM";"BS",#N/A,FALSE,"BS";"CF",#N/A,FALSE,"CF"}</definedName>
    <definedName name="wrn.Print._.Model." localSheetId="12" hidden="1">{"EM",#N/A,FALSE,"EM";"EMQuarterly",#N/A,FALSE,"EM";"BS",#N/A,FALSE,"BS";"CF",#N/A,FALSE,"CF"}</definedName>
    <definedName name="wrn.Print._.Model." hidden="1">{"EM",#N/A,FALSE,"EM";"EMQuarterly",#N/A,FALSE,"EM";"BS",#N/A,FALSE,"BS";"CF",#N/A,FALSE,"CF"}</definedName>
    <definedName name="wrn.print._.raw._.data._.entry." localSheetId="7" hidden="1">{"inputs raw data",#N/A,TRUE,"INPUT"}</definedName>
    <definedName name="wrn.print._.raw._.data._.entry." localSheetId="10" hidden="1">{"inputs raw data",#N/A,TRUE,"INPUT"}</definedName>
    <definedName name="wrn.print._.raw._.data._.entry." localSheetId="12" hidden="1">{"inputs raw data",#N/A,TRUE,"INPUT"}</definedName>
    <definedName name="wrn.print._.raw._.data._.entry." hidden="1">{"inputs raw data",#N/A,TRUE,"INPUT"}</definedName>
    <definedName name="wrn.print._.summary._.sheets." localSheetId="7" hidden="1">{"summary1",#N/A,TRUE,"Comps";"summary2",#N/A,TRUE,"Comps";"summary3",#N/A,TRUE,"Comps"}</definedName>
    <definedName name="wrn.print._.summary._.sheets." localSheetId="10" hidden="1">{"summary1",#N/A,TRUE,"Comps";"summary2",#N/A,TRUE,"Comps";"summary3",#N/A,TRUE,"Comps"}</definedName>
    <definedName name="wrn.print._.summary._.sheets." localSheetId="12" hidden="1">{"summary1",#N/A,TRUE,"Comps";"summary2",#N/A,TRUE,"Comps";"summary3",#N/A,TRUE,"Comps"}</definedName>
    <definedName name="wrn.print._.summary._.sheets." hidden="1">{"summary1",#N/A,TRUE,"Comps";"summary2",#N/A,TRUE,"Comps";"summary3",#N/A,TRUE,"Comps"}</definedName>
    <definedName name="wrn.print._.summary._.sheets.2" localSheetId="7" hidden="1">{"summary1",#N/A,TRUE,"Comps";"summary2",#N/A,TRUE,"Comps";"summary3",#N/A,TRUE,"Comps"}</definedName>
    <definedName name="wrn.print._.summary._.sheets.2" localSheetId="10" hidden="1">{"summary1",#N/A,TRUE,"Comps";"summary2",#N/A,TRUE,"Comps";"summary3",#N/A,TRUE,"Comps"}</definedName>
    <definedName name="wrn.print._.summary._.sheets.2" localSheetId="12" hidden="1">{"summary1",#N/A,TRUE,"Comps";"summary2",#N/A,TRUE,"Comps";"summary3",#N/A,TRUE,"Comps"}</definedName>
    <definedName name="wrn.print._.summary._.sheets.2" hidden="1">{"summary1",#N/A,TRUE,"Comps";"summary2",#N/A,TRUE,"Comps";"summary3",#N/A,TRUE,"Comps"}</definedName>
    <definedName name="wrn.Print._.Tables." localSheetId="7" hidden="1">{"EM",#N/A,FALSE,"EM";"Returns",#N/A,FALSE,"Returns";"FFUniverse",#N/A,FALSE,"FFUniverse"}</definedName>
    <definedName name="wrn.Print._.Tables." localSheetId="10" hidden="1">{"EM",#N/A,FALSE,"EM";"Returns",#N/A,FALSE,"Returns";"FFUniverse",#N/A,FALSE,"FFUniverse"}</definedName>
    <definedName name="wrn.Print._.Tables." localSheetId="12" hidden="1">{"EM",#N/A,FALSE,"EM";"Returns",#N/A,FALSE,"Returns";"FFUniverse",#N/A,FALSE,"FFUniverse"}</definedName>
    <definedName name="wrn.Print._.Tables." hidden="1">{"EM",#N/A,FALSE,"EM";"Returns",#N/A,FALSE,"Returns";"FFUniverse",#N/A,FALSE,"FFUniverse"}</definedName>
    <definedName name="wrn.PRINT_ALL." localSheetId="1" hidden="1">{"summary",#N/A,TRUE,"E93ADJ";"detail",#N/A,TRUE,"E93ADJ"}</definedName>
    <definedName name="wrn.PRINT_ALL." localSheetId="17" hidden="1">{"summary",#N/A,TRUE,"E93ADJ";"detail",#N/A,TRUE,"E93ADJ"}</definedName>
    <definedName name="wrn.PRINT_ALL." localSheetId="30" hidden="1">{"summary",#N/A,TRUE,"E93ADJ";"detail",#N/A,TRUE,"E93ADJ"}</definedName>
    <definedName name="wrn.PRINT_ALL." localSheetId="31" hidden="1">{"summary",#N/A,TRUE,"E93ADJ";"detail",#N/A,TRUE,"E93ADJ"}</definedName>
    <definedName name="wrn.PRINT_ALL." localSheetId="19" hidden="1">{"summary",#N/A,TRUE,"E93ADJ";"detail",#N/A,TRUE,"E93ADJ"}</definedName>
    <definedName name="wrn.PRINT_ALL." localSheetId="7" hidden="1">{"summary",#N/A,TRUE,"E93ADJ";"detail",#N/A,TRUE,"E93ADJ"}</definedName>
    <definedName name="wrn.PRINT_ALL." localSheetId="0" hidden="1">{"summary",#N/A,TRUE,"E93ADJ";"detail",#N/A,TRUE,"E93ADJ"}</definedName>
    <definedName name="wrn.PRINT_ALL." localSheetId="10" hidden="1">{"summary",#N/A,TRUE,"E93ADJ";"detail",#N/A,TRUE,"E93ADJ"}</definedName>
    <definedName name="wrn.PRINT_ALL." localSheetId="12" hidden="1">{"summary",#N/A,TRUE,"E93ADJ";"detail",#N/A,TRUE,"E93ADJ"}</definedName>
    <definedName name="wrn.PRINT_ALL." localSheetId="9" hidden="1">{"summary",#N/A,TRUE,"E93ADJ";"detail",#N/A,TRUE,"E93ADJ"}</definedName>
    <definedName name="wrn.PRINT_ALL." hidden="1">{"summary",#N/A,TRUE,"E93ADJ";"detail",#N/A,TRUE,"E93ADJ"}</definedName>
    <definedName name="wrn.Print_Buyer." localSheetId="7"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2" localSheetId="7" hidden="1">{"page1",#N/A,FALSE,"PROFORMA";"page2",#N/A,FALSE,"PROFORMA";"page3",#N/A,FALSE,"PROFORMA";"page4",#N/A,FALSE,"PROFORMA";"page5",#N/A,FALSE,"PROFORMA";"page6",#N/A,FALSE,"PROFORMA";"page7",#N/A,FALSE,"PROFORMA";"page8",#N/A,FALSE,"PROFORMA"}</definedName>
    <definedName name="wrn.print2" localSheetId="10" hidden="1">{"page1",#N/A,FALSE,"PROFORMA";"page2",#N/A,FALSE,"PROFORMA";"page3",#N/A,FALSE,"PROFORMA";"page4",#N/A,FALSE,"PROFORMA";"page5",#N/A,FALSE,"PROFORMA";"page6",#N/A,FALSE,"PROFORMA";"page7",#N/A,FALSE,"PROFORMA";"page8",#N/A,FALSE,"PROFORMA"}</definedName>
    <definedName name="wrn.print2" localSheetId="12" hidden="1">{"page1",#N/A,FALSE,"PROFORMA";"page2",#N/A,FALSE,"PROFORMA";"page3",#N/A,FALSE,"PROFORMA";"page4",#N/A,FALSE,"PROFORMA";"page5",#N/A,FALSE,"PROFORMA";"page6",#N/A,FALSE,"PROFORMA";"page7",#N/A,FALSE,"PROFORMA";"page8",#N/A,FALSE,"PROFORMA"}</definedName>
    <definedName name="wrn.print2" hidden="1">{"page1",#N/A,FALSE,"PROFORMA";"page2",#N/A,FALSE,"PROFORMA";"page3",#N/A,FALSE,"PROFORMA";"page4",#N/A,FALSE,"PROFORMA";"page5",#N/A,FALSE,"PROFORMA";"page6",#N/A,FALSE,"PROFORMA";"page7",#N/A,FALSE,"PROFORMA";"page8",#N/A,FALSE,"PROFORMA"}</definedName>
    <definedName name="wrn.printall." localSheetId="1" hidden="1">{#N/A,#N/A,FALSE,"PREFDIV";#N/A,#N/A,FALSE,"STINT";#N/A,#N/A,FALSE,"LTINT";#N/A,#N/A,FALSE,"BTL";#N/A,#N/A,FALSE,"AFC";#N/A,#N/A,FALSE,"OTHNET";#N/A,#N/A,FALSE,"ATL"}</definedName>
    <definedName name="wrn.printall." localSheetId="17" hidden="1">{#N/A,#N/A,FALSE,"PREFDIV";#N/A,#N/A,FALSE,"STINT";#N/A,#N/A,FALSE,"LTINT";#N/A,#N/A,FALSE,"BTL";#N/A,#N/A,FALSE,"AFC";#N/A,#N/A,FALSE,"OTHNET";#N/A,#N/A,FALSE,"ATL"}</definedName>
    <definedName name="wrn.printall." localSheetId="30" hidden="1">{#N/A,#N/A,FALSE,"PREFDIV";#N/A,#N/A,FALSE,"STINT";#N/A,#N/A,FALSE,"LTINT";#N/A,#N/A,FALSE,"BTL";#N/A,#N/A,FALSE,"AFC";#N/A,#N/A,FALSE,"OTHNET";#N/A,#N/A,FALSE,"ATL"}</definedName>
    <definedName name="wrn.printall." localSheetId="31" hidden="1">{#N/A,#N/A,FALSE,"PREFDIV";#N/A,#N/A,FALSE,"STINT";#N/A,#N/A,FALSE,"LTINT";#N/A,#N/A,FALSE,"BTL";#N/A,#N/A,FALSE,"AFC";#N/A,#N/A,FALSE,"OTHNET";#N/A,#N/A,FALSE,"ATL"}</definedName>
    <definedName name="wrn.printall." localSheetId="19" hidden="1">{#N/A,#N/A,FALSE,"PREFDIV";#N/A,#N/A,FALSE,"STINT";#N/A,#N/A,FALSE,"LTINT";#N/A,#N/A,FALSE,"BTL";#N/A,#N/A,FALSE,"AFC";#N/A,#N/A,FALSE,"OTHNET";#N/A,#N/A,FALSE,"ATL"}</definedName>
    <definedName name="wrn.printall." localSheetId="7" hidden="1">{#N/A,#N/A,FALSE,"PREFDIV";#N/A,#N/A,FALSE,"STINT";#N/A,#N/A,FALSE,"LTINT";#N/A,#N/A,FALSE,"BTL";#N/A,#N/A,FALSE,"AFC";#N/A,#N/A,FALSE,"OTHNET";#N/A,#N/A,FALSE,"ATL"}</definedName>
    <definedName name="wrn.printall." localSheetId="0" hidden="1">{#N/A,#N/A,FALSE,"PREFDIV";#N/A,#N/A,FALSE,"STINT";#N/A,#N/A,FALSE,"LTINT";#N/A,#N/A,FALSE,"BTL";#N/A,#N/A,FALSE,"AFC";#N/A,#N/A,FALSE,"OTHNET";#N/A,#N/A,FALSE,"ATL"}</definedName>
    <definedName name="wrn.printall." localSheetId="10" hidden="1">{#N/A,#N/A,FALSE,"PREFDIV";#N/A,#N/A,FALSE,"STINT";#N/A,#N/A,FALSE,"LTINT";#N/A,#N/A,FALSE,"BTL";#N/A,#N/A,FALSE,"AFC";#N/A,#N/A,FALSE,"OTHNET";#N/A,#N/A,FALSE,"ATL"}</definedName>
    <definedName name="wrn.printall." localSheetId="12" hidden="1">{#N/A,#N/A,FALSE,"PREFDIV";#N/A,#N/A,FALSE,"STINT";#N/A,#N/A,FALSE,"LTINT";#N/A,#N/A,FALSE,"BTL";#N/A,#N/A,FALSE,"AFC";#N/A,#N/A,FALSE,"OTHNET";#N/A,#N/A,FALSE,"ATL"}</definedName>
    <definedName name="wrn.printall." localSheetId="9" hidden="1">{#N/A,#N/A,FALSE,"PREFDIV";#N/A,#N/A,FALSE,"STINT";#N/A,#N/A,FALSE,"LTINT";#N/A,#N/A,FALSE,"BTL";#N/A,#N/A,FALSE,"AFC";#N/A,#N/A,FALSE,"OTHNET";#N/A,#N/A,FALSE,"ATL"}</definedName>
    <definedName name="wrn.printall." hidden="1">{#N/A,#N/A,FALSE,"PREFDIV";#N/A,#N/A,FALSE,"STINT";#N/A,#N/A,FALSE,"LTINT";#N/A,#N/A,FALSE,"BTL";#N/A,#N/A,FALSE,"AFC";#N/A,#N/A,FALSE,"OTHNET";#N/A,#N/A,FALSE,"ATL"}</definedName>
    <definedName name="wrn.PrintExhibits." localSheetId="17" hidden="1">{"EXHSPortrait1",#N/A,FALSE,"EXHIBITS";"EXHSLandscape",#N/A,FALSE,"EXHIBITS";"EXHSPortrait2",#N/A,FALSE,"EXHIBITS";"EXHSPortrait3",#N/A,FALSE,"EXHIBITS";"EXHSPortrait4",#N/A,FALSE,"EXHIBITS"}</definedName>
    <definedName name="wrn.PrintExhibits." localSheetId="30" hidden="1">{"EXHSPortrait1",#N/A,FALSE,"EXHIBITS";"EXHSLandscape",#N/A,FALSE,"EXHIBITS";"EXHSPortrait2",#N/A,FALSE,"EXHIBITS";"EXHSPortrait3",#N/A,FALSE,"EXHIBITS";"EXHSPortrait4",#N/A,FALSE,"EXHIBITS"}</definedName>
    <definedName name="wrn.PrintExhibits." localSheetId="31" hidden="1">{"EXHSPortrait1",#N/A,FALSE,"EXHIBITS";"EXHSLandscape",#N/A,FALSE,"EXHIBITS";"EXHSPortrait2",#N/A,FALSE,"EXHIBITS";"EXHSPortrait3",#N/A,FALSE,"EXHIBITS";"EXHSPortrait4",#N/A,FALSE,"EXHIBITS"}</definedName>
    <definedName name="wrn.PrintExhibits." localSheetId="19" hidden="1">{"EXHSPortrait1",#N/A,FALSE,"EXHIBITS";"EXHSLandscape",#N/A,FALSE,"EXHIBITS";"EXHSPortrait2",#N/A,FALSE,"EXHIBITS";"EXHSPortrait3",#N/A,FALSE,"EXHIBITS";"EXHSPortrait4",#N/A,FALSE,"EXHIBITS"}</definedName>
    <definedName name="wrn.PrintExhibits." localSheetId="7" hidden="1">{"EXHSPortrait1",#N/A,FALSE,"EXHIBITS";"EXHSLandscape",#N/A,FALSE,"EXHIBITS";"EXHSPortrait2",#N/A,FALSE,"EXHIBITS";"EXHSPortrait3",#N/A,FALSE,"EXHIBITS";"EXHSPortrait4",#N/A,FALSE,"EXHIBITS"}</definedName>
    <definedName name="wrn.PrintExhibits." localSheetId="0" hidden="1">{"EXHSPortrait1",#N/A,FALSE,"EXHIBITS";"EXHSLandscape",#N/A,FALSE,"EXHIBITS";"EXHSPortrait2",#N/A,FALSE,"EXHIBITS";"EXHSPortrait3",#N/A,FALSE,"EXHIBITS";"EXHSPortrait4",#N/A,FALSE,"EXHIBITS"}</definedName>
    <definedName name="wrn.PrintExhibits." localSheetId="10" hidden="1">{"EXHSPortrait1",#N/A,FALSE,"EXHIBITS";"EXHSLandscape",#N/A,FALSE,"EXHIBITS";"EXHSPortrait2",#N/A,FALSE,"EXHIBITS";"EXHSPortrait3",#N/A,FALSE,"EXHIBITS";"EXHSPortrait4",#N/A,FALSE,"EXHIBITS"}</definedName>
    <definedName name="wrn.PrintExhibits." localSheetId="12" hidden="1">{"EXHSPortrait1",#N/A,FALSE,"EXHIBITS";"EXHSLandscape",#N/A,FALSE,"EXHIBITS";"EXHSPortrait2",#N/A,FALSE,"EXHIBITS";"EXHSPortrait3",#N/A,FALSE,"EXHIBITS";"EXHSPortrait4",#N/A,FALSE,"EXHIBITS"}</definedName>
    <definedName name="wrn.PrintExhibits." localSheetId="9" hidden="1">{"EXHSPortrait1",#N/A,FALSE,"EXHIBITS";"EXHSLandscape",#N/A,FALSE,"EXHIBITS";"EXHSPortrait2",#N/A,FALSE,"EXHIBITS";"EXHSPortrait3",#N/A,FALSE,"EXHIBITS";"EXHSPortrait4",#N/A,FALSE,"EXHIBITS"}</definedName>
    <definedName name="wrn.PrintExhibits." hidden="1">{"EXHSPortrait1",#N/A,FALSE,"EXHIBITS";"EXHSLandscape",#N/A,FALSE,"EXHIBITS";"EXHSPortrait2",#N/A,FALSE,"EXHIBITS";"EXHSPortrait3",#N/A,FALSE,"EXHIBITS";"EXHSPortrait4",#N/A,FALSE,"EXHIBITS"}</definedName>
    <definedName name="wrn.printtable1." localSheetId="1" hidden="1">{"print1",#N/A,FALSE,"D21CUSTS"}</definedName>
    <definedName name="wrn.printtable1." localSheetId="17" hidden="1">{"print1",#N/A,FALSE,"D21CUSTS"}</definedName>
    <definedName name="wrn.printtable1." localSheetId="30" hidden="1">{"print1",#N/A,FALSE,"D21CUSTS"}</definedName>
    <definedName name="wrn.printtable1." localSheetId="31" hidden="1">{"print1",#N/A,FALSE,"D21CUSTS"}</definedName>
    <definedName name="wrn.printtable1." localSheetId="19" hidden="1">{"print1",#N/A,FALSE,"D21CUSTS"}</definedName>
    <definedName name="wrn.printtable1." localSheetId="7" hidden="1">{"print1",#N/A,FALSE,"D21CUSTS"}</definedName>
    <definedName name="wrn.printtable1." localSheetId="0" hidden="1">{"print1",#N/A,FALSE,"D21CUSTS"}</definedName>
    <definedName name="wrn.printtable1." localSheetId="10" hidden="1">{"print1",#N/A,FALSE,"D21CUSTS"}</definedName>
    <definedName name="wrn.printtable1." localSheetId="12" hidden="1">{"print1",#N/A,FALSE,"D21CUSTS"}</definedName>
    <definedName name="wrn.printtable1." localSheetId="9" hidden="1">{"print1",#N/A,FALSE,"D21CUSTS"}</definedName>
    <definedName name="wrn.printtable1." hidden="1">{"print1",#N/A,FALSE,"D21CUSTS"}</definedName>
    <definedName name="wrn.printtable2." localSheetId="1" hidden="1">{"print2",#N/A,FALSE,"D21CUSTS"}</definedName>
    <definedName name="wrn.printtable2." localSheetId="17" hidden="1">{"print2",#N/A,FALSE,"D21CUSTS"}</definedName>
    <definedName name="wrn.printtable2." localSheetId="30" hidden="1">{"print2",#N/A,FALSE,"D21CUSTS"}</definedName>
    <definedName name="wrn.printtable2." localSheetId="31" hidden="1">{"print2",#N/A,FALSE,"D21CUSTS"}</definedName>
    <definedName name="wrn.printtable2." localSheetId="19" hidden="1">{"print2",#N/A,FALSE,"D21CUSTS"}</definedName>
    <definedName name="wrn.printtable2." localSheetId="7" hidden="1">{"print2",#N/A,FALSE,"D21CUSTS"}</definedName>
    <definedName name="wrn.printtable2." localSheetId="0" hidden="1">{"print2",#N/A,FALSE,"D21CUSTS"}</definedName>
    <definedName name="wrn.printtable2." localSheetId="10" hidden="1">{"print2",#N/A,FALSE,"D21CUSTS"}</definedName>
    <definedName name="wrn.printtable2." localSheetId="12" hidden="1">{"print2",#N/A,FALSE,"D21CUSTS"}</definedName>
    <definedName name="wrn.printtable2." localSheetId="9" hidden="1">{"print2",#N/A,FALSE,"D21CUSTS"}</definedName>
    <definedName name="wrn.printtable2." hidden="1">{"print2",#N/A,FALSE,"D21CUSTS"}</definedName>
    <definedName name="wrn.printtable3." localSheetId="1" hidden="1">{"print3",#N/A,FALSE,"D21CUSTS"}</definedName>
    <definedName name="wrn.printtable3." localSheetId="17" hidden="1">{"print3",#N/A,FALSE,"D21CUSTS"}</definedName>
    <definedName name="wrn.printtable3." localSheetId="30" hidden="1">{"print3",#N/A,FALSE,"D21CUSTS"}</definedName>
    <definedName name="wrn.printtable3." localSheetId="31" hidden="1">{"print3",#N/A,FALSE,"D21CUSTS"}</definedName>
    <definedName name="wrn.printtable3." localSheetId="19" hidden="1">{"print3",#N/A,FALSE,"D21CUSTS"}</definedName>
    <definedName name="wrn.printtable3." localSheetId="7" hidden="1">{"print3",#N/A,FALSE,"D21CUSTS"}</definedName>
    <definedName name="wrn.printtable3." localSheetId="0" hidden="1">{"print3",#N/A,FALSE,"D21CUSTS"}</definedName>
    <definedName name="wrn.printtable3." localSheetId="10" hidden="1">{"print3",#N/A,FALSE,"D21CUSTS"}</definedName>
    <definedName name="wrn.printtable3." localSheetId="12" hidden="1">{"print3",#N/A,FALSE,"D21CUSTS"}</definedName>
    <definedName name="wrn.printtable3." localSheetId="9" hidden="1">{"print3",#N/A,FALSE,"D21CUSTS"}</definedName>
    <definedName name="wrn.printtable3." hidden="1">{"print3",#N/A,FALSE,"D21CUSTS"}</definedName>
    <definedName name="wrn.printtable4." localSheetId="1" hidden="1">{"print4",#N/A,FALSE,"D21CUSTS"}</definedName>
    <definedName name="wrn.printtable4." localSheetId="17" hidden="1">{"print4",#N/A,FALSE,"D21CUSTS"}</definedName>
    <definedName name="wrn.printtable4." localSheetId="30" hidden="1">{"print4",#N/A,FALSE,"D21CUSTS"}</definedName>
    <definedName name="wrn.printtable4." localSheetId="31" hidden="1">{"print4",#N/A,FALSE,"D21CUSTS"}</definedName>
    <definedName name="wrn.printtable4." localSheetId="19" hidden="1">{"print4",#N/A,FALSE,"D21CUSTS"}</definedName>
    <definedName name="wrn.printtable4." localSheetId="7" hidden="1">{"print4",#N/A,FALSE,"D21CUSTS"}</definedName>
    <definedName name="wrn.printtable4." localSheetId="0" hidden="1">{"print4",#N/A,FALSE,"D21CUSTS"}</definedName>
    <definedName name="wrn.printtable4." localSheetId="10" hidden="1">{"print4",#N/A,FALSE,"D21CUSTS"}</definedName>
    <definedName name="wrn.printtable4." localSheetId="12" hidden="1">{"print4",#N/A,FALSE,"D21CUSTS"}</definedName>
    <definedName name="wrn.printtable4." localSheetId="9" hidden="1">{"print4",#N/A,FALSE,"D21CUSTS"}</definedName>
    <definedName name="wrn.printtable4." hidden="1">{"print4",#N/A,FALSE,"D21CUSTS"}</definedName>
    <definedName name="wrn.PRIOR._.PERIOD._.ADJMT." localSheetId="1" hidden="1">{#N/A,#N/A,FALSE,"PRIOR PERIOD ADJMT"}</definedName>
    <definedName name="wrn.PRIOR._.PERIOD._.ADJMT." localSheetId="17" hidden="1">{#N/A,#N/A,FALSE,"PRIOR PERIOD ADJMT"}</definedName>
    <definedName name="wrn.PRIOR._.PERIOD._.ADJMT." localSheetId="30" hidden="1">{#N/A,#N/A,FALSE,"PRIOR PERIOD ADJMT"}</definedName>
    <definedName name="wrn.PRIOR._.PERIOD._.ADJMT." localSheetId="31" hidden="1">{#N/A,#N/A,FALSE,"PRIOR PERIOD ADJMT"}</definedName>
    <definedName name="wrn.PRIOR._.PERIOD._.ADJMT." localSheetId="19" hidden="1">{#N/A,#N/A,FALSE,"PRIOR PERIOD ADJMT"}</definedName>
    <definedName name="wrn.PRIOR._.PERIOD._.ADJMT." localSheetId="7" hidden="1">{#N/A,#N/A,FALSE,"PRIOR PERIOD ADJMT"}</definedName>
    <definedName name="wrn.PRIOR._.PERIOD._.ADJMT." localSheetId="0" hidden="1">{#N/A,#N/A,FALSE,"PRIOR PERIOD ADJMT"}</definedName>
    <definedName name="wrn.PRIOR._.PERIOD._.ADJMT." localSheetId="10" hidden="1">{#N/A,#N/A,FALSE,"PRIOR PERIOD ADJMT"}</definedName>
    <definedName name="wrn.PRIOR._.PERIOD._.ADJMT." localSheetId="12" hidden="1">{#N/A,#N/A,FALSE,"PRIOR PERIOD ADJMT"}</definedName>
    <definedName name="wrn.PRIOR._.PERIOD._.ADJMT." localSheetId="9" hidden="1">{#N/A,#N/A,FALSE,"PRIOR PERIOD ADJMT"}</definedName>
    <definedName name="wrn.PRIOR._.PERIOD._.ADJMT." hidden="1">{#N/A,#N/A,FALSE,"PRIOR PERIOD ADJMT"}</definedName>
    <definedName name="wrn.Productivity_Ratios." localSheetId="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1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0"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31"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19"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7"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0"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10"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12"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localSheetId="9"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Ratios."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Targets." localSheetId="1" hidden="1">{"PT=O&amp;M per Cust + Equiv Employee + OR",#N/A,FALSE,"1999 Targets";"PT=Return on Net Plant &amp; Rev per Customere",#N/A,FALSE,"1999 Targets"}</definedName>
    <definedName name="wrn.Productivity_Targets." localSheetId="17" hidden="1">{"PT=O&amp;M per Cust + Equiv Employee + OR",#N/A,FALSE,"1999 Targets";"PT=Return on Net Plant &amp; Rev per Customere",#N/A,FALSE,"1999 Targets"}</definedName>
    <definedName name="wrn.Productivity_Targets." localSheetId="30" hidden="1">{"PT=O&amp;M per Cust + Equiv Employee + OR",#N/A,FALSE,"1999 Targets";"PT=Return on Net Plant &amp; Rev per Customere",#N/A,FALSE,"1999 Targets"}</definedName>
    <definedName name="wrn.Productivity_Targets." localSheetId="31" hidden="1">{"PT=O&amp;M per Cust + Equiv Employee + OR",#N/A,FALSE,"1999 Targets";"PT=Return on Net Plant &amp; Rev per Customere",#N/A,FALSE,"1999 Targets"}</definedName>
    <definedName name="wrn.Productivity_Targets." localSheetId="19" hidden="1">{"PT=O&amp;M per Cust + Equiv Employee + OR",#N/A,FALSE,"1999 Targets";"PT=Return on Net Plant &amp; Rev per Customere",#N/A,FALSE,"1999 Targets"}</definedName>
    <definedName name="wrn.Productivity_Targets." localSheetId="7" hidden="1">{"PT=O&amp;M per Cust + Equiv Employee + OR",#N/A,FALSE,"1999 Targets";"PT=Return on Net Plant &amp; Rev per Customere",#N/A,FALSE,"1999 Targets"}</definedName>
    <definedName name="wrn.Productivity_Targets." localSheetId="0" hidden="1">{"PT=O&amp;M per Cust + Equiv Employee + OR",#N/A,FALSE,"1999 Targets";"PT=Return on Net Plant &amp; Rev per Customere",#N/A,FALSE,"1999 Targets"}</definedName>
    <definedName name="wrn.Productivity_Targets." localSheetId="10" hidden="1">{"PT=O&amp;M per Cust + Equiv Employee + OR",#N/A,FALSE,"1999 Targets";"PT=Return on Net Plant &amp; Rev per Customere",#N/A,FALSE,"1999 Targets"}</definedName>
    <definedName name="wrn.Productivity_Targets." localSheetId="12" hidden="1">{"PT=O&amp;M per Cust + Equiv Employee + OR",#N/A,FALSE,"1999 Targets";"PT=Return on Net Plant &amp; Rev per Customere",#N/A,FALSE,"1999 Targets"}</definedName>
    <definedName name="wrn.Productivity_Targets." localSheetId="9" hidden="1">{"PT=O&amp;M per Cust + Equiv Employee + OR",#N/A,FALSE,"1999 Targets";"PT=Return on Net Plant &amp; Rev per Customere",#N/A,FALSE,"1999 Targets"}</definedName>
    <definedName name="wrn.Productivity_Targets." hidden="1">{"PT=O&amp;M per Cust + Equiv Employee + OR",#N/A,FALSE,"1999 Targets";"PT=Return on Net Plant &amp; Rev per Customere",#N/A,FALSE,"1999 Targets"}</definedName>
    <definedName name="wrn.Proforma." localSheetId="1" hidden="1">{#N/A,#N/A,TRUE,"SLDE";#N/A,#N/A,TRUE,"Concession Summary"}</definedName>
    <definedName name="wrn.Proforma." localSheetId="17" hidden="1">{#N/A,#N/A,TRUE,"SLDE";#N/A,#N/A,TRUE,"Concession Summary"}</definedName>
    <definedName name="wrn.Proforma." localSheetId="30" hidden="1">{#N/A,#N/A,TRUE,"SLDE";#N/A,#N/A,TRUE,"Concession Summary"}</definedName>
    <definedName name="wrn.Proforma." localSheetId="31" hidden="1">{#N/A,#N/A,TRUE,"SLDE";#N/A,#N/A,TRUE,"Concession Summary"}</definedName>
    <definedName name="wrn.Proforma." localSheetId="19" hidden="1">{#N/A,#N/A,TRUE,"SLDE";#N/A,#N/A,TRUE,"Concession Summary"}</definedName>
    <definedName name="wrn.Proforma." localSheetId="7" hidden="1">{#N/A,#N/A,TRUE,"SLDE";#N/A,#N/A,TRUE,"Concession Summary"}</definedName>
    <definedName name="wrn.Proforma." localSheetId="0" hidden="1">{#N/A,#N/A,TRUE,"SLDE";#N/A,#N/A,TRUE,"Concession Summary"}</definedName>
    <definedName name="wrn.Proforma." localSheetId="10" hidden="1">{#N/A,#N/A,TRUE,"SLDE";#N/A,#N/A,TRUE,"Concession Summary"}</definedName>
    <definedName name="wrn.Proforma." localSheetId="12" hidden="1">{#N/A,#N/A,TRUE,"SLDE";#N/A,#N/A,TRUE,"Concession Summary"}</definedName>
    <definedName name="wrn.Proforma." localSheetId="9" hidden="1">{#N/A,#N/A,TRUE,"SLDE";#N/A,#N/A,TRUE,"Concession Summary"}</definedName>
    <definedName name="wrn.Proforma." hidden="1">{#N/A,#N/A,TRUE,"SLDE";#N/A,#N/A,TRUE,"Concession Summary"}</definedName>
    <definedName name="wrn.Proforma._.Review." localSheetId="7" hidden="1">{#N/A,#N/A,FALSE,"Occ and Rate";#N/A,#N/A,FALSE,"PF Input";#N/A,#N/A,FALSE,"Proforma Five Yr";#N/A,#N/A,FALSE,"Hotcomps"}</definedName>
    <definedName name="wrn.Proforma._.Review." localSheetId="10" hidden="1">{#N/A,#N/A,FALSE,"Occ and Rate";#N/A,#N/A,FALSE,"PF Input";#N/A,#N/A,FALSE,"Proforma Five Yr";#N/A,#N/A,FALSE,"Hotcomps"}</definedName>
    <definedName name="wrn.Proforma._.Review." localSheetId="12" hidden="1">{#N/A,#N/A,FALSE,"Occ and Rate";#N/A,#N/A,FALSE,"PF Input";#N/A,#N/A,FALSE,"Proforma Five Yr";#N/A,#N/A,FALSE,"Hotcomps"}</definedName>
    <definedName name="wrn.Proforma._.Review." hidden="1">{#N/A,#N/A,FALSE,"Occ and Rate";#N/A,#N/A,FALSE,"PF Input";#N/A,#N/A,FALSE,"Proforma Five Yr";#N/A,#N/A,FALSE,"Hotcomps"}</definedName>
    <definedName name="wrn.Projected._.Def._.Adjustments."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_.Adjustments."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localSheetId="1" hidden="1">{"caz2",#N/A,FALSE,"Central Arizona 2";"saz2",#N/A,FALSE,"Southern Arizona 2";"snv2",#N/A,FALSE,"Southern Nevada 2";"nnv2",#N/A,FALSE,"Northern Nevada 2";"sca2",#N/A,FALSE,"Southern California 2";"nca2",#N/A,FALSE,"Northern California 2";"pai2",#N/A,FALSE,"Paiute 2"}</definedName>
    <definedName name="wrn.Projected._.Defiency." localSheetId="17" hidden="1">{"caz2",#N/A,FALSE,"Central Arizona 2";"saz2",#N/A,FALSE,"Southern Arizona 2";"snv2",#N/A,FALSE,"Southern Nevada 2";"nnv2",#N/A,FALSE,"Northern Nevada 2";"sca2",#N/A,FALSE,"Southern California 2";"nca2",#N/A,FALSE,"Northern California 2";"pai2",#N/A,FALSE,"Paiute 2"}</definedName>
    <definedName name="wrn.Projected._.Defiency." localSheetId="30" hidden="1">{"caz2",#N/A,FALSE,"Central Arizona 2";"saz2",#N/A,FALSE,"Southern Arizona 2";"snv2",#N/A,FALSE,"Southern Nevada 2";"nnv2",#N/A,FALSE,"Northern Nevada 2";"sca2",#N/A,FALSE,"Southern California 2";"nca2",#N/A,FALSE,"Northern California 2";"pai2",#N/A,FALSE,"Paiute 2"}</definedName>
    <definedName name="wrn.Projected._.Defiency." localSheetId="31" hidden="1">{"caz2",#N/A,FALSE,"Central Arizona 2";"saz2",#N/A,FALSE,"Southern Arizona 2";"snv2",#N/A,FALSE,"Southern Nevada 2";"nnv2",#N/A,FALSE,"Northern Nevada 2";"sca2",#N/A,FALSE,"Southern California 2";"nca2",#N/A,FALSE,"Northern California 2";"pai2",#N/A,FALSE,"Paiute 2"}</definedName>
    <definedName name="wrn.Projected._.Defiency." localSheetId="19" hidden="1">{"caz2",#N/A,FALSE,"Central Arizona 2";"saz2",#N/A,FALSE,"Southern Arizona 2";"snv2",#N/A,FALSE,"Southern Nevada 2";"nnv2",#N/A,FALSE,"Northern Nevada 2";"sca2",#N/A,FALSE,"Southern California 2";"nca2",#N/A,FALSE,"Northern California 2";"pai2",#N/A,FALSE,"Paiute 2"}</definedName>
    <definedName name="wrn.Projected._.Defiency." localSheetId="7" hidden="1">{"caz2",#N/A,FALSE,"Central Arizona 2";"saz2",#N/A,FALSE,"Southern Arizona 2";"snv2",#N/A,FALSE,"Southern Nevada 2";"nnv2",#N/A,FALSE,"Northern Nevada 2";"sca2",#N/A,FALSE,"Southern California 2";"nca2",#N/A,FALSE,"Northern California 2";"pai2",#N/A,FALSE,"Paiute 2"}</definedName>
    <definedName name="wrn.Projected._.Defiency." localSheetId="0" hidden="1">{"caz2",#N/A,FALSE,"Central Arizona 2";"saz2",#N/A,FALSE,"Southern Arizona 2";"snv2",#N/A,FALSE,"Southern Nevada 2";"nnv2",#N/A,FALSE,"Northern Nevada 2";"sca2",#N/A,FALSE,"Southern California 2";"nca2",#N/A,FALSE,"Northern California 2";"pai2",#N/A,FALSE,"Paiute 2"}</definedName>
    <definedName name="wrn.Projected._.Defiency." localSheetId="10" hidden="1">{"caz2",#N/A,FALSE,"Central Arizona 2";"saz2",#N/A,FALSE,"Southern Arizona 2";"snv2",#N/A,FALSE,"Southern Nevada 2";"nnv2",#N/A,FALSE,"Northern Nevada 2";"sca2",#N/A,FALSE,"Southern California 2";"nca2",#N/A,FALSE,"Northern California 2";"pai2",#N/A,FALSE,"Paiute 2"}</definedName>
    <definedName name="wrn.Projected._.Defiency." localSheetId="12" hidden="1">{"caz2",#N/A,FALSE,"Central Arizona 2";"saz2",#N/A,FALSE,"Southern Arizona 2";"snv2",#N/A,FALSE,"Southern Nevada 2";"nnv2",#N/A,FALSE,"Northern Nevada 2";"sca2",#N/A,FALSE,"Southern California 2";"nca2",#N/A,FALSE,"Northern California 2";"pai2",#N/A,FALSE,"Paiute 2"}</definedName>
    <definedName name="wrn.Projected._.Defiency." localSheetId="9" hidden="1">{"caz2",#N/A,FALSE,"Central Arizona 2";"saz2",#N/A,FALSE,"Southern Arizona 2";"snv2",#N/A,FALSE,"Southern Nevada 2";"nnv2",#N/A,FALSE,"Northern Nevada 2";"sca2",#N/A,FALSE,"Southern California 2";"nca2",#N/A,FALSE,"Northern California 2";"pai2",#N/A,FALSE,"Paiute 2"}</definedName>
    <definedName name="wrn.Projected._.Defiency." hidden="1">{"caz2",#N/A,FALSE,"Central Arizona 2";"saz2",#N/A,FALSE,"Southern Arizona 2";"snv2",#N/A,FALSE,"Southern Nevada 2";"nnv2",#N/A,FALSE,"Northern Nevada 2";"sca2",#N/A,FALSE,"Southern California 2";"nca2",#N/A,FALSE,"Northern California 2";"pai2",#N/A,FALSE,"Paiute 2"}</definedName>
    <definedName name="wrn.PROPERTY._.AND._.EQUIP.." localSheetId="7" hidden="1">{#N/A,#N/A,FALSE,"M-1 Property and Equipment";#N/A,#N/A,FALSE,"M-2 Asset Additions";#N/A,#N/A,FALSE,"M-3 Property Disposals"}</definedName>
    <definedName name="wrn.PROPERTY._.AND._.EQUIP.." localSheetId="10" hidden="1">{#N/A,#N/A,FALSE,"M-1 Property and Equipment";#N/A,#N/A,FALSE,"M-2 Asset Additions";#N/A,#N/A,FALSE,"M-3 Property Disposals"}</definedName>
    <definedName name="wrn.PROPERTY._.AND._.EQUIP.." localSheetId="12" hidden="1">{#N/A,#N/A,FALSE,"M-1 Property and Equipment";#N/A,#N/A,FALSE,"M-2 Asset Additions";#N/A,#N/A,FALSE,"M-3 Property Disposals"}</definedName>
    <definedName name="wrn.PROPERTY._.AND._.EQUIP.." hidden="1">{#N/A,#N/A,FALSE,"M-1 Property and Equipment";#N/A,#N/A,FALSE,"M-2 Asset Additions";#N/A,#N/A,FALSE,"M-3 Property Disposals"}</definedName>
    <definedName name="wrn.PropertyInformation." localSheetId="7" hidden="1">{#N/A,#N/A,FALSE,"PropertyInfo"}</definedName>
    <definedName name="wrn.PropertyInformation." localSheetId="10" hidden="1">{#N/A,#N/A,FALSE,"PropertyInfo"}</definedName>
    <definedName name="wrn.PropertyInformation." localSheetId="12" hidden="1">{#N/A,#N/A,FALSE,"PropertyInfo"}</definedName>
    <definedName name="wrn.PropertyInformation." hidden="1">{#N/A,#N/A,FALSE,"PropertyInfo"}</definedName>
    <definedName name="wrn.PSNH_GL." localSheetId="1" hidden="1">{#N/A,#N/A,FALSE,"GLDwnLoad"}</definedName>
    <definedName name="wrn.PSNH_GL." localSheetId="17" hidden="1">{#N/A,#N/A,FALSE,"GLDwnLoad"}</definedName>
    <definedName name="wrn.PSNH_GL." localSheetId="30" hidden="1">{#N/A,#N/A,FALSE,"GLDwnLoad"}</definedName>
    <definedName name="wrn.PSNH_GL." localSheetId="31" hidden="1">{#N/A,#N/A,FALSE,"GLDwnLoad"}</definedName>
    <definedName name="wrn.PSNH_GL." localSheetId="19" hidden="1">{#N/A,#N/A,FALSE,"GLDwnLoad"}</definedName>
    <definedName name="wrn.PSNH_GL." localSheetId="7" hidden="1">{#N/A,#N/A,FALSE,"GLDwnLoad"}</definedName>
    <definedName name="wrn.PSNH_GL." localSheetId="0" hidden="1">{#N/A,#N/A,FALSE,"GLDwnLoad"}</definedName>
    <definedName name="wrn.PSNH_GL." localSheetId="10" hidden="1">{#N/A,#N/A,FALSE,"GLDwnLoad"}</definedName>
    <definedName name="wrn.PSNH_GL." localSheetId="12" hidden="1">{#N/A,#N/A,FALSE,"GLDwnLoad"}</definedName>
    <definedName name="wrn.PSNH_GL." localSheetId="9" hidden="1">{#N/A,#N/A,FALSE,"GLDwnLoad"}</definedName>
    <definedName name="wrn.PSNH_GL." hidden="1">{#N/A,#N/A,FALSE,"GLDwnLoad"}</definedName>
    <definedName name="wrn.PSNH_INPUTS." localSheetId="1" hidden="1">{#N/A,#N/A,FALSE,"OTHERINPUTS";#N/A,#N/A,FALSE,"DITRATEINPUTS";#N/A,#N/A,FALSE,"SUPPLIEDADJINPUT";#N/A,#N/A,FALSE,"TIMINGDIFFINPUTS";#N/A,#N/A,FALSE,"BR&amp;SUPADJ."}</definedName>
    <definedName name="wrn.PSNH_INPUTS." localSheetId="17" hidden="1">{#N/A,#N/A,FALSE,"OTHERINPUTS";#N/A,#N/A,FALSE,"DITRATEINPUTS";#N/A,#N/A,FALSE,"SUPPLIEDADJINPUT";#N/A,#N/A,FALSE,"TIMINGDIFFINPUTS";#N/A,#N/A,FALSE,"BR&amp;SUPADJ."}</definedName>
    <definedName name="wrn.PSNH_INPUTS." localSheetId="30" hidden="1">{#N/A,#N/A,FALSE,"OTHERINPUTS";#N/A,#N/A,FALSE,"DITRATEINPUTS";#N/A,#N/A,FALSE,"SUPPLIEDADJINPUT";#N/A,#N/A,FALSE,"TIMINGDIFFINPUTS";#N/A,#N/A,FALSE,"BR&amp;SUPADJ."}</definedName>
    <definedName name="wrn.PSNH_INPUTS." localSheetId="31" hidden="1">{#N/A,#N/A,FALSE,"OTHERINPUTS";#N/A,#N/A,FALSE,"DITRATEINPUTS";#N/A,#N/A,FALSE,"SUPPLIEDADJINPUT";#N/A,#N/A,FALSE,"TIMINGDIFFINPUTS";#N/A,#N/A,FALSE,"BR&amp;SUPADJ."}</definedName>
    <definedName name="wrn.PSNH_INPUTS." localSheetId="19" hidden="1">{#N/A,#N/A,FALSE,"OTHERINPUTS";#N/A,#N/A,FALSE,"DITRATEINPUTS";#N/A,#N/A,FALSE,"SUPPLIEDADJINPUT";#N/A,#N/A,FALSE,"TIMINGDIFFINPUTS";#N/A,#N/A,FALSE,"BR&amp;SUPADJ."}</definedName>
    <definedName name="wrn.PSNH_INPUTS." localSheetId="7" hidden="1">{#N/A,#N/A,FALSE,"OTHERINPUTS";#N/A,#N/A,FALSE,"DITRATEINPUTS";#N/A,#N/A,FALSE,"SUPPLIEDADJINPUT";#N/A,#N/A,FALSE,"TIMINGDIFFINPUTS";#N/A,#N/A,FALSE,"BR&amp;SUPADJ."}</definedName>
    <definedName name="wrn.PSNH_INPUTS." localSheetId="0" hidden="1">{#N/A,#N/A,FALSE,"OTHERINPUTS";#N/A,#N/A,FALSE,"DITRATEINPUTS";#N/A,#N/A,FALSE,"SUPPLIEDADJINPUT";#N/A,#N/A,FALSE,"TIMINGDIFFINPUTS";#N/A,#N/A,FALSE,"BR&amp;SUPADJ."}</definedName>
    <definedName name="wrn.PSNH_INPUTS." localSheetId="10" hidden="1">{#N/A,#N/A,FALSE,"OTHERINPUTS";#N/A,#N/A,FALSE,"DITRATEINPUTS";#N/A,#N/A,FALSE,"SUPPLIEDADJINPUT";#N/A,#N/A,FALSE,"TIMINGDIFFINPUTS";#N/A,#N/A,FALSE,"BR&amp;SUPADJ."}</definedName>
    <definedName name="wrn.PSNH_INPUTS." localSheetId="12" hidden="1">{#N/A,#N/A,FALSE,"OTHERINPUTS";#N/A,#N/A,FALSE,"DITRATEINPUTS";#N/A,#N/A,FALSE,"SUPPLIEDADJINPUT";#N/A,#N/A,FALSE,"TIMINGDIFFINPUTS";#N/A,#N/A,FALSE,"BR&amp;SUPADJ."}</definedName>
    <definedName name="wrn.PSNH_INPUTS." localSheetId="9" hidden="1">{#N/A,#N/A,FALSE,"OTHERINPUTS";#N/A,#N/A,FALSE,"DITRATEINPUTS";#N/A,#N/A,FALSE,"SUPPLIEDADJINPUT";#N/A,#N/A,FALSE,"TIMINGDIFFINPUTS";#N/A,#N/A,FALSE,"BR&amp;SUPADJ."}</definedName>
    <definedName name="wrn.PSNH_INPUTS." hidden="1">{#N/A,#N/A,FALSE,"OTHERINPUTS";#N/A,#N/A,FALSE,"DITRATEINPUTS";#N/A,#N/A,FALSE,"SUPPLIEDADJINPUT";#N/A,#N/A,FALSE,"TIMINGDIFFINPUTS";#N/A,#N/A,FALSE,"BR&amp;SUPADJ."}</definedName>
    <definedName name="wrn.PSNH_PROV." localSheetId="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3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7"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0"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12"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localSheetId="9"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Q4._.and._.Year._.to._.SECOI." localSheetId="7" hidden="1">{"To SECOI","ipg",TRUE,"Q4 and Year";"To SECOI","opww",TRUE,"Q4 and Year";"To SECOI","mccann",TRUE,"Q4 and Year";"To SECOI","draftfcb",TRUE,"Q4 and Year";"To SECOI","lowe",TRUE,"Q4 and Year";"To SECOI","cmg",TRUE,"Q4 and Year";"To SECOI","ipg media",TRUE,"Q4 and Year";"To SECOI","im",TRUE,"Q4 and Year";"To SECOI","um",TRUE,"Q4 and Year";"To SECOI","magna",TRUE,"Q4 and Year";"To SECOI","media corp",TRUE,"Q4 and Year";"To SECOI","ceww",TRUE,"Q4 and Year";"To SECOI","deuww",TRUE,"Q4 and Year";"To SECOI","hh",TRUE,"Q4 and Year";"To SECOI","mullen",TRUE,"Q4 and Year";"To SECOI","dailey",TRUE,"Q4 and Year";"To SECOI","one seven",TRUE,"Q4 and Year";"To SECOI","nonopww",TRUE,"Q4 and Year";"To SECOI","totcorp",TRUE,"Q4 and Year";"To SECOI","corpoh",TRUE,"Q4 and Year";"To SECOI","gisgss",TRUE,"Q4 and Year";"To SECOI","elims",TRUE,"Q4 and Year"}</definedName>
    <definedName name="wrn.Q4._.and._.Year._.to._.SECOI." localSheetId="10" hidden="1">{"To SECOI","ipg",TRUE,"Q4 and Year";"To SECOI","opww",TRUE,"Q4 and Year";"To SECOI","mccann",TRUE,"Q4 and Year";"To SECOI","draftfcb",TRUE,"Q4 and Year";"To SECOI","lowe",TRUE,"Q4 and Year";"To SECOI","cmg",TRUE,"Q4 and Year";"To SECOI","ipg media",TRUE,"Q4 and Year";"To SECOI","im",TRUE,"Q4 and Year";"To SECOI","um",TRUE,"Q4 and Year";"To SECOI","magna",TRUE,"Q4 and Year";"To SECOI","media corp",TRUE,"Q4 and Year";"To SECOI","ceww",TRUE,"Q4 and Year";"To SECOI","deuww",TRUE,"Q4 and Year";"To SECOI","hh",TRUE,"Q4 and Year";"To SECOI","mullen",TRUE,"Q4 and Year";"To SECOI","dailey",TRUE,"Q4 and Year";"To SECOI","one seven",TRUE,"Q4 and Year";"To SECOI","nonopww",TRUE,"Q4 and Year";"To SECOI","totcorp",TRUE,"Q4 and Year";"To SECOI","corpoh",TRUE,"Q4 and Year";"To SECOI","gisgss",TRUE,"Q4 and Year";"To SECOI","elims",TRUE,"Q4 and Year"}</definedName>
    <definedName name="wrn.Q4._.and._.Year._.to._.SECOI." localSheetId="12" hidden="1">{"To SECOI","ipg",TRUE,"Q4 and Year";"To SECOI","opww",TRUE,"Q4 and Year";"To SECOI","mccann",TRUE,"Q4 and Year";"To SECOI","draftfcb",TRUE,"Q4 and Year";"To SECOI","lowe",TRUE,"Q4 and Year";"To SECOI","cmg",TRUE,"Q4 and Year";"To SECOI","ipg media",TRUE,"Q4 and Year";"To SECOI","im",TRUE,"Q4 and Year";"To SECOI","um",TRUE,"Q4 and Year";"To SECOI","magna",TRUE,"Q4 and Year";"To SECOI","media corp",TRUE,"Q4 and Year";"To SECOI","ceww",TRUE,"Q4 and Year";"To SECOI","deuww",TRUE,"Q4 and Year";"To SECOI","hh",TRUE,"Q4 and Year";"To SECOI","mullen",TRUE,"Q4 and Year";"To SECOI","dailey",TRUE,"Q4 and Year";"To SECOI","one seven",TRUE,"Q4 and Year";"To SECOI","nonopww",TRUE,"Q4 and Year";"To SECOI","totcorp",TRUE,"Q4 and Year";"To SECOI","corpoh",TRUE,"Q4 and Year";"To SECOI","gisgss",TRUE,"Q4 and Year";"To SECOI","elims",TRUE,"Q4 and Year"}</definedName>
    <definedName name="wrn.Q4._.and._.Year._.to._.SECOI." hidden="1">{"To SECOI","ipg",TRUE,"Q4 and Year";"To SECOI","opww",TRUE,"Q4 and Year";"To SECOI","mccann",TRUE,"Q4 and Year";"To SECOI","draftfcb",TRUE,"Q4 and Year";"To SECOI","lowe",TRUE,"Q4 and Year";"To SECOI","cmg",TRUE,"Q4 and Year";"To SECOI","ipg media",TRUE,"Q4 and Year";"To SECOI","im",TRUE,"Q4 and Year";"To SECOI","um",TRUE,"Q4 and Year";"To SECOI","magna",TRUE,"Q4 and Year";"To SECOI","media corp",TRUE,"Q4 and Year";"To SECOI","ceww",TRUE,"Q4 and Year";"To SECOI","deuww",TRUE,"Q4 and Year";"To SECOI","hh",TRUE,"Q4 and Year";"To SECOI","mullen",TRUE,"Q4 and Year";"To SECOI","dailey",TRUE,"Q4 and Year";"To SECOI","one seven",TRUE,"Q4 and Year";"To SECOI","nonopww",TRUE,"Q4 and Year";"To SECOI","totcorp",TRUE,"Q4 and Year";"To SECOI","corpoh",TRUE,"Q4 and Year";"To SECOI","gisgss",TRUE,"Q4 and Year";"To SECOI","elims",TRUE,"Q4 and Year"}</definedName>
    <definedName name="wrn.QTR._.AUDIT." localSheetId="1"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1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30"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31"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19"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7"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0"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10"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12" hidden="1">{#N/A,#N/A,FALSE,"Cover";#N/A,#N/A,FALSE,"VECTREN IS";#N/A,#N/A,FALSE,"VUHI MARGIN VARIANCE";#N/A,#N/A,FALSE,"VUHI ELEC MARGIN VARIANCE";#N/A,#N/A,FALSE,"VECTREN EPS";#N/A,#N/A,FALSE,"ENTERPRISES ERNGS";#N/A,#N/A,FALSE,"CORP- OTHER";#N/A,#N/A,FALSE,"VECTREN PROJ EPS ";#N/A,#N/A,FALSE,"OTHER ISSUES";#N/A,#N/A,FALSE,"D&amp;T Summary"}</definedName>
    <definedName name="wrn.QTR._.AUDIT." localSheetId="9" hidden="1">{#N/A,#N/A,FALSE,"Cover";#N/A,#N/A,FALSE,"VECTREN IS";#N/A,#N/A,FALSE,"VUHI MARGIN VARIANCE";#N/A,#N/A,FALSE,"VUHI ELEC MARGIN VARIANCE";#N/A,#N/A,FALSE,"VECTREN EPS";#N/A,#N/A,FALSE,"ENTERPRISES ERNGS";#N/A,#N/A,FALSE,"CORP- OTHER";#N/A,#N/A,FALSE,"VECTREN PROJ EPS ";#N/A,#N/A,FALSE,"OTHER ISSUES";#N/A,#N/A,FALSE,"D&amp;T Summary"}</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Quarterly._.report." localSheetId="1" hidden="1">{#N/A,#N/A,TRUE,"1 (2)";#N/A,#N/A,TRUE,"2";#N/A,#N/A,TRUE,"3"}</definedName>
    <definedName name="wrn.Quarterly._.report." localSheetId="17" hidden="1">{#N/A,#N/A,TRUE,"1 (2)";#N/A,#N/A,TRUE,"2";#N/A,#N/A,TRUE,"3"}</definedName>
    <definedName name="wrn.Quarterly._.report." localSheetId="30" hidden="1">{#N/A,#N/A,TRUE,"1 (2)";#N/A,#N/A,TRUE,"2";#N/A,#N/A,TRUE,"3"}</definedName>
    <definedName name="wrn.Quarterly._.report." localSheetId="31" hidden="1">{#N/A,#N/A,TRUE,"1 (2)";#N/A,#N/A,TRUE,"2";#N/A,#N/A,TRUE,"3"}</definedName>
    <definedName name="wrn.Quarterly._.report." localSheetId="19" hidden="1">{#N/A,#N/A,TRUE,"1 (2)";#N/A,#N/A,TRUE,"2";#N/A,#N/A,TRUE,"3"}</definedName>
    <definedName name="wrn.Quarterly._.report." localSheetId="7" hidden="1">{#N/A,#N/A,TRUE,"1 (2)";#N/A,#N/A,TRUE,"2";#N/A,#N/A,TRUE,"3"}</definedName>
    <definedName name="wrn.Quarterly._.report." localSheetId="0" hidden="1">{#N/A,#N/A,TRUE,"1 (2)";#N/A,#N/A,TRUE,"2";#N/A,#N/A,TRUE,"3"}</definedName>
    <definedName name="wrn.Quarterly._.report." localSheetId="10" hidden="1">{#N/A,#N/A,TRUE,"1 (2)";#N/A,#N/A,TRUE,"2";#N/A,#N/A,TRUE,"3"}</definedName>
    <definedName name="wrn.Quarterly._.report." localSheetId="12" hidden="1">{#N/A,#N/A,TRUE,"1 (2)";#N/A,#N/A,TRUE,"2";#N/A,#N/A,TRUE,"3"}</definedName>
    <definedName name="wrn.Quarterly._.report." localSheetId="9" hidden="1">{#N/A,#N/A,TRUE,"1 (2)";#N/A,#N/A,TRUE,"2";#N/A,#N/A,TRUE,"3"}</definedName>
    <definedName name="wrn.Quarterly._.report." hidden="1">{#N/A,#N/A,TRUE,"1 (2)";#N/A,#N/A,TRUE,"2";#N/A,#N/A,TRUE,"3"}</definedName>
    <definedName name="wrn.Rate._.Design." localSheetId="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0"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31"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9"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7"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0"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0"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12"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localSheetId="9"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BASE._.ADJUSTMENTS." localSheetId="1" hidden="1">{"JURIS_RB_ADJS",#N/A,FALSE,"COSTSTUDY";"OKCLS_RB_ADJS",#N/A,FALSE,"COSTSTUDY"}</definedName>
    <definedName name="wrn.RATEBASE._.ADJUSTMENTS." localSheetId="17" hidden="1">{"JURIS_RB_ADJS",#N/A,FALSE,"COSTSTUDY";"OKCLS_RB_ADJS",#N/A,FALSE,"COSTSTUDY"}</definedName>
    <definedName name="wrn.RATEBASE._.ADJUSTMENTS." localSheetId="30" hidden="1">{"JURIS_RB_ADJS",#N/A,FALSE,"COSTSTUDY";"OKCLS_RB_ADJS",#N/A,FALSE,"COSTSTUDY"}</definedName>
    <definedName name="wrn.RATEBASE._.ADJUSTMENTS." localSheetId="31" hidden="1">{"JURIS_RB_ADJS",#N/A,FALSE,"COSTSTUDY";"OKCLS_RB_ADJS",#N/A,FALSE,"COSTSTUDY"}</definedName>
    <definedName name="wrn.RATEBASE._.ADJUSTMENTS." localSheetId="19" hidden="1">{"JURIS_RB_ADJS",#N/A,FALSE,"COSTSTUDY";"OKCLS_RB_ADJS",#N/A,FALSE,"COSTSTUDY"}</definedName>
    <definedName name="wrn.RATEBASE._.ADJUSTMENTS." localSheetId="7" hidden="1">{"JURIS_RB_ADJS",#N/A,FALSE,"COSTSTUDY";"OKCLS_RB_ADJS",#N/A,FALSE,"COSTSTUDY"}</definedName>
    <definedName name="wrn.RATEBASE._.ADJUSTMENTS." localSheetId="0" hidden="1">{"JURIS_RB_ADJS",#N/A,FALSE,"COSTSTUDY";"OKCLS_RB_ADJS",#N/A,FALSE,"COSTSTUDY"}</definedName>
    <definedName name="wrn.RATEBASE._.ADJUSTMENTS." localSheetId="10" hidden="1">{"JURIS_RB_ADJS",#N/A,FALSE,"COSTSTUDY";"OKCLS_RB_ADJS",#N/A,FALSE,"COSTSTUDY"}</definedName>
    <definedName name="wrn.RATEBASE._.ADJUSTMENTS." localSheetId="12" hidden="1">{"JURIS_RB_ADJS",#N/A,FALSE,"COSTSTUDY";"OKCLS_RB_ADJS",#N/A,FALSE,"COSTSTUDY"}</definedName>
    <definedName name="wrn.RATEBASE._.ADJUSTMENTS." localSheetId="9" hidden="1">{"JURIS_RB_ADJS",#N/A,FALSE,"COSTSTUDY";"OKCLS_RB_ADJS",#N/A,FALSE,"COSTSTUDY"}</definedName>
    <definedName name="wrn.RATEBASE._.ADJUSTMENTS." hidden="1">{"JURIS_RB_ADJS",#N/A,FALSE,"COSTSTUDY";"OKCLS_RB_ADJS",#N/A,FALSE,"COSTSTUDY"}</definedName>
    <definedName name="wrn.RECEIVABLES." localSheetId="7"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CEIVABLES." localSheetId="10"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CEIVABLES." localSheetId="12"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CEIVABLES." hidden="1">{#N/A,#N/A,FALSE,"C-1 Acct Rec.-Recon. with Aging";#N/A,#N/A,FALSE,"C-2 Potential Doubtful Accounts";#N/A,#N/A,FALSE,"C-3 Allowance for Bad Debt";#N/A,#N/A,FALSE,"C-4 AR Subsequent Cash Receipt";#N/A,#N/A,FALSE,"C-5 Receivable Write Off";#N/A,#N/A,FALSE,"C-6 Receivable Recoveries";#N/A,#N/A,FALSE,"C-7 AR Confirmation Analysis";#N/A,#N/A,FALSE,"C-8 AR-Review of Credit Memos";#N/A,#N/A,FALSE,"C-9 AR Confirmation Reconc.";#N/A,#N/A,FALSE,"C-10 Confirmation Control Sheet";#N/A,#N/A,FALSE,"C-11 Confirmation Statistics"}</definedName>
    <definedName name="wrn.Report." localSheetId="1" hidden="1">{#N/A,#N/A,TRUE,"Summary";#N/A,#N/A,TRUE,"Ratios LDE";#N/A,#N/A,TRUE,"Ratios";#N/A,#N/A,TRUE,"Financial Statements"}</definedName>
    <definedName name="wrn.Report." localSheetId="17" hidden="1">{#N/A,#N/A,TRUE,"Summary";#N/A,#N/A,TRUE,"Ratios LDE";#N/A,#N/A,TRUE,"Ratios";#N/A,#N/A,TRUE,"Financial Statements"}</definedName>
    <definedName name="wrn.Report." localSheetId="30" hidden="1">{#N/A,#N/A,TRUE,"Summary";#N/A,#N/A,TRUE,"Ratios LDE";#N/A,#N/A,TRUE,"Ratios";#N/A,#N/A,TRUE,"Financial Statements"}</definedName>
    <definedName name="wrn.Report." localSheetId="31" hidden="1">{#N/A,#N/A,TRUE,"Summary";#N/A,#N/A,TRUE,"Ratios LDE";#N/A,#N/A,TRUE,"Ratios";#N/A,#N/A,TRUE,"Financial Statements"}</definedName>
    <definedName name="wrn.Report." localSheetId="19" hidden="1">{#N/A,#N/A,TRUE,"Summary";#N/A,#N/A,TRUE,"Ratios LDE";#N/A,#N/A,TRUE,"Ratios";#N/A,#N/A,TRUE,"Financial Statements"}</definedName>
    <definedName name="wrn.Report." localSheetId="7" hidden="1">{#N/A,#N/A,TRUE,"Summary";#N/A,#N/A,TRUE,"Ratios LDE";#N/A,#N/A,TRUE,"Ratios";#N/A,#N/A,TRUE,"Financial Statements"}</definedName>
    <definedName name="wrn.Report." localSheetId="0" hidden="1">{#N/A,#N/A,TRUE,"Summary";#N/A,#N/A,TRUE,"Ratios LDE";#N/A,#N/A,TRUE,"Ratios";#N/A,#N/A,TRUE,"Financial Statements"}</definedName>
    <definedName name="wrn.Report." localSheetId="10" hidden="1">{#N/A,#N/A,FALSE,"Work performed";#N/A,#N/A,FALSE,"Resources"}</definedName>
    <definedName name="wrn.Report." localSheetId="12" hidden="1">{#N/A,#N/A,FALSE,"Work performed";#N/A,#N/A,FALSE,"Resources"}</definedName>
    <definedName name="wrn.Report." localSheetId="9" hidden="1">{#N/A,#N/A,TRUE,"Summary";#N/A,#N/A,TRUE,"Ratios LDE";#N/A,#N/A,TRUE,"Ratios";#N/A,#N/A,TRUE,"Financial Statements"}</definedName>
    <definedName name="wrn.Report." hidden="1">{#N/A,#N/A,FALSE,"Work performed";#N/A,#N/A,FALSE,"Resources"}</definedName>
    <definedName name="wrn.Report1." localSheetId="17" hidden="1">{#N/A,#N/A,TRUE,"TOC";#N/A,#N/A,TRUE,"Assum";#N/A,#N/A,TRUE,"Op-BS";#N/A,#N/A,TRUE,"IS";#N/A,#N/A,TRUE,"BSCF";#N/A,#N/A,TRUE,"Ratios";#N/A,#N/A,TRUE,"Sens";#N/A,#N/A,TRUE,"Holmes_IS";#N/A,#N/A,TRUE,"Holmes_BSCF";#N/A,#N/A,TRUE,"Holmes_Rat";#N/A,#N/A,TRUE,"Hound_IS";#N/A,#N/A,TRUE,"Hound_BSCF";#N/A,#N/A,TRUE,"Hound_Rat";#N/A,#N/A,TRUE,"Hound_DCF1"}</definedName>
    <definedName name="wrn.Report1." localSheetId="30" hidden="1">{#N/A,#N/A,TRUE,"TOC";#N/A,#N/A,TRUE,"Assum";#N/A,#N/A,TRUE,"Op-BS";#N/A,#N/A,TRUE,"IS";#N/A,#N/A,TRUE,"BSCF";#N/A,#N/A,TRUE,"Ratios";#N/A,#N/A,TRUE,"Sens";#N/A,#N/A,TRUE,"Holmes_IS";#N/A,#N/A,TRUE,"Holmes_BSCF";#N/A,#N/A,TRUE,"Holmes_Rat";#N/A,#N/A,TRUE,"Hound_IS";#N/A,#N/A,TRUE,"Hound_BSCF";#N/A,#N/A,TRUE,"Hound_Rat";#N/A,#N/A,TRUE,"Hound_DCF1"}</definedName>
    <definedName name="wrn.Report1." localSheetId="31" hidden="1">{#N/A,#N/A,TRUE,"TOC";#N/A,#N/A,TRUE,"Assum";#N/A,#N/A,TRUE,"Op-BS";#N/A,#N/A,TRUE,"IS";#N/A,#N/A,TRUE,"BSCF";#N/A,#N/A,TRUE,"Ratios";#N/A,#N/A,TRUE,"Sens";#N/A,#N/A,TRUE,"Holmes_IS";#N/A,#N/A,TRUE,"Holmes_BSCF";#N/A,#N/A,TRUE,"Holmes_Rat";#N/A,#N/A,TRUE,"Hound_IS";#N/A,#N/A,TRUE,"Hound_BSCF";#N/A,#N/A,TRUE,"Hound_Rat";#N/A,#N/A,TRUE,"Hound_DCF1"}</definedName>
    <definedName name="wrn.Report1." localSheetId="19" hidden="1">{#N/A,#N/A,TRUE,"TOC";#N/A,#N/A,TRUE,"Assum";#N/A,#N/A,TRUE,"Op-BS";#N/A,#N/A,TRUE,"IS";#N/A,#N/A,TRUE,"BSCF";#N/A,#N/A,TRUE,"Ratios";#N/A,#N/A,TRUE,"Sens";#N/A,#N/A,TRUE,"Holmes_IS";#N/A,#N/A,TRUE,"Holmes_BSCF";#N/A,#N/A,TRUE,"Holmes_Rat";#N/A,#N/A,TRUE,"Hound_IS";#N/A,#N/A,TRUE,"Hound_BSCF";#N/A,#N/A,TRUE,"Hound_Rat";#N/A,#N/A,TRUE,"Hound_DCF1"}</definedName>
    <definedName name="wrn.Report1." localSheetId="7" hidden="1">{#N/A,#N/A,TRUE,"TOC";#N/A,#N/A,TRUE,"Assum";#N/A,#N/A,TRUE,"Op-BS";#N/A,#N/A,TRUE,"IS";#N/A,#N/A,TRUE,"BSCF";#N/A,#N/A,TRUE,"Ratios";#N/A,#N/A,TRUE,"Sens";#N/A,#N/A,TRUE,"Holmes_IS";#N/A,#N/A,TRUE,"Holmes_BSCF";#N/A,#N/A,TRUE,"Holmes_Rat";#N/A,#N/A,TRUE,"Hound_IS";#N/A,#N/A,TRUE,"Hound_BSCF";#N/A,#N/A,TRUE,"Hound_Rat";#N/A,#N/A,TRUE,"Hound_DCF1"}</definedName>
    <definedName name="wrn.Report1." localSheetId="0" hidden="1">{#N/A,#N/A,TRUE,"TOC";#N/A,#N/A,TRUE,"Assum";#N/A,#N/A,TRUE,"Op-BS";#N/A,#N/A,TRUE,"IS";#N/A,#N/A,TRUE,"BSCF";#N/A,#N/A,TRUE,"Ratios";#N/A,#N/A,TRUE,"Sens";#N/A,#N/A,TRUE,"Holmes_IS";#N/A,#N/A,TRUE,"Holmes_BSCF";#N/A,#N/A,TRUE,"Holmes_Rat";#N/A,#N/A,TRUE,"Hound_IS";#N/A,#N/A,TRUE,"Hound_BSCF";#N/A,#N/A,TRUE,"Hound_Rat";#N/A,#N/A,TRUE,"Hound_DCF1"}</definedName>
    <definedName name="wrn.Report1." localSheetId="10" hidden="1">{#N/A,#N/A,TRUE,"TOC";#N/A,#N/A,TRUE,"Assum";#N/A,#N/A,TRUE,"Op-BS";#N/A,#N/A,TRUE,"IS";#N/A,#N/A,TRUE,"BSCF";#N/A,#N/A,TRUE,"Ratios";#N/A,#N/A,TRUE,"Sens";#N/A,#N/A,TRUE,"Holmes_IS";#N/A,#N/A,TRUE,"Holmes_BSCF";#N/A,#N/A,TRUE,"Holmes_Rat";#N/A,#N/A,TRUE,"Hound_IS";#N/A,#N/A,TRUE,"Hound_BSCF";#N/A,#N/A,TRUE,"Hound_Rat";#N/A,#N/A,TRUE,"Hound_DCF1"}</definedName>
    <definedName name="wrn.Report1." localSheetId="12" hidden="1">{#N/A,#N/A,TRUE,"TOC";#N/A,#N/A,TRUE,"Assum";#N/A,#N/A,TRUE,"Op-BS";#N/A,#N/A,TRUE,"IS";#N/A,#N/A,TRUE,"BSCF";#N/A,#N/A,TRUE,"Ratios";#N/A,#N/A,TRUE,"Sens";#N/A,#N/A,TRUE,"Holmes_IS";#N/A,#N/A,TRUE,"Holmes_BSCF";#N/A,#N/A,TRUE,"Holmes_Rat";#N/A,#N/A,TRUE,"Hound_IS";#N/A,#N/A,TRUE,"Hound_BSCF";#N/A,#N/A,TRUE,"Hound_Rat";#N/A,#N/A,TRUE,"Hound_DCF1"}</definedName>
    <definedName name="wrn.Report1." localSheetId="9" hidden="1">{#N/A,#N/A,TRUE,"TOC";#N/A,#N/A,TRUE,"Assum";#N/A,#N/A,TRUE,"Op-BS";#N/A,#N/A,TRUE,"IS";#N/A,#N/A,TRUE,"BSCF";#N/A,#N/A,TRUE,"Ratios";#N/A,#N/A,TRUE,"Sens";#N/A,#N/A,TRUE,"Holmes_IS";#N/A,#N/A,TRUE,"Holmes_BSCF";#N/A,#N/A,TRUE,"Holmes_Rat";#N/A,#N/A,TRUE,"Hound_IS";#N/A,#N/A,TRUE,"Hound_BSCF";#N/A,#N/A,TRUE,"Hound_Rat";#N/A,#N/A,TRUE,"Hound_DCF1"}</definedName>
    <definedName name="wrn.Report1." hidden="1">{#N/A,#N/A,TRUE,"TOC";#N/A,#N/A,TRUE,"Assum";#N/A,#N/A,TRUE,"Op-BS";#N/A,#N/A,TRUE,"IS";#N/A,#N/A,TRUE,"BSCF";#N/A,#N/A,TRUE,"Ratios";#N/A,#N/A,TRUE,"Sens";#N/A,#N/A,TRUE,"Holmes_IS";#N/A,#N/A,TRUE,"Holmes_BSCF";#N/A,#N/A,TRUE,"Holmes_Rat";#N/A,#N/A,TRUE,"Hound_IS";#N/A,#N/A,TRUE,"Hound_BSCF";#N/A,#N/A,TRUE,"Hound_Rat";#N/A,#N/A,TRUE,"Hound_DCF1"}</definedName>
    <definedName name="wrn.Revenue._.Analysis." localSheetId="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2"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OR_MEMO." localSheetId="1" hidden="1">{#N/A,#N/A,FALSE,"RORMEMO";#N/A,#N/A,FALSE,"RORSUMMARY";#N/A,#N/A,FALSE,"RORDETAIL"}</definedName>
    <definedName name="wrn.ROR_MEMO." localSheetId="17" hidden="1">{#N/A,#N/A,FALSE,"RORMEMO";#N/A,#N/A,FALSE,"RORSUMMARY";#N/A,#N/A,FALSE,"RORDETAIL"}</definedName>
    <definedName name="wrn.ROR_MEMO." localSheetId="30" hidden="1">{#N/A,#N/A,FALSE,"RORMEMO";#N/A,#N/A,FALSE,"RORSUMMARY";#N/A,#N/A,FALSE,"RORDETAIL"}</definedName>
    <definedName name="wrn.ROR_MEMO." localSheetId="31" hidden="1">{#N/A,#N/A,FALSE,"RORMEMO";#N/A,#N/A,FALSE,"RORSUMMARY";#N/A,#N/A,FALSE,"RORDETAIL"}</definedName>
    <definedName name="wrn.ROR_MEMO." localSheetId="19" hidden="1">{#N/A,#N/A,FALSE,"RORMEMO";#N/A,#N/A,FALSE,"RORSUMMARY";#N/A,#N/A,FALSE,"RORDETAIL"}</definedName>
    <definedName name="wrn.ROR_MEMO." localSheetId="7" hidden="1">{#N/A,#N/A,FALSE,"RORMEMO";#N/A,#N/A,FALSE,"RORSUMMARY";#N/A,#N/A,FALSE,"RORDETAIL"}</definedName>
    <definedName name="wrn.ROR_MEMO." localSheetId="0" hidden="1">{#N/A,#N/A,FALSE,"RORMEMO";#N/A,#N/A,FALSE,"RORSUMMARY";#N/A,#N/A,FALSE,"RORDETAIL"}</definedName>
    <definedName name="wrn.ROR_MEMO." localSheetId="10" hidden="1">{#N/A,#N/A,FALSE,"RORMEMO";#N/A,#N/A,FALSE,"RORSUMMARY";#N/A,#N/A,FALSE,"RORDETAIL"}</definedName>
    <definedName name="wrn.ROR_MEMO." localSheetId="12" hidden="1">{#N/A,#N/A,FALSE,"RORMEMO";#N/A,#N/A,FALSE,"RORSUMMARY";#N/A,#N/A,FALSE,"RORDETAIL"}</definedName>
    <definedName name="wrn.ROR_MEMO." localSheetId="9" hidden="1">{#N/A,#N/A,FALSE,"RORMEMO";#N/A,#N/A,FALSE,"RORSUMMARY";#N/A,#N/A,FALSE,"RORDETAIL"}</definedName>
    <definedName name="wrn.ROR_MEMO." hidden="1">{#N/A,#N/A,FALSE,"RORMEMO";#N/A,#N/A,FALSE,"RORSUMMARY";#N/A,#N/A,FALSE,"RORDETAIL"}</definedName>
    <definedName name="wrn.Rpt._.to._.BOD." localSheetId="7" hidden="1">{#N/A,#N/A,FALSE,"1";#N/A,#N/A,FALSE,"2";#N/A,#N/A,FALSE,"3"}</definedName>
    <definedName name="wrn.Rpt._.to._.BOD." localSheetId="10" hidden="1">{#N/A,#N/A,FALSE,"1";#N/A,#N/A,FALSE,"2";#N/A,#N/A,FALSE,"3"}</definedName>
    <definedName name="wrn.Rpt._.to._.BOD." localSheetId="12" hidden="1">{#N/A,#N/A,FALSE,"1";#N/A,#N/A,FALSE,"2";#N/A,#N/A,FALSE,"3"}</definedName>
    <definedName name="wrn.Rpt._.to._.BOD." hidden="1">{#N/A,#N/A,FALSE,"1";#N/A,#N/A,FALSE,"2";#N/A,#N/A,FALSE,"3"}</definedName>
    <definedName name="wrn.Schedule._.2c." localSheetId="17" hidden="1">{"Schedule 2c",#N/A,FALSE,"SCHEDULE2c"}</definedName>
    <definedName name="wrn.Schedule._.2c." localSheetId="30" hidden="1">{"Schedule 2c",#N/A,FALSE,"SCHEDULE2c"}</definedName>
    <definedName name="wrn.Schedule._.2c." localSheetId="31" hidden="1">{"Schedule 2c",#N/A,FALSE,"SCHEDULE2c"}</definedName>
    <definedName name="wrn.Schedule._.2c." localSheetId="19" hidden="1">{"Schedule 2c",#N/A,FALSE,"SCHEDULE2c"}</definedName>
    <definedName name="wrn.Schedule._.2c." localSheetId="7" hidden="1">{"Schedule 2c",#N/A,FALSE,"SCHEDULE2c"}</definedName>
    <definedName name="wrn.Schedule._.2c." localSheetId="0" hidden="1">{"Schedule 2c",#N/A,FALSE,"SCHEDULE2c"}</definedName>
    <definedName name="wrn.Schedule._.2c." localSheetId="10" hidden="1">{"Schedule 2c",#N/A,FALSE,"SCHEDULE2c"}</definedName>
    <definedName name="wrn.Schedule._.2c." localSheetId="12" hidden="1">{"Schedule 2c",#N/A,FALSE,"SCHEDULE2c"}</definedName>
    <definedName name="wrn.Schedule._.2c." localSheetId="9" hidden="1">{"Schedule 2c",#N/A,FALSE,"SCHEDULE2c"}</definedName>
    <definedName name="wrn.Schedule._.2c." hidden="1">{"Schedule 2c",#N/A,FALSE,"SCHEDULE2c"}</definedName>
    <definedName name="wrn.SCHEDULE_K_1." localSheetId="1" hidden="1">{"SCHK1",#N/A,FALSE,"FILING REPORTS"}</definedName>
    <definedName name="wrn.SCHEDULE_K_1." localSheetId="17" hidden="1">{"SCHK1",#N/A,FALSE,"FILING REPORTS"}</definedName>
    <definedName name="wrn.SCHEDULE_K_1." localSheetId="30" hidden="1">{"SCHK1",#N/A,FALSE,"FILING REPORTS"}</definedName>
    <definedName name="wrn.SCHEDULE_K_1." localSheetId="31" hidden="1">{"SCHK1",#N/A,FALSE,"FILING REPORTS"}</definedName>
    <definedName name="wrn.SCHEDULE_K_1." localSheetId="19" hidden="1">{"SCHK1",#N/A,FALSE,"FILING REPORTS"}</definedName>
    <definedName name="wrn.SCHEDULE_K_1." localSheetId="7" hidden="1">{"SCHK1",#N/A,FALSE,"FILING REPORTS"}</definedName>
    <definedName name="wrn.SCHEDULE_K_1." localSheetId="0" hidden="1">{"SCHK1",#N/A,FALSE,"FILING REPORTS"}</definedName>
    <definedName name="wrn.SCHEDULE_K_1." localSheetId="10" hidden="1">{"SCHK1",#N/A,FALSE,"FILING REPORTS"}</definedName>
    <definedName name="wrn.SCHEDULE_K_1." localSheetId="12" hidden="1">{"SCHK1",#N/A,FALSE,"FILING REPORTS"}</definedName>
    <definedName name="wrn.SCHEDULE_K_1." localSheetId="9" hidden="1">{"SCHK1",#N/A,FALSE,"FILING REPORTS"}</definedName>
    <definedName name="wrn.SCHEDULE_K_1." hidden="1">{"SCHK1",#N/A,FALSE,"FILING REPORTS"}</definedName>
    <definedName name="wrn.SECTLREPORTS." localSheetId="1" hidden="1">{"SCHL",#N/A,FALSE,"FILING REPORTS";"SCHL1",#N/A,FALSE,"COSTSTUDY";"SCHL2",#N/A,FALSE,"COSTSTUDY";"SCHL3",#N/A,FALSE,"COSTSTUDY";"SCHL4",#N/A,FALSE,"COSTSTUDY";"SCHL5",#N/A,FALSE,"COSTSTUDY";"SCHL6",#N/A,FALSE,"COSTSTUDY";"SCHL7",#N/A,FALSE,"COSTSTUDY";"SCHL8",#N/A,FALSE,"COSTSTUDY"}</definedName>
    <definedName name="wrn.SECTLREPORTS." localSheetId="17" hidden="1">{"SCHL",#N/A,FALSE,"FILING REPORTS";"SCHL1",#N/A,FALSE,"COSTSTUDY";"SCHL2",#N/A,FALSE,"COSTSTUDY";"SCHL3",#N/A,FALSE,"COSTSTUDY";"SCHL4",#N/A,FALSE,"COSTSTUDY";"SCHL5",#N/A,FALSE,"COSTSTUDY";"SCHL6",#N/A,FALSE,"COSTSTUDY";"SCHL7",#N/A,FALSE,"COSTSTUDY";"SCHL8",#N/A,FALSE,"COSTSTUDY"}</definedName>
    <definedName name="wrn.SECTLREPORTS." localSheetId="30" hidden="1">{"SCHL",#N/A,FALSE,"FILING REPORTS";"SCHL1",#N/A,FALSE,"COSTSTUDY";"SCHL2",#N/A,FALSE,"COSTSTUDY";"SCHL3",#N/A,FALSE,"COSTSTUDY";"SCHL4",#N/A,FALSE,"COSTSTUDY";"SCHL5",#N/A,FALSE,"COSTSTUDY";"SCHL6",#N/A,FALSE,"COSTSTUDY";"SCHL7",#N/A,FALSE,"COSTSTUDY";"SCHL8",#N/A,FALSE,"COSTSTUDY"}</definedName>
    <definedName name="wrn.SECTLREPORTS." localSheetId="31" hidden="1">{"SCHL",#N/A,FALSE,"FILING REPORTS";"SCHL1",#N/A,FALSE,"COSTSTUDY";"SCHL2",#N/A,FALSE,"COSTSTUDY";"SCHL3",#N/A,FALSE,"COSTSTUDY";"SCHL4",#N/A,FALSE,"COSTSTUDY";"SCHL5",#N/A,FALSE,"COSTSTUDY";"SCHL6",#N/A,FALSE,"COSTSTUDY";"SCHL7",#N/A,FALSE,"COSTSTUDY";"SCHL8",#N/A,FALSE,"COSTSTUDY"}</definedName>
    <definedName name="wrn.SECTLREPORTS." localSheetId="19" hidden="1">{"SCHL",#N/A,FALSE,"FILING REPORTS";"SCHL1",#N/A,FALSE,"COSTSTUDY";"SCHL2",#N/A,FALSE,"COSTSTUDY";"SCHL3",#N/A,FALSE,"COSTSTUDY";"SCHL4",#N/A,FALSE,"COSTSTUDY";"SCHL5",#N/A,FALSE,"COSTSTUDY";"SCHL6",#N/A,FALSE,"COSTSTUDY";"SCHL7",#N/A,FALSE,"COSTSTUDY";"SCHL8",#N/A,FALSE,"COSTSTUDY"}</definedName>
    <definedName name="wrn.SECTLREPORTS." localSheetId="7" hidden="1">{"SCHL",#N/A,FALSE,"FILING REPORTS";"SCHL1",#N/A,FALSE,"COSTSTUDY";"SCHL2",#N/A,FALSE,"COSTSTUDY";"SCHL3",#N/A,FALSE,"COSTSTUDY";"SCHL4",#N/A,FALSE,"COSTSTUDY";"SCHL5",#N/A,FALSE,"COSTSTUDY";"SCHL6",#N/A,FALSE,"COSTSTUDY";"SCHL7",#N/A,FALSE,"COSTSTUDY";"SCHL8",#N/A,FALSE,"COSTSTUDY"}</definedName>
    <definedName name="wrn.SECTLREPORTS." localSheetId="0" hidden="1">{"SCHL",#N/A,FALSE,"FILING REPORTS";"SCHL1",#N/A,FALSE,"COSTSTUDY";"SCHL2",#N/A,FALSE,"COSTSTUDY";"SCHL3",#N/A,FALSE,"COSTSTUDY";"SCHL4",#N/A,FALSE,"COSTSTUDY";"SCHL5",#N/A,FALSE,"COSTSTUDY";"SCHL6",#N/A,FALSE,"COSTSTUDY";"SCHL7",#N/A,FALSE,"COSTSTUDY";"SCHL8",#N/A,FALSE,"COSTSTUDY"}</definedName>
    <definedName name="wrn.SECTLREPORTS." localSheetId="10" hidden="1">{"SCHL",#N/A,FALSE,"FILING REPORTS";"SCHL1",#N/A,FALSE,"COSTSTUDY";"SCHL2",#N/A,FALSE,"COSTSTUDY";"SCHL3",#N/A,FALSE,"COSTSTUDY";"SCHL4",#N/A,FALSE,"COSTSTUDY";"SCHL5",#N/A,FALSE,"COSTSTUDY";"SCHL6",#N/A,FALSE,"COSTSTUDY";"SCHL7",#N/A,FALSE,"COSTSTUDY";"SCHL8",#N/A,FALSE,"COSTSTUDY"}</definedName>
    <definedName name="wrn.SECTLREPORTS." localSheetId="12" hidden="1">{"SCHL",#N/A,FALSE,"FILING REPORTS";"SCHL1",#N/A,FALSE,"COSTSTUDY";"SCHL2",#N/A,FALSE,"COSTSTUDY";"SCHL3",#N/A,FALSE,"COSTSTUDY";"SCHL4",#N/A,FALSE,"COSTSTUDY";"SCHL5",#N/A,FALSE,"COSTSTUDY";"SCHL6",#N/A,FALSE,"COSTSTUDY";"SCHL7",#N/A,FALSE,"COSTSTUDY";"SCHL8",#N/A,FALSE,"COSTSTUDY"}</definedName>
    <definedName name="wrn.SECTLREPORTS." localSheetId="9" hidden="1">{"SCHL",#N/A,FALSE,"FILING REPORTS";"SCHL1",#N/A,FALSE,"COSTSTUDY";"SCHL2",#N/A,FALSE,"COSTSTUDY";"SCHL3",#N/A,FALSE,"COSTSTUDY";"SCHL4",#N/A,FALSE,"COSTSTUDY";"SCHL5",#N/A,FALSE,"COSTSTUDY";"SCHL6",#N/A,FALSE,"COSTSTUDY";"SCHL7",#N/A,FALSE,"COSTSTUDY";"SCHL8",#N/A,FALSE,"COSTSTUDY"}</definedName>
    <definedName name="wrn.SECTLREPORTS." hidden="1">{"SCHL",#N/A,FALSE,"FILING REPORTS";"SCHL1",#N/A,FALSE,"COSTSTUDY";"SCHL2",#N/A,FALSE,"COSTSTUDY";"SCHL3",#N/A,FALSE,"COSTSTUDY";"SCHL4",#N/A,FALSE,"COSTSTUDY";"SCHL5",#N/A,FALSE,"COSTSTUDY";"SCHL6",#N/A,FALSE,"COSTSTUDY";"SCHL7",#N/A,FALSE,"COSTSTUDY";"SCHL8",#N/A,FALSE,"COSTSTUDY"}</definedName>
    <definedName name="wrn.SELECT_GL." localSheetId="1" hidden="1">{#N/A,#N/A,FALSE,"GLDwnLoad"}</definedName>
    <definedName name="wrn.SELECT_GL." localSheetId="17" hidden="1">{#N/A,#N/A,FALSE,"GLDwnLoad"}</definedName>
    <definedName name="wrn.SELECT_GL." localSheetId="30" hidden="1">{#N/A,#N/A,FALSE,"GLDwnLoad"}</definedName>
    <definedName name="wrn.SELECT_GL." localSheetId="31" hidden="1">{#N/A,#N/A,FALSE,"GLDwnLoad"}</definedName>
    <definedName name="wrn.SELECT_GL." localSheetId="19" hidden="1">{#N/A,#N/A,FALSE,"GLDwnLoad"}</definedName>
    <definedName name="wrn.SELECT_GL." localSheetId="7" hidden="1">{#N/A,#N/A,FALSE,"GLDwnLoad"}</definedName>
    <definedName name="wrn.SELECT_GL." localSheetId="0" hidden="1">{#N/A,#N/A,FALSE,"GLDwnLoad"}</definedName>
    <definedName name="wrn.SELECT_GL." localSheetId="10" hidden="1">{#N/A,#N/A,FALSE,"GLDwnLoad"}</definedName>
    <definedName name="wrn.SELECT_GL." localSheetId="12" hidden="1">{#N/A,#N/A,FALSE,"GLDwnLoad"}</definedName>
    <definedName name="wrn.SELECT_GL." localSheetId="9" hidden="1">{#N/A,#N/A,FALSE,"GLDwnLoad"}</definedName>
    <definedName name="wrn.SELECT_GL." hidden="1">{#N/A,#N/A,FALSE,"GLDwnLoad"}</definedName>
    <definedName name="wrn.SELECT_INPUTS." localSheetId="1" hidden="1">{#N/A,#N/A,FALSE,"OTHERINPUTS";#N/A,#N/A,FALSE,"SUPPLIEDADJINPUT";#N/A,#N/A,FALSE,"BR&amp;SUPADJ."}</definedName>
    <definedName name="wrn.SELECT_INPUTS." localSheetId="17" hidden="1">{#N/A,#N/A,FALSE,"OTHERINPUTS";#N/A,#N/A,FALSE,"SUPPLIEDADJINPUT";#N/A,#N/A,FALSE,"BR&amp;SUPADJ."}</definedName>
    <definedName name="wrn.SELECT_INPUTS." localSheetId="30" hidden="1">{#N/A,#N/A,FALSE,"OTHERINPUTS";#N/A,#N/A,FALSE,"SUPPLIEDADJINPUT";#N/A,#N/A,FALSE,"BR&amp;SUPADJ."}</definedName>
    <definedName name="wrn.SELECT_INPUTS." localSheetId="31" hidden="1">{#N/A,#N/A,FALSE,"OTHERINPUTS";#N/A,#N/A,FALSE,"SUPPLIEDADJINPUT";#N/A,#N/A,FALSE,"BR&amp;SUPADJ."}</definedName>
    <definedName name="wrn.SELECT_INPUTS." localSheetId="19" hidden="1">{#N/A,#N/A,FALSE,"OTHERINPUTS";#N/A,#N/A,FALSE,"SUPPLIEDADJINPUT";#N/A,#N/A,FALSE,"BR&amp;SUPADJ."}</definedName>
    <definedName name="wrn.SELECT_INPUTS." localSheetId="7" hidden="1">{#N/A,#N/A,FALSE,"OTHERINPUTS";#N/A,#N/A,FALSE,"SUPPLIEDADJINPUT";#N/A,#N/A,FALSE,"BR&amp;SUPADJ."}</definedName>
    <definedName name="wrn.SELECT_INPUTS." localSheetId="0" hidden="1">{#N/A,#N/A,FALSE,"OTHERINPUTS";#N/A,#N/A,FALSE,"SUPPLIEDADJINPUT";#N/A,#N/A,FALSE,"BR&amp;SUPADJ."}</definedName>
    <definedName name="wrn.SELECT_INPUTS." localSheetId="10" hidden="1">{#N/A,#N/A,FALSE,"OTHERINPUTS";#N/A,#N/A,FALSE,"SUPPLIEDADJINPUT";#N/A,#N/A,FALSE,"BR&amp;SUPADJ."}</definedName>
    <definedName name="wrn.SELECT_INPUTS." localSheetId="12" hidden="1">{#N/A,#N/A,FALSE,"OTHERINPUTS";#N/A,#N/A,FALSE,"SUPPLIEDADJINPUT";#N/A,#N/A,FALSE,"BR&amp;SUPADJ."}</definedName>
    <definedName name="wrn.SELECT_INPUTS." localSheetId="9" hidden="1">{#N/A,#N/A,FALSE,"OTHERINPUTS";#N/A,#N/A,FALSE,"SUPPLIEDADJINPUT";#N/A,#N/A,FALSE,"BR&amp;SUPADJ."}</definedName>
    <definedName name="wrn.SELECT_INPUTS." hidden="1">{#N/A,#N/A,FALSE,"OTHERINPUTS";#N/A,#N/A,FALSE,"SUPPLIEDADJINPUT";#N/A,#N/A,FALSE,"BR&amp;SUPADJ."}</definedName>
    <definedName name="wrn.SELECT_PROV." localSheetId="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31"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7"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0"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12"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localSheetId="9"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LECT_PROV."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nior._.Staff." localSheetId="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1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3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31"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1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7"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10"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1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localSheetId="9"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P." localSheetId="7" hidden="1">{"SEP",#N/A,FALSE,"SEP"}</definedName>
    <definedName name="wrn.SEP." localSheetId="10" hidden="1">{"SEP",#N/A,FALSE,"SEP"}</definedName>
    <definedName name="wrn.SEP." localSheetId="12" hidden="1">{"SEP",#N/A,FALSE,"SEP"}</definedName>
    <definedName name="wrn.SEP." hidden="1">{"SEP",#N/A,FALSE,"SEP"}</definedName>
    <definedName name="wrn.Settlement._.Analysis." localSheetId="1" hidden="1">{"Assumptions",#N/A,FALSE,"Assumptions";"2003 - 2007 Summary",#N/A,FALSE,"Income Statement";"Summary Deferral Forecast",#N/A,FALSE,"Deferral Forecast"}</definedName>
    <definedName name="wrn.Settlement._.Analysis." localSheetId="17" hidden="1">{"Assumptions",#N/A,FALSE,"Assumptions";"2003 - 2007 Summary",#N/A,FALSE,"Income Statement";"Summary Deferral Forecast",#N/A,FALSE,"Deferral Forecast"}</definedName>
    <definedName name="wrn.Settlement._.Analysis." localSheetId="30" hidden="1">{"Assumptions",#N/A,FALSE,"Assumptions";"2003 - 2007 Summary",#N/A,FALSE,"Income Statement";"Summary Deferral Forecast",#N/A,FALSE,"Deferral Forecast"}</definedName>
    <definedName name="wrn.Settlement._.Analysis." localSheetId="31" hidden="1">{"Assumptions",#N/A,FALSE,"Assumptions";"2003 - 2007 Summary",#N/A,FALSE,"Income Statement";"Summary Deferral Forecast",#N/A,FALSE,"Deferral Forecast"}</definedName>
    <definedName name="wrn.Settlement._.Analysis." localSheetId="19" hidden="1">{"Assumptions",#N/A,FALSE,"Assumptions";"2003 - 2007 Summary",#N/A,FALSE,"Income Statement";"Summary Deferral Forecast",#N/A,FALSE,"Deferral Forecast"}</definedName>
    <definedName name="wrn.Settlement._.Analysis." localSheetId="7" hidden="1">{"Assumptions",#N/A,FALSE,"Assumptions";"2003 - 2007 Summary",#N/A,FALSE,"Income Statement";"Summary Deferral Forecast",#N/A,FALSE,"Deferral Forecast"}</definedName>
    <definedName name="wrn.Settlement._.Analysis." localSheetId="0" hidden="1">{"Assumptions",#N/A,FALSE,"Assumptions";"2003 - 2007 Summary",#N/A,FALSE,"Income Statement";"Summary Deferral Forecast",#N/A,FALSE,"Deferral Forecast"}</definedName>
    <definedName name="wrn.Settlement._.Analysis." localSheetId="10" hidden="1">{"Assumptions",#N/A,FALSE,"Assumptions";"2003 - 2007 Summary",#N/A,FALSE,"Income Statement";"Summary Deferral Forecast",#N/A,FALSE,"Deferral Forecast"}</definedName>
    <definedName name="wrn.Settlement._.Analysis." localSheetId="12" hidden="1">{"Assumptions",#N/A,FALSE,"Assumptions";"2003 - 2007 Summary",#N/A,FALSE,"Income Statement";"Summary Deferral Forecast",#N/A,FALSE,"Deferral Forecast"}</definedName>
    <definedName name="wrn.Settlement._.Analysis." localSheetId="9" hidden="1">{"Assumptions",#N/A,FALSE,"Assumptions";"2003 - 2007 Summary",#N/A,FALSE,"Income Statement";"Summary Deferral Forecast",#N/A,FALSE,"Deferral Forecast"}</definedName>
    <definedName name="wrn.Settlement._.Analysis." hidden="1">{"Assumptions",#N/A,FALSE,"Assumptions";"2003 - 2007 Summary",#N/A,FALSE,"Income Statement";"Summary Deferral Forecast",#N/A,FALSE,"Deferral Forecast"}</definedName>
    <definedName name="wrn.SPA._.FAC." localSheetId="1" hidden="1">{"SPA_FAC",#N/A,FALSE,"OMPA SPA FAC"}</definedName>
    <definedName name="wrn.SPA._.FAC." localSheetId="17" hidden="1">{"SPA_FAC",#N/A,FALSE,"OMPA SPA FAC"}</definedName>
    <definedName name="wrn.SPA._.FAC." localSheetId="30" hidden="1">{"SPA_FAC",#N/A,FALSE,"OMPA SPA FAC"}</definedName>
    <definedName name="wrn.SPA._.FAC." localSheetId="31" hidden="1">{"SPA_FAC",#N/A,FALSE,"OMPA SPA FAC"}</definedName>
    <definedName name="wrn.SPA._.FAC." localSheetId="19" hidden="1">{"SPA_FAC",#N/A,FALSE,"OMPA SPA FAC"}</definedName>
    <definedName name="wrn.SPA._.FAC." localSheetId="7" hidden="1">{"SPA_FAC",#N/A,FALSE,"OMPA SPA FAC"}</definedName>
    <definedName name="wrn.SPA._.FAC." localSheetId="0" hidden="1">{"SPA_FAC",#N/A,FALSE,"OMPA SPA FAC"}</definedName>
    <definedName name="wrn.SPA._.FAC." localSheetId="10" hidden="1">{"SPA_FAC",#N/A,FALSE,"OMPA SPA FAC"}</definedName>
    <definedName name="wrn.SPA._.FAC." localSheetId="12" hidden="1">{"SPA_FAC",#N/A,FALSE,"OMPA SPA FAC"}</definedName>
    <definedName name="wrn.SPA._.FAC." localSheetId="9" hidden="1">{"SPA_FAC",#N/A,FALSE,"OMPA SPA FAC"}</definedName>
    <definedName name="wrn.SPA._.FAC." hidden="1">{"SPA_FAC",#N/A,FALSE,"OMPA SPA FAC"}</definedName>
    <definedName name="wrn.SPA._.Invoice." localSheetId="1"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0"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31"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9"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0"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0"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2"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9"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RU._.CONDENSER." localSheetId="7" hidden="1">{#N/A,#N/A,FALSE,"HXSheet1";#N/A,#N/A,FALSE,"Sheet2";#N/A,#N/A,FALSE,"Sheet3";#N/A,#N/A,FALSE,"Sheet4"}</definedName>
    <definedName name="wrn.SRU._.CONDENSER." localSheetId="10" hidden="1">{#N/A,#N/A,FALSE,"HXSheet1";#N/A,#N/A,FALSE,"Sheet2";#N/A,#N/A,FALSE,"Sheet3";#N/A,#N/A,FALSE,"Sheet4"}</definedName>
    <definedName name="wrn.SRU._.CONDENSER." localSheetId="12" hidden="1">{#N/A,#N/A,FALSE,"HXSheet1";#N/A,#N/A,FALSE,"Sheet2";#N/A,#N/A,FALSE,"Sheet3";#N/A,#N/A,FALSE,"Sheet4"}</definedName>
    <definedName name="wrn.SRU._.CONDENSER." hidden="1">{#N/A,#N/A,FALSE,"HXSheet1";#N/A,#N/A,FALSE,"Sheet2";#N/A,#N/A,FALSE,"Sheet3";#N/A,#N/A,FALSE,"Sheet4"}</definedName>
    <definedName name="wrn.STAND_ALONE_BOTH." localSheetId="7" hidden="1">{"FCB_ALL",#N/A,FALSE,"FCB";"GREY_ALL",#N/A,FALSE,"GREY"}</definedName>
    <definedName name="wrn.STAND_ALONE_BOTH." localSheetId="10" hidden="1">{"FCB_ALL",#N/A,FALSE,"FCB";"GREY_ALL",#N/A,FALSE,"GREY"}</definedName>
    <definedName name="wrn.STAND_ALONE_BOTH." localSheetId="12" hidden="1">{"FCB_ALL",#N/A,FALSE,"FCB";"GREY_ALL",#N/A,FALSE,"GREY"}</definedName>
    <definedName name="wrn.STAND_ALONE_BOTH." hidden="1">{"FCB_ALL",#N/A,FALSE,"FCB";"GREY_ALL",#N/A,FALSE,"GREY"}</definedName>
    <definedName name="wrn.Statements." localSheetId="1" hidden="1">{"Co1statements",#N/A,FALSE,"Cmpy1";"Co2statement",#N/A,FALSE,"Cmpy2";"co1pm",#N/A,FALSE,"Co1PM";"co2PM",#N/A,FALSE,"Co2PM";"value",#N/A,FALSE,"value";"opco",#N/A,FALSE,"NewSparkle";"adjusts",#N/A,FALSE,"Adjustments"}</definedName>
    <definedName name="wrn.Statements." localSheetId="17" hidden="1">{"Co1statements",#N/A,FALSE,"Cmpy1";"Co2statement",#N/A,FALSE,"Cmpy2";"co1pm",#N/A,FALSE,"Co1PM";"co2PM",#N/A,FALSE,"Co2PM";"value",#N/A,FALSE,"value";"opco",#N/A,FALSE,"NewSparkle";"adjusts",#N/A,FALSE,"Adjustments"}</definedName>
    <definedName name="wrn.Statements." localSheetId="30" hidden="1">{"Co1statements",#N/A,FALSE,"Cmpy1";"Co2statement",#N/A,FALSE,"Cmpy2";"co1pm",#N/A,FALSE,"Co1PM";"co2PM",#N/A,FALSE,"Co2PM";"value",#N/A,FALSE,"value";"opco",#N/A,FALSE,"NewSparkle";"adjusts",#N/A,FALSE,"Adjustments"}</definedName>
    <definedName name="wrn.Statements." localSheetId="31" hidden="1">{"Co1statements",#N/A,FALSE,"Cmpy1";"Co2statement",#N/A,FALSE,"Cmpy2";"co1pm",#N/A,FALSE,"Co1PM";"co2PM",#N/A,FALSE,"Co2PM";"value",#N/A,FALSE,"value";"opco",#N/A,FALSE,"NewSparkle";"adjusts",#N/A,FALSE,"Adjustments"}</definedName>
    <definedName name="wrn.Statements." localSheetId="19" hidden="1">{"Co1statements",#N/A,FALSE,"Cmpy1";"Co2statement",#N/A,FALSE,"Cmpy2";"co1pm",#N/A,FALSE,"Co1PM";"co2PM",#N/A,FALSE,"Co2PM";"value",#N/A,FALSE,"value";"opco",#N/A,FALSE,"NewSparkle";"adjusts",#N/A,FALSE,"Adjustments"}</definedName>
    <definedName name="wrn.Statements." localSheetId="7" hidden="1">{"Co1statements",#N/A,FALSE,"Cmpy1";"Co2statement",#N/A,FALSE,"Cmpy2";"co1pm",#N/A,FALSE,"Co1PM";"co2PM",#N/A,FALSE,"Co2PM";"value",#N/A,FALSE,"value";"opco",#N/A,FALSE,"NewSparkle";"adjusts",#N/A,FALSE,"Adjustments"}</definedName>
    <definedName name="wrn.Statements." localSheetId="0" hidden="1">{"Co1statements",#N/A,FALSE,"Cmpy1";"Co2statement",#N/A,FALSE,"Cmpy2";"co1pm",#N/A,FALSE,"Co1PM";"co2PM",#N/A,FALSE,"Co2PM";"value",#N/A,FALSE,"value";"opco",#N/A,FALSE,"NewSparkle";"adjusts",#N/A,FALSE,"Adjustments"}</definedName>
    <definedName name="wrn.Statements." localSheetId="10" hidden="1">{"Co1statements",#N/A,FALSE,"Cmpy1";"Co2statement",#N/A,FALSE,"Cmpy2";"co1pm",#N/A,FALSE,"Co1PM";"co2PM",#N/A,FALSE,"Co2PM";"value",#N/A,FALSE,"value";"opco",#N/A,FALSE,"NewSparkle";"adjusts",#N/A,FALSE,"Adjustments"}</definedName>
    <definedName name="wrn.Statements." localSheetId="12" hidden="1">{"Co1statements",#N/A,FALSE,"Cmpy1";"Co2statement",#N/A,FALSE,"Cmpy2";"co1pm",#N/A,FALSE,"Co1PM";"co2PM",#N/A,FALSE,"Co2PM";"value",#N/A,FALSE,"value";"opco",#N/A,FALSE,"NewSparkle";"adjusts",#N/A,FALSE,"Adjustments"}</definedName>
    <definedName name="wrn.Statements." localSheetId="9"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ETSON." localSheetId="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3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31"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7"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0"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1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9"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OCKHOLDERS._.EQUITY." localSheetId="7" hidden="1">{#N/A,#N/A,FALSE,"WW-1 Stockholders' Equity"}</definedName>
    <definedName name="wrn.STOCKHOLDERS._.EQUITY." localSheetId="10" hidden="1">{#N/A,#N/A,FALSE,"WW-1 Stockholders' Equity"}</definedName>
    <definedName name="wrn.STOCKHOLDERS._.EQUITY." localSheetId="12" hidden="1">{#N/A,#N/A,FALSE,"WW-1 Stockholders' Equity"}</definedName>
    <definedName name="wrn.STOCKHOLDERS._.EQUITY." hidden="1">{#N/A,#N/A,FALSE,"WW-1 Stockholders' Equity"}</definedName>
    <definedName name="wrn.SUM._.OF._.UNIT._.3." localSheetId="7" hidden="1">{#N/A,#N/A,FALSE,"INPUTDATA";#N/A,#N/A,FALSE,"SUMMARY";#N/A,#N/A,FALSE,"CTAREP";#N/A,#N/A,FALSE,"CTBREP";#N/A,#N/A,FALSE,"PMG4ST86";#N/A,#N/A,FALSE,"TURBEFF";#N/A,#N/A,FALSE,"Condenser Performance"}</definedName>
    <definedName name="wrn.SUM._.OF._.UNIT._.3." localSheetId="10" hidden="1">{#N/A,#N/A,FALSE,"INPUTDATA";#N/A,#N/A,FALSE,"SUMMARY";#N/A,#N/A,FALSE,"CTAREP";#N/A,#N/A,FALSE,"CTBREP";#N/A,#N/A,FALSE,"PMG4ST86";#N/A,#N/A,FALSE,"TURBEFF";#N/A,#N/A,FALSE,"Condenser Performance"}</definedName>
    <definedName name="wrn.SUM._.OF._.UNIT._.3." localSheetId="12"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 hidden="1">{"OKCLS_SUMMARY",#N/A,FALSE,"INTERNAL REPORTS";"JURIS_SUMMARY",#N/A,FALSE,"INTERNAL REPORTS"}</definedName>
    <definedName name="wrn.SUMMARY." localSheetId="17" hidden="1">{"OKCLS_SUMMARY",#N/A,FALSE,"INTERNAL REPORTS";"JURIS_SUMMARY",#N/A,FALSE,"INTERNAL REPORTS"}</definedName>
    <definedName name="wrn.SUMMARY." localSheetId="30" hidden="1">{"OKCLS_SUMMARY",#N/A,FALSE,"INTERNAL REPORTS";"JURIS_SUMMARY",#N/A,FALSE,"INTERNAL REPORTS"}</definedName>
    <definedName name="wrn.SUMMARY." localSheetId="31" hidden="1">{"OKCLS_SUMMARY",#N/A,FALSE,"INTERNAL REPORTS";"JURIS_SUMMARY",#N/A,FALSE,"INTERNAL REPORTS"}</definedName>
    <definedName name="wrn.SUMMARY." localSheetId="19" hidden="1">{"OKCLS_SUMMARY",#N/A,FALSE,"INTERNAL REPORTS";"JURIS_SUMMARY",#N/A,FALSE,"INTERNAL REPORTS"}</definedName>
    <definedName name="wrn.SUMMARY." localSheetId="7" hidden="1">{"OKCLS_SUMMARY",#N/A,FALSE,"INTERNAL REPORTS";"JURIS_SUMMARY",#N/A,FALSE,"INTERNAL REPORTS"}</definedName>
    <definedName name="wrn.SUMMARY." localSheetId="0" hidden="1">{"OKCLS_SUMMARY",#N/A,FALSE,"INTERNAL REPORTS";"JURIS_SUMMARY",#N/A,FALSE,"INTERNAL REPORTS"}</definedName>
    <definedName name="wrn.Summary." localSheetId="10" hidden="1">{#N/A,#N/A,FALSE,"Summary"}</definedName>
    <definedName name="wrn.Summary." localSheetId="12" hidden="1">{#N/A,#N/A,FALSE,"Summary"}</definedName>
    <definedName name="wrn.SUMMARY." localSheetId="9" hidden="1">{"OKCLS_SUMMARY",#N/A,FALSE,"INTERNAL REPORTS";"JURIS_SUMMARY",#N/A,FALSE,"INTERNAL REPORTS"}</definedName>
    <definedName name="wrn.Summary." hidden="1">{#N/A,#N/A,FALSE,"Summary"}</definedName>
    <definedName name="wrn.Summary_GL." localSheetId="1" hidden="1">{#N/A,#N/A,FALSE,"GLDwnLoad"}</definedName>
    <definedName name="wrn.Summary_GL." localSheetId="17" hidden="1">{#N/A,#N/A,FALSE,"GLDwnLoad"}</definedName>
    <definedName name="wrn.Summary_GL." localSheetId="30" hidden="1">{#N/A,#N/A,FALSE,"GLDwnLoad"}</definedName>
    <definedName name="wrn.Summary_GL." localSheetId="31" hidden="1">{#N/A,#N/A,FALSE,"GLDwnLoad"}</definedName>
    <definedName name="wrn.Summary_GL." localSheetId="19" hidden="1">{#N/A,#N/A,FALSE,"GLDwnLoad"}</definedName>
    <definedName name="wrn.Summary_GL." localSheetId="7" hidden="1">{#N/A,#N/A,FALSE,"GLDwnLoad"}</definedName>
    <definedName name="wrn.Summary_GL." localSheetId="0" hidden="1">{#N/A,#N/A,FALSE,"GLDwnLoad"}</definedName>
    <definedName name="wrn.Summary_GL." localSheetId="10" hidden="1">{#N/A,#N/A,FALSE,"GLDwnLoad"}</definedName>
    <definedName name="wrn.Summary_GL." localSheetId="12" hidden="1">{#N/A,#N/A,FALSE,"GLDwnLoad"}</definedName>
    <definedName name="wrn.Summary_GL." localSheetId="9" hidden="1">{#N/A,#N/A,FALSE,"GLDwnLoad"}</definedName>
    <definedName name="wrn.Summary_GL." hidden="1">{#N/A,#N/A,FALSE,"GLDwnLoad"}</definedName>
    <definedName name="wrn.SUP." localSheetId="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31"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0"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9"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31"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ort_Net_Plant." localSheetId="1" hidden="1">{"Support Net Plant=Net Utility Plant",#N/A,FALSE,"Net Plant"}</definedName>
    <definedName name="wrn.Support_Net_Plant." localSheetId="17" hidden="1">{"Support Net Plant=Net Utility Plant",#N/A,FALSE,"Net Plant"}</definedName>
    <definedName name="wrn.Support_Net_Plant." localSheetId="30" hidden="1">{"Support Net Plant=Net Utility Plant",#N/A,FALSE,"Net Plant"}</definedName>
    <definedName name="wrn.Support_Net_Plant." localSheetId="31" hidden="1">{"Support Net Plant=Net Utility Plant",#N/A,FALSE,"Net Plant"}</definedName>
    <definedName name="wrn.Support_Net_Plant." localSheetId="19" hidden="1">{"Support Net Plant=Net Utility Plant",#N/A,FALSE,"Net Plant"}</definedName>
    <definedName name="wrn.Support_Net_Plant." localSheetId="7" hidden="1">{"Support Net Plant=Net Utility Plant",#N/A,FALSE,"Net Plant"}</definedName>
    <definedName name="wrn.Support_Net_Plant." localSheetId="0" hidden="1">{"Support Net Plant=Net Utility Plant",#N/A,FALSE,"Net Plant"}</definedName>
    <definedName name="wrn.Support_Net_Plant." localSheetId="10" hidden="1">{"Support Net Plant=Net Utility Plant",#N/A,FALSE,"Net Plant"}</definedName>
    <definedName name="wrn.Support_Net_Plant." localSheetId="12" hidden="1">{"Support Net Plant=Net Utility Plant",#N/A,FALSE,"Net Plant"}</definedName>
    <definedName name="wrn.Support_Net_Plant." localSheetId="9" hidden="1">{"Support Net Plant=Net Utility Plant",#N/A,FALSE,"Net Plant"}</definedName>
    <definedName name="wrn.Support_Net_Plant." hidden="1">{"Support Net Plant=Net Utility Plant",#N/A,FALSE,"Net Plant"}</definedName>
    <definedName name="wrn.Support_O_M_Cust_Emp." localSheetId="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1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0"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31"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19"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7"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0"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10"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12"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localSheetId="9"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O_M_Cust_Emp."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Rev_Op_Inc." localSheetId="1" hidden="1">{"Support/Rev Op Inc=Total revenue + OIBT",#N/A,FALSE,"Rev-Op Inc"}</definedName>
    <definedName name="wrn.Support_Rev_Op_Inc." localSheetId="17" hidden="1">{"Support/Rev Op Inc=Total revenue + OIBT",#N/A,FALSE,"Rev-Op Inc"}</definedName>
    <definedName name="wrn.Support_Rev_Op_Inc." localSheetId="30" hidden="1">{"Support/Rev Op Inc=Total revenue + OIBT",#N/A,FALSE,"Rev-Op Inc"}</definedName>
    <definedName name="wrn.Support_Rev_Op_Inc." localSheetId="31" hidden="1">{"Support/Rev Op Inc=Total revenue + OIBT",#N/A,FALSE,"Rev-Op Inc"}</definedName>
    <definedName name="wrn.Support_Rev_Op_Inc." localSheetId="19" hidden="1">{"Support/Rev Op Inc=Total revenue + OIBT",#N/A,FALSE,"Rev-Op Inc"}</definedName>
    <definedName name="wrn.Support_Rev_Op_Inc." localSheetId="7" hidden="1">{"Support/Rev Op Inc=Total revenue + OIBT",#N/A,FALSE,"Rev-Op Inc"}</definedName>
    <definedName name="wrn.Support_Rev_Op_Inc." localSheetId="0" hidden="1">{"Support/Rev Op Inc=Total revenue + OIBT",#N/A,FALSE,"Rev-Op Inc"}</definedName>
    <definedName name="wrn.Support_Rev_Op_Inc." localSheetId="10" hidden="1">{"Support/Rev Op Inc=Total revenue + OIBT",#N/A,FALSE,"Rev-Op Inc"}</definedName>
    <definedName name="wrn.Support_Rev_Op_Inc." localSheetId="12" hidden="1">{"Support/Rev Op Inc=Total revenue + OIBT",#N/A,FALSE,"Rev-Op Inc"}</definedName>
    <definedName name="wrn.Support_Rev_Op_Inc." localSheetId="9" hidden="1">{"Support/Rev Op Inc=Total revenue + OIBT",#N/A,FALSE,"Rev-Op Inc"}</definedName>
    <definedName name="wrn.Support_Rev_Op_Inc." hidden="1">{"Support/Rev Op Inc=Total revenue + OIBT",#N/A,FALSE,"Rev-Op Inc"}</definedName>
    <definedName name="wrn.Supporting._.Calculations." localSheetId="1" hidden="1">{#N/A,#N/A,FALSE,"Work performed";#N/A,#N/A,FALSE,"Resources"}</definedName>
    <definedName name="wrn.Supporting._.Calculations." localSheetId="17" hidden="1">{#N/A,#N/A,FALSE,"Work performed";#N/A,#N/A,FALSE,"Resources"}</definedName>
    <definedName name="wrn.Supporting._.Calculations." localSheetId="30" hidden="1">{#N/A,#N/A,FALSE,"Work performed";#N/A,#N/A,FALSE,"Resources"}</definedName>
    <definedName name="wrn.Supporting._.Calculations." localSheetId="31" hidden="1">{#N/A,#N/A,FALSE,"Work performed";#N/A,#N/A,FALSE,"Resources"}</definedName>
    <definedName name="wrn.Supporting._.Calculations." localSheetId="19" hidden="1">{#N/A,#N/A,FALSE,"Work performed";#N/A,#N/A,FALSE,"Resources"}</definedName>
    <definedName name="wrn.Supporting._.Calculations." localSheetId="7" hidden="1">{#N/A,#N/A,FALSE,"Work performed";#N/A,#N/A,FALSE,"Resources"}</definedName>
    <definedName name="wrn.Supporting._.Calculations." localSheetId="0" hidden="1">{#N/A,#N/A,FALSE,"Work performed";#N/A,#N/A,FALSE,"Resources"}</definedName>
    <definedName name="wrn.Supporting._.Calculations." localSheetId="10" hidden="1">{#N/A,#N/A,FALSE,"Work performed";#N/A,#N/A,FALSE,"Resources"}</definedName>
    <definedName name="wrn.Supporting._.Calculations." localSheetId="12" hidden="1">{#N/A,#N/A,FALSE,"Work performed";#N/A,#N/A,FALSE,"Resources"}</definedName>
    <definedName name="wrn.Supporting._.Calculations." localSheetId="9" hidden="1">{#N/A,#N/A,FALSE,"Work performed";#N/A,#N/A,FALSE,"Resources"}</definedName>
    <definedName name="wrn.Supporting._.Calculations." hidden="1">{#N/A,#N/A,FALSE,"Work performed";#N/A,#N/A,FALSE,"Resources"}</definedName>
    <definedName name="wrn.Table._.SBU._.1996_2002." localSheetId="1" hidden="1">{"SBU Numbers 1996_2002",#N/A,FALSE,"Strategic Business Lines"}</definedName>
    <definedName name="wrn.Table._.SBU._.1996_2002." localSheetId="17" hidden="1">{"SBU Numbers 1996_2002",#N/A,FALSE,"Strategic Business Lines"}</definedName>
    <definedName name="wrn.Table._.SBU._.1996_2002." localSheetId="30" hidden="1">{"SBU Numbers 1996_2002",#N/A,FALSE,"Strategic Business Lines"}</definedName>
    <definedName name="wrn.Table._.SBU._.1996_2002." localSheetId="31" hidden="1">{"SBU Numbers 1996_2002",#N/A,FALSE,"Strategic Business Lines"}</definedName>
    <definedName name="wrn.Table._.SBU._.1996_2002." localSheetId="19" hidden="1">{"SBU Numbers 1996_2002",#N/A,FALSE,"Strategic Business Lines"}</definedName>
    <definedName name="wrn.Table._.SBU._.1996_2002." localSheetId="7" hidden="1">{"SBU Numbers 1996_2002",#N/A,FALSE,"Strategic Business Lines"}</definedName>
    <definedName name="wrn.Table._.SBU._.1996_2002." localSheetId="0" hidden="1">{"SBU Numbers 1996_2002",#N/A,FALSE,"Strategic Business Lines"}</definedName>
    <definedName name="wrn.Table._.SBU._.1996_2002." localSheetId="10" hidden="1">{"SBU Numbers 1996_2002",#N/A,FALSE,"Strategic Business Lines"}</definedName>
    <definedName name="wrn.Table._.SBU._.1996_2002." localSheetId="12" hidden="1">{"SBU Numbers 1996_2002",#N/A,FALSE,"Strategic Business Lines"}</definedName>
    <definedName name="wrn.Table._.SBU._.1996_2002." localSheetId="9" hidden="1">{"SBU Numbers 1996_2002",#N/A,FALSE,"Strategic Business Lines"}</definedName>
    <definedName name="wrn.Table._.SBU._.1996_2002." hidden="1">{"SBU Numbers 1996_2002",#N/A,FALSE,"Strategic Business Lines"}</definedName>
    <definedName name="wrn.tables." localSheetId="1" hidden="1">{"print1",#N/A,FALSE,"D21CUSTS";"print2",#N/A,FALSE,"D21CUSTS";"print3",#N/A,FALSE,"D21CUSTS";"print4",#N/A,FALSE,"D21CUSTS"}</definedName>
    <definedName name="wrn.tables." localSheetId="17" hidden="1">{"print1",#N/A,FALSE,"D21CUSTS";"print2",#N/A,FALSE,"D21CUSTS";"print3",#N/A,FALSE,"D21CUSTS";"print4",#N/A,FALSE,"D21CUSTS"}</definedName>
    <definedName name="wrn.tables." localSheetId="30" hidden="1">{"print1",#N/A,FALSE,"D21CUSTS";"print2",#N/A,FALSE,"D21CUSTS";"print3",#N/A,FALSE,"D21CUSTS";"print4",#N/A,FALSE,"D21CUSTS"}</definedName>
    <definedName name="wrn.tables." localSheetId="31" hidden="1">{"print1",#N/A,FALSE,"D21CUSTS";"print2",#N/A,FALSE,"D21CUSTS";"print3",#N/A,FALSE,"D21CUSTS";"print4",#N/A,FALSE,"D21CUSTS"}</definedName>
    <definedName name="wrn.tables." localSheetId="19" hidden="1">{"print1",#N/A,FALSE,"D21CUSTS";"print2",#N/A,FALSE,"D21CUSTS";"print3",#N/A,FALSE,"D21CUSTS";"print4",#N/A,FALSE,"D21CUSTS"}</definedName>
    <definedName name="wrn.tables." localSheetId="7" hidden="1">{"print1",#N/A,FALSE,"D21CUSTS";"print2",#N/A,FALSE,"D21CUSTS";"print3",#N/A,FALSE,"D21CUSTS";"print4",#N/A,FALSE,"D21CUSTS"}</definedName>
    <definedName name="wrn.tables." localSheetId="0" hidden="1">{"print1",#N/A,FALSE,"D21CUSTS";"print2",#N/A,FALSE,"D21CUSTS";"print3",#N/A,FALSE,"D21CUSTS";"print4",#N/A,FALSE,"D21CUSTS"}</definedName>
    <definedName name="wrn.tables." localSheetId="10" hidden="1">{"print1",#N/A,FALSE,"D21CUSTS";"print2",#N/A,FALSE,"D21CUSTS";"print3",#N/A,FALSE,"D21CUSTS";"print4",#N/A,FALSE,"D21CUSTS"}</definedName>
    <definedName name="wrn.tables." localSheetId="12" hidden="1">{"print1",#N/A,FALSE,"D21CUSTS";"print2",#N/A,FALSE,"D21CUSTS";"print3",#N/A,FALSE,"D21CUSTS";"print4",#N/A,FALSE,"D21CUSTS"}</definedName>
    <definedName name="wrn.tables." localSheetId="9" hidden="1">{"print1",#N/A,FALSE,"D21CUSTS";"print2",#N/A,FALSE,"D21CUSTS";"print3",#N/A,FALSE,"D21CUSTS";"print4",#N/A,FALSE,"D21CUSTS"}</definedName>
    <definedName name="wrn.tables." hidden="1">{"print1",#N/A,FALSE,"D21CUSTS";"print2",#N/A,FALSE,"D21CUSTS";"print3",#N/A,FALSE,"D21CUSTS";"print4",#N/A,FALSE,"D21CUSTS"}</definedName>
    <definedName name="wrn.Tax._.Accrual." localSheetId="1"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30" hidden="1">{#N/A,#N/A,TRUE,"TAXPROV";#N/A,#N/A,TRUE,"FLOWTHRU";#N/A,#N/A,TRUE,"SCHEDULE M'S";#N/A,#N/A,TRUE,"PLANT M'S";#N/A,#N/A,TRUE,"TAXJE"}</definedName>
    <definedName name="wrn.Tax._.Accrual." localSheetId="31"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7" hidden="1">{#N/A,#N/A,TRUE,"TAXPROV";#N/A,#N/A,TRUE,"FLOWTHRU";#N/A,#N/A,TRUE,"SCHEDULE M'S";#N/A,#N/A,TRUE,"PLANT M'S";#N/A,#N/A,TRUE,"TAXJE"}</definedName>
    <definedName name="wrn.Tax._.Accrual." localSheetId="0" hidden="1">{#N/A,#N/A,TRUE,"TAXPROV";#N/A,#N/A,TRUE,"FLOWTHRU";#N/A,#N/A,TRUE,"SCHEDULE M'S";#N/A,#N/A,TRUE,"PLANT M'S";#N/A,#N/A,TRUE,"TAXJE"}</definedName>
    <definedName name="wrn.Tax._.Accrual." localSheetId="10" hidden="1">{#N/A,#N/A,TRUE,"TAXPROV";#N/A,#N/A,TRUE,"FLOWTHRU";#N/A,#N/A,TRUE,"SCHEDULE M'S";#N/A,#N/A,TRUE,"PLANT M'S";#N/A,#N/A,TRUE,"TAXJE"}</definedName>
    <definedName name="wrn.Tax._.Accrual." localSheetId="12" hidden="1">{#N/A,#N/A,TRUE,"TAXPROV";#N/A,#N/A,TRUE,"FLOWTHRU";#N/A,#N/A,TRUE,"SCHEDULE M'S";#N/A,#N/A,TRUE,"PLANT M'S";#N/A,#N/A,TRUE,"TAXJE"}</definedName>
    <definedName name="wrn.Tax._.Accrual." localSheetId="9" hidden="1">{#N/A,#N/A,TRUE,"TAXPROV";#N/A,#N/A,TRUE,"FLOWTHRU";#N/A,#N/A,TRUE,"SCHEDULE M'S";#N/A,#N/A,TRUE,"PLANT M'S";#N/A,#N/A,TRUE,"TAXJE"}</definedName>
    <definedName name="wrn.Tax._.Accrual." hidden="1">{#N/A,#N/A,TRUE,"TAXPROV";#N/A,#N/A,TRUE,"FLOWTHRU";#N/A,#N/A,TRUE,"SCHEDULE M'S";#N/A,#N/A,TRUE,"PLANT M'S";#N/A,#N/A,TRUE,"TAXJE"}</definedName>
    <definedName name="wrn.TAXATION." localSheetId="7" hidden="1">{#N/A,#N/A,FALSE,"JJ-1 Reg. Tax";#N/A,#N/A,FALSE,"JJ-2 Tax Jnl. Entry";#N/A,#N/A,FALSE,"JJ-3 Alt Min. Tax";#N/A,#N/A,FALSE,"JJ-4 Tax Checklist";#N/A,#N/A,FALSE,"KK-1 Def. Tax";#N/A,#N/A,FALSE,"KK-2 Rate Recon.";#N/A,#N/A,FALSE,"0800-2 Income Tax Provision";#N/A,#N/A,FALSE,"0800-3 Income Tax Provision H&amp;L"}</definedName>
    <definedName name="wrn.TAXATION." localSheetId="10" hidden="1">{#N/A,#N/A,FALSE,"JJ-1 Reg. Tax";#N/A,#N/A,FALSE,"JJ-2 Tax Jnl. Entry";#N/A,#N/A,FALSE,"JJ-3 Alt Min. Tax";#N/A,#N/A,FALSE,"JJ-4 Tax Checklist";#N/A,#N/A,FALSE,"KK-1 Def. Tax";#N/A,#N/A,FALSE,"KK-2 Rate Recon.";#N/A,#N/A,FALSE,"0800-2 Income Tax Provision";#N/A,#N/A,FALSE,"0800-3 Income Tax Provision H&amp;L"}</definedName>
    <definedName name="wrn.TAXATION." localSheetId="12" hidden="1">{#N/A,#N/A,FALSE,"JJ-1 Reg. Tax";#N/A,#N/A,FALSE,"JJ-2 Tax Jnl. Entry";#N/A,#N/A,FALSE,"JJ-3 Alt Min. Tax";#N/A,#N/A,FALSE,"JJ-4 Tax Checklist";#N/A,#N/A,FALSE,"KK-1 Def. Tax";#N/A,#N/A,FALSE,"KK-2 Rate Recon.";#N/A,#N/A,FALSE,"0800-2 Income Tax Provision";#N/A,#N/A,FALSE,"0800-3 Income Tax Provision H&amp;L"}</definedName>
    <definedName name="wrn.TAXATION." hidden="1">{#N/A,#N/A,FALSE,"JJ-1 Reg. Tax";#N/A,#N/A,FALSE,"JJ-2 Tax Jnl. Entry";#N/A,#N/A,FALSE,"JJ-3 Alt Min. Tax";#N/A,#N/A,FALSE,"JJ-4 Tax Checklist";#N/A,#N/A,FALSE,"KK-1 Def. Tax";#N/A,#N/A,FALSE,"KK-2 Rate Recon.";#N/A,#N/A,FALSE,"0800-2 Income Tax Provision";#N/A,#N/A,FALSE,"0800-3 Income Tax Provision H&amp;L"}</definedName>
    <definedName name="wrn.TAXES._.OTHER." localSheetId="1" hidden="1">{"JURIS_TAXES_OTHER",#N/A,FALSE,"COSTSTUDY";"OKCLS_TAXES_OTHER",#N/A,FALSE,"COSTSTUDY"}</definedName>
    <definedName name="wrn.TAXES._.OTHER." localSheetId="17" hidden="1">{"JURIS_TAXES_OTHER",#N/A,FALSE,"COSTSTUDY";"OKCLS_TAXES_OTHER",#N/A,FALSE,"COSTSTUDY"}</definedName>
    <definedName name="wrn.TAXES._.OTHER." localSheetId="30" hidden="1">{"JURIS_TAXES_OTHER",#N/A,FALSE,"COSTSTUDY";"OKCLS_TAXES_OTHER",#N/A,FALSE,"COSTSTUDY"}</definedName>
    <definedName name="wrn.TAXES._.OTHER." localSheetId="31" hidden="1">{"JURIS_TAXES_OTHER",#N/A,FALSE,"COSTSTUDY";"OKCLS_TAXES_OTHER",#N/A,FALSE,"COSTSTUDY"}</definedName>
    <definedName name="wrn.TAXES._.OTHER." localSheetId="19" hidden="1">{"JURIS_TAXES_OTHER",#N/A,FALSE,"COSTSTUDY";"OKCLS_TAXES_OTHER",#N/A,FALSE,"COSTSTUDY"}</definedName>
    <definedName name="wrn.TAXES._.OTHER." localSheetId="7" hidden="1">{"JURIS_TAXES_OTHER",#N/A,FALSE,"COSTSTUDY";"OKCLS_TAXES_OTHER",#N/A,FALSE,"COSTSTUDY"}</definedName>
    <definedName name="wrn.TAXES._.OTHER." localSheetId="0" hidden="1">{"JURIS_TAXES_OTHER",#N/A,FALSE,"COSTSTUDY";"OKCLS_TAXES_OTHER",#N/A,FALSE,"COSTSTUDY"}</definedName>
    <definedName name="wrn.TAXES._.OTHER." localSheetId="10" hidden="1">{"JURIS_TAXES_OTHER",#N/A,FALSE,"COSTSTUDY";"OKCLS_TAXES_OTHER",#N/A,FALSE,"COSTSTUDY"}</definedName>
    <definedName name="wrn.TAXES._.OTHER." localSheetId="12" hidden="1">{"JURIS_TAXES_OTHER",#N/A,FALSE,"COSTSTUDY";"OKCLS_TAXES_OTHER",#N/A,FALSE,"COSTSTUDY"}</definedName>
    <definedName name="wrn.TAXES._.OTHER." localSheetId="9" hidden="1">{"JURIS_TAXES_OTHER",#N/A,FALSE,"COSTSTUDY";"OKCLS_TAXES_OTHER",#N/A,FALSE,"COSTSTUDY"}</definedName>
    <definedName name="wrn.TAXES._.OTHER." hidden="1">{"JURIS_TAXES_OTHER",#N/A,FALSE,"COSTSTUDY";"OKCLS_TAXES_OTHER",#N/A,FALSE,"COSTSTUDY"}</definedName>
    <definedName name="wrn.TBC._.Update." localSheetId="1" hidden="1">{#N/A,#N/A,FALSE,"TABLE I";#N/A,#N/A,FALSE,"TBC Development";#N/A,#N/A,FALSE,"MTC -Tax Development";#N/A,#N/A,FALSE,"MTC - Tax descriptions";#N/A,#N/A,FALSE,"MTC -Tax True Up"}</definedName>
    <definedName name="wrn.TBC._.Update." localSheetId="17" hidden="1">{#N/A,#N/A,FALSE,"TABLE I";#N/A,#N/A,FALSE,"TBC Development";#N/A,#N/A,FALSE,"MTC -Tax Development";#N/A,#N/A,FALSE,"MTC - Tax descriptions";#N/A,#N/A,FALSE,"MTC -Tax True Up"}</definedName>
    <definedName name="wrn.TBC._.Update." localSheetId="30" hidden="1">{#N/A,#N/A,FALSE,"TABLE I";#N/A,#N/A,FALSE,"TBC Development";#N/A,#N/A,FALSE,"MTC -Tax Development";#N/A,#N/A,FALSE,"MTC - Tax descriptions";#N/A,#N/A,FALSE,"MTC -Tax True Up"}</definedName>
    <definedName name="wrn.TBC._.Update." localSheetId="31" hidden="1">{#N/A,#N/A,FALSE,"TABLE I";#N/A,#N/A,FALSE,"TBC Development";#N/A,#N/A,FALSE,"MTC -Tax Development";#N/A,#N/A,FALSE,"MTC - Tax descriptions";#N/A,#N/A,FALSE,"MTC -Tax True Up"}</definedName>
    <definedName name="wrn.TBC._.Update." localSheetId="19" hidden="1">{#N/A,#N/A,FALSE,"TABLE I";#N/A,#N/A,FALSE,"TBC Development";#N/A,#N/A,FALSE,"MTC -Tax Development";#N/A,#N/A,FALSE,"MTC - Tax descriptions";#N/A,#N/A,FALSE,"MTC -Tax True Up"}</definedName>
    <definedName name="wrn.TBC._.Update." localSheetId="7" hidden="1">{#N/A,#N/A,FALSE,"TABLE I";#N/A,#N/A,FALSE,"TBC Development";#N/A,#N/A,FALSE,"MTC -Tax Development";#N/A,#N/A,FALSE,"MTC - Tax descriptions";#N/A,#N/A,FALSE,"MTC -Tax True Up"}</definedName>
    <definedName name="wrn.TBC._.Update." localSheetId="0" hidden="1">{#N/A,#N/A,FALSE,"TABLE I";#N/A,#N/A,FALSE,"TBC Development";#N/A,#N/A,FALSE,"MTC -Tax Development";#N/A,#N/A,FALSE,"MTC - Tax descriptions";#N/A,#N/A,FALSE,"MTC -Tax True Up"}</definedName>
    <definedName name="wrn.TBC._.Update." localSheetId="10" hidden="1">{#N/A,#N/A,FALSE,"TABLE I";#N/A,#N/A,FALSE,"TBC Development";#N/A,#N/A,FALSE,"MTC -Tax Development";#N/A,#N/A,FALSE,"MTC - Tax descriptions";#N/A,#N/A,FALSE,"MTC -Tax True Up"}</definedName>
    <definedName name="wrn.TBC._.Update." localSheetId="12" hidden="1">{#N/A,#N/A,FALSE,"TABLE I";#N/A,#N/A,FALSE,"TBC Development";#N/A,#N/A,FALSE,"MTC -Tax Development";#N/A,#N/A,FALSE,"MTC - Tax descriptions";#N/A,#N/A,FALSE,"MTC -Tax True Up"}</definedName>
    <definedName name="wrn.TBC._.Update." localSheetId="9" hidden="1">{#N/A,#N/A,FALSE,"TABLE I";#N/A,#N/A,FALSE,"TBC Development";#N/A,#N/A,FALSE,"MTC -Tax Development";#N/A,#N/A,FALSE,"MTC - Tax descriptions";#N/A,#N/A,FALSE,"MTC -Tax True Up"}</definedName>
    <definedName name="wrn.TBC._.Update." hidden="1">{#N/A,#N/A,FALSE,"TABLE I";#N/A,#N/A,FALSE,"TBC Development";#N/A,#N/A,FALSE,"MTC -Tax Development";#N/A,#N/A,FALSE,"MTC - Tax descriptions";#N/A,#N/A,FALSE,"MTC -Tax True Up"}</definedName>
    <definedName name="wrn.Template." localSheetId="7"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10"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localSheetId="12"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rry._.Peigh._.Report." localSheetId="7" hidden="1">{"Terry Peigh's Report","IPGOFFICE",FALSE,"A";"Terry Peigh's Report","980203",FALSE,"A";"Terry Peigh's Report","008337",FALSE,"A";"Terry Peigh's Report","IPGIT",FALSE,"A";"Terry Peigh's Report","980208",FALSE,"A";"Terry Peigh's Report","008332",FALSE,"A";"Terry Peigh's Report","980259",FALSE,"A";"Terry Peigh's Report","IPGSS",FALSE,"A";"Terry Peigh's Report","980296",FALSE,"A";"Terry Peigh's Report","007910",FALSE,"A";"Terry Peigh's Report","008339",FALSE,"A";"Terry Peigh's Report","IPGTRAV",FALSE,"A";"Terry Peigh's Report","980211",FALSE,"A";"Terry Peigh's Report","008338",FALSE,"A"}</definedName>
    <definedName name="wrn.Terry._.Peigh._.Report." localSheetId="10" hidden="1">{"Terry Peigh's Report","IPGOFFICE",FALSE,"A";"Terry Peigh's Report","980203",FALSE,"A";"Terry Peigh's Report","008337",FALSE,"A";"Terry Peigh's Report","IPGIT",FALSE,"A";"Terry Peigh's Report","980208",FALSE,"A";"Terry Peigh's Report","008332",FALSE,"A";"Terry Peigh's Report","980259",FALSE,"A";"Terry Peigh's Report","IPGSS",FALSE,"A";"Terry Peigh's Report","980296",FALSE,"A";"Terry Peigh's Report","007910",FALSE,"A";"Terry Peigh's Report","008339",FALSE,"A";"Terry Peigh's Report","IPGTRAV",FALSE,"A";"Terry Peigh's Report","980211",FALSE,"A";"Terry Peigh's Report","008338",FALSE,"A"}</definedName>
    <definedName name="wrn.Terry._.Peigh._.Report." localSheetId="12" hidden="1">{"Terry Peigh's Report","IPGOFFICE",FALSE,"A";"Terry Peigh's Report","980203",FALSE,"A";"Terry Peigh's Report","008337",FALSE,"A";"Terry Peigh's Report","IPGIT",FALSE,"A";"Terry Peigh's Report","980208",FALSE,"A";"Terry Peigh's Report","008332",FALSE,"A";"Terry Peigh's Report","980259",FALSE,"A";"Terry Peigh's Report","IPGSS",FALSE,"A";"Terry Peigh's Report","980296",FALSE,"A";"Terry Peigh's Report","007910",FALSE,"A";"Terry Peigh's Report","008339",FALSE,"A";"Terry Peigh's Report","IPGTRAV",FALSE,"A";"Terry Peigh's Report","980211",FALSE,"A";"Terry Peigh's Report","008338",FALSE,"A"}</definedName>
    <definedName name="wrn.Terry._.Peigh._.Report." hidden="1">{"Terry Peigh's Report","IPGOFFICE",FALSE,"A";"Terry Peigh's Report","980203",FALSE,"A";"Terry Peigh's Report","008337",FALSE,"A";"Terry Peigh's Report","IPGIT",FALSE,"A";"Terry Peigh's Report","980208",FALSE,"A";"Terry Peigh's Report","008332",FALSE,"A";"Terry Peigh's Report","980259",FALSE,"A";"Terry Peigh's Report","IPGSS",FALSE,"A";"Terry Peigh's Report","980296",FALSE,"A";"Terry Peigh's Report","007910",FALSE,"A";"Terry Peigh's Report","008339",FALSE,"A";"Terry Peigh's Report","IPGTRAV",FALSE,"A";"Terry Peigh's Report","980211",FALSE,"A";"Terry Peigh's Report","008338",FALSE,"A"}</definedName>
    <definedName name="wrn.test1." localSheetId="7" hidden="1">{"Income Statement",#N/A,FALSE,"CFMODEL";"Balance Sheet",#N/A,FALSE,"CFMODEL"}</definedName>
    <definedName name="wrn.test1." localSheetId="10" hidden="1">{"Income Statement",#N/A,FALSE,"CFMODEL";"Balance Sheet",#N/A,FALSE,"CFMODEL"}</definedName>
    <definedName name="wrn.test1." localSheetId="12" hidden="1">{"Income Statement",#N/A,FALSE,"CFMODEL";"Balance Sheet",#N/A,FALSE,"CFMODEL"}</definedName>
    <definedName name="wrn.test1." hidden="1">{"Income Statement",#N/A,FALSE,"CFMODEL";"Balance Sheet",#N/A,FALSE,"CFMODEL"}</definedName>
    <definedName name="wrn.test2." localSheetId="7" hidden="1">{"SourcesUses",#N/A,TRUE,"CFMODEL";"TransOverview",#N/A,TRUE,"CFMODEL"}</definedName>
    <definedName name="wrn.test2." localSheetId="10" hidden="1">{"SourcesUses",#N/A,TRUE,"CFMODEL";"TransOverview",#N/A,TRUE,"CFMODEL"}</definedName>
    <definedName name="wrn.test2." localSheetId="12" hidden="1">{"SourcesUses",#N/A,TRUE,"CFMODEL";"TransOverview",#N/A,TRUE,"CFMODEL"}</definedName>
    <definedName name="wrn.test2." hidden="1">{"SourcesUses",#N/A,TRUE,"CFMODEL";"TransOverview",#N/A,TRUE,"CFMODEL"}</definedName>
    <definedName name="wrn.test3." localSheetId="7" hidden="1">{"SourcesUses",#N/A,TRUE,#N/A;"TransOverview",#N/A,TRUE,"CFMODEL"}</definedName>
    <definedName name="wrn.test3." localSheetId="10" hidden="1">{"SourcesUses",#N/A,TRUE,#N/A;"TransOverview",#N/A,TRUE,"CFMODEL"}</definedName>
    <definedName name="wrn.test3." localSheetId="12" hidden="1">{"SourcesUses",#N/A,TRUE,#N/A;"TransOverview",#N/A,TRUE,"CFMODEL"}</definedName>
    <definedName name="wrn.test3." hidden="1">{"SourcesUses",#N/A,TRUE,#N/A;"TransOverview",#N/A,TRUE,"CFMODEL"}</definedName>
    <definedName name="wrn.test4." localSheetId="7" hidden="1">{"SourcesUses",#N/A,TRUE,"FundsFlow";"TransOverview",#N/A,TRUE,"FundsFlow"}</definedName>
    <definedName name="wrn.test4." localSheetId="10" hidden="1">{"SourcesUses",#N/A,TRUE,"FundsFlow";"TransOverview",#N/A,TRUE,"FundsFlow"}</definedName>
    <definedName name="wrn.test4." localSheetId="12" hidden="1">{"SourcesUses",#N/A,TRUE,"FundsFlow";"TransOverview",#N/A,TRUE,"FundsFlow"}</definedName>
    <definedName name="wrn.test4." hidden="1">{"SourcesUses",#N/A,TRUE,"FundsFlow";"TransOverview",#N/A,TRUE,"FundsFlow"}</definedName>
    <definedName name="wrn.test5" localSheetId="7" hidden="1">{"SourcesUses",#N/A,TRUE,"FundsFlow";"TransOverview",#N/A,TRUE,"FundsFlow"}</definedName>
    <definedName name="wrn.test5" localSheetId="10" hidden="1">{"SourcesUses",#N/A,TRUE,"FundsFlow";"TransOverview",#N/A,TRUE,"FundsFlow"}</definedName>
    <definedName name="wrn.test5" localSheetId="12" hidden="1">{"SourcesUses",#N/A,TRUE,"FundsFlow";"TransOverview",#N/A,TRUE,"FundsFlow"}</definedName>
    <definedName name="wrn.test5" hidden="1">{"SourcesUses",#N/A,TRUE,"FundsFlow";"TransOverview",#N/A,TRUE,"FundsFlow"}</definedName>
    <definedName name="wrn.TESTS." localSheetId="17" hidden="1">{"PAGE_1",#N/A,FALSE,"MONTH"}</definedName>
    <definedName name="wrn.TESTS." localSheetId="30" hidden="1">{"PAGE_1",#N/A,FALSE,"MONTH"}</definedName>
    <definedName name="wrn.TESTS." localSheetId="31" hidden="1">{"PAGE_1",#N/A,FALSE,"MONTH"}</definedName>
    <definedName name="wrn.TESTS." localSheetId="19" hidden="1">{"PAGE_1",#N/A,FALSE,"MONTH"}</definedName>
    <definedName name="wrn.TESTS." localSheetId="7" hidden="1">{"PAGE_1",#N/A,FALSE,"MONTH"}</definedName>
    <definedName name="wrn.TESTS." localSheetId="0" hidden="1">{"PAGE_1",#N/A,FALSE,"MONTH"}</definedName>
    <definedName name="wrn.TESTS." localSheetId="10" hidden="1">{"PAGE_1",#N/A,FALSE,"MONTH"}</definedName>
    <definedName name="wrn.TESTS." localSheetId="12" hidden="1">{"PAGE_1",#N/A,FALSE,"MONTH"}</definedName>
    <definedName name="wrn.TESTS." localSheetId="9" hidden="1">{"PAGE_1",#N/A,FALSE,"MONTH"}</definedName>
    <definedName name="wrn.TESTS." hidden="1">{"PAGE_1",#N/A,FALSE,"MONTH"}</definedName>
    <definedName name="wrn.To._.Net._.Income." localSheetId="7" hidden="1">{"To Net Inc from Continuing Ops","ipg",FALSE,"Q4 and Year to Net"}</definedName>
    <definedName name="wrn.To._.Net._.Income." localSheetId="10" hidden="1">{"To Net Inc from Continuing Ops","ipg",FALSE,"Q4 and Year to Net"}</definedName>
    <definedName name="wrn.To._.Net._.Income." localSheetId="12" hidden="1">{"To Net Inc from Continuing Ops","ipg",FALSE,"Q4 and Year to Net"}</definedName>
    <definedName name="wrn.To._.Net._.Income." hidden="1">{"To Net Inc from Continuing Ops","ipg",FALSE,"Q4 and Year to Net"}</definedName>
    <definedName name="wrn.Total._.Report." localSheetId="1" hidden="1">{"Fuel by Type",#N/A,FALSE,"00whfuel";"Fuel by Account",#N/A,FALSE,"00whfuel";"NTEC",#N/A,FALSE,"00whfuel";"Hope",#N/A,FALSE,"00whfuel";"Net Energy Load",#N/A,FALSE,"00whfuel";"Purchased Power",#N/A,FALSE,"00whfuel"}</definedName>
    <definedName name="wrn.Total._.Report." localSheetId="17" hidden="1">{"Fuel by Type",#N/A,FALSE,"00whfuel";"Fuel by Account",#N/A,FALSE,"00whfuel";"NTEC",#N/A,FALSE,"00whfuel";"Hope",#N/A,FALSE,"00whfuel";"Net Energy Load",#N/A,FALSE,"00whfuel";"Purchased Power",#N/A,FALSE,"00whfuel"}</definedName>
    <definedName name="wrn.Total._.Report." localSheetId="30" hidden="1">{"Fuel by Type",#N/A,FALSE,"00whfuel";"Fuel by Account",#N/A,FALSE,"00whfuel";"NTEC",#N/A,FALSE,"00whfuel";"Hope",#N/A,FALSE,"00whfuel";"Net Energy Load",#N/A,FALSE,"00whfuel";"Purchased Power",#N/A,FALSE,"00whfuel"}</definedName>
    <definedName name="wrn.Total._.Report." localSheetId="31" hidden="1">{"Fuel by Type",#N/A,FALSE,"00whfuel";"Fuel by Account",#N/A,FALSE,"00whfuel";"NTEC",#N/A,FALSE,"00whfuel";"Hope",#N/A,FALSE,"00whfuel";"Net Energy Load",#N/A,FALSE,"00whfuel";"Purchased Power",#N/A,FALSE,"00whfuel"}</definedName>
    <definedName name="wrn.Total._.Report." localSheetId="19" hidden="1">{"Fuel by Type",#N/A,FALSE,"00whfuel";"Fuel by Account",#N/A,FALSE,"00whfuel";"NTEC",#N/A,FALSE,"00whfuel";"Hope",#N/A,FALSE,"00whfuel";"Net Energy Load",#N/A,FALSE,"00whfuel";"Purchased Power",#N/A,FALSE,"00whfuel"}</definedName>
    <definedName name="wrn.Total._.Report." localSheetId="7" hidden="1">{"Fuel by Type",#N/A,FALSE,"00whfuel";"Fuel by Account",#N/A,FALSE,"00whfuel";"NTEC",#N/A,FALSE,"00whfuel";"Hope",#N/A,FALSE,"00whfuel";"Net Energy Load",#N/A,FALSE,"00whfuel";"Purchased Power",#N/A,FALSE,"00whfuel"}</definedName>
    <definedName name="wrn.Total._.Report." localSheetId="0" hidden="1">{"Fuel by Type",#N/A,FALSE,"00whfuel";"Fuel by Account",#N/A,FALSE,"00whfuel";"NTEC",#N/A,FALSE,"00whfuel";"Hope",#N/A,FALSE,"00whfuel";"Net Energy Load",#N/A,FALSE,"00whfuel";"Purchased Power",#N/A,FALSE,"00whfuel"}</definedName>
    <definedName name="wrn.Total._.Report." localSheetId="10" hidden="1">{"Fuel by Type",#N/A,FALSE,"00whfuel";"Fuel by Account",#N/A,FALSE,"00whfuel";"NTEC",#N/A,FALSE,"00whfuel";"Hope",#N/A,FALSE,"00whfuel";"Net Energy Load",#N/A,FALSE,"00whfuel";"Purchased Power",#N/A,FALSE,"00whfuel"}</definedName>
    <definedName name="wrn.Total._.Report." localSheetId="12" hidden="1">{"Fuel by Type",#N/A,FALSE,"00whfuel";"Fuel by Account",#N/A,FALSE,"00whfuel";"NTEC",#N/A,FALSE,"00whfuel";"Hope",#N/A,FALSE,"00whfuel";"Net Energy Load",#N/A,FALSE,"00whfuel";"Purchased Power",#N/A,FALSE,"00whfuel"}</definedName>
    <definedName name="wrn.Total._.Report." localSheetId="9" hidden="1">{"Fuel by Type",#N/A,FALSE,"00whfuel";"Fuel by Account",#N/A,FALSE,"00whfuel";"NTEC",#N/A,FALSE,"00whfuel";"Hope",#N/A,FALSE,"00whfuel";"Net Energy Load",#N/A,FALSE,"00whfuel";"Purchased Power",#N/A,FALSE,"00whfuel"}</definedName>
    <definedName name="wrn.Total._.Report." hidden="1">{"Fuel by Type",#N/A,FALSE,"00whfuel";"Fuel by Account",#N/A,FALSE,"00whfuel";"NTEC",#N/A,FALSE,"00whfuel";"Hope",#N/A,FALSE,"00whfuel";"Net Energy Load",#N/A,FALSE,"00whfuel";"Purchased Power",#N/A,FALSE,"00whfuel"}</definedName>
    <definedName name="wrn.UWMAC." localSheetId="1" hidden="1">{"UWMACISV",#N/A,FALSE,"Sheet1";"UWMACSAV",#N/A,FALSE,"Sheet1";"UWMACBSV",#N/A,FALSE,"Sheet1";"UWMACSFDV",#N/A,FALSE,"Sheet1"}</definedName>
    <definedName name="wrn.UWMAC." localSheetId="17" hidden="1">{"UWMACISV",#N/A,FALSE,"Sheet1";"UWMACSAV",#N/A,FALSE,"Sheet1";"UWMACBSV",#N/A,FALSE,"Sheet1";"UWMACSFDV",#N/A,FALSE,"Sheet1"}</definedName>
    <definedName name="wrn.UWMAC." localSheetId="30" hidden="1">{"UWMACISV",#N/A,FALSE,"Sheet1";"UWMACSAV",#N/A,FALSE,"Sheet1";"UWMACBSV",#N/A,FALSE,"Sheet1";"UWMACSFDV",#N/A,FALSE,"Sheet1"}</definedName>
    <definedName name="wrn.UWMAC." localSheetId="31" hidden="1">{"UWMACISV",#N/A,FALSE,"Sheet1";"UWMACSAV",#N/A,FALSE,"Sheet1";"UWMACBSV",#N/A,FALSE,"Sheet1";"UWMACSFDV",#N/A,FALSE,"Sheet1"}</definedName>
    <definedName name="wrn.UWMAC." localSheetId="19" hidden="1">{"UWMACISV",#N/A,FALSE,"Sheet1";"UWMACSAV",#N/A,FALSE,"Sheet1";"UWMACBSV",#N/A,FALSE,"Sheet1";"UWMACSFDV",#N/A,FALSE,"Sheet1"}</definedName>
    <definedName name="wrn.UWMAC." localSheetId="7" hidden="1">{"UWMACISV",#N/A,FALSE,"Sheet1";"UWMACSAV",#N/A,FALSE,"Sheet1";"UWMACBSV",#N/A,FALSE,"Sheet1";"UWMACSFDV",#N/A,FALSE,"Sheet1"}</definedName>
    <definedName name="wrn.UWMAC." localSheetId="0" hidden="1">{"UWMACISV",#N/A,FALSE,"Sheet1";"UWMACSAV",#N/A,FALSE,"Sheet1";"UWMACBSV",#N/A,FALSE,"Sheet1";"UWMACSFDV",#N/A,FALSE,"Sheet1"}</definedName>
    <definedName name="wrn.UWMAC." localSheetId="10" hidden="1">{"UWMACISV",#N/A,FALSE,"Sheet1";"UWMACSAV",#N/A,FALSE,"Sheet1";"UWMACBSV",#N/A,FALSE,"Sheet1";"UWMACSFDV",#N/A,FALSE,"Sheet1"}</definedName>
    <definedName name="wrn.UWMAC." localSheetId="12" hidden="1">{"UWMACISV",#N/A,FALSE,"Sheet1";"UWMACSAV",#N/A,FALSE,"Sheet1";"UWMACBSV",#N/A,FALSE,"Sheet1";"UWMACSFDV",#N/A,FALSE,"Sheet1"}</definedName>
    <definedName name="wrn.UWMAC." localSheetId="9" hidden="1">{"UWMACISV",#N/A,FALSE,"Sheet1";"UWMACSAV",#N/A,FALSE,"Sheet1";"UWMACBSV",#N/A,FALSE,"Sheet1";"UWMACSFDV",#N/A,FALSE,"Sheet1"}</definedName>
    <definedName name="wrn.UWMAC." hidden="1">{"UWMACISV",#N/A,FALSE,"Sheet1";"UWMACSAV",#N/A,FALSE,"Sheet1";"UWMACBSV",#N/A,FALSE,"Sheet1";"UWMACSFDV",#N/A,FALSE,"Sheet1"}</definedName>
    <definedName name="wrn.UWNJ." localSheetId="1" hidden="1">{"UWNJISV",#N/A,FALSE,"Sheet1";"UWNJSAV",#N/A,FALSE,"Sheet1";"UWNJBSV",#N/A,FALSE,"Sheet1";"UWNJSFDV",#N/A,FALSE,"Sheet1"}</definedName>
    <definedName name="wrn.UWNJ." localSheetId="17" hidden="1">{"UWNJISV",#N/A,FALSE,"Sheet1";"UWNJSAV",#N/A,FALSE,"Sheet1";"UWNJBSV",#N/A,FALSE,"Sheet1";"UWNJSFDV",#N/A,FALSE,"Sheet1"}</definedName>
    <definedName name="wrn.UWNJ." localSheetId="30" hidden="1">{"UWNJISV",#N/A,FALSE,"Sheet1";"UWNJSAV",#N/A,FALSE,"Sheet1";"UWNJBSV",#N/A,FALSE,"Sheet1";"UWNJSFDV",#N/A,FALSE,"Sheet1"}</definedName>
    <definedName name="wrn.UWNJ." localSheetId="31" hidden="1">{"UWNJISV",#N/A,FALSE,"Sheet1";"UWNJSAV",#N/A,FALSE,"Sheet1";"UWNJBSV",#N/A,FALSE,"Sheet1";"UWNJSFDV",#N/A,FALSE,"Sheet1"}</definedName>
    <definedName name="wrn.UWNJ." localSheetId="19" hidden="1">{"UWNJISV",#N/A,FALSE,"Sheet1";"UWNJSAV",#N/A,FALSE,"Sheet1";"UWNJBSV",#N/A,FALSE,"Sheet1";"UWNJSFDV",#N/A,FALSE,"Sheet1"}</definedName>
    <definedName name="wrn.UWNJ." localSheetId="7" hidden="1">{"UWNJISV",#N/A,FALSE,"Sheet1";"UWNJSAV",#N/A,FALSE,"Sheet1";"UWNJBSV",#N/A,FALSE,"Sheet1";"UWNJSFDV",#N/A,FALSE,"Sheet1"}</definedName>
    <definedName name="wrn.UWNJ." localSheetId="0" hidden="1">{"UWNJISV",#N/A,FALSE,"Sheet1";"UWNJSAV",#N/A,FALSE,"Sheet1";"UWNJBSV",#N/A,FALSE,"Sheet1";"UWNJSFDV",#N/A,FALSE,"Sheet1"}</definedName>
    <definedName name="wrn.UWNJ." localSheetId="10" hidden="1">{"UWNJISV",#N/A,FALSE,"Sheet1";"UWNJSAV",#N/A,FALSE,"Sheet1";"UWNJBSV",#N/A,FALSE,"Sheet1";"UWNJSFDV",#N/A,FALSE,"Sheet1"}</definedName>
    <definedName name="wrn.UWNJ." localSheetId="12" hidden="1">{"UWNJISV",#N/A,FALSE,"Sheet1";"UWNJSAV",#N/A,FALSE,"Sheet1";"UWNJBSV",#N/A,FALSE,"Sheet1";"UWNJSFDV",#N/A,FALSE,"Sheet1"}</definedName>
    <definedName name="wrn.UWNJ." localSheetId="9" hidden="1">{"UWNJISV",#N/A,FALSE,"Sheet1";"UWNJSAV",#N/A,FALSE,"Sheet1";"UWNJBSV",#N/A,FALSE,"Sheet1";"UWNJSFDV",#N/A,FALSE,"Sheet1"}</definedName>
    <definedName name="wrn.UWNJ." hidden="1">{"UWNJISV",#N/A,FALSE,"Sheet1";"UWNJSAV",#N/A,FALSE,"Sheet1";"UWNJBSV",#N/A,FALSE,"Sheet1";"UWNJSFDV",#N/A,FALSE,"Sheet1"}</definedName>
    <definedName name="wrn.UWNY." localSheetId="1" hidden="1">{"UWNYISV",#N/A,FALSE,"Sheet1";"UWNYSAV",#N/A,FALSE,"Sheet1";"UWNYBSV",#N/A,FALSE,"Sheet1";"UWNYSFDV",#N/A,FALSE,"Sheet1"}</definedName>
    <definedName name="wrn.UWNY." localSheetId="17" hidden="1">{"UWNYISV",#N/A,FALSE,"Sheet1";"UWNYSAV",#N/A,FALSE,"Sheet1";"UWNYBSV",#N/A,FALSE,"Sheet1";"UWNYSFDV",#N/A,FALSE,"Sheet1"}</definedName>
    <definedName name="wrn.UWNY." localSheetId="30" hidden="1">{"UWNYISV",#N/A,FALSE,"Sheet1";"UWNYSAV",#N/A,FALSE,"Sheet1";"UWNYBSV",#N/A,FALSE,"Sheet1";"UWNYSFDV",#N/A,FALSE,"Sheet1"}</definedName>
    <definedName name="wrn.UWNY." localSheetId="31" hidden="1">{"UWNYISV",#N/A,FALSE,"Sheet1";"UWNYSAV",#N/A,FALSE,"Sheet1";"UWNYBSV",#N/A,FALSE,"Sheet1";"UWNYSFDV",#N/A,FALSE,"Sheet1"}</definedName>
    <definedName name="wrn.UWNY." localSheetId="19" hidden="1">{"UWNYISV",#N/A,FALSE,"Sheet1";"UWNYSAV",#N/A,FALSE,"Sheet1";"UWNYBSV",#N/A,FALSE,"Sheet1";"UWNYSFDV",#N/A,FALSE,"Sheet1"}</definedName>
    <definedName name="wrn.UWNY." localSheetId="7" hidden="1">{"UWNYISV",#N/A,FALSE,"Sheet1";"UWNYSAV",#N/A,FALSE,"Sheet1";"UWNYBSV",#N/A,FALSE,"Sheet1";"UWNYSFDV",#N/A,FALSE,"Sheet1"}</definedName>
    <definedName name="wrn.UWNY." localSheetId="0" hidden="1">{"UWNYISV",#N/A,FALSE,"Sheet1";"UWNYSAV",#N/A,FALSE,"Sheet1";"UWNYBSV",#N/A,FALSE,"Sheet1";"UWNYSFDV",#N/A,FALSE,"Sheet1"}</definedName>
    <definedName name="wrn.UWNY." localSheetId="10" hidden="1">{"UWNYISV",#N/A,FALSE,"Sheet1";"UWNYSAV",#N/A,FALSE,"Sheet1";"UWNYBSV",#N/A,FALSE,"Sheet1";"UWNYSFDV",#N/A,FALSE,"Sheet1"}</definedName>
    <definedName name="wrn.UWNY." localSheetId="12" hidden="1">{"UWNYISV",#N/A,FALSE,"Sheet1";"UWNYSAV",#N/A,FALSE,"Sheet1";"UWNYBSV",#N/A,FALSE,"Sheet1";"UWNYSFDV",#N/A,FALSE,"Sheet1"}</definedName>
    <definedName name="wrn.UWNY." localSheetId="9" hidden="1">{"UWNYISV",#N/A,FALSE,"Sheet1";"UWNYSAV",#N/A,FALSE,"Sheet1";"UWNYBSV",#N/A,FALSE,"Sheet1";"UWNYSFDV",#N/A,FALSE,"Sheet1"}</definedName>
    <definedName name="wrn.UWNY." hidden="1">{"UWNYISV",#N/A,FALSE,"Sheet1";"UWNYSAV",#N/A,FALSE,"Sheet1";"UWNYBSV",#N/A,FALSE,"Sheet1";"UWNYSFDV",#N/A,FALSE,"Sheet1"}</definedName>
    <definedName name="wrn.UWW." localSheetId="1" hidden="1">{"UWWISV",#N/A,FALSE,"Sheet1";"UWWSAV",#N/A,FALSE,"Sheet1";"UWWBSV",#N/A,FALSE,"Sheet1";"UWWSFDV",#N/A,FALSE,"Sheet1"}</definedName>
    <definedName name="wrn.UWW." localSheetId="17" hidden="1">{"UWWISV",#N/A,FALSE,"Sheet1";"UWWSAV",#N/A,FALSE,"Sheet1";"UWWBSV",#N/A,FALSE,"Sheet1";"UWWSFDV",#N/A,FALSE,"Sheet1"}</definedName>
    <definedName name="wrn.UWW." localSheetId="30" hidden="1">{"UWWISV",#N/A,FALSE,"Sheet1";"UWWSAV",#N/A,FALSE,"Sheet1";"UWWBSV",#N/A,FALSE,"Sheet1";"UWWSFDV",#N/A,FALSE,"Sheet1"}</definedName>
    <definedName name="wrn.UWW." localSheetId="31" hidden="1">{"UWWISV",#N/A,FALSE,"Sheet1";"UWWSAV",#N/A,FALSE,"Sheet1";"UWWBSV",#N/A,FALSE,"Sheet1";"UWWSFDV",#N/A,FALSE,"Sheet1"}</definedName>
    <definedName name="wrn.UWW." localSheetId="19" hidden="1">{"UWWISV",#N/A,FALSE,"Sheet1";"UWWSAV",#N/A,FALSE,"Sheet1";"UWWBSV",#N/A,FALSE,"Sheet1";"UWWSFDV",#N/A,FALSE,"Sheet1"}</definedName>
    <definedName name="wrn.UWW." localSheetId="7" hidden="1">{"UWWISV",#N/A,FALSE,"Sheet1";"UWWSAV",#N/A,FALSE,"Sheet1";"UWWBSV",#N/A,FALSE,"Sheet1";"UWWSFDV",#N/A,FALSE,"Sheet1"}</definedName>
    <definedName name="wrn.UWW." localSheetId="0" hidden="1">{"UWWISV",#N/A,FALSE,"Sheet1";"UWWSAV",#N/A,FALSE,"Sheet1";"UWWBSV",#N/A,FALSE,"Sheet1";"UWWSFDV",#N/A,FALSE,"Sheet1"}</definedName>
    <definedName name="wrn.UWW." localSheetId="10" hidden="1">{"UWWISV",#N/A,FALSE,"Sheet1";"UWWSAV",#N/A,FALSE,"Sheet1";"UWWBSV",#N/A,FALSE,"Sheet1";"UWWSFDV",#N/A,FALSE,"Sheet1"}</definedName>
    <definedName name="wrn.UWW." localSheetId="12" hidden="1">{"UWWISV",#N/A,FALSE,"Sheet1";"UWWSAV",#N/A,FALSE,"Sheet1";"UWWBSV",#N/A,FALSE,"Sheet1";"UWWSFDV",#N/A,FALSE,"Sheet1"}</definedName>
    <definedName name="wrn.UWW." localSheetId="9" hidden="1">{"UWWISV",#N/A,FALSE,"Sheet1";"UWWSAV",#N/A,FALSE,"Sheet1";"UWWBSV",#N/A,FALSE,"Sheet1";"UWWSFDV",#N/A,FALSE,"Sheet1"}</definedName>
    <definedName name="wrn.UWW." hidden="1">{"UWWISV",#N/A,FALSE,"Sheet1";"UWWSAV",#N/A,FALSE,"Sheet1";"UWWBSV",#N/A,FALSE,"Sheet1";"UWWSFDV",#N/A,FALSE,"Sheet1"}</definedName>
    <definedName name="wrn.Value." localSheetId="7" hidden="1">{#N/A,#N/A,FALSE,"Cashflow Analysis";#N/A,#N/A,FALSE,"Sensitivity Analysis";#N/A,#N/A,FALSE,"PV";#N/A,#N/A,FALSE,"Pro Forma"}</definedName>
    <definedName name="wrn.Value." localSheetId="10" hidden="1">{#N/A,#N/A,FALSE,"Cashflow Analysis";#N/A,#N/A,FALSE,"Sensitivity Analysis";#N/A,#N/A,FALSE,"PV";#N/A,#N/A,FALSE,"Pro Forma"}</definedName>
    <definedName name="wrn.Value." localSheetId="12" hidden="1">{#N/A,#N/A,FALSE,"Cashflow Analysis";#N/A,#N/A,FALSE,"Sensitivity Analysis";#N/A,#N/A,FALSE,"PV";#N/A,#N/A,FALSE,"Pro Forma"}</definedName>
    <definedName name="wrn.Value." hidden="1">{#N/A,#N/A,FALSE,"Cashflow Analysis";#N/A,#N/A,FALSE,"Sensitivity Analysis";#N/A,#N/A,FALSE,"PV";#N/A,#N/A,FALSE,"Pro Forma"}</definedName>
    <definedName name="wrn.WEATHER._.AND._.YR._.END._.CUST._.ADJ." localSheetId="1" hidden="1">{"WEATHER_CUSTOMERS",#N/A,FALSE,"Ok_Fuel&amp;Rev"}</definedName>
    <definedName name="wrn.WEATHER._.AND._.YR._.END._.CUST._.ADJ." localSheetId="17" hidden="1">{"WEATHER_CUSTOMERS",#N/A,FALSE,"Ok_Fuel&amp;Rev"}</definedName>
    <definedName name="wrn.WEATHER._.AND._.YR._.END._.CUST._.ADJ." localSheetId="30" hidden="1">{"WEATHER_CUSTOMERS",#N/A,FALSE,"Ok_Fuel&amp;Rev"}</definedName>
    <definedName name="wrn.WEATHER._.AND._.YR._.END._.CUST._.ADJ." localSheetId="31" hidden="1">{"WEATHER_CUSTOMERS",#N/A,FALSE,"Ok_Fuel&amp;Rev"}</definedName>
    <definedName name="wrn.WEATHER._.AND._.YR._.END._.CUST._.ADJ." localSheetId="19" hidden="1">{"WEATHER_CUSTOMERS",#N/A,FALSE,"Ok_Fuel&amp;Rev"}</definedName>
    <definedName name="wrn.WEATHER._.AND._.YR._.END._.CUST._.ADJ." localSheetId="7" hidden="1">{"WEATHER_CUSTOMERS",#N/A,FALSE,"Ok_Fuel&amp;Rev"}</definedName>
    <definedName name="wrn.WEATHER._.AND._.YR._.END._.CUST._.ADJ." localSheetId="0" hidden="1">{"WEATHER_CUSTOMERS",#N/A,FALSE,"Ok_Fuel&amp;Rev"}</definedName>
    <definedName name="wrn.WEATHER._.AND._.YR._.END._.CUST._.ADJ." localSheetId="10" hidden="1">{"WEATHER_CUSTOMERS",#N/A,FALSE,"Ok_Fuel&amp;Rev"}</definedName>
    <definedName name="wrn.WEATHER._.AND._.YR._.END._.CUST._.ADJ." localSheetId="12" hidden="1">{"WEATHER_CUSTOMERS",#N/A,FALSE,"Ok_Fuel&amp;Rev"}</definedName>
    <definedName name="wrn.WEATHER._.AND._.YR._.END._.CUST._.ADJ." localSheetId="9" hidden="1">{"WEATHER_CUSTOMERS",#N/A,FALSE,"Ok_Fuel&amp;Rev"}</definedName>
    <definedName name="wrn.WEATHER._.AND._.YR._.END._.CUST._.ADJ." hidden="1">{"WEATHER_CUSTOMERS",#N/A,FALSE,"Ok_Fuel&amp;Rev"}</definedName>
    <definedName name="wrn.Wkp._.Capital._.Structure." localSheetId="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1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0"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31"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1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7"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0"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10"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12"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localSheetId="9"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localSheetId="1" hidden="1">{"Wkp ComEquity",#N/A,FALSE,"Cap Struct WPs"}</definedName>
    <definedName name="wrn.Wkp._.ComEquity." localSheetId="17" hidden="1">{"Wkp ComEquity",#N/A,FALSE,"Cap Struct WPs"}</definedName>
    <definedName name="wrn.Wkp._.ComEquity." localSheetId="30" hidden="1">{"Wkp ComEquity",#N/A,FALSE,"Cap Struct WPs"}</definedName>
    <definedName name="wrn.Wkp._.ComEquity." localSheetId="31" hidden="1">{"Wkp ComEquity",#N/A,FALSE,"Cap Struct WPs"}</definedName>
    <definedName name="wrn.Wkp._.ComEquity." localSheetId="19" hidden="1">{"Wkp ComEquity",#N/A,FALSE,"Cap Struct WPs"}</definedName>
    <definedName name="wrn.Wkp._.ComEquity." localSheetId="7" hidden="1">{"Wkp ComEquity",#N/A,FALSE,"Cap Struct WPs"}</definedName>
    <definedName name="wrn.Wkp._.ComEquity." localSheetId="0" hidden="1">{"Wkp ComEquity",#N/A,FALSE,"Cap Struct WPs"}</definedName>
    <definedName name="wrn.Wkp._.ComEquity." localSheetId="10" hidden="1">{"Wkp ComEquity",#N/A,FALSE,"Cap Struct WPs"}</definedName>
    <definedName name="wrn.Wkp._.ComEquity." localSheetId="12" hidden="1">{"Wkp ComEquity",#N/A,FALSE,"Cap Struct WPs"}</definedName>
    <definedName name="wrn.Wkp._.ComEquity." localSheetId="9" hidden="1">{"Wkp ComEquity",#N/A,FALSE,"Cap Struct WPs"}</definedName>
    <definedName name="wrn.Wkp._.ComEquity." hidden="1">{"Wkp ComEquity",#N/A,FALSE,"Cap Struct WPs"}</definedName>
    <definedName name="wrn.Wkp._.JDITC." localSheetId="1" hidden="1">{"Wkp JDITC",#N/A,FALSE,"Cap Struct WPs"}</definedName>
    <definedName name="wrn.Wkp._.JDITC." localSheetId="17" hidden="1">{"Wkp JDITC",#N/A,FALSE,"Cap Struct WPs"}</definedName>
    <definedName name="wrn.Wkp._.JDITC." localSheetId="30" hidden="1">{"Wkp JDITC",#N/A,FALSE,"Cap Struct WPs"}</definedName>
    <definedName name="wrn.Wkp._.JDITC." localSheetId="31" hidden="1">{"Wkp JDITC",#N/A,FALSE,"Cap Struct WPs"}</definedName>
    <definedName name="wrn.Wkp._.JDITC." localSheetId="19" hidden="1">{"Wkp JDITC",#N/A,FALSE,"Cap Struct WPs"}</definedName>
    <definedName name="wrn.Wkp._.JDITC." localSheetId="7" hidden="1">{"Wkp JDITC",#N/A,FALSE,"Cap Struct WPs"}</definedName>
    <definedName name="wrn.Wkp._.JDITC." localSheetId="0" hidden="1">{"Wkp JDITC",#N/A,FALSE,"Cap Struct WPs"}</definedName>
    <definedName name="wrn.Wkp._.JDITC." localSheetId="10" hidden="1">{"Wkp JDITC",#N/A,FALSE,"Cap Struct WPs"}</definedName>
    <definedName name="wrn.Wkp._.JDITC." localSheetId="12" hidden="1">{"Wkp JDITC",#N/A,FALSE,"Cap Struct WPs"}</definedName>
    <definedName name="wrn.Wkp._.JDITC." localSheetId="9" hidden="1">{"Wkp JDITC",#N/A,FALSE,"Cap Struct WPs"}</definedName>
    <definedName name="wrn.Wkp._.JDITC." hidden="1">{"Wkp JDITC",#N/A,FALSE,"Cap Struct WPs"}</definedName>
    <definedName name="wrn.Wkp._.LTerm._.Debt." localSheetId="1" hidden="1">{"Wkp LTerm Debt",#N/A,FALSE,"Cap Struct WPs"}</definedName>
    <definedName name="wrn.Wkp._.LTerm._.Debt." localSheetId="17" hidden="1">{"Wkp LTerm Debt",#N/A,FALSE,"Cap Struct WPs"}</definedName>
    <definedName name="wrn.Wkp._.LTerm._.Debt." localSheetId="30" hidden="1">{"Wkp LTerm Debt",#N/A,FALSE,"Cap Struct WPs"}</definedName>
    <definedName name="wrn.Wkp._.LTerm._.Debt." localSheetId="31" hidden="1">{"Wkp LTerm Debt",#N/A,FALSE,"Cap Struct WPs"}</definedName>
    <definedName name="wrn.Wkp._.LTerm._.Debt." localSheetId="19" hidden="1">{"Wkp LTerm Debt",#N/A,FALSE,"Cap Struct WPs"}</definedName>
    <definedName name="wrn.Wkp._.LTerm._.Debt." localSheetId="7" hidden="1">{"Wkp LTerm Debt",#N/A,FALSE,"Cap Struct WPs"}</definedName>
    <definedName name="wrn.Wkp._.LTerm._.Debt." localSheetId="0" hidden="1">{"Wkp LTerm Debt",#N/A,FALSE,"Cap Struct WPs"}</definedName>
    <definedName name="wrn.Wkp._.LTerm._.Debt." localSheetId="10" hidden="1">{"Wkp LTerm Debt",#N/A,FALSE,"Cap Struct WPs"}</definedName>
    <definedName name="wrn.Wkp._.LTerm._.Debt." localSheetId="12" hidden="1">{"Wkp LTerm Debt",#N/A,FALSE,"Cap Struct WPs"}</definedName>
    <definedName name="wrn.Wkp._.LTerm._.Debt." localSheetId="9" hidden="1">{"Wkp LTerm Debt",#N/A,FALSE,"Cap Struct WPs"}</definedName>
    <definedName name="wrn.Wkp._.LTerm._.Debt." hidden="1">{"Wkp LTerm Debt",#N/A,FALSE,"Cap Struct WPs"}</definedName>
    <definedName name="wrn.Wkp._.LTerm._.Debt._.13Mo._.Avg." localSheetId="1" hidden="1">{"Wkp LTerm Debt 13MoAvg",#N/A,FALSE,"Cap Struct WPs"}</definedName>
    <definedName name="wrn.Wkp._.LTerm._.Debt._.13Mo._.Avg." localSheetId="17" hidden="1">{"Wkp LTerm Debt 13MoAvg",#N/A,FALSE,"Cap Struct WPs"}</definedName>
    <definedName name="wrn.Wkp._.LTerm._.Debt._.13Mo._.Avg." localSheetId="30" hidden="1">{"Wkp LTerm Debt 13MoAvg",#N/A,FALSE,"Cap Struct WPs"}</definedName>
    <definedName name="wrn.Wkp._.LTerm._.Debt._.13Mo._.Avg." localSheetId="31" hidden="1">{"Wkp LTerm Debt 13MoAvg",#N/A,FALSE,"Cap Struct WPs"}</definedName>
    <definedName name="wrn.Wkp._.LTerm._.Debt._.13Mo._.Avg." localSheetId="19" hidden="1">{"Wkp LTerm Debt 13MoAvg",#N/A,FALSE,"Cap Struct WPs"}</definedName>
    <definedName name="wrn.Wkp._.LTerm._.Debt._.13Mo._.Avg." localSheetId="7" hidden="1">{"Wkp LTerm Debt 13MoAvg",#N/A,FALSE,"Cap Struct WPs"}</definedName>
    <definedName name="wrn.Wkp._.LTerm._.Debt._.13Mo._.Avg." localSheetId="0" hidden="1">{"Wkp LTerm Debt 13MoAvg",#N/A,FALSE,"Cap Struct WPs"}</definedName>
    <definedName name="wrn.Wkp._.LTerm._.Debt._.13Mo._.Avg." localSheetId="10" hidden="1">{"Wkp LTerm Debt 13MoAvg",#N/A,FALSE,"Cap Struct WPs"}</definedName>
    <definedName name="wrn.Wkp._.LTerm._.Debt._.13Mo._.Avg." localSheetId="12" hidden="1">{"Wkp LTerm Debt 13MoAvg",#N/A,FALSE,"Cap Struct WPs"}</definedName>
    <definedName name="wrn.Wkp._.LTerm._.Debt._.13Mo._.Avg." localSheetId="9" hidden="1">{"Wkp LTerm Debt 13MoAvg",#N/A,FALSE,"Cap Struct WPs"}</definedName>
    <definedName name="wrn.Wkp._.LTerm._.Debt._.13Mo._.Avg." hidden="1">{"Wkp LTerm Debt 13MoAvg",#N/A,FALSE,"Cap Struct WPs"}</definedName>
    <definedName name="wrn.Wkp._.LTerm._.Debt._.Amort." localSheetId="1" hidden="1">{"Wkp Lterm Debt Amort",#N/A,FALSE,"Cap Struct WPs"}</definedName>
    <definedName name="wrn.Wkp._.LTerm._.Debt._.Amort." localSheetId="17" hidden="1">{"Wkp Lterm Debt Amort",#N/A,FALSE,"Cap Struct WPs"}</definedName>
    <definedName name="wrn.Wkp._.LTerm._.Debt._.Amort." localSheetId="30" hidden="1">{"Wkp Lterm Debt Amort",#N/A,FALSE,"Cap Struct WPs"}</definedName>
    <definedName name="wrn.Wkp._.LTerm._.Debt._.Amort." localSheetId="31" hidden="1">{"Wkp Lterm Debt Amort",#N/A,FALSE,"Cap Struct WPs"}</definedName>
    <definedName name="wrn.Wkp._.LTerm._.Debt._.Amort." localSheetId="19" hidden="1">{"Wkp Lterm Debt Amort",#N/A,FALSE,"Cap Struct WPs"}</definedName>
    <definedName name="wrn.Wkp._.LTerm._.Debt._.Amort." localSheetId="7" hidden="1">{"Wkp Lterm Debt Amort",#N/A,FALSE,"Cap Struct WPs"}</definedName>
    <definedName name="wrn.Wkp._.LTerm._.Debt._.Amort." localSheetId="0" hidden="1">{"Wkp Lterm Debt Amort",#N/A,FALSE,"Cap Struct WPs"}</definedName>
    <definedName name="wrn.Wkp._.LTerm._.Debt._.Amort." localSheetId="10" hidden="1">{"Wkp Lterm Debt Amort",#N/A,FALSE,"Cap Struct WPs"}</definedName>
    <definedName name="wrn.Wkp._.LTerm._.Debt._.Amort." localSheetId="12" hidden="1">{"Wkp Lterm Debt Amort",#N/A,FALSE,"Cap Struct WPs"}</definedName>
    <definedName name="wrn.Wkp._.LTerm._.Debt._.Amort." localSheetId="9" hidden="1">{"Wkp Lterm Debt Amort",#N/A,FALSE,"Cap Struct WPs"}</definedName>
    <definedName name="wrn.Wkp._.LTerm._.Debt._.Amort." hidden="1">{"Wkp Lterm Debt Amort",#N/A,FALSE,"Cap Struct WPs"}</definedName>
    <definedName name="wrn.Wkp._.LTerm._.Debt._.Int." localSheetId="1" hidden="1">{"Wkp LTerm Debt Int",#N/A,FALSE,"Cap Struct WPs"}</definedName>
    <definedName name="wrn.Wkp._.LTerm._.Debt._.Int." localSheetId="17" hidden="1">{"Wkp LTerm Debt Int",#N/A,FALSE,"Cap Struct WPs"}</definedName>
    <definedName name="wrn.Wkp._.LTerm._.Debt._.Int." localSheetId="30" hidden="1">{"Wkp LTerm Debt Int",#N/A,FALSE,"Cap Struct WPs"}</definedName>
    <definedName name="wrn.Wkp._.LTerm._.Debt._.Int." localSheetId="31" hidden="1">{"Wkp LTerm Debt Int",#N/A,FALSE,"Cap Struct WPs"}</definedName>
    <definedName name="wrn.Wkp._.LTerm._.Debt._.Int." localSheetId="19" hidden="1">{"Wkp LTerm Debt Int",#N/A,FALSE,"Cap Struct WPs"}</definedName>
    <definedName name="wrn.Wkp._.LTerm._.Debt._.Int." localSheetId="7" hidden="1">{"Wkp LTerm Debt Int",#N/A,FALSE,"Cap Struct WPs"}</definedName>
    <definedName name="wrn.Wkp._.LTerm._.Debt._.Int." localSheetId="0" hidden="1">{"Wkp LTerm Debt Int",#N/A,FALSE,"Cap Struct WPs"}</definedName>
    <definedName name="wrn.Wkp._.LTerm._.Debt._.Int." localSheetId="10" hidden="1">{"Wkp LTerm Debt Int",#N/A,FALSE,"Cap Struct WPs"}</definedName>
    <definedName name="wrn.Wkp._.LTerm._.Debt._.Int." localSheetId="12" hidden="1">{"Wkp LTerm Debt Int",#N/A,FALSE,"Cap Struct WPs"}</definedName>
    <definedName name="wrn.Wkp._.LTerm._.Debt._.Int." localSheetId="9" hidden="1">{"Wkp LTerm Debt Int",#N/A,FALSE,"Cap Struct WPs"}</definedName>
    <definedName name="wrn.Wkp._.LTerm._.Debt._.Int." hidden="1">{"Wkp LTerm Debt Int",#N/A,FALSE,"Cap Struct WPs"}</definedName>
    <definedName name="wrn.Wkp._.PreStock." localSheetId="1" hidden="1">{"Wkp PreStock",#N/A,FALSE,"Cap Struct WPs"}</definedName>
    <definedName name="wrn.Wkp._.PreStock." localSheetId="17" hidden="1">{"Wkp PreStock",#N/A,FALSE,"Cap Struct WPs"}</definedName>
    <definedName name="wrn.Wkp._.PreStock." localSheetId="30" hidden="1">{"Wkp PreStock",#N/A,FALSE,"Cap Struct WPs"}</definedName>
    <definedName name="wrn.Wkp._.PreStock." localSheetId="31" hidden="1">{"Wkp PreStock",#N/A,FALSE,"Cap Struct WPs"}</definedName>
    <definedName name="wrn.Wkp._.PreStock." localSheetId="19" hidden="1">{"Wkp PreStock",#N/A,FALSE,"Cap Struct WPs"}</definedName>
    <definedName name="wrn.Wkp._.PreStock." localSheetId="7" hidden="1">{"Wkp PreStock",#N/A,FALSE,"Cap Struct WPs"}</definedName>
    <definedName name="wrn.Wkp._.PreStock." localSheetId="0" hidden="1">{"Wkp PreStock",#N/A,FALSE,"Cap Struct WPs"}</definedName>
    <definedName name="wrn.Wkp._.PreStock." localSheetId="10" hidden="1">{"Wkp PreStock",#N/A,FALSE,"Cap Struct WPs"}</definedName>
    <definedName name="wrn.Wkp._.PreStock." localSheetId="12" hidden="1">{"Wkp PreStock",#N/A,FALSE,"Cap Struct WPs"}</definedName>
    <definedName name="wrn.Wkp._.PreStock." localSheetId="9" hidden="1">{"Wkp PreStock",#N/A,FALSE,"Cap Struct WPs"}</definedName>
    <definedName name="wrn.Wkp._.PreStock." hidden="1">{"Wkp PreStock",#N/A,FALSE,"Cap Struct WPs"}</definedName>
    <definedName name="wrn.Wkp._.PreStock._.13MoAvg." localSheetId="1" hidden="1">{"Wkp PreStock 13MoAvg",#N/A,FALSE,"Cap Struct WPs"}</definedName>
    <definedName name="wrn.Wkp._.PreStock._.13MoAvg." localSheetId="17" hidden="1">{"Wkp PreStock 13MoAvg",#N/A,FALSE,"Cap Struct WPs"}</definedName>
    <definedName name="wrn.Wkp._.PreStock._.13MoAvg." localSheetId="30" hidden="1">{"Wkp PreStock 13MoAvg",#N/A,FALSE,"Cap Struct WPs"}</definedName>
    <definedName name="wrn.Wkp._.PreStock._.13MoAvg." localSheetId="31" hidden="1">{"Wkp PreStock 13MoAvg",#N/A,FALSE,"Cap Struct WPs"}</definedName>
    <definedName name="wrn.Wkp._.PreStock._.13MoAvg." localSheetId="19" hidden="1">{"Wkp PreStock 13MoAvg",#N/A,FALSE,"Cap Struct WPs"}</definedName>
    <definedName name="wrn.Wkp._.PreStock._.13MoAvg." localSheetId="7" hidden="1">{"Wkp PreStock 13MoAvg",#N/A,FALSE,"Cap Struct WPs"}</definedName>
    <definedName name="wrn.Wkp._.PreStock._.13MoAvg." localSheetId="0" hidden="1">{"Wkp PreStock 13MoAvg",#N/A,FALSE,"Cap Struct WPs"}</definedName>
    <definedName name="wrn.Wkp._.PreStock._.13MoAvg." localSheetId="10" hidden="1">{"Wkp PreStock 13MoAvg",#N/A,FALSE,"Cap Struct WPs"}</definedName>
    <definedName name="wrn.Wkp._.PreStock._.13MoAvg." localSheetId="12" hidden="1">{"Wkp PreStock 13MoAvg",#N/A,FALSE,"Cap Struct WPs"}</definedName>
    <definedName name="wrn.Wkp._.PreStock._.13MoAvg." localSheetId="9" hidden="1">{"Wkp PreStock 13MoAvg",#N/A,FALSE,"Cap Struct WPs"}</definedName>
    <definedName name="wrn.Wkp._.PreStock._.13MoAvg." hidden="1">{"Wkp PreStock 13MoAvg",#N/A,FALSE,"Cap Struct WPs"}</definedName>
    <definedName name="wrn.Wkp._.PreStock._.Amort." localSheetId="1" hidden="1">{"Wkp PreStock Amort",#N/A,FALSE,"Cap Struct WPs"}</definedName>
    <definedName name="wrn.Wkp._.PreStock._.Amort." localSheetId="17" hidden="1">{"Wkp PreStock Amort",#N/A,FALSE,"Cap Struct WPs"}</definedName>
    <definedName name="wrn.Wkp._.PreStock._.Amort." localSheetId="30" hidden="1">{"Wkp PreStock Amort",#N/A,FALSE,"Cap Struct WPs"}</definedName>
    <definedName name="wrn.Wkp._.PreStock._.Amort." localSheetId="31" hidden="1">{"Wkp PreStock Amort",#N/A,FALSE,"Cap Struct WPs"}</definedName>
    <definedName name="wrn.Wkp._.PreStock._.Amort." localSheetId="19" hidden="1">{"Wkp PreStock Amort",#N/A,FALSE,"Cap Struct WPs"}</definedName>
    <definedName name="wrn.Wkp._.PreStock._.Amort." localSheetId="7" hidden="1">{"Wkp PreStock Amort",#N/A,FALSE,"Cap Struct WPs"}</definedName>
    <definedName name="wrn.Wkp._.PreStock._.Amort." localSheetId="0" hidden="1">{"Wkp PreStock Amort",#N/A,FALSE,"Cap Struct WPs"}</definedName>
    <definedName name="wrn.Wkp._.PreStock._.Amort." localSheetId="10" hidden="1">{"Wkp PreStock Amort",#N/A,FALSE,"Cap Struct WPs"}</definedName>
    <definedName name="wrn.Wkp._.PreStock._.Amort." localSheetId="12" hidden="1">{"Wkp PreStock Amort",#N/A,FALSE,"Cap Struct WPs"}</definedName>
    <definedName name="wrn.Wkp._.PreStock._.Amort." localSheetId="9" hidden="1">{"Wkp PreStock Amort",#N/A,FALSE,"Cap Struct WPs"}</definedName>
    <definedName name="wrn.Wkp._.PreStock._.Amort." hidden="1">{"Wkp PreStock Amort",#N/A,FALSE,"Cap Struct WPs"}</definedName>
    <definedName name="wrn.Wkp._.PreStock._.Dividend." localSheetId="1" hidden="1">{"Wkp PreStock Dividend",#N/A,FALSE,"Cap Struct WPs"}</definedName>
    <definedName name="wrn.Wkp._.PreStock._.Dividend." localSheetId="17" hidden="1">{"Wkp PreStock Dividend",#N/A,FALSE,"Cap Struct WPs"}</definedName>
    <definedName name="wrn.Wkp._.PreStock._.Dividend." localSheetId="30" hidden="1">{"Wkp PreStock Dividend",#N/A,FALSE,"Cap Struct WPs"}</definedName>
    <definedName name="wrn.Wkp._.PreStock._.Dividend." localSheetId="31" hidden="1">{"Wkp PreStock Dividend",#N/A,FALSE,"Cap Struct WPs"}</definedName>
    <definedName name="wrn.Wkp._.PreStock._.Dividend." localSheetId="19" hidden="1">{"Wkp PreStock Dividend",#N/A,FALSE,"Cap Struct WPs"}</definedName>
    <definedName name="wrn.Wkp._.PreStock._.Dividend." localSheetId="7" hidden="1">{"Wkp PreStock Dividend",#N/A,FALSE,"Cap Struct WPs"}</definedName>
    <definedName name="wrn.Wkp._.PreStock._.Dividend." localSheetId="0" hidden="1">{"Wkp PreStock Dividend",#N/A,FALSE,"Cap Struct WPs"}</definedName>
    <definedName name="wrn.Wkp._.PreStock._.Dividend." localSheetId="10" hidden="1">{"Wkp PreStock Dividend",#N/A,FALSE,"Cap Struct WPs"}</definedName>
    <definedName name="wrn.Wkp._.PreStock._.Dividend." localSheetId="12" hidden="1">{"Wkp PreStock Dividend",#N/A,FALSE,"Cap Struct WPs"}</definedName>
    <definedName name="wrn.Wkp._.PreStock._.Dividend." localSheetId="9" hidden="1">{"Wkp PreStock Dividend",#N/A,FALSE,"Cap Struct WPs"}</definedName>
    <definedName name="wrn.Wkp._.PreStock._.Dividend." hidden="1">{"Wkp PreStock Dividend",#N/A,FALSE,"Cap Struct WPs"}</definedName>
    <definedName name="wrn.Wkp._.STerm._.Debt." localSheetId="1" hidden="1">{"Wkp STerm Debt",#N/A,FALSE,"Cap Struct WPs"}</definedName>
    <definedName name="wrn.Wkp._.STerm._.Debt." localSheetId="17" hidden="1">{"Wkp STerm Debt",#N/A,FALSE,"Cap Struct WPs"}</definedName>
    <definedName name="wrn.Wkp._.STerm._.Debt." localSheetId="30" hidden="1">{"Wkp STerm Debt",#N/A,FALSE,"Cap Struct WPs"}</definedName>
    <definedName name="wrn.Wkp._.STerm._.Debt." localSheetId="31" hidden="1">{"Wkp STerm Debt",#N/A,FALSE,"Cap Struct WPs"}</definedName>
    <definedName name="wrn.Wkp._.STerm._.Debt." localSheetId="19" hidden="1">{"Wkp STerm Debt",#N/A,FALSE,"Cap Struct WPs"}</definedName>
    <definedName name="wrn.Wkp._.STerm._.Debt." localSheetId="7" hidden="1">{"Wkp STerm Debt",#N/A,FALSE,"Cap Struct WPs"}</definedName>
    <definedName name="wrn.Wkp._.STerm._.Debt." localSheetId="0" hidden="1">{"Wkp STerm Debt",#N/A,FALSE,"Cap Struct WPs"}</definedName>
    <definedName name="wrn.Wkp._.STerm._.Debt." localSheetId="10" hidden="1">{"Wkp STerm Debt",#N/A,FALSE,"Cap Struct WPs"}</definedName>
    <definedName name="wrn.Wkp._.STerm._.Debt." localSheetId="12" hidden="1">{"Wkp STerm Debt",#N/A,FALSE,"Cap Struct WPs"}</definedName>
    <definedName name="wrn.Wkp._.STerm._.Debt." localSheetId="9" hidden="1">{"Wkp STerm Debt",#N/A,FALSE,"Cap Struct WPs"}</definedName>
    <definedName name="wrn.Wkp._.STerm._.Debt." hidden="1">{"Wkp STerm Debt",#N/A,FALSE,"Cap Struct WPs"}</definedName>
    <definedName name="wrn.Wkp._.Unamort._.Debt._.Exp." localSheetId="1" hidden="1">{"Wkp Unamort Debt Exp",#N/A,FALSE,"Cap Struct WPs"}</definedName>
    <definedName name="wrn.Wkp._.Unamort._.Debt._.Exp." localSheetId="17" hidden="1">{"Wkp Unamort Debt Exp",#N/A,FALSE,"Cap Struct WPs"}</definedName>
    <definedName name="wrn.Wkp._.Unamort._.Debt._.Exp." localSheetId="30" hidden="1">{"Wkp Unamort Debt Exp",#N/A,FALSE,"Cap Struct WPs"}</definedName>
    <definedName name="wrn.Wkp._.Unamort._.Debt._.Exp." localSheetId="31" hidden="1">{"Wkp Unamort Debt Exp",#N/A,FALSE,"Cap Struct WPs"}</definedName>
    <definedName name="wrn.Wkp._.Unamort._.Debt._.Exp." localSheetId="19" hidden="1">{"Wkp Unamort Debt Exp",#N/A,FALSE,"Cap Struct WPs"}</definedName>
    <definedName name="wrn.Wkp._.Unamort._.Debt._.Exp." localSheetId="7" hidden="1">{"Wkp Unamort Debt Exp",#N/A,FALSE,"Cap Struct WPs"}</definedName>
    <definedName name="wrn.Wkp._.Unamort._.Debt._.Exp." localSheetId="0" hidden="1">{"Wkp Unamort Debt Exp",#N/A,FALSE,"Cap Struct WPs"}</definedName>
    <definedName name="wrn.Wkp._.Unamort._.Debt._.Exp." localSheetId="10" hidden="1">{"Wkp Unamort Debt Exp",#N/A,FALSE,"Cap Struct WPs"}</definedName>
    <definedName name="wrn.Wkp._.Unamort._.Debt._.Exp." localSheetId="12" hidden="1">{"Wkp Unamort Debt Exp",#N/A,FALSE,"Cap Struct WPs"}</definedName>
    <definedName name="wrn.Wkp._.Unamort._.Debt._.Exp." localSheetId="9" hidden="1">{"Wkp Unamort Debt Exp",#N/A,FALSE,"Cap Struct WPs"}</definedName>
    <definedName name="wrn.Wkp._.Unamort._.Debt._.Exp." hidden="1">{"Wkp Unamort Debt Exp",#N/A,FALSE,"Cap Struct WPs"}</definedName>
    <definedName name="wrn.Wkp._.Unamort._.PreStock._.Exp." localSheetId="1" hidden="1">{"Wkp Unamort PreStock Exp",#N/A,FALSE,"Cap Struct WPs"}</definedName>
    <definedName name="wrn.Wkp._.Unamort._.PreStock._.Exp." localSheetId="17" hidden="1">{"Wkp Unamort PreStock Exp",#N/A,FALSE,"Cap Struct WPs"}</definedName>
    <definedName name="wrn.Wkp._.Unamort._.PreStock._.Exp." localSheetId="30" hidden="1">{"Wkp Unamort PreStock Exp",#N/A,FALSE,"Cap Struct WPs"}</definedName>
    <definedName name="wrn.Wkp._.Unamort._.PreStock._.Exp." localSheetId="31" hidden="1">{"Wkp Unamort PreStock Exp",#N/A,FALSE,"Cap Struct WPs"}</definedName>
    <definedName name="wrn.Wkp._.Unamort._.PreStock._.Exp." localSheetId="19" hidden="1">{"Wkp Unamort PreStock Exp",#N/A,FALSE,"Cap Struct WPs"}</definedName>
    <definedName name="wrn.Wkp._.Unamort._.PreStock._.Exp." localSheetId="7" hidden="1">{"Wkp Unamort PreStock Exp",#N/A,FALSE,"Cap Struct WPs"}</definedName>
    <definedName name="wrn.Wkp._.Unamort._.PreStock._.Exp." localSheetId="0" hidden="1">{"Wkp Unamort PreStock Exp",#N/A,FALSE,"Cap Struct WPs"}</definedName>
    <definedName name="wrn.Wkp._.Unamort._.PreStock._.Exp." localSheetId="10" hidden="1">{"Wkp Unamort PreStock Exp",#N/A,FALSE,"Cap Struct WPs"}</definedName>
    <definedName name="wrn.Wkp._.Unamort._.PreStock._.Exp." localSheetId="12" hidden="1">{"Wkp Unamort PreStock Exp",#N/A,FALSE,"Cap Struct WPs"}</definedName>
    <definedName name="wrn.Wkp._.Unamort._.PreStock._.Exp." localSheetId="9" hidden="1">{"Wkp Unamort PreStock Exp",#N/A,FALSE,"Cap Struct WPs"}</definedName>
    <definedName name="wrn.Wkp._.Unamort._.PreStock._.Exp." hidden="1">{"Wkp Unamort PreStock Exp",#N/A,FALSE,"Cap Struct WPs"}</definedName>
    <definedName name="wrn.WMECO_GL." localSheetId="1" hidden="1">{#N/A,#N/A,FALSE,"GLDwnLoad"}</definedName>
    <definedName name="wrn.WMECO_GL." localSheetId="17" hidden="1">{#N/A,#N/A,FALSE,"GLDwnLoad"}</definedName>
    <definedName name="wrn.WMECO_GL." localSheetId="30" hidden="1">{#N/A,#N/A,FALSE,"GLDwnLoad"}</definedName>
    <definedName name="wrn.WMECO_GL." localSheetId="31" hidden="1">{#N/A,#N/A,FALSE,"GLDwnLoad"}</definedName>
    <definedName name="wrn.WMECO_GL." localSheetId="19" hidden="1">{#N/A,#N/A,FALSE,"GLDwnLoad"}</definedName>
    <definedName name="wrn.WMECO_GL." localSheetId="7" hidden="1">{#N/A,#N/A,FALSE,"GLDwnLoad"}</definedName>
    <definedName name="wrn.WMECO_GL." localSheetId="0" hidden="1">{#N/A,#N/A,FALSE,"GLDwnLoad"}</definedName>
    <definedName name="wrn.WMECO_GL." localSheetId="10" hidden="1">{#N/A,#N/A,FALSE,"GLDwnLoad"}</definedName>
    <definedName name="wrn.WMECO_GL." localSheetId="12" hidden="1">{#N/A,#N/A,FALSE,"GLDwnLoad"}</definedName>
    <definedName name="wrn.WMECO_GL." localSheetId="9" hidden="1">{#N/A,#N/A,FALSE,"GLDwnLoad"}</definedName>
    <definedName name="wrn.WMECO_GL." hidden="1">{#N/A,#N/A,FALSE,"GLDwnLoad"}</definedName>
    <definedName name="wrn.WMECO_INPUTS." localSheetId="1" hidden="1">{#N/A,#N/A,FALSE,"OTHERINPUTS";#N/A,#N/A,FALSE,"DITRATEINPUTS";#N/A,#N/A,FALSE,"SUPPLIEDADJINPUT";#N/A,#N/A,FALSE,"TIMINGDIFFINPUTS";#N/A,#N/A,FALSE,"BR&amp;SUPADJ."}</definedName>
    <definedName name="wrn.WMECO_INPUTS." localSheetId="17" hidden="1">{#N/A,#N/A,FALSE,"OTHERINPUTS";#N/A,#N/A,FALSE,"DITRATEINPUTS";#N/A,#N/A,FALSE,"SUPPLIEDADJINPUT";#N/A,#N/A,FALSE,"TIMINGDIFFINPUTS";#N/A,#N/A,FALSE,"BR&amp;SUPADJ."}</definedName>
    <definedName name="wrn.WMECO_INPUTS." localSheetId="30" hidden="1">{#N/A,#N/A,FALSE,"OTHERINPUTS";#N/A,#N/A,FALSE,"DITRATEINPUTS";#N/A,#N/A,FALSE,"SUPPLIEDADJINPUT";#N/A,#N/A,FALSE,"TIMINGDIFFINPUTS";#N/A,#N/A,FALSE,"BR&amp;SUPADJ."}</definedName>
    <definedName name="wrn.WMECO_INPUTS." localSheetId="31" hidden="1">{#N/A,#N/A,FALSE,"OTHERINPUTS";#N/A,#N/A,FALSE,"DITRATEINPUTS";#N/A,#N/A,FALSE,"SUPPLIEDADJINPUT";#N/A,#N/A,FALSE,"TIMINGDIFFINPUTS";#N/A,#N/A,FALSE,"BR&amp;SUPADJ."}</definedName>
    <definedName name="wrn.WMECO_INPUTS." localSheetId="19" hidden="1">{#N/A,#N/A,FALSE,"OTHERINPUTS";#N/A,#N/A,FALSE,"DITRATEINPUTS";#N/A,#N/A,FALSE,"SUPPLIEDADJINPUT";#N/A,#N/A,FALSE,"TIMINGDIFFINPUTS";#N/A,#N/A,FALSE,"BR&amp;SUPADJ."}</definedName>
    <definedName name="wrn.WMECO_INPUTS." localSheetId="7" hidden="1">{#N/A,#N/A,FALSE,"OTHERINPUTS";#N/A,#N/A,FALSE,"DITRATEINPUTS";#N/A,#N/A,FALSE,"SUPPLIEDADJINPUT";#N/A,#N/A,FALSE,"TIMINGDIFFINPUTS";#N/A,#N/A,FALSE,"BR&amp;SUPADJ."}</definedName>
    <definedName name="wrn.WMECO_INPUTS." localSheetId="0" hidden="1">{#N/A,#N/A,FALSE,"OTHERINPUTS";#N/A,#N/A,FALSE,"DITRATEINPUTS";#N/A,#N/A,FALSE,"SUPPLIEDADJINPUT";#N/A,#N/A,FALSE,"TIMINGDIFFINPUTS";#N/A,#N/A,FALSE,"BR&amp;SUPADJ."}</definedName>
    <definedName name="wrn.WMECO_INPUTS." localSheetId="10" hidden="1">{#N/A,#N/A,FALSE,"OTHERINPUTS";#N/A,#N/A,FALSE,"DITRATEINPUTS";#N/A,#N/A,FALSE,"SUPPLIEDADJINPUT";#N/A,#N/A,FALSE,"TIMINGDIFFINPUTS";#N/A,#N/A,FALSE,"BR&amp;SUPADJ."}</definedName>
    <definedName name="wrn.WMECO_INPUTS." localSheetId="12" hidden="1">{#N/A,#N/A,FALSE,"OTHERINPUTS";#N/A,#N/A,FALSE,"DITRATEINPUTS";#N/A,#N/A,FALSE,"SUPPLIEDADJINPUT";#N/A,#N/A,FALSE,"TIMINGDIFFINPUTS";#N/A,#N/A,FALSE,"BR&amp;SUPADJ."}</definedName>
    <definedName name="wrn.WMECO_INPUTS." localSheetId="9" hidden="1">{#N/A,#N/A,FALSE,"OTHERINPUTS";#N/A,#N/A,FALSE,"DITRATEINPUTS";#N/A,#N/A,FALSE,"SUPPLIEDADJINPUT";#N/A,#N/A,FALSE,"TIMINGDIFFINPUTS";#N/A,#N/A,FALSE,"BR&amp;SUPADJ."}</definedName>
    <definedName name="wrn.WMECO_INPUTS." hidden="1">{#N/A,#N/A,FALSE,"OTHERINPUTS";#N/A,#N/A,FALSE,"DITRATEINPUTS";#N/A,#N/A,FALSE,"SUPPLIEDADJINPUT";#N/A,#N/A,FALSE,"TIMINGDIFFINPUTS";#N/A,#N/A,FALSE,"BR&amp;SUPADJ."}</definedName>
    <definedName name="wrn.WMECO_PROV." localSheetId="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31"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7"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0"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12"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localSheetId="9"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orkfile." localSheetId="1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30"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31"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19"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7"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0"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10"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12"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localSheetId="9"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localSheetId="1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30"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31"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19"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7"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0"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10"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12"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localSheetId="9"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1.printal." localSheetId="1" hidden="1">{#N/A,#N/A,FALSE,"PREFDIV";#N/A,#N/A,FALSE,"STINT";#N/A,#N/A,FALSE,"LTINT";#N/A,#N/A,FALSE,"BTL";#N/A,#N/A,FALSE,"AFC";#N/A,#N/A,FALSE,"OTHNET";#N/A,#N/A,FALSE,"ATL"}</definedName>
    <definedName name="wrn1.printal." localSheetId="17" hidden="1">{#N/A,#N/A,FALSE,"PREFDIV";#N/A,#N/A,FALSE,"STINT";#N/A,#N/A,FALSE,"LTINT";#N/A,#N/A,FALSE,"BTL";#N/A,#N/A,FALSE,"AFC";#N/A,#N/A,FALSE,"OTHNET";#N/A,#N/A,FALSE,"ATL"}</definedName>
    <definedName name="wrn1.printal." localSheetId="30" hidden="1">{#N/A,#N/A,FALSE,"PREFDIV";#N/A,#N/A,FALSE,"STINT";#N/A,#N/A,FALSE,"LTINT";#N/A,#N/A,FALSE,"BTL";#N/A,#N/A,FALSE,"AFC";#N/A,#N/A,FALSE,"OTHNET";#N/A,#N/A,FALSE,"ATL"}</definedName>
    <definedName name="wrn1.printal." localSheetId="31" hidden="1">{#N/A,#N/A,FALSE,"PREFDIV";#N/A,#N/A,FALSE,"STINT";#N/A,#N/A,FALSE,"LTINT";#N/A,#N/A,FALSE,"BTL";#N/A,#N/A,FALSE,"AFC";#N/A,#N/A,FALSE,"OTHNET";#N/A,#N/A,FALSE,"ATL"}</definedName>
    <definedName name="wrn1.printal." localSheetId="19" hidden="1">{#N/A,#N/A,FALSE,"PREFDIV";#N/A,#N/A,FALSE,"STINT";#N/A,#N/A,FALSE,"LTINT";#N/A,#N/A,FALSE,"BTL";#N/A,#N/A,FALSE,"AFC";#N/A,#N/A,FALSE,"OTHNET";#N/A,#N/A,FALSE,"ATL"}</definedName>
    <definedName name="wrn1.printal." localSheetId="7" hidden="1">{#N/A,#N/A,FALSE,"PREFDIV";#N/A,#N/A,FALSE,"STINT";#N/A,#N/A,FALSE,"LTINT";#N/A,#N/A,FALSE,"BTL";#N/A,#N/A,FALSE,"AFC";#N/A,#N/A,FALSE,"OTHNET";#N/A,#N/A,FALSE,"ATL"}</definedName>
    <definedName name="wrn1.printal." localSheetId="0" hidden="1">{#N/A,#N/A,FALSE,"PREFDIV";#N/A,#N/A,FALSE,"STINT";#N/A,#N/A,FALSE,"LTINT";#N/A,#N/A,FALSE,"BTL";#N/A,#N/A,FALSE,"AFC";#N/A,#N/A,FALSE,"OTHNET";#N/A,#N/A,FALSE,"ATL"}</definedName>
    <definedName name="wrn1.printal." localSheetId="10" hidden="1">{#N/A,#N/A,FALSE,"PREFDIV";#N/A,#N/A,FALSE,"STINT";#N/A,#N/A,FALSE,"LTINT";#N/A,#N/A,FALSE,"BTL";#N/A,#N/A,FALSE,"AFC";#N/A,#N/A,FALSE,"OTHNET";#N/A,#N/A,FALSE,"ATL"}</definedName>
    <definedName name="wrn1.printal." localSheetId="12" hidden="1">{#N/A,#N/A,FALSE,"PREFDIV";#N/A,#N/A,FALSE,"STINT";#N/A,#N/A,FALSE,"LTINT";#N/A,#N/A,FALSE,"BTL";#N/A,#N/A,FALSE,"AFC";#N/A,#N/A,FALSE,"OTHNET";#N/A,#N/A,FALSE,"ATL"}</definedName>
    <definedName name="wrn1.printal." localSheetId="9" hidden="1">{#N/A,#N/A,FALSE,"PREFDIV";#N/A,#N/A,FALSE,"STINT";#N/A,#N/A,FALSE,"LTINT";#N/A,#N/A,FALSE,"BTL";#N/A,#N/A,FALSE,"AFC";#N/A,#N/A,FALSE,"OTHNET";#N/A,#N/A,FALSE,"ATL"}</definedName>
    <definedName name="wrn1.printal." hidden="1">{#N/A,#N/A,FALSE,"PREFDIV";#N/A,#N/A,FALSE,"STINT";#N/A,#N/A,FALSE,"LTINT";#N/A,#N/A,FALSE,"BTL";#N/A,#N/A,FALSE,"AFC";#N/A,#N/A,FALSE,"OTHNET";#N/A,#N/A,FALSE,"ATL"}</definedName>
    <definedName name="WSC_factor">#REF!</definedName>
    <definedName name="WSCBSAllocation">#REF!</definedName>
    <definedName name="wtr_comp_dep">#REF!</definedName>
    <definedName name="wtr_cust_per">#REF!</definedName>
    <definedName name="wtr_plt_dep">#REF!</definedName>
    <definedName name="wtr_vhle_dep">#REF!</definedName>
    <definedName name="WUW.CE" localSheetId="7">#REF!</definedName>
    <definedName name="WUW.CE" localSheetId="10">#REF!</definedName>
    <definedName name="WUW.CE">#REF!</definedName>
    <definedName name="WV.CE" localSheetId="10">#REF!</definedName>
    <definedName name="WV.CE">#REF!</definedName>
    <definedName name="wvu.All._.of._.Report." localSheetId="7"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 localSheetId="10"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 localSheetId="1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omments._.MTH." localSheetId="7"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 localSheetId="10"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 localSheetId="1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localSheetId="7"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 localSheetId="10"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 localSheetId="1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localSheetId="7"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 localSheetId="10"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 localSheetId="1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DATABASE." localSheetId="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3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31"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9"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0"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9"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inputs._.raw._.data." localSheetId="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localSheetId="7"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 localSheetId="10"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 localSheetId="1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localSheetId="7"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 localSheetId="10"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 localSheetId="1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OP." localSheetId="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3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31"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9"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0"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9"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summary1." localSheetId="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WP1." localSheetId="1" hidden="1">{TRUE,TRUE,-1.25,-15.5,484.5,279.75,FALSE,FALSE,TRUE,TRUE,0,3,#N/A,1,#N/A,6.54545454545454,15.55,1,FALSE,FALSE,3,TRUE,1,FALSE,100,"Swvu.WP1.","ACwvu.WP1.",1,FALSE,FALSE,0.25,0.25,0.25,0.25,1,"","&amp;L&amp;D &amp;T NBW&amp;C&amp;P&amp;R&amp;F",FALSE,FALSE,FALSE,FALSE,1,100,#N/A,#N/A,FALSE,FALSE,#N/A,#N/A,FALSE,FALSE}</definedName>
    <definedName name="wvu.WP1." localSheetId="17" hidden="1">{TRUE,TRUE,-1.25,-15.5,484.5,279.75,FALSE,FALSE,TRUE,TRUE,0,3,#N/A,1,#N/A,6.54545454545454,15.55,1,FALSE,FALSE,3,TRUE,1,FALSE,100,"Swvu.WP1.","ACwvu.WP1.",1,FALSE,FALSE,0.25,0.25,0.25,0.25,1,"","&amp;L&amp;D &amp;T NBW&amp;C&amp;P&amp;R&amp;F",FALSE,FALSE,FALSE,FALSE,1,100,#N/A,#N/A,FALSE,FALSE,#N/A,#N/A,FALSE,FALSE}</definedName>
    <definedName name="wvu.WP1." localSheetId="30" hidden="1">{TRUE,TRUE,-1.25,-15.5,484.5,279.75,FALSE,FALSE,TRUE,TRUE,0,3,#N/A,1,#N/A,6.54545454545454,15.55,1,FALSE,FALSE,3,TRUE,1,FALSE,100,"Swvu.WP1.","ACwvu.WP1.",1,FALSE,FALSE,0.25,0.25,0.25,0.25,1,"","&amp;L&amp;D &amp;T NBW&amp;C&amp;P&amp;R&amp;F",FALSE,FALSE,FALSE,FALSE,1,100,#N/A,#N/A,FALSE,FALSE,#N/A,#N/A,FALSE,FALSE}</definedName>
    <definedName name="wvu.WP1." localSheetId="31" hidden="1">{TRUE,TRUE,-1.25,-15.5,484.5,279.75,FALSE,FALSE,TRUE,TRUE,0,3,#N/A,1,#N/A,6.54545454545454,15.55,1,FALSE,FALSE,3,TRUE,1,FALSE,100,"Swvu.WP1.","ACwvu.WP1.",1,FALSE,FALSE,0.25,0.25,0.25,0.25,1,"","&amp;L&amp;D &amp;T NBW&amp;C&amp;P&amp;R&amp;F",FALSE,FALSE,FALSE,FALSE,1,100,#N/A,#N/A,FALSE,FALSE,#N/A,#N/A,FALSE,FALSE}</definedName>
    <definedName name="wvu.WP1." localSheetId="19" hidden="1">{TRUE,TRUE,-1.25,-15.5,484.5,279.75,FALSE,FALSE,TRUE,TRUE,0,3,#N/A,1,#N/A,6.54545454545454,15.55,1,FALSE,FALSE,3,TRUE,1,FALSE,100,"Swvu.WP1.","ACwvu.WP1.",1,FALSE,FALSE,0.25,0.25,0.25,0.25,1,"","&amp;L&amp;D &amp;T NBW&amp;C&amp;P&amp;R&amp;F",FALSE,FALSE,FALSE,FALSE,1,100,#N/A,#N/A,FALSE,FALSE,#N/A,#N/A,FALSE,FALSE}</definedName>
    <definedName name="wvu.WP1." localSheetId="7" hidden="1">{TRUE,TRUE,-1.25,-15.5,484.5,279.75,FALSE,FALSE,TRUE,TRUE,0,3,#N/A,1,#N/A,6.54545454545454,15.55,1,FALSE,FALSE,3,TRUE,1,FALSE,100,"Swvu.WP1.","ACwvu.WP1.",1,FALSE,FALSE,0.25,0.25,0.25,0.25,1,"","&amp;L&amp;D &amp;T NBW&amp;C&amp;P&amp;R&amp;F",FALSE,FALSE,FALSE,FALSE,1,100,#N/A,#N/A,FALSE,FALSE,#N/A,#N/A,FALSE,FALSE}</definedName>
    <definedName name="wvu.WP1." localSheetId="0" hidden="1">{TRUE,TRUE,-1.25,-15.5,484.5,279.75,FALSE,FALSE,TRUE,TRUE,0,3,#N/A,1,#N/A,6.54545454545454,15.55,1,FALSE,FALSE,3,TRUE,1,FALSE,100,"Swvu.WP1.","ACwvu.WP1.",1,FALSE,FALSE,0.25,0.25,0.25,0.25,1,"","&amp;L&amp;D &amp;T NBW&amp;C&amp;P&amp;R&amp;F",FALSE,FALSE,FALSE,FALSE,1,100,#N/A,#N/A,FALSE,FALSE,#N/A,#N/A,FALSE,FALSE}</definedName>
    <definedName name="wvu.WP1." localSheetId="10" hidden="1">{TRUE,TRUE,-1.25,-15.5,484.5,279.75,FALSE,FALSE,TRUE,TRUE,0,3,#N/A,1,#N/A,6.54545454545454,15.55,1,FALSE,FALSE,3,TRUE,1,FALSE,100,"Swvu.WP1.","ACwvu.WP1.",1,FALSE,FALSE,0.25,0.25,0.25,0.25,1,"","&amp;L&amp;D &amp;T NBW&amp;C&amp;P&amp;R&amp;F",FALSE,FALSE,FALSE,FALSE,1,100,#N/A,#N/A,FALSE,FALSE,#N/A,#N/A,FALSE,FALSE}</definedName>
    <definedName name="wvu.WP1." localSheetId="12" hidden="1">{TRUE,TRUE,-1.25,-15.5,484.5,279.75,FALSE,FALSE,TRUE,TRUE,0,3,#N/A,1,#N/A,6.54545454545454,15.55,1,FALSE,FALSE,3,TRUE,1,FALSE,100,"Swvu.WP1.","ACwvu.WP1.",1,FALSE,FALSE,0.25,0.25,0.25,0.25,1,"","&amp;L&amp;D &amp;T NBW&amp;C&amp;P&amp;R&amp;F",FALSE,FALSE,FALSE,FALSE,1,100,#N/A,#N/A,FALSE,FALSE,#N/A,#N/A,FALSE,FALSE}</definedName>
    <definedName name="wvu.WP1." localSheetId="9" hidden="1">{TRUE,TRUE,-1.25,-15.5,484.5,279.75,FALSE,FALSE,TRUE,TRUE,0,3,#N/A,1,#N/A,6.54545454545454,15.55,1,FALSE,FALSE,3,TRUE,1,FALSE,100,"Swvu.WP1.","ACwvu.WP1.",1,FALSE,FALSE,0.25,0.25,0.25,0.25,1,"","&amp;L&amp;D &amp;T NBW&amp;C&amp;P&amp;R&amp;F",FALSE,FALSE,FALSE,FALSE,1,100,#N/A,#N/A,FALSE,FALSE,#N/A,#N/A,FALSE,FALSE}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w" localSheetId="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1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3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3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1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7"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10"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12"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localSheetId="9"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wyh" localSheetId="7" hidden="1">{#N/A,#N/A,FALSE,"Summary";#N/A,#N/A,FALSE,"Fed.State Prov";#N/A,#N/A,FALSE,"Foreign Prov";#N/A,#N/A,FALSE,"Thera Fgrn";#N/A,#N/A,FALSE,"CCD Fgrn";#N/A,#N/A,FALSE,"Biocine Fgrn";#N/A,#N/A,FALSE,"Vision Fgrn";#N/A,#N/A,FALSE,"Frgn vs Dom"}</definedName>
    <definedName name="wyh" localSheetId="10" hidden="1">{#N/A,#N/A,FALSE,"Summary";#N/A,#N/A,FALSE,"Fed.State Prov";#N/A,#N/A,FALSE,"Foreign Prov";#N/A,#N/A,FALSE,"Thera Fgrn";#N/A,#N/A,FALSE,"CCD Fgrn";#N/A,#N/A,FALSE,"Biocine Fgrn";#N/A,#N/A,FALSE,"Vision Fgrn";#N/A,#N/A,FALSE,"Frgn vs Dom"}</definedName>
    <definedName name="wyh" localSheetId="12" hidden="1">{#N/A,#N/A,FALSE,"Summary";#N/A,#N/A,FALSE,"Fed.State Prov";#N/A,#N/A,FALSE,"Foreign Prov";#N/A,#N/A,FALSE,"Thera Fgrn";#N/A,#N/A,FALSE,"CCD Fgrn";#N/A,#N/A,FALSE,"Biocine Fgrn";#N/A,#N/A,FALSE,"Vision Fgrn";#N/A,#N/A,FALSE,"Frgn vs Dom"}</definedName>
    <definedName name="wyh" hidden="1">{#N/A,#N/A,FALSE,"Summary";#N/A,#N/A,FALSE,"Fed.State Prov";#N/A,#N/A,FALSE,"Foreign Prov";#N/A,#N/A,FALSE,"Thera Fgrn";#N/A,#N/A,FALSE,"CCD Fgrn";#N/A,#N/A,FALSE,"Biocine Fgrn";#N/A,#N/A,FALSE,"Vision Fgrn";#N/A,#N/A,FALSE,"Frgn vs Dom"}</definedName>
    <definedName name="X" localSheetId="1" hidden="1">#REF!</definedName>
    <definedName name="X" localSheetId="30" hidden="1">#REF!</definedName>
    <definedName name="X" localSheetId="31" hidden="1">#REF!</definedName>
    <definedName name="X" localSheetId="7" hidden="1">#REF!</definedName>
    <definedName name="X" localSheetId="0" hidden="1">#REF!</definedName>
    <definedName name="x" localSheetId="10">#REF!</definedName>
    <definedName name="X" localSheetId="9" hidden="1">#REF!</definedName>
    <definedName name="x">#REF!</definedName>
    <definedName name="XRefColumnsCount" hidden="1">1</definedName>
    <definedName name="XRefCopyRangeCount" hidden="1">4</definedName>
    <definedName name="XRefPasteRangeCount" hidden="1">1</definedName>
    <definedName name="xx" localSheetId="1" hidden="1">{#N/A,#N/A,TRUE,"TAXPROV";#N/A,#N/A,TRUE,"FLOWTHRU";#N/A,#N/A,TRUE,"SCHEDULE M'S";#N/A,#N/A,TRUE,"PLANT M'S";#N/A,#N/A,TRUE,"TAXJE"}</definedName>
    <definedName name="xx" localSheetId="17" hidden="1">{#N/A,#N/A,TRUE,"TAXPROV";#N/A,#N/A,TRUE,"FLOWTHRU";#N/A,#N/A,TRUE,"SCHEDULE M'S";#N/A,#N/A,TRUE,"PLANT M'S";#N/A,#N/A,TRUE,"TAXJE"}</definedName>
    <definedName name="xx" localSheetId="30" hidden="1">{#N/A,#N/A,TRUE,"TAXPROV";#N/A,#N/A,TRUE,"FLOWTHRU";#N/A,#N/A,TRUE,"SCHEDULE M'S";#N/A,#N/A,TRUE,"PLANT M'S";#N/A,#N/A,TRUE,"TAXJE"}</definedName>
    <definedName name="xx" localSheetId="31" hidden="1">{#N/A,#N/A,TRUE,"TAXPROV";#N/A,#N/A,TRUE,"FLOWTHRU";#N/A,#N/A,TRUE,"SCHEDULE M'S";#N/A,#N/A,TRUE,"PLANT M'S";#N/A,#N/A,TRUE,"TAXJE"}</definedName>
    <definedName name="xx" localSheetId="19" hidden="1">{#N/A,#N/A,TRUE,"TAXPROV";#N/A,#N/A,TRUE,"FLOWTHRU";#N/A,#N/A,TRUE,"SCHEDULE M'S";#N/A,#N/A,TRUE,"PLANT M'S";#N/A,#N/A,TRUE,"TAXJE"}</definedName>
    <definedName name="xx" localSheetId="7" hidden="1">{#N/A,#N/A,TRUE,"TAXPROV";#N/A,#N/A,TRUE,"FLOWTHRU";#N/A,#N/A,TRUE,"SCHEDULE M'S";#N/A,#N/A,TRUE,"PLANT M'S";#N/A,#N/A,TRUE,"TAXJE"}</definedName>
    <definedName name="xx" localSheetId="0" hidden="1">{#N/A,#N/A,TRUE,"TAXPROV";#N/A,#N/A,TRUE,"FLOWTHRU";#N/A,#N/A,TRUE,"SCHEDULE M'S";#N/A,#N/A,TRUE,"PLANT M'S";#N/A,#N/A,TRUE,"TAXJE"}</definedName>
    <definedName name="xx" localSheetId="10" hidden="1">{2;#N/A;"R13C16:R17C16";#N/A;"R13C14:R17C15";FALSE;FALSE;FALSE;95;#N/A;#N/A;"R13C19";#N/A;FALSE;FALSE;FALSE;FALSE;#N/A;"";#N/A;FALSE;"";"";#N/A;#N/A;#N/A}</definedName>
    <definedName name="xx" localSheetId="12" hidden="1">{2;#N/A;"R13C16:R17C16";#N/A;"R13C14:R17C15";FALSE;FALSE;FALSE;95;#N/A;#N/A;"R13C19";#N/A;FALSE;FALSE;FALSE;FALSE;#N/A;"";#N/A;FALSE;"";"";#N/A;#N/A;#N/A}</definedName>
    <definedName name="xx" localSheetId="9" hidden="1">{#N/A,#N/A,TRUE,"TAXPROV";#N/A,#N/A,TRUE,"FLOWTHRU";#N/A,#N/A,TRUE,"SCHEDULE M'S";#N/A,#N/A,TRUE,"PLANT M'S";#N/A,#N/A,TRUE,"TAXJE"}</definedName>
    <definedName name="xx" hidden="1">{2;#N/A;"R13C16:R17C16";#N/A;"R13C14:R17C15";FALSE;FALSE;FALSE;95;#N/A;#N/A;"R13C19";#N/A;FALSE;FALSE;FALSE;FALSE;#N/A;"";#N/A;FALSE;"";"";#N/A;#N/A;#N/A}</definedName>
    <definedName name="xxx" localSheetId="1" hidden="1">{#N/A,#N/A,FALSE,"GLDwnLoad"}</definedName>
    <definedName name="xxx" localSheetId="17" hidden="1">{#N/A,#N/A,FALSE,"GLDwnLoad"}</definedName>
    <definedName name="xxx" localSheetId="30" hidden="1">{#N/A,#N/A,FALSE,"GLDwnLoad"}</definedName>
    <definedName name="xxx" localSheetId="31" hidden="1">{#N/A,#N/A,FALSE,"GLDwnLoad"}</definedName>
    <definedName name="xxx" localSheetId="19" hidden="1">{#N/A,#N/A,FALSE,"GLDwnLoad"}</definedName>
    <definedName name="xxx" localSheetId="7" hidden="1">{#N/A,#N/A,FALSE,"GLDwnLoad"}</definedName>
    <definedName name="xxx" localSheetId="0" hidden="1">{#N/A,#N/A,FALSE,"GLDwnLoad"}</definedName>
    <definedName name="xxx" localSheetId="10" hidden="1">{#N/A,#N/A,FALSE,"O&amp;M by processes";#N/A,#N/A,FALSE,"Elec Act vs Bud";#N/A,#N/A,FALSE,"G&amp;A";#N/A,#N/A,FALSE,"BGS";#N/A,#N/A,FALSE,"Res Cost"}</definedName>
    <definedName name="xxx" localSheetId="12" hidden="1">{#N/A,#N/A,FALSE,"O&amp;M by processes";#N/A,#N/A,FALSE,"Elec Act vs Bud";#N/A,#N/A,FALSE,"G&amp;A";#N/A,#N/A,FALSE,"BGS";#N/A,#N/A,FALSE,"Res Cost"}</definedName>
    <definedName name="xxx" localSheetId="9" hidden="1">{#N/A,#N/A,FALSE,"GLDwnLoad"}</definedName>
    <definedName name="xxx" hidden="1">{#N/A,#N/A,FALSE,"O&amp;M by processes";#N/A,#N/A,FALSE,"Elec Act vs Bud";#N/A,#N/A,FALSE,"G&amp;A";#N/A,#N/A,FALSE,"BGS";#N/A,#N/A,FALSE,"Res Cost"}</definedName>
    <definedName name="xxx.detail" localSheetId="7" hidden="1">{"detail305",#N/A,FALSE,"BI-305"}</definedName>
    <definedName name="xxx.detail" localSheetId="10" hidden="1">{"detail305",#N/A,FALSE,"BI-305"}</definedName>
    <definedName name="xxx.detail" localSheetId="12" hidden="1">{"detail305",#N/A,FALSE,"BI-305"}</definedName>
    <definedName name="xxx.detail" hidden="1">{"detail305",#N/A,FALSE,"BI-305"}</definedName>
    <definedName name="xxx.directory" localSheetId="7" hidden="1">{"summary",#N/A,FALSE,"PCR DIRECTORY"}</definedName>
    <definedName name="xxx.directory" localSheetId="10" hidden="1">{"summary",#N/A,FALSE,"PCR DIRECTORY"}</definedName>
    <definedName name="xxx.directory" localSheetId="12" hidden="1">{"summary",#N/A,FALSE,"PCR DIRECTORY"}</definedName>
    <definedName name="xxx.directory" hidden="1">{"summary",#N/A,FALSE,"PCR DIRECTORY"}</definedName>
    <definedName name="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3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localSheetId="10" hidden="1">{#N/A,#N/A,FALSE,"O&amp;M by processes";#N/A,#N/A,FALSE,"Elec Act vs Bud";#N/A,#N/A,FALSE,"G&amp;A";#N/A,#N/A,FALSE,"BGS";#N/A,#N/A,FALSE,"Res Cost"}</definedName>
    <definedName name="xxxx" localSheetId="12" hidden="1">{#N/A,#N/A,FALSE,"O&amp;M by processes";#N/A,#N/A,FALSE,"Elec Act vs Bud";#N/A,#N/A,FALSE,"G&amp;A";#N/A,#N/A,FALSE,"BGS";#N/A,#N/A,FALSE,"Res Cost"}</definedName>
    <definedName name="xxxx" localSheetId="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 hidden="1">{#N/A,#N/A,FALSE,"O&amp;M by processes";#N/A,#N/A,FALSE,"Elec Act vs Bud";#N/A,#N/A,FALSE,"G&amp;A";#N/A,#N/A,FALSE,"BGS";#N/A,#N/A,FALSE,"Res Cost"}</definedName>
    <definedName name="xxxxx" localSheetId="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31"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7"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0"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localSheetId="10" hidden="1">{#N/A,#N/A,TRUE,"TOTAL DISTRIBUTION";#N/A,#N/A,TRUE,"SOUTH";#N/A,#N/A,TRUE,"NORTHEAST";#N/A,#N/A,TRUE,"WEST"}</definedName>
    <definedName name="xxxxx" localSheetId="12" hidden="1">{#N/A,#N/A,TRUE,"TOTAL DISTRIBUTION";#N/A,#N/A,TRUE,"SOUTH";#N/A,#N/A,TRUE,"NORTHEAST";#N/A,#N/A,TRUE,"WEST"}</definedName>
    <definedName name="xxxxx" localSheetId="9"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hidden="1">{#N/A,#N/A,TRUE,"TOTAL DISTRIBUTION";#N/A,#N/A,TRUE,"SOUTH";#N/A,#N/A,TRUE,"NORTHEAST";#N/A,#N/A,TRUE,"WEST"}</definedName>
    <definedName name="xxxxxx" localSheetId="7" hidden="1">{#N/A,#N/A,TRUE,"TOTAL DSBN";#N/A,#N/A,TRUE,"WEST";#N/A,#N/A,TRUE,"SOUTH";#N/A,#N/A,TRUE,"NORTHEAST"}</definedName>
    <definedName name="xxxxxx" localSheetId="10" hidden="1">{#N/A,#N/A,TRUE,"TOTAL DSBN";#N/A,#N/A,TRUE,"WEST";#N/A,#N/A,TRUE,"SOUTH";#N/A,#N/A,TRUE,"NORTHEAST"}</definedName>
    <definedName name="xxxxxx" localSheetId="12" hidden="1">{#N/A,#N/A,TRUE,"TOTAL DSBN";#N/A,#N/A,TRUE,"WEST";#N/A,#N/A,TRUE,"SOUTH";#N/A,#N/A,TRUE,"NORTHEAST"}</definedName>
    <definedName name="xxxxxx" hidden="1">{#N/A,#N/A,TRUE,"TOTAL DSBN";#N/A,#N/A,TRUE,"WEST";#N/A,#N/A,TRUE,"SOUTH";#N/A,#N/A,TRUE,"NORTHEAST"}</definedName>
    <definedName name="Y" localSheetId="1" hidden="1">#REF!</definedName>
    <definedName name="Y" localSheetId="30" hidden="1">#REF!</definedName>
    <definedName name="Y" localSheetId="31" hidden="1">#REF!</definedName>
    <definedName name="Y" localSheetId="7" hidden="1">#REF!</definedName>
    <definedName name="Y" localSheetId="0" hidden="1">#REF!</definedName>
    <definedName name="y" localSheetId="10" hidden="1">{"SEP",#N/A,FALSE,"SEP"}</definedName>
    <definedName name="y" localSheetId="12" hidden="1">{"SEP",#N/A,FALSE,"SEP"}</definedName>
    <definedName name="Y" localSheetId="9" hidden="1">#REF!</definedName>
    <definedName name="y" hidden="1">{"SEP",#N/A,FALSE,"SEP"}</definedName>
    <definedName name="year" localSheetId="12">#REF!</definedName>
    <definedName name="year">#REF!</definedName>
    <definedName name="Year_End_Results_for_1997__1996____1995" localSheetId="7">#REF!</definedName>
    <definedName name="Year_End_Results_for_1997__1996____1995" localSheetId="10">#REF!</definedName>
    <definedName name="Year_End_Results_for_1997__1996____1995">#REF!</definedName>
    <definedName name="Years">#REF!</definedName>
    <definedName name="yes" localSheetId="1" hidden="1">#REF!</definedName>
    <definedName name="yes" localSheetId="17" hidden="1">#REF!</definedName>
    <definedName name="yes" localSheetId="31" hidden="1">#REF!</definedName>
    <definedName name="yes" localSheetId="7" hidden="1">#REF!</definedName>
    <definedName name="yes" localSheetId="9" hidden="1">#REF!</definedName>
    <definedName name="yes" hidden="1">#REF!</definedName>
    <definedName name="yesindeed" localSheetId="1" hidden="1">#REF!</definedName>
    <definedName name="yesindeed" localSheetId="31" hidden="1">#REF!</definedName>
    <definedName name="yesindeed" localSheetId="7" hidden="1">#REF!</definedName>
    <definedName name="yesindeed" localSheetId="9" hidden="1">#REF!</definedName>
    <definedName name="yesindeed" hidden="1">#REF!</definedName>
    <definedName name="yesir" localSheetId="1" hidden="1">#REF!</definedName>
    <definedName name="yesir" localSheetId="31" hidden="1">#REF!</definedName>
    <definedName name="yesir" localSheetId="7" hidden="1">#REF!</definedName>
    <definedName name="yesir" localSheetId="9" hidden="1">#REF!</definedName>
    <definedName name="yesir" hidden="1">#REF!</definedName>
    <definedName name="Yield">#REF!</definedName>
    <definedName name="YIELDS" localSheetId="7">#REF!</definedName>
    <definedName name="YIELDS">#REF!</definedName>
    <definedName name="yyy" localSheetId="1" hidden="1">{"caz2",#N/A,FALSE,"Central Arizona 2";"saz2",#N/A,FALSE,"Southern Arizona 2";"snv2",#N/A,FALSE,"Southern Nevada 2";"nnv2",#N/A,FALSE,"Northern Nevada 2";"sca2",#N/A,FALSE,"Southern California 2";"nca2",#N/A,FALSE,"Northern California 2";"pai2",#N/A,FALSE,"Paiute 2"}</definedName>
    <definedName name="yyy" localSheetId="17" hidden="1">{"caz2",#N/A,FALSE,"Central Arizona 2";"saz2",#N/A,FALSE,"Southern Arizona 2";"snv2",#N/A,FALSE,"Southern Nevada 2";"nnv2",#N/A,FALSE,"Northern Nevada 2";"sca2",#N/A,FALSE,"Southern California 2";"nca2",#N/A,FALSE,"Northern California 2";"pai2",#N/A,FALSE,"Paiute 2"}</definedName>
    <definedName name="yyy" localSheetId="30" hidden="1">{"caz2",#N/A,FALSE,"Central Arizona 2";"saz2",#N/A,FALSE,"Southern Arizona 2";"snv2",#N/A,FALSE,"Southern Nevada 2";"nnv2",#N/A,FALSE,"Northern Nevada 2";"sca2",#N/A,FALSE,"Southern California 2";"nca2",#N/A,FALSE,"Northern California 2";"pai2",#N/A,FALSE,"Paiute 2"}</definedName>
    <definedName name="yyy" localSheetId="31" hidden="1">{"caz2",#N/A,FALSE,"Central Arizona 2";"saz2",#N/A,FALSE,"Southern Arizona 2";"snv2",#N/A,FALSE,"Southern Nevada 2";"nnv2",#N/A,FALSE,"Northern Nevada 2";"sca2",#N/A,FALSE,"Southern California 2";"nca2",#N/A,FALSE,"Northern California 2";"pai2",#N/A,FALSE,"Paiute 2"}</definedName>
    <definedName name="yyy" localSheetId="19" hidden="1">{"caz2",#N/A,FALSE,"Central Arizona 2";"saz2",#N/A,FALSE,"Southern Arizona 2";"snv2",#N/A,FALSE,"Southern Nevada 2";"nnv2",#N/A,FALSE,"Northern Nevada 2";"sca2",#N/A,FALSE,"Southern California 2";"nca2",#N/A,FALSE,"Northern California 2";"pai2",#N/A,FALSE,"Paiute 2"}</definedName>
    <definedName name="yyy" localSheetId="7" hidden="1">{"caz2",#N/A,FALSE,"Central Arizona 2";"saz2",#N/A,FALSE,"Southern Arizona 2";"snv2",#N/A,FALSE,"Southern Nevada 2";"nnv2",#N/A,FALSE,"Northern Nevada 2";"sca2",#N/A,FALSE,"Southern California 2";"nca2",#N/A,FALSE,"Northern California 2";"pai2",#N/A,FALSE,"Paiute 2"}</definedName>
    <definedName name="yyy" localSheetId="0" hidden="1">{"caz2",#N/A,FALSE,"Central Arizona 2";"saz2",#N/A,FALSE,"Southern Arizona 2";"snv2",#N/A,FALSE,"Southern Nevada 2";"nnv2",#N/A,FALSE,"Northern Nevada 2";"sca2",#N/A,FALSE,"Southern California 2";"nca2",#N/A,FALSE,"Northern California 2";"pai2",#N/A,FALSE,"Paiute 2"}</definedName>
    <definedName name="yyy" localSheetId="10" hidden="1">{"caz2",#N/A,FALSE,"Central Arizona 2";"saz2",#N/A,FALSE,"Southern Arizona 2";"snv2",#N/A,FALSE,"Southern Nevada 2";"nnv2",#N/A,FALSE,"Northern Nevada 2";"sca2",#N/A,FALSE,"Southern California 2";"nca2",#N/A,FALSE,"Northern California 2";"pai2",#N/A,FALSE,"Paiute 2"}</definedName>
    <definedName name="yyy" localSheetId="12" hidden="1">{"caz2",#N/A,FALSE,"Central Arizona 2";"saz2",#N/A,FALSE,"Southern Arizona 2";"snv2",#N/A,FALSE,"Southern Nevada 2";"nnv2",#N/A,FALSE,"Northern Nevada 2";"sca2",#N/A,FALSE,"Southern California 2";"nca2",#N/A,FALSE,"Northern California 2";"pai2",#N/A,FALSE,"Paiute 2"}</definedName>
    <definedName name="yyy" localSheetId="9" hidden="1">{"caz2",#N/A,FALSE,"Central Arizona 2";"saz2",#N/A,FALSE,"Southern Arizona 2";"snv2",#N/A,FALSE,"Southern Nevada 2";"nnv2",#N/A,FALSE,"Northern Nevada 2";"sca2",#N/A,FALSE,"Southern California 2";"nca2",#N/A,FALSE,"Northern California 2";"pai2",#N/A,FALSE,"Paiute 2"}</definedName>
    <definedName name="yyy" hidden="1">{"caz2",#N/A,FALSE,"Central Arizona 2";"saz2",#N/A,FALSE,"Southern Arizona 2";"snv2",#N/A,FALSE,"Southern Nevada 2";"nnv2",#N/A,FALSE,"Northern Nevada 2";"sca2",#N/A,FALSE,"Southern California 2";"nca2",#N/A,FALSE,"Northern California 2";"pai2",#N/A,FALSE,"Paiute 2"}</definedName>
    <definedName name="yyyy" localSheetId="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1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3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1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10"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12"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localSheetId="9"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yy" localSheetId="1" hidden="1">#REF!</definedName>
    <definedName name="yyyyyy" localSheetId="30" hidden="1">#REF!</definedName>
    <definedName name="yyyyyy" localSheetId="31" hidden="1">#REF!</definedName>
    <definedName name="yyyyyy" localSheetId="7" hidden="1">#REF!</definedName>
    <definedName name="yyyyyy" localSheetId="9" hidden="1">#REF!</definedName>
    <definedName name="yyyyyy" hidden="1">#REF!</definedName>
    <definedName name="yyyyyyyy" localSheetId="1" hidden="1">{#N/A,#N/A,FALSE,"SCA";#N/A,#N/A,FALSE,"NCA";#N/A,#N/A,FALSE,"SAZ";#N/A,#N/A,FALSE,"CAZ";#N/A,#N/A,FALSE,"SNV";#N/A,#N/A,FALSE,"NNV";#N/A,#N/A,FALSE,"PP";#N/A,#N/A,FALSE,"SA"}</definedName>
    <definedName name="yyyyyyyy" localSheetId="17" hidden="1">{#N/A,#N/A,FALSE,"SCA";#N/A,#N/A,FALSE,"NCA";#N/A,#N/A,FALSE,"SAZ";#N/A,#N/A,FALSE,"CAZ";#N/A,#N/A,FALSE,"SNV";#N/A,#N/A,FALSE,"NNV";#N/A,#N/A,FALSE,"PP";#N/A,#N/A,FALSE,"SA"}</definedName>
    <definedName name="yyyyyyyy" localSheetId="30" hidden="1">{#N/A,#N/A,FALSE,"SCA";#N/A,#N/A,FALSE,"NCA";#N/A,#N/A,FALSE,"SAZ";#N/A,#N/A,FALSE,"CAZ";#N/A,#N/A,FALSE,"SNV";#N/A,#N/A,FALSE,"NNV";#N/A,#N/A,FALSE,"PP";#N/A,#N/A,FALSE,"SA"}</definedName>
    <definedName name="yyyyyyyy" localSheetId="31" hidden="1">{#N/A,#N/A,FALSE,"SCA";#N/A,#N/A,FALSE,"NCA";#N/A,#N/A,FALSE,"SAZ";#N/A,#N/A,FALSE,"CAZ";#N/A,#N/A,FALSE,"SNV";#N/A,#N/A,FALSE,"NNV";#N/A,#N/A,FALSE,"PP";#N/A,#N/A,FALSE,"SA"}</definedName>
    <definedName name="yyyyyyyy" localSheetId="19" hidden="1">{#N/A,#N/A,FALSE,"SCA";#N/A,#N/A,FALSE,"NCA";#N/A,#N/A,FALSE,"SAZ";#N/A,#N/A,FALSE,"CAZ";#N/A,#N/A,FALSE,"SNV";#N/A,#N/A,FALSE,"NNV";#N/A,#N/A,FALSE,"PP";#N/A,#N/A,FALSE,"SA"}</definedName>
    <definedName name="yyyyyyyy" localSheetId="7" hidden="1">{#N/A,#N/A,FALSE,"SCA";#N/A,#N/A,FALSE,"NCA";#N/A,#N/A,FALSE,"SAZ";#N/A,#N/A,FALSE,"CAZ";#N/A,#N/A,FALSE,"SNV";#N/A,#N/A,FALSE,"NNV";#N/A,#N/A,FALSE,"PP";#N/A,#N/A,FALSE,"SA"}</definedName>
    <definedName name="yyyyyyyy" localSheetId="0" hidden="1">{#N/A,#N/A,FALSE,"SCA";#N/A,#N/A,FALSE,"NCA";#N/A,#N/A,FALSE,"SAZ";#N/A,#N/A,FALSE,"CAZ";#N/A,#N/A,FALSE,"SNV";#N/A,#N/A,FALSE,"NNV";#N/A,#N/A,FALSE,"PP";#N/A,#N/A,FALSE,"SA"}</definedName>
    <definedName name="yyyyyyyy" localSheetId="10" hidden="1">{#N/A,#N/A,FALSE,"SCA";#N/A,#N/A,FALSE,"NCA";#N/A,#N/A,FALSE,"SAZ";#N/A,#N/A,FALSE,"CAZ";#N/A,#N/A,FALSE,"SNV";#N/A,#N/A,FALSE,"NNV";#N/A,#N/A,FALSE,"PP";#N/A,#N/A,FALSE,"SA"}</definedName>
    <definedName name="yyyyyyyy" localSheetId="12" hidden="1">{#N/A,#N/A,FALSE,"SCA";#N/A,#N/A,FALSE,"NCA";#N/A,#N/A,FALSE,"SAZ";#N/A,#N/A,FALSE,"CAZ";#N/A,#N/A,FALSE,"SNV";#N/A,#N/A,FALSE,"NNV";#N/A,#N/A,FALSE,"PP";#N/A,#N/A,FALSE,"SA"}</definedName>
    <definedName name="yyyyyyyy" localSheetId="9" hidden="1">{#N/A,#N/A,FALSE,"SCA";#N/A,#N/A,FALSE,"NCA";#N/A,#N/A,FALSE,"SAZ";#N/A,#N/A,FALSE,"CAZ";#N/A,#N/A,FALSE,"SNV";#N/A,#N/A,FALSE,"NNV";#N/A,#N/A,FALSE,"PP";#N/A,#N/A,FALSE,"SA"}</definedName>
    <definedName name="yyyyyyyy" hidden="1">{#N/A,#N/A,FALSE,"SCA";#N/A,#N/A,FALSE,"NCA";#N/A,#N/A,FALSE,"SAZ";#N/A,#N/A,FALSE,"CAZ";#N/A,#N/A,FALSE,"SNV";#N/A,#N/A,FALSE,"NNV";#N/A,#N/A,FALSE,"PP";#N/A,#N/A,FALSE,"SA"}</definedName>
    <definedName name="Z" localSheetId="1" hidden="1">#REF!</definedName>
    <definedName name="Z" localSheetId="30" hidden="1">#REF!</definedName>
    <definedName name="Z" localSheetId="31" hidden="1">#REF!</definedName>
    <definedName name="Z" localSheetId="7" hidden="1">#REF!</definedName>
    <definedName name="Z" localSheetId="0" hidden="1">#REF!</definedName>
    <definedName name="z" localSheetId="10" hidden="1">{"SEP",#N/A,FALSE,"SEP"}</definedName>
    <definedName name="z" localSheetId="12" hidden="1">{"SEP",#N/A,FALSE,"SEP"}</definedName>
    <definedName name="Z" localSheetId="9" hidden="1">#REF!</definedName>
    <definedName name="z" hidden="1">{"SEP",#N/A,FALSE,"SEP"}</definedName>
    <definedName name="Z_055ABE5A_5E06_11D2_8EED_0008C7BCAF29_.wvu.PrintArea" localSheetId="1" hidden="1">#REF!</definedName>
    <definedName name="Z_055ABE5A_5E06_11D2_8EED_0008C7BCAF29_.wvu.PrintArea" localSheetId="30" hidden="1">#REF!</definedName>
    <definedName name="Z_055ABE5A_5E06_11D2_8EED_0008C7BCAF29_.wvu.PrintArea" localSheetId="31" hidden="1">#REF!</definedName>
    <definedName name="Z_055ABE5A_5E06_11D2_8EED_0008C7BCAF29_.wvu.PrintArea" localSheetId="7" hidden="1">#REF!</definedName>
    <definedName name="Z_055ABE5A_5E06_11D2_8EED_0008C7BCAF29_.wvu.PrintArea" localSheetId="12" hidden="1">#REF!</definedName>
    <definedName name="Z_055ABE5A_5E06_11D2_8EED_0008C7BCAF29_.wvu.PrintArea" localSheetId="9" hidden="1">#REF!</definedName>
    <definedName name="Z_055ABE5A_5E06_11D2_8EED_0008C7BCAF29_.wvu.PrintArea" hidden="1">#REF!</definedName>
    <definedName name="Z_055ABE5A_5E06_11D2_8EED_0008C7BCAF29_.wvu.PrintTitles" localSheetId="1" hidden="1">#REF!</definedName>
    <definedName name="Z_055ABE5A_5E06_11D2_8EED_0008C7BCAF29_.wvu.PrintTitles" localSheetId="31" hidden="1">#REF!</definedName>
    <definedName name="Z_055ABE5A_5E06_11D2_8EED_0008C7BCAF29_.wvu.PrintTitles" localSheetId="7" hidden="1">#REF!</definedName>
    <definedName name="Z_055ABE5A_5E06_11D2_8EED_0008C7BCAF29_.wvu.PrintTitles" localSheetId="9" hidden="1">#REF!</definedName>
    <definedName name="Z_055ABE5A_5E06_11D2_8EED_0008C7BCAF29_.wvu.PrintTitles" hidden="1">#REF!</definedName>
    <definedName name="Z_055ABE69_5E06_11D2_8EED_0008C7BCAF29_.wvu.PrintArea" localSheetId="31" hidden="1">#REF!</definedName>
    <definedName name="Z_055ABE69_5E06_11D2_8EED_0008C7BCAF29_.wvu.PrintArea" localSheetId="7" hidden="1">#REF!</definedName>
    <definedName name="Z_055ABE69_5E06_11D2_8EED_0008C7BCAF29_.wvu.PrintArea" hidden="1">#REF!</definedName>
    <definedName name="Z_055ABE69_5E06_11D2_8EED_0008C7BCAF29_.wvu.PrintTitles" localSheetId="31" hidden="1">#REF!</definedName>
    <definedName name="Z_055ABE69_5E06_11D2_8EED_0008C7BCAF29_.wvu.PrintTitles" localSheetId="7" hidden="1">#REF!</definedName>
    <definedName name="Z_055ABE69_5E06_11D2_8EED_0008C7BCAF29_.wvu.PrintTitles" hidden="1">#REF!</definedName>
    <definedName name="Z_055ABE76_5E06_11D2_8EED_0008C7BCAF29_.wvu.PrintArea" localSheetId="31" hidden="1">#REF!</definedName>
    <definedName name="Z_055ABE76_5E06_11D2_8EED_0008C7BCAF29_.wvu.PrintArea" localSheetId="7" hidden="1">#REF!</definedName>
    <definedName name="Z_055ABE76_5E06_11D2_8EED_0008C7BCAF29_.wvu.PrintArea" hidden="1">#REF!</definedName>
    <definedName name="Z_055ABE76_5E06_11D2_8EED_0008C7BCAF29_.wvu.PrintTitles" localSheetId="1" hidden="1">#REF!,#REF!</definedName>
    <definedName name="Z_055ABE76_5E06_11D2_8EED_0008C7BCAF29_.wvu.PrintTitles" localSheetId="17" hidden="1">#REF!,#REF!</definedName>
    <definedName name="Z_055ABE76_5E06_11D2_8EED_0008C7BCAF29_.wvu.PrintTitles" localSheetId="30" hidden="1">#REF!,#REF!</definedName>
    <definedName name="Z_055ABE76_5E06_11D2_8EED_0008C7BCAF29_.wvu.PrintTitles" localSheetId="31" hidden="1">#REF!,#REF!</definedName>
    <definedName name="Z_055ABE76_5E06_11D2_8EED_0008C7BCAF29_.wvu.PrintTitles" localSheetId="7" hidden="1">#REF!,#REF!</definedName>
    <definedName name="Z_055ABE76_5E06_11D2_8EED_0008C7BCAF29_.wvu.PrintTitles" localSheetId="12" hidden="1">#REF!,#REF!</definedName>
    <definedName name="Z_055ABE76_5E06_11D2_8EED_0008C7BCAF29_.wvu.PrintTitles" localSheetId="9" hidden="1">#REF!,#REF!</definedName>
    <definedName name="Z_055ABE76_5E06_11D2_8EED_0008C7BCAF29_.wvu.PrintTitles" hidden="1">#REF!,#REF!</definedName>
    <definedName name="Z_055ABE84_5E06_11D2_8EED_0008C7BCAF29_.wvu.PrintArea" localSheetId="1" hidden="1">#REF!</definedName>
    <definedName name="Z_055ABE84_5E06_11D2_8EED_0008C7BCAF29_.wvu.PrintArea" localSheetId="17" hidden="1">#REF!</definedName>
    <definedName name="Z_055ABE84_5E06_11D2_8EED_0008C7BCAF29_.wvu.PrintArea" localSheetId="30" hidden="1">#REF!</definedName>
    <definedName name="Z_055ABE84_5E06_11D2_8EED_0008C7BCAF29_.wvu.PrintArea" localSheetId="31" hidden="1">#REF!</definedName>
    <definedName name="Z_055ABE84_5E06_11D2_8EED_0008C7BCAF29_.wvu.PrintArea" localSheetId="7" hidden="1">#REF!</definedName>
    <definedName name="Z_055ABE84_5E06_11D2_8EED_0008C7BCAF29_.wvu.PrintArea" localSheetId="12" hidden="1">#REF!</definedName>
    <definedName name="Z_055ABE84_5E06_11D2_8EED_0008C7BCAF29_.wvu.PrintArea" localSheetId="9" hidden="1">#REF!</definedName>
    <definedName name="Z_055ABE84_5E06_11D2_8EED_0008C7BCAF29_.wvu.PrintArea" hidden="1">#REF!</definedName>
    <definedName name="Z_055ABE84_5E06_11D2_8EED_0008C7BCAF29_.wvu.PrintTitles" localSheetId="1" hidden="1">#REF!</definedName>
    <definedName name="Z_055ABE84_5E06_11D2_8EED_0008C7BCAF29_.wvu.PrintTitles" localSheetId="17" hidden="1">#REF!</definedName>
    <definedName name="Z_055ABE84_5E06_11D2_8EED_0008C7BCAF29_.wvu.PrintTitles" localSheetId="31" hidden="1">#REF!</definedName>
    <definedName name="Z_055ABE84_5E06_11D2_8EED_0008C7BCAF29_.wvu.PrintTitles" localSheetId="7" hidden="1">#REF!</definedName>
    <definedName name="Z_055ABE84_5E06_11D2_8EED_0008C7BCAF29_.wvu.PrintTitles" localSheetId="9" hidden="1">#REF!</definedName>
    <definedName name="Z_055ABE84_5E06_11D2_8EED_0008C7BCAF29_.wvu.PrintTitles" hidden="1">#REF!</definedName>
    <definedName name="Z_055ABE93_5E06_11D2_8EED_0008C7BCAF29_.wvu.PrintArea" localSheetId="1" hidden="1">#REF!</definedName>
    <definedName name="Z_055ABE93_5E06_11D2_8EED_0008C7BCAF29_.wvu.PrintArea" localSheetId="17" hidden="1">#REF!</definedName>
    <definedName name="Z_055ABE93_5E06_11D2_8EED_0008C7BCAF29_.wvu.PrintArea" localSheetId="31" hidden="1">#REF!</definedName>
    <definedName name="Z_055ABE93_5E06_11D2_8EED_0008C7BCAF29_.wvu.PrintArea" localSheetId="7" hidden="1">#REF!</definedName>
    <definedName name="Z_055ABE93_5E06_11D2_8EED_0008C7BCAF29_.wvu.PrintArea" localSheetId="9" hidden="1">#REF!</definedName>
    <definedName name="Z_055ABE93_5E06_11D2_8EED_0008C7BCAF29_.wvu.PrintArea" hidden="1">#REF!</definedName>
    <definedName name="Z_055ABE93_5E06_11D2_8EED_0008C7BCAF29_.wvu.PrintTitles" localSheetId="31" hidden="1">#REF!</definedName>
    <definedName name="Z_055ABE93_5E06_11D2_8EED_0008C7BCAF29_.wvu.PrintTitles" localSheetId="7" hidden="1">#REF!</definedName>
    <definedName name="Z_055ABE93_5E06_11D2_8EED_0008C7BCAF29_.wvu.PrintTitles" hidden="1">#REF!</definedName>
    <definedName name="Z_055ABEA0_5E06_11D2_8EED_0008C7BCAF29_.wvu.PrintArea" localSheetId="31" hidden="1">#REF!</definedName>
    <definedName name="Z_055ABEA0_5E06_11D2_8EED_0008C7BCAF29_.wvu.PrintArea" localSheetId="7" hidden="1">#REF!</definedName>
    <definedName name="Z_055ABEA0_5E06_11D2_8EED_0008C7BCAF29_.wvu.PrintArea" hidden="1">#REF!</definedName>
    <definedName name="Z_055ABEA0_5E06_11D2_8EED_0008C7BCAF29_.wvu.PrintTitles" localSheetId="1" hidden="1">#REF!,#REF!</definedName>
    <definedName name="Z_055ABEA0_5E06_11D2_8EED_0008C7BCAF29_.wvu.PrintTitles" localSheetId="17" hidden="1">#REF!,#REF!</definedName>
    <definedName name="Z_055ABEA0_5E06_11D2_8EED_0008C7BCAF29_.wvu.PrintTitles" localSheetId="30" hidden="1">#REF!,#REF!</definedName>
    <definedName name="Z_055ABEA0_5E06_11D2_8EED_0008C7BCAF29_.wvu.PrintTitles" localSheetId="31" hidden="1">#REF!,#REF!</definedName>
    <definedName name="Z_055ABEA0_5E06_11D2_8EED_0008C7BCAF29_.wvu.PrintTitles" localSheetId="7" hidden="1">#REF!,#REF!</definedName>
    <definedName name="Z_055ABEA0_5E06_11D2_8EED_0008C7BCAF29_.wvu.PrintTitles" localSheetId="12" hidden="1">#REF!,#REF!</definedName>
    <definedName name="Z_055ABEA0_5E06_11D2_8EED_0008C7BCAF29_.wvu.PrintTitles" localSheetId="9" hidden="1">#REF!,#REF!</definedName>
    <definedName name="Z_055ABEA0_5E06_11D2_8EED_0008C7BCAF29_.wvu.PrintTitles" hidden="1">#REF!,#REF!</definedName>
    <definedName name="Z_05DE23E1_1046_11D2_8E70_0008C77C0743_.wvu.PrintArea" localSheetId="1" hidden="1">#REF!</definedName>
    <definedName name="Z_05DE23E1_1046_11D2_8E70_0008C77C0743_.wvu.PrintArea" localSheetId="17" hidden="1">#REF!</definedName>
    <definedName name="Z_05DE23E1_1046_11D2_8E70_0008C77C0743_.wvu.PrintArea" localSheetId="30" hidden="1">#REF!</definedName>
    <definedName name="Z_05DE23E1_1046_11D2_8E70_0008C77C0743_.wvu.PrintArea" localSheetId="31" hidden="1">#REF!</definedName>
    <definedName name="Z_05DE23E1_1046_11D2_8E70_0008C77C0743_.wvu.PrintArea" localSheetId="7" hidden="1">#REF!</definedName>
    <definedName name="Z_05DE23E1_1046_11D2_8E70_0008C77C0743_.wvu.PrintArea" localSheetId="12" hidden="1">#REF!</definedName>
    <definedName name="Z_05DE23E1_1046_11D2_8E70_0008C77C0743_.wvu.PrintArea" localSheetId="9" hidden="1">#REF!</definedName>
    <definedName name="Z_05DE23E1_1046_11D2_8E70_0008C77C0743_.wvu.PrintArea" hidden="1">#REF!</definedName>
    <definedName name="Z_05DE23E1_1046_11D2_8E70_0008C77C0743_.wvu.PrintTitles" localSheetId="1" hidden="1">#REF!,#REF!</definedName>
    <definedName name="Z_05DE23E1_1046_11D2_8E70_0008C77C0743_.wvu.PrintTitles" localSheetId="17" hidden="1">#REF!,#REF!</definedName>
    <definedName name="Z_05DE23E1_1046_11D2_8E70_0008C77C0743_.wvu.PrintTitles" localSheetId="30" hidden="1">#REF!,#REF!</definedName>
    <definedName name="Z_05DE23E1_1046_11D2_8E70_0008C77C0743_.wvu.PrintTitles" localSheetId="31" hidden="1">#REF!,#REF!</definedName>
    <definedName name="Z_05DE23E1_1046_11D2_8E70_0008C77C0743_.wvu.PrintTitles" localSheetId="7" hidden="1">#REF!,#REF!</definedName>
    <definedName name="Z_05DE23E1_1046_11D2_8E70_0008C77C0743_.wvu.PrintTitles" localSheetId="12" hidden="1">#REF!,#REF!</definedName>
    <definedName name="Z_05DE23E1_1046_11D2_8E70_0008C77C0743_.wvu.PrintTitles" localSheetId="9" hidden="1">#REF!,#REF!</definedName>
    <definedName name="Z_05DE23E1_1046_11D2_8E70_0008C77C0743_.wvu.PrintTitles" hidden="1">#REF!,#REF!</definedName>
    <definedName name="Z_05DE23E4_1046_11D2_8E70_0008C77C0743_.wvu.PrintArea" localSheetId="1" hidden="1">#REF!</definedName>
    <definedName name="Z_05DE23E4_1046_11D2_8E70_0008C77C0743_.wvu.PrintArea" localSheetId="17" hidden="1">#REF!</definedName>
    <definedName name="Z_05DE23E4_1046_11D2_8E70_0008C77C0743_.wvu.PrintArea" localSheetId="30" hidden="1">#REF!</definedName>
    <definedName name="Z_05DE23E4_1046_11D2_8E70_0008C77C0743_.wvu.PrintArea" localSheetId="31" hidden="1">#REF!</definedName>
    <definedName name="Z_05DE23E4_1046_11D2_8E70_0008C77C0743_.wvu.PrintArea" localSheetId="7" hidden="1">#REF!</definedName>
    <definedName name="Z_05DE23E4_1046_11D2_8E70_0008C77C0743_.wvu.PrintArea" localSheetId="12" hidden="1">#REF!</definedName>
    <definedName name="Z_05DE23E4_1046_11D2_8E70_0008C77C0743_.wvu.PrintArea" localSheetId="9" hidden="1">#REF!</definedName>
    <definedName name="Z_05DE23E4_1046_11D2_8E70_0008C77C0743_.wvu.PrintArea" hidden="1">#REF!</definedName>
    <definedName name="Z_05DE23E4_1046_11D2_8E70_0008C77C0743_.wvu.PrintTitles" localSheetId="17" hidden="1">#REF!</definedName>
    <definedName name="Z_05DE23E4_1046_11D2_8E70_0008C77C0743_.wvu.PrintTitles" localSheetId="31" hidden="1">#REF!</definedName>
    <definedName name="Z_05DE23E4_1046_11D2_8E70_0008C77C0743_.wvu.PrintTitles" localSheetId="7" hidden="1">#REF!</definedName>
    <definedName name="Z_05DE23E4_1046_11D2_8E70_0008C77C0743_.wvu.PrintTitles" localSheetId="9" hidden="1">#REF!</definedName>
    <definedName name="Z_05DE23E4_1046_11D2_8E70_0008C77C0743_.wvu.PrintTitles" hidden="1">#REF!</definedName>
    <definedName name="Z_05DE23E9_1046_11D2_8E70_0008C77C0743_.wvu.PrintArea" localSheetId="17" hidden="1">#REF!</definedName>
    <definedName name="Z_05DE23E9_1046_11D2_8E70_0008C77C0743_.wvu.PrintArea" localSheetId="31" hidden="1">#REF!</definedName>
    <definedName name="Z_05DE23E9_1046_11D2_8E70_0008C77C0743_.wvu.PrintArea" localSheetId="7" hidden="1">#REF!</definedName>
    <definedName name="Z_05DE23E9_1046_11D2_8E70_0008C77C0743_.wvu.PrintArea" localSheetId="9" hidden="1">#REF!</definedName>
    <definedName name="Z_05DE23E9_1046_11D2_8E70_0008C77C0743_.wvu.PrintArea" hidden="1">#REF!</definedName>
    <definedName name="Z_05DE23E9_1046_11D2_8E70_0008C77C0743_.wvu.PrintTitles" localSheetId="1" hidden="1">#REF!,#REF!</definedName>
    <definedName name="Z_05DE23E9_1046_11D2_8E70_0008C77C0743_.wvu.PrintTitles" localSheetId="17" hidden="1">#REF!,#REF!</definedName>
    <definedName name="Z_05DE23E9_1046_11D2_8E70_0008C77C0743_.wvu.PrintTitles" localSheetId="30" hidden="1">#REF!,#REF!</definedName>
    <definedName name="Z_05DE23E9_1046_11D2_8E70_0008C77C0743_.wvu.PrintTitles" localSheetId="31" hidden="1">#REF!,#REF!</definedName>
    <definedName name="Z_05DE23E9_1046_11D2_8E70_0008C77C0743_.wvu.PrintTitles" localSheetId="7" hidden="1">#REF!,#REF!</definedName>
    <definedName name="Z_05DE23E9_1046_11D2_8E70_0008C77C0743_.wvu.PrintTitles" localSheetId="12" hidden="1">#REF!,#REF!</definedName>
    <definedName name="Z_05DE23E9_1046_11D2_8E70_0008C77C0743_.wvu.PrintTitles" localSheetId="9" hidden="1">#REF!,#REF!</definedName>
    <definedName name="Z_05DE23E9_1046_11D2_8E70_0008C77C0743_.wvu.PrintTitles" hidden="1">#REF!,#REF!</definedName>
    <definedName name="Z_05DE23EB_1046_11D2_8E70_0008C77C0743_.wvu.PrintArea" localSheetId="17" hidden="1">#REF!</definedName>
    <definedName name="Z_05DE23EB_1046_11D2_8E70_0008C77C0743_.wvu.PrintArea" localSheetId="30" hidden="1">#REF!</definedName>
    <definedName name="Z_05DE23EB_1046_11D2_8E70_0008C77C0743_.wvu.PrintArea" localSheetId="31" hidden="1">#REF!</definedName>
    <definedName name="Z_05DE23EB_1046_11D2_8E70_0008C77C0743_.wvu.PrintArea" localSheetId="7" hidden="1">#REF!</definedName>
    <definedName name="Z_05DE23EB_1046_11D2_8E70_0008C77C0743_.wvu.PrintArea" localSheetId="12" hidden="1">#REF!</definedName>
    <definedName name="Z_05DE23EB_1046_11D2_8E70_0008C77C0743_.wvu.PrintArea" localSheetId="9" hidden="1">#REF!</definedName>
    <definedName name="Z_05DE23EB_1046_11D2_8E70_0008C77C0743_.wvu.PrintArea" hidden="1">#REF!</definedName>
    <definedName name="Z_05DE23EB_1046_11D2_8E70_0008C77C0743_.wvu.PrintTitles" localSheetId="1" hidden="1">#REF!,#REF!</definedName>
    <definedName name="Z_05DE23EB_1046_11D2_8E70_0008C77C0743_.wvu.PrintTitles" localSheetId="17" hidden="1">#REF!,#REF!</definedName>
    <definedName name="Z_05DE23EB_1046_11D2_8E70_0008C77C0743_.wvu.PrintTitles" localSheetId="30" hidden="1">#REF!,#REF!</definedName>
    <definedName name="Z_05DE23EB_1046_11D2_8E70_0008C77C0743_.wvu.PrintTitles" localSheetId="31" hidden="1">#REF!,#REF!</definedName>
    <definedName name="Z_05DE23EB_1046_11D2_8E70_0008C77C0743_.wvu.PrintTitles" localSheetId="7" hidden="1">#REF!,#REF!</definedName>
    <definedName name="Z_05DE23EB_1046_11D2_8E70_0008C77C0743_.wvu.PrintTitles" localSheetId="12" hidden="1">#REF!,#REF!</definedName>
    <definedName name="Z_05DE23EB_1046_11D2_8E70_0008C77C0743_.wvu.PrintTitles" localSheetId="9" hidden="1">#REF!,#REF!</definedName>
    <definedName name="Z_05DE23EB_1046_11D2_8E70_0008C77C0743_.wvu.PrintTitles" hidden="1">#REF!,#REF!</definedName>
    <definedName name="Z_05DE23EE_1046_11D2_8E70_0008C77C0743_.wvu.PrintArea" localSheetId="17" hidden="1">#REF!</definedName>
    <definedName name="Z_05DE23EE_1046_11D2_8E70_0008C77C0743_.wvu.PrintArea" localSheetId="30" hidden="1">#REF!</definedName>
    <definedName name="Z_05DE23EE_1046_11D2_8E70_0008C77C0743_.wvu.PrintArea" localSheetId="31" hidden="1">#REF!</definedName>
    <definedName name="Z_05DE23EE_1046_11D2_8E70_0008C77C0743_.wvu.PrintArea" localSheetId="7" hidden="1">#REF!</definedName>
    <definedName name="Z_05DE23EE_1046_11D2_8E70_0008C77C0743_.wvu.PrintArea" localSheetId="12" hidden="1">#REF!</definedName>
    <definedName name="Z_05DE23EE_1046_11D2_8E70_0008C77C0743_.wvu.PrintArea" localSheetId="9" hidden="1">#REF!</definedName>
    <definedName name="Z_05DE23EE_1046_11D2_8E70_0008C77C0743_.wvu.PrintArea" hidden="1">#REF!</definedName>
    <definedName name="Z_05DE23EE_1046_11D2_8E70_0008C77C0743_.wvu.PrintTitles" localSheetId="17" hidden="1">#REF!</definedName>
    <definedName name="Z_05DE23EE_1046_11D2_8E70_0008C77C0743_.wvu.PrintTitles" localSheetId="31" hidden="1">#REF!</definedName>
    <definedName name="Z_05DE23EE_1046_11D2_8E70_0008C77C0743_.wvu.PrintTitles" localSheetId="7" hidden="1">#REF!</definedName>
    <definedName name="Z_05DE23EE_1046_11D2_8E70_0008C77C0743_.wvu.PrintTitles" localSheetId="9" hidden="1">#REF!</definedName>
    <definedName name="Z_05DE23EE_1046_11D2_8E70_0008C77C0743_.wvu.PrintTitles" hidden="1">#REF!</definedName>
    <definedName name="Z_05DE23F3_1046_11D2_8E70_0008C77C0743_.wvu.PrintArea" localSheetId="17" hidden="1">#REF!</definedName>
    <definedName name="Z_05DE23F3_1046_11D2_8E70_0008C77C0743_.wvu.PrintArea" localSheetId="31" hidden="1">#REF!</definedName>
    <definedName name="Z_05DE23F3_1046_11D2_8E70_0008C77C0743_.wvu.PrintArea" localSheetId="7" hidden="1">#REF!</definedName>
    <definedName name="Z_05DE23F3_1046_11D2_8E70_0008C77C0743_.wvu.PrintArea" localSheetId="9" hidden="1">#REF!</definedName>
    <definedName name="Z_05DE23F3_1046_11D2_8E70_0008C77C0743_.wvu.PrintArea" hidden="1">#REF!</definedName>
    <definedName name="Z_05DE23F3_1046_11D2_8E70_0008C77C0743_.wvu.PrintTitles" localSheetId="17" hidden="1">#REF!,#REF!</definedName>
    <definedName name="Z_05DE23F3_1046_11D2_8E70_0008C77C0743_.wvu.PrintTitles" localSheetId="30" hidden="1">#REF!,#REF!</definedName>
    <definedName name="Z_05DE23F3_1046_11D2_8E70_0008C77C0743_.wvu.PrintTitles" localSheetId="31" hidden="1">#REF!,#REF!</definedName>
    <definedName name="Z_05DE23F3_1046_11D2_8E70_0008C77C0743_.wvu.PrintTitles" localSheetId="7" hidden="1">#REF!,#REF!</definedName>
    <definedName name="Z_05DE23F3_1046_11D2_8E70_0008C77C0743_.wvu.PrintTitles" localSheetId="12" hidden="1">#REF!,#REF!</definedName>
    <definedName name="Z_05DE23F3_1046_11D2_8E70_0008C77C0743_.wvu.PrintTitles" localSheetId="9" hidden="1">#REF!,#REF!</definedName>
    <definedName name="Z_05DE23F3_1046_11D2_8E70_0008C77C0743_.wvu.PrintTitles" hidden="1">#REF!,#REF!</definedName>
    <definedName name="Z_05DE23F6_1046_11D2_8E70_0008C77C0743_.wvu.PrintArea" localSheetId="17" hidden="1">#REF!</definedName>
    <definedName name="Z_05DE23F6_1046_11D2_8E70_0008C77C0743_.wvu.PrintArea" localSheetId="30" hidden="1">#REF!</definedName>
    <definedName name="Z_05DE23F6_1046_11D2_8E70_0008C77C0743_.wvu.PrintArea" localSheetId="31" hidden="1">#REF!</definedName>
    <definedName name="Z_05DE23F6_1046_11D2_8E70_0008C77C0743_.wvu.PrintArea" localSheetId="7" hidden="1">#REF!</definedName>
    <definedName name="Z_05DE23F6_1046_11D2_8E70_0008C77C0743_.wvu.PrintArea" localSheetId="12" hidden="1">#REF!</definedName>
    <definedName name="Z_05DE23F6_1046_11D2_8E70_0008C77C0743_.wvu.PrintArea" localSheetId="9" hidden="1">#REF!</definedName>
    <definedName name="Z_05DE23F6_1046_11D2_8E70_0008C77C0743_.wvu.PrintArea" hidden="1">#REF!</definedName>
    <definedName name="Z_05DE23F6_1046_11D2_8E70_0008C77C0743_.wvu.PrintTitles" localSheetId="17" hidden="1">#REF!,#REF!</definedName>
    <definedName name="Z_05DE23F6_1046_11D2_8E70_0008C77C0743_.wvu.PrintTitles" localSheetId="30" hidden="1">#REF!,#REF!</definedName>
    <definedName name="Z_05DE23F6_1046_11D2_8E70_0008C77C0743_.wvu.PrintTitles" localSheetId="31" hidden="1">#REF!,#REF!</definedName>
    <definedName name="Z_05DE23F6_1046_11D2_8E70_0008C77C0743_.wvu.PrintTitles" localSheetId="7" hidden="1">#REF!,#REF!</definedName>
    <definedName name="Z_05DE23F6_1046_11D2_8E70_0008C77C0743_.wvu.PrintTitles" localSheetId="12" hidden="1">#REF!,#REF!</definedName>
    <definedName name="Z_05DE23F6_1046_11D2_8E70_0008C77C0743_.wvu.PrintTitles" localSheetId="9" hidden="1">#REF!,#REF!</definedName>
    <definedName name="Z_05DE23F6_1046_11D2_8E70_0008C77C0743_.wvu.PrintTitles" hidden="1">#REF!,#REF!</definedName>
    <definedName name="Z_0CE6A482_5DEF_11D2_8EC3_0008C77C0743_.wvu.PrintArea" localSheetId="17" hidden="1">#REF!</definedName>
    <definedName name="Z_0CE6A482_5DEF_11D2_8EC3_0008C77C0743_.wvu.PrintArea" localSheetId="30" hidden="1">#REF!</definedName>
    <definedName name="Z_0CE6A482_5DEF_11D2_8EC3_0008C77C0743_.wvu.PrintArea" localSheetId="31" hidden="1">#REF!</definedName>
    <definedName name="Z_0CE6A482_5DEF_11D2_8EC3_0008C77C0743_.wvu.PrintArea" localSheetId="7" hidden="1">#REF!</definedName>
    <definedName name="Z_0CE6A482_5DEF_11D2_8EC3_0008C77C0743_.wvu.PrintArea" localSheetId="12" hidden="1">#REF!</definedName>
    <definedName name="Z_0CE6A482_5DEF_11D2_8EC3_0008C77C0743_.wvu.PrintArea" localSheetId="9" hidden="1">#REF!</definedName>
    <definedName name="Z_0CE6A482_5DEF_11D2_8EC3_0008C77C0743_.wvu.PrintArea" hidden="1">#REF!</definedName>
    <definedName name="Z_0CE6A482_5DEF_11D2_8EC3_0008C77C0743_.wvu.PrintTitles" localSheetId="17" hidden="1">#REF!</definedName>
    <definedName name="Z_0CE6A482_5DEF_11D2_8EC3_0008C77C0743_.wvu.PrintTitles" localSheetId="31" hidden="1">#REF!</definedName>
    <definedName name="Z_0CE6A482_5DEF_11D2_8EC3_0008C77C0743_.wvu.PrintTitles" localSheetId="7" hidden="1">#REF!</definedName>
    <definedName name="Z_0CE6A482_5DEF_11D2_8EC3_0008C77C0743_.wvu.PrintTitles" localSheetId="9" hidden="1">#REF!</definedName>
    <definedName name="Z_0CE6A482_5DEF_11D2_8EC3_0008C77C0743_.wvu.PrintTitles" hidden="1">#REF!</definedName>
    <definedName name="Z_0CE6A491_5DEF_11D2_8EC3_0008C77C0743_.wvu.PrintArea" localSheetId="17" hidden="1">#REF!</definedName>
    <definedName name="Z_0CE6A491_5DEF_11D2_8EC3_0008C77C0743_.wvu.PrintArea" localSheetId="31" hidden="1">#REF!</definedName>
    <definedName name="Z_0CE6A491_5DEF_11D2_8EC3_0008C77C0743_.wvu.PrintArea" localSheetId="7" hidden="1">#REF!</definedName>
    <definedName name="Z_0CE6A491_5DEF_11D2_8EC3_0008C77C0743_.wvu.PrintArea" localSheetId="9" hidden="1">#REF!</definedName>
    <definedName name="Z_0CE6A491_5DEF_11D2_8EC3_0008C77C0743_.wvu.PrintArea" hidden="1">#REF!</definedName>
    <definedName name="Z_0CE6A491_5DEF_11D2_8EC3_0008C77C0743_.wvu.PrintTitles" localSheetId="31" hidden="1">#REF!</definedName>
    <definedName name="Z_0CE6A491_5DEF_11D2_8EC3_0008C77C0743_.wvu.PrintTitles" localSheetId="7" hidden="1">#REF!</definedName>
    <definedName name="Z_0CE6A491_5DEF_11D2_8EC3_0008C77C0743_.wvu.PrintTitles" hidden="1">#REF!</definedName>
    <definedName name="Z_0CE6A49E_5DEF_11D2_8EC3_0008C77C0743_.wvu.PrintArea" localSheetId="31" hidden="1">#REF!</definedName>
    <definedName name="Z_0CE6A49E_5DEF_11D2_8EC3_0008C77C0743_.wvu.PrintArea" localSheetId="7" hidden="1">#REF!</definedName>
    <definedName name="Z_0CE6A49E_5DEF_11D2_8EC3_0008C77C0743_.wvu.PrintArea" hidden="1">#REF!</definedName>
    <definedName name="Z_0CE6A49E_5DEF_11D2_8EC3_0008C77C0743_.wvu.PrintTitles" localSheetId="17" hidden="1">#REF!,#REF!</definedName>
    <definedName name="Z_0CE6A49E_5DEF_11D2_8EC3_0008C77C0743_.wvu.PrintTitles" localSheetId="30" hidden="1">#REF!,#REF!</definedName>
    <definedName name="Z_0CE6A49E_5DEF_11D2_8EC3_0008C77C0743_.wvu.PrintTitles" localSheetId="31" hidden="1">#REF!,#REF!</definedName>
    <definedName name="Z_0CE6A49E_5DEF_11D2_8EC3_0008C77C0743_.wvu.PrintTitles" localSheetId="7" hidden="1">#REF!,#REF!</definedName>
    <definedName name="Z_0CE6A49E_5DEF_11D2_8EC3_0008C77C0743_.wvu.PrintTitles" localSheetId="12" hidden="1">#REF!,#REF!</definedName>
    <definedName name="Z_0CE6A49E_5DEF_11D2_8EC3_0008C77C0743_.wvu.PrintTitles" localSheetId="9" hidden="1">#REF!,#REF!</definedName>
    <definedName name="Z_0CE6A49E_5DEF_11D2_8EC3_0008C77C0743_.wvu.PrintTitles" hidden="1">#REF!,#REF!</definedName>
    <definedName name="Z_0CE6A4AB_5DEF_11D2_8EC3_0008C77C0743_.wvu.PrintArea" localSheetId="17" hidden="1">#REF!</definedName>
    <definedName name="Z_0CE6A4AB_5DEF_11D2_8EC3_0008C77C0743_.wvu.PrintArea" localSheetId="30" hidden="1">#REF!</definedName>
    <definedName name="Z_0CE6A4AB_5DEF_11D2_8EC3_0008C77C0743_.wvu.PrintArea" localSheetId="31" hidden="1">#REF!</definedName>
    <definedName name="Z_0CE6A4AB_5DEF_11D2_8EC3_0008C77C0743_.wvu.PrintArea" localSheetId="7" hidden="1">#REF!</definedName>
    <definedName name="Z_0CE6A4AB_5DEF_11D2_8EC3_0008C77C0743_.wvu.PrintArea" localSheetId="12" hidden="1">#REF!</definedName>
    <definedName name="Z_0CE6A4AB_5DEF_11D2_8EC3_0008C77C0743_.wvu.PrintArea" localSheetId="9" hidden="1">#REF!</definedName>
    <definedName name="Z_0CE6A4AB_5DEF_11D2_8EC3_0008C77C0743_.wvu.PrintArea" hidden="1">#REF!</definedName>
    <definedName name="Z_0CE6A4AB_5DEF_11D2_8EC3_0008C77C0743_.wvu.PrintTitles" localSheetId="17" hidden="1">#REF!</definedName>
    <definedName name="Z_0CE6A4AB_5DEF_11D2_8EC3_0008C77C0743_.wvu.PrintTitles" localSheetId="31" hidden="1">#REF!</definedName>
    <definedName name="Z_0CE6A4AB_5DEF_11D2_8EC3_0008C77C0743_.wvu.PrintTitles" localSheetId="7" hidden="1">#REF!</definedName>
    <definedName name="Z_0CE6A4AB_5DEF_11D2_8EC3_0008C77C0743_.wvu.PrintTitles" localSheetId="9" hidden="1">#REF!</definedName>
    <definedName name="Z_0CE6A4AB_5DEF_11D2_8EC3_0008C77C0743_.wvu.PrintTitles" hidden="1">#REF!</definedName>
    <definedName name="Z_0CE6A4BA_5DEF_11D2_8EC3_0008C77C0743_.wvu.PrintArea" localSheetId="17" hidden="1">#REF!</definedName>
    <definedName name="Z_0CE6A4BA_5DEF_11D2_8EC3_0008C77C0743_.wvu.PrintArea" localSheetId="31" hidden="1">#REF!</definedName>
    <definedName name="Z_0CE6A4BA_5DEF_11D2_8EC3_0008C77C0743_.wvu.PrintArea" localSheetId="7" hidden="1">#REF!</definedName>
    <definedName name="Z_0CE6A4BA_5DEF_11D2_8EC3_0008C77C0743_.wvu.PrintArea" localSheetId="9" hidden="1">#REF!</definedName>
    <definedName name="Z_0CE6A4BA_5DEF_11D2_8EC3_0008C77C0743_.wvu.PrintArea" hidden="1">#REF!</definedName>
    <definedName name="Z_0CE6A4BA_5DEF_11D2_8EC3_0008C77C0743_.wvu.PrintTitles" localSheetId="31" hidden="1">#REF!</definedName>
    <definedName name="Z_0CE6A4BA_5DEF_11D2_8EC3_0008C77C0743_.wvu.PrintTitles" localSheetId="7" hidden="1">#REF!</definedName>
    <definedName name="Z_0CE6A4BA_5DEF_11D2_8EC3_0008C77C0743_.wvu.PrintTitles" hidden="1">#REF!</definedName>
    <definedName name="Z_0CE6A4C7_5DEF_11D2_8EC3_0008C77C0743_.wvu.PrintArea" localSheetId="31" hidden="1">#REF!</definedName>
    <definedName name="Z_0CE6A4C7_5DEF_11D2_8EC3_0008C77C0743_.wvu.PrintArea" localSheetId="7" hidden="1">#REF!</definedName>
    <definedName name="Z_0CE6A4C7_5DEF_11D2_8EC3_0008C77C0743_.wvu.PrintArea" hidden="1">#REF!</definedName>
    <definedName name="Z_0CE6A4C7_5DEF_11D2_8EC3_0008C77C0743_.wvu.PrintTitles" localSheetId="17" hidden="1">#REF!,#REF!</definedName>
    <definedName name="Z_0CE6A4C7_5DEF_11D2_8EC3_0008C77C0743_.wvu.PrintTitles" localSheetId="30" hidden="1">#REF!,#REF!</definedName>
    <definedName name="Z_0CE6A4C7_5DEF_11D2_8EC3_0008C77C0743_.wvu.PrintTitles" localSheetId="31" hidden="1">#REF!,#REF!</definedName>
    <definedName name="Z_0CE6A4C7_5DEF_11D2_8EC3_0008C77C0743_.wvu.PrintTitles" localSheetId="7" hidden="1">#REF!,#REF!</definedName>
    <definedName name="Z_0CE6A4C7_5DEF_11D2_8EC3_0008C77C0743_.wvu.PrintTitles" localSheetId="12" hidden="1">#REF!,#REF!</definedName>
    <definedName name="Z_0CE6A4C7_5DEF_11D2_8EC3_0008C77C0743_.wvu.PrintTitles" localSheetId="9" hidden="1">#REF!,#REF!</definedName>
    <definedName name="Z_0CE6A4C7_5DEF_11D2_8EC3_0008C77C0743_.wvu.PrintTitles" hidden="1">#REF!,#REF!</definedName>
    <definedName name="Z_0CE6A4D4_5DEF_11D2_8EC3_0008C77C0743_.wvu.PrintArea" localSheetId="17" hidden="1">#REF!</definedName>
    <definedName name="Z_0CE6A4D4_5DEF_11D2_8EC3_0008C77C0743_.wvu.PrintArea" localSheetId="30" hidden="1">#REF!</definedName>
    <definedName name="Z_0CE6A4D4_5DEF_11D2_8EC3_0008C77C0743_.wvu.PrintArea" localSheetId="31" hidden="1">#REF!</definedName>
    <definedName name="Z_0CE6A4D4_5DEF_11D2_8EC3_0008C77C0743_.wvu.PrintArea" localSheetId="7" hidden="1">#REF!</definedName>
    <definedName name="Z_0CE6A4D4_5DEF_11D2_8EC3_0008C77C0743_.wvu.PrintArea" localSheetId="12" hidden="1">#REF!</definedName>
    <definedName name="Z_0CE6A4D4_5DEF_11D2_8EC3_0008C77C0743_.wvu.PrintArea" localSheetId="9" hidden="1">#REF!</definedName>
    <definedName name="Z_0CE6A4D4_5DEF_11D2_8EC3_0008C77C0743_.wvu.PrintArea" hidden="1">#REF!</definedName>
    <definedName name="Z_0CE6A4D4_5DEF_11D2_8EC3_0008C77C0743_.wvu.PrintTitles" localSheetId="17" hidden="1">#REF!</definedName>
    <definedName name="Z_0CE6A4D4_5DEF_11D2_8EC3_0008C77C0743_.wvu.PrintTitles" localSheetId="31" hidden="1">#REF!</definedName>
    <definedName name="Z_0CE6A4D4_5DEF_11D2_8EC3_0008C77C0743_.wvu.PrintTitles" localSheetId="7" hidden="1">#REF!</definedName>
    <definedName name="Z_0CE6A4D4_5DEF_11D2_8EC3_0008C77C0743_.wvu.PrintTitles" localSheetId="9" hidden="1">#REF!</definedName>
    <definedName name="Z_0CE6A4D4_5DEF_11D2_8EC3_0008C77C0743_.wvu.PrintTitles" hidden="1">#REF!</definedName>
    <definedName name="Z_0CE6A4E3_5DEF_11D2_8EC3_0008C77C0743_.wvu.PrintArea" localSheetId="17" hidden="1">#REF!</definedName>
    <definedName name="Z_0CE6A4E3_5DEF_11D2_8EC3_0008C77C0743_.wvu.PrintArea" localSheetId="31" hidden="1">#REF!</definedName>
    <definedName name="Z_0CE6A4E3_5DEF_11D2_8EC3_0008C77C0743_.wvu.PrintArea" localSheetId="7" hidden="1">#REF!</definedName>
    <definedName name="Z_0CE6A4E3_5DEF_11D2_8EC3_0008C77C0743_.wvu.PrintArea" localSheetId="9" hidden="1">#REF!</definedName>
    <definedName name="Z_0CE6A4E3_5DEF_11D2_8EC3_0008C77C0743_.wvu.PrintArea" hidden="1">#REF!</definedName>
    <definedName name="Z_0CE6A4E3_5DEF_11D2_8EC3_0008C77C0743_.wvu.PrintTitles" localSheetId="31" hidden="1">#REF!</definedName>
    <definedName name="Z_0CE6A4E3_5DEF_11D2_8EC3_0008C77C0743_.wvu.PrintTitles" localSheetId="7" hidden="1">#REF!</definedName>
    <definedName name="Z_0CE6A4E3_5DEF_11D2_8EC3_0008C77C0743_.wvu.PrintTitles" hidden="1">#REF!</definedName>
    <definedName name="Z_0CE6A4F0_5DEF_11D2_8EC3_0008C77C0743_.wvu.PrintArea" localSheetId="31" hidden="1">#REF!</definedName>
    <definedName name="Z_0CE6A4F0_5DEF_11D2_8EC3_0008C77C0743_.wvu.PrintArea" localSheetId="7" hidden="1">#REF!</definedName>
    <definedName name="Z_0CE6A4F0_5DEF_11D2_8EC3_0008C77C0743_.wvu.PrintArea" hidden="1">#REF!</definedName>
    <definedName name="Z_0CE6A4F0_5DEF_11D2_8EC3_0008C77C0743_.wvu.PrintTitles" localSheetId="17" hidden="1">#REF!,#REF!</definedName>
    <definedName name="Z_0CE6A4F0_5DEF_11D2_8EC3_0008C77C0743_.wvu.PrintTitles" localSheetId="30" hidden="1">#REF!,#REF!</definedName>
    <definedName name="Z_0CE6A4F0_5DEF_11D2_8EC3_0008C77C0743_.wvu.PrintTitles" localSheetId="31" hidden="1">#REF!,#REF!</definedName>
    <definedName name="Z_0CE6A4F0_5DEF_11D2_8EC3_0008C77C0743_.wvu.PrintTitles" localSheetId="7" hidden="1">#REF!,#REF!</definedName>
    <definedName name="Z_0CE6A4F0_5DEF_11D2_8EC3_0008C77C0743_.wvu.PrintTitles" localSheetId="12" hidden="1">#REF!,#REF!</definedName>
    <definedName name="Z_0CE6A4F0_5DEF_11D2_8EC3_0008C77C0743_.wvu.PrintTitles" localSheetId="9" hidden="1">#REF!,#REF!</definedName>
    <definedName name="Z_0CE6A4F0_5DEF_11D2_8EC3_0008C77C0743_.wvu.PrintTitles" hidden="1">#REF!,#REF!</definedName>
    <definedName name="Z_0CE6A4FD_5DEF_11D2_8EC3_0008C77C0743_.wvu.PrintArea" localSheetId="17" hidden="1">#REF!</definedName>
    <definedName name="Z_0CE6A4FD_5DEF_11D2_8EC3_0008C77C0743_.wvu.PrintArea" localSheetId="30" hidden="1">#REF!</definedName>
    <definedName name="Z_0CE6A4FD_5DEF_11D2_8EC3_0008C77C0743_.wvu.PrintArea" localSheetId="31" hidden="1">#REF!</definedName>
    <definedName name="Z_0CE6A4FD_5DEF_11D2_8EC3_0008C77C0743_.wvu.PrintArea" localSheetId="7" hidden="1">#REF!</definedName>
    <definedName name="Z_0CE6A4FD_5DEF_11D2_8EC3_0008C77C0743_.wvu.PrintArea" localSheetId="12" hidden="1">#REF!</definedName>
    <definedName name="Z_0CE6A4FD_5DEF_11D2_8EC3_0008C77C0743_.wvu.PrintArea" localSheetId="9" hidden="1">#REF!</definedName>
    <definedName name="Z_0CE6A4FD_5DEF_11D2_8EC3_0008C77C0743_.wvu.PrintArea" hidden="1">#REF!</definedName>
    <definedName name="Z_0CE6A4FD_5DEF_11D2_8EC3_0008C77C0743_.wvu.PrintTitles" localSheetId="17" hidden="1">#REF!</definedName>
    <definedName name="Z_0CE6A4FD_5DEF_11D2_8EC3_0008C77C0743_.wvu.PrintTitles" localSheetId="31" hidden="1">#REF!</definedName>
    <definedName name="Z_0CE6A4FD_5DEF_11D2_8EC3_0008C77C0743_.wvu.PrintTitles" localSheetId="7" hidden="1">#REF!</definedName>
    <definedName name="Z_0CE6A4FD_5DEF_11D2_8EC3_0008C77C0743_.wvu.PrintTitles" localSheetId="9" hidden="1">#REF!</definedName>
    <definedName name="Z_0CE6A4FD_5DEF_11D2_8EC3_0008C77C0743_.wvu.PrintTitles" hidden="1">#REF!</definedName>
    <definedName name="Z_0CE6A50C_5DEF_11D2_8EC3_0008C77C0743_.wvu.PrintArea" localSheetId="17" hidden="1">#REF!</definedName>
    <definedName name="Z_0CE6A50C_5DEF_11D2_8EC3_0008C77C0743_.wvu.PrintArea" localSheetId="31" hidden="1">#REF!</definedName>
    <definedName name="Z_0CE6A50C_5DEF_11D2_8EC3_0008C77C0743_.wvu.PrintArea" localSheetId="7" hidden="1">#REF!</definedName>
    <definedName name="Z_0CE6A50C_5DEF_11D2_8EC3_0008C77C0743_.wvu.PrintArea" localSheetId="9" hidden="1">#REF!</definedName>
    <definedName name="Z_0CE6A50C_5DEF_11D2_8EC3_0008C77C0743_.wvu.PrintArea" hidden="1">#REF!</definedName>
    <definedName name="Z_0CE6A50C_5DEF_11D2_8EC3_0008C77C0743_.wvu.PrintTitles" localSheetId="31" hidden="1">#REF!</definedName>
    <definedName name="Z_0CE6A50C_5DEF_11D2_8EC3_0008C77C0743_.wvu.PrintTitles" localSheetId="7" hidden="1">#REF!</definedName>
    <definedName name="Z_0CE6A50C_5DEF_11D2_8EC3_0008C77C0743_.wvu.PrintTitles" hidden="1">#REF!</definedName>
    <definedName name="Z_0CE6A519_5DEF_11D2_8EC3_0008C77C0743_.wvu.PrintArea" localSheetId="31" hidden="1">#REF!</definedName>
    <definedName name="Z_0CE6A519_5DEF_11D2_8EC3_0008C77C0743_.wvu.PrintArea" localSheetId="7" hidden="1">#REF!</definedName>
    <definedName name="Z_0CE6A519_5DEF_11D2_8EC3_0008C77C0743_.wvu.PrintArea" hidden="1">#REF!</definedName>
    <definedName name="Z_0CE6A519_5DEF_11D2_8EC3_0008C77C0743_.wvu.PrintTitles" localSheetId="17" hidden="1">#REF!,#REF!</definedName>
    <definedName name="Z_0CE6A519_5DEF_11D2_8EC3_0008C77C0743_.wvu.PrintTitles" localSheetId="30" hidden="1">#REF!,#REF!</definedName>
    <definedName name="Z_0CE6A519_5DEF_11D2_8EC3_0008C77C0743_.wvu.PrintTitles" localSheetId="31" hidden="1">#REF!,#REF!</definedName>
    <definedName name="Z_0CE6A519_5DEF_11D2_8EC3_0008C77C0743_.wvu.PrintTitles" localSheetId="7" hidden="1">#REF!,#REF!</definedName>
    <definedName name="Z_0CE6A519_5DEF_11D2_8EC3_0008C77C0743_.wvu.PrintTitles" localSheetId="12" hidden="1">#REF!,#REF!</definedName>
    <definedName name="Z_0CE6A519_5DEF_11D2_8EC3_0008C77C0743_.wvu.PrintTitles" localSheetId="9" hidden="1">#REF!,#REF!</definedName>
    <definedName name="Z_0CE6A519_5DEF_11D2_8EC3_0008C77C0743_.wvu.PrintTitles" hidden="1">#REF!,#REF!</definedName>
    <definedName name="Z_0E8DEF60_5D61_11D2_8EEB_0008C7BCAF29_.wvu.PrintArea" localSheetId="17" hidden="1">#REF!</definedName>
    <definedName name="Z_0E8DEF60_5D61_11D2_8EEB_0008C7BCAF29_.wvu.PrintArea" localSheetId="30" hidden="1">#REF!</definedName>
    <definedName name="Z_0E8DEF60_5D61_11D2_8EEB_0008C7BCAF29_.wvu.PrintArea" localSheetId="31" hidden="1">#REF!</definedName>
    <definedName name="Z_0E8DEF60_5D61_11D2_8EEB_0008C7BCAF29_.wvu.PrintArea" localSheetId="7" hidden="1">#REF!</definedName>
    <definedName name="Z_0E8DEF60_5D61_11D2_8EEB_0008C7BCAF29_.wvu.PrintArea" localSheetId="12" hidden="1">#REF!</definedName>
    <definedName name="Z_0E8DEF60_5D61_11D2_8EEB_0008C7BCAF29_.wvu.PrintArea" localSheetId="9" hidden="1">#REF!</definedName>
    <definedName name="Z_0E8DEF60_5D61_11D2_8EEB_0008C7BCAF29_.wvu.PrintArea" hidden="1">#REF!</definedName>
    <definedName name="Z_0E8DEF60_5D61_11D2_8EEB_0008C7BCAF29_.wvu.PrintTitles" localSheetId="17" hidden="1">#REF!,#REF!</definedName>
    <definedName name="Z_0E8DEF60_5D61_11D2_8EEB_0008C7BCAF29_.wvu.PrintTitles" localSheetId="30" hidden="1">#REF!,#REF!</definedName>
    <definedName name="Z_0E8DEF60_5D61_11D2_8EEB_0008C7BCAF29_.wvu.PrintTitles" localSheetId="31" hidden="1">#REF!,#REF!</definedName>
    <definedName name="Z_0E8DEF60_5D61_11D2_8EEB_0008C7BCAF29_.wvu.PrintTitles" localSheetId="7" hidden="1">#REF!,#REF!</definedName>
    <definedName name="Z_0E8DEF60_5D61_11D2_8EEB_0008C7BCAF29_.wvu.PrintTitles" localSheetId="12" hidden="1">#REF!,#REF!</definedName>
    <definedName name="Z_0E8DEF60_5D61_11D2_8EEB_0008C7BCAF29_.wvu.PrintTitles" localSheetId="9" hidden="1">#REF!,#REF!</definedName>
    <definedName name="Z_0E8DEF60_5D61_11D2_8EEB_0008C7BCAF29_.wvu.PrintTitles" hidden="1">#REF!,#REF!</definedName>
    <definedName name="Z_0E8DEF63_5D61_11D2_8EEB_0008C7BCAF29_.wvu.PrintArea" localSheetId="17" hidden="1">#REF!</definedName>
    <definedName name="Z_0E8DEF63_5D61_11D2_8EEB_0008C7BCAF29_.wvu.PrintArea" localSheetId="30" hidden="1">#REF!</definedName>
    <definedName name="Z_0E8DEF63_5D61_11D2_8EEB_0008C7BCAF29_.wvu.PrintArea" localSheetId="31" hidden="1">#REF!</definedName>
    <definedName name="Z_0E8DEF63_5D61_11D2_8EEB_0008C7BCAF29_.wvu.PrintArea" localSheetId="7" hidden="1">#REF!</definedName>
    <definedName name="Z_0E8DEF63_5D61_11D2_8EEB_0008C7BCAF29_.wvu.PrintArea" localSheetId="12" hidden="1">#REF!</definedName>
    <definedName name="Z_0E8DEF63_5D61_11D2_8EEB_0008C7BCAF29_.wvu.PrintArea" localSheetId="9" hidden="1">#REF!</definedName>
    <definedName name="Z_0E8DEF63_5D61_11D2_8EEB_0008C7BCAF29_.wvu.PrintArea" hidden="1">#REF!</definedName>
    <definedName name="Z_0E8DEF63_5D61_11D2_8EEB_0008C7BCAF29_.wvu.PrintTitles" localSheetId="17" hidden="1">#REF!</definedName>
    <definedName name="Z_0E8DEF63_5D61_11D2_8EEB_0008C7BCAF29_.wvu.PrintTitles" localSheetId="31" hidden="1">#REF!</definedName>
    <definedName name="Z_0E8DEF63_5D61_11D2_8EEB_0008C7BCAF29_.wvu.PrintTitles" localSheetId="7" hidden="1">#REF!</definedName>
    <definedName name="Z_0E8DEF63_5D61_11D2_8EEB_0008C7BCAF29_.wvu.PrintTitles" localSheetId="9" hidden="1">#REF!</definedName>
    <definedName name="Z_0E8DEF63_5D61_11D2_8EEB_0008C7BCAF29_.wvu.PrintTitles" hidden="1">#REF!</definedName>
    <definedName name="Z_0E8DEF68_5D61_11D2_8EEB_0008C7BCAF29_.wvu.PrintArea" localSheetId="17" hidden="1">#REF!</definedName>
    <definedName name="Z_0E8DEF68_5D61_11D2_8EEB_0008C7BCAF29_.wvu.PrintArea" localSheetId="31" hidden="1">#REF!</definedName>
    <definedName name="Z_0E8DEF68_5D61_11D2_8EEB_0008C7BCAF29_.wvu.PrintArea" localSheetId="7" hidden="1">#REF!</definedName>
    <definedName name="Z_0E8DEF68_5D61_11D2_8EEB_0008C7BCAF29_.wvu.PrintArea" localSheetId="9" hidden="1">#REF!</definedName>
    <definedName name="Z_0E8DEF68_5D61_11D2_8EEB_0008C7BCAF29_.wvu.PrintArea" hidden="1">#REF!</definedName>
    <definedName name="Z_0E8DEF68_5D61_11D2_8EEB_0008C7BCAF29_.wvu.PrintTitles" localSheetId="17" hidden="1">#REF!,#REF!</definedName>
    <definedName name="Z_0E8DEF68_5D61_11D2_8EEB_0008C7BCAF29_.wvu.PrintTitles" localSheetId="30" hidden="1">#REF!,#REF!</definedName>
    <definedName name="Z_0E8DEF68_5D61_11D2_8EEB_0008C7BCAF29_.wvu.PrintTitles" localSheetId="31" hidden="1">#REF!,#REF!</definedName>
    <definedName name="Z_0E8DEF68_5D61_11D2_8EEB_0008C7BCAF29_.wvu.PrintTitles" localSheetId="7" hidden="1">#REF!,#REF!</definedName>
    <definedName name="Z_0E8DEF68_5D61_11D2_8EEB_0008C7BCAF29_.wvu.PrintTitles" localSheetId="12" hidden="1">#REF!,#REF!</definedName>
    <definedName name="Z_0E8DEF68_5D61_11D2_8EEB_0008C7BCAF29_.wvu.PrintTitles" localSheetId="9" hidden="1">#REF!,#REF!</definedName>
    <definedName name="Z_0E8DEF68_5D61_11D2_8EEB_0008C7BCAF29_.wvu.PrintTitles" hidden="1">#REF!,#REF!</definedName>
    <definedName name="Z_0E8DEF6A_5D61_11D2_8EEB_0008C7BCAF29_.wvu.PrintArea" localSheetId="17" hidden="1">#REF!</definedName>
    <definedName name="Z_0E8DEF6A_5D61_11D2_8EEB_0008C7BCAF29_.wvu.PrintArea" localSheetId="30" hidden="1">#REF!</definedName>
    <definedName name="Z_0E8DEF6A_5D61_11D2_8EEB_0008C7BCAF29_.wvu.PrintArea" localSheetId="31" hidden="1">#REF!</definedName>
    <definedName name="Z_0E8DEF6A_5D61_11D2_8EEB_0008C7BCAF29_.wvu.PrintArea" localSheetId="7" hidden="1">#REF!</definedName>
    <definedName name="Z_0E8DEF6A_5D61_11D2_8EEB_0008C7BCAF29_.wvu.PrintArea" localSheetId="12" hidden="1">#REF!</definedName>
    <definedName name="Z_0E8DEF6A_5D61_11D2_8EEB_0008C7BCAF29_.wvu.PrintArea" localSheetId="9" hidden="1">#REF!</definedName>
    <definedName name="Z_0E8DEF6A_5D61_11D2_8EEB_0008C7BCAF29_.wvu.PrintArea" hidden="1">#REF!</definedName>
    <definedName name="Z_0E8DEF6A_5D61_11D2_8EEB_0008C7BCAF29_.wvu.PrintTitles" localSheetId="17" hidden="1">#REF!,#REF!</definedName>
    <definedName name="Z_0E8DEF6A_5D61_11D2_8EEB_0008C7BCAF29_.wvu.PrintTitles" localSheetId="30" hidden="1">#REF!,#REF!</definedName>
    <definedName name="Z_0E8DEF6A_5D61_11D2_8EEB_0008C7BCAF29_.wvu.PrintTitles" localSheetId="31" hidden="1">#REF!,#REF!</definedName>
    <definedName name="Z_0E8DEF6A_5D61_11D2_8EEB_0008C7BCAF29_.wvu.PrintTitles" localSheetId="7" hidden="1">#REF!,#REF!</definedName>
    <definedName name="Z_0E8DEF6A_5D61_11D2_8EEB_0008C7BCAF29_.wvu.PrintTitles" localSheetId="12" hidden="1">#REF!,#REF!</definedName>
    <definedName name="Z_0E8DEF6A_5D61_11D2_8EEB_0008C7BCAF29_.wvu.PrintTitles" localSheetId="9" hidden="1">#REF!,#REF!</definedName>
    <definedName name="Z_0E8DEF6A_5D61_11D2_8EEB_0008C7BCAF29_.wvu.PrintTitles" hidden="1">#REF!,#REF!</definedName>
    <definedName name="Z_0E8DEF6D_5D61_11D2_8EEB_0008C7BCAF29_.wvu.PrintArea" localSheetId="17" hidden="1">#REF!</definedName>
    <definedName name="Z_0E8DEF6D_5D61_11D2_8EEB_0008C7BCAF29_.wvu.PrintArea" localSheetId="30" hidden="1">#REF!</definedName>
    <definedName name="Z_0E8DEF6D_5D61_11D2_8EEB_0008C7BCAF29_.wvu.PrintArea" localSheetId="31" hidden="1">#REF!</definedName>
    <definedName name="Z_0E8DEF6D_5D61_11D2_8EEB_0008C7BCAF29_.wvu.PrintArea" localSheetId="7" hidden="1">#REF!</definedName>
    <definedName name="Z_0E8DEF6D_5D61_11D2_8EEB_0008C7BCAF29_.wvu.PrintArea" localSheetId="12" hidden="1">#REF!</definedName>
    <definedName name="Z_0E8DEF6D_5D61_11D2_8EEB_0008C7BCAF29_.wvu.PrintArea" localSheetId="9" hidden="1">#REF!</definedName>
    <definedName name="Z_0E8DEF6D_5D61_11D2_8EEB_0008C7BCAF29_.wvu.PrintArea" hidden="1">#REF!</definedName>
    <definedName name="Z_0E8DEF6D_5D61_11D2_8EEB_0008C7BCAF29_.wvu.PrintTitles" localSheetId="17" hidden="1">#REF!</definedName>
    <definedName name="Z_0E8DEF6D_5D61_11D2_8EEB_0008C7BCAF29_.wvu.PrintTitles" localSheetId="31" hidden="1">#REF!</definedName>
    <definedName name="Z_0E8DEF6D_5D61_11D2_8EEB_0008C7BCAF29_.wvu.PrintTitles" localSheetId="7" hidden="1">#REF!</definedName>
    <definedName name="Z_0E8DEF6D_5D61_11D2_8EEB_0008C7BCAF29_.wvu.PrintTitles" localSheetId="9" hidden="1">#REF!</definedName>
    <definedName name="Z_0E8DEF6D_5D61_11D2_8EEB_0008C7BCAF29_.wvu.PrintTitles" hidden="1">#REF!</definedName>
    <definedName name="Z_0E8DEF72_5D61_11D2_8EEB_0008C7BCAF29_.wvu.PrintArea" localSheetId="17" hidden="1">#REF!</definedName>
    <definedName name="Z_0E8DEF72_5D61_11D2_8EEB_0008C7BCAF29_.wvu.PrintArea" localSheetId="31" hidden="1">#REF!</definedName>
    <definedName name="Z_0E8DEF72_5D61_11D2_8EEB_0008C7BCAF29_.wvu.PrintArea" localSheetId="7" hidden="1">#REF!</definedName>
    <definedName name="Z_0E8DEF72_5D61_11D2_8EEB_0008C7BCAF29_.wvu.PrintArea" localSheetId="9" hidden="1">#REF!</definedName>
    <definedName name="Z_0E8DEF72_5D61_11D2_8EEB_0008C7BCAF29_.wvu.PrintArea" hidden="1">#REF!</definedName>
    <definedName name="Z_0E8DEF72_5D61_11D2_8EEB_0008C7BCAF29_.wvu.PrintTitles" localSheetId="17" hidden="1">#REF!,#REF!</definedName>
    <definedName name="Z_0E8DEF72_5D61_11D2_8EEB_0008C7BCAF29_.wvu.PrintTitles" localSheetId="30" hidden="1">#REF!,#REF!</definedName>
    <definedName name="Z_0E8DEF72_5D61_11D2_8EEB_0008C7BCAF29_.wvu.PrintTitles" localSheetId="31" hidden="1">#REF!,#REF!</definedName>
    <definedName name="Z_0E8DEF72_5D61_11D2_8EEB_0008C7BCAF29_.wvu.PrintTitles" localSheetId="7" hidden="1">#REF!,#REF!</definedName>
    <definedName name="Z_0E8DEF72_5D61_11D2_8EEB_0008C7BCAF29_.wvu.PrintTitles" localSheetId="12" hidden="1">#REF!,#REF!</definedName>
    <definedName name="Z_0E8DEF72_5D61_11D2_8EEB_0008C7BCAF29_.wvu.PrintTitles" localSheetId="9" hidden="1">#REF!,#REF!</definedName>
    <definedName name="Z_0E8DEF72_5D61_11D2_8EEB_0008C7BCAF29_.wvu.PrintTitles" hidden="1">#REF!,#REF!</definedName>
    <definedName name="Z_0E8DEF75_5D61_11D2_8EEB_0008C7BCAF29_.wvu.PrintArea" localSheetId="17" hidden="1">#REF!</definedName>
    <definedName name="Z_0E8DEF75_5D61_11D2_8EEB_0008C7BCAF29_.wvu.PrintArea" localSheetId="30" hidden="1">#REF!</definedName>
    <definedName name="Z_0E8DEF75_5D61_11D2_8EEB_0008C7BCAF29_.wvu.PrintArea" localSheetId="31" hidden="1">#REF!</definedName>
    <definedName name="Z_0E8DEF75_5D61_11D2_8EEB_0008C7BCAF29_.wvu.PrintArea" localSheetId="7" hidden="1">#REF!</definedName>
    <definedName name="Z_0E8DEF75_5D61_11D2_8EEB_0008C7BCAF29_.wvu.PrintArea" localSheetId="12" hidden="1">#REF!</definedName>
    <definedName name="Z_0E8DEF75_5D61_11D2_8EEB_0008C7BCAF29_.wvu.PrintArea" localSheetId="9" hidden="1">#REF!</definedName>
    <definedName name="Z_0E8DEF75_5D61_11D2_8EEB_0008C7BCAF29_.wvu.PrintArea" hidden="1">#REF!</definedName>
    <definedName name="Z_0E8DEF75_5D61_11D2_8EEB_0008C7BCAF29_.wvu.PrintTitles" localSheetId="17" hidden="1">#REF!,#REF!</definedName>
    <definedName name="Z_0E8DEF75_5D61_11D2_8EEB_0008C7BCAF29_.wvu.PrintTitles" localSheetId="30" hidden="1">#REF!,#REF!</definedName>
    <definedName name="Z_0E8DEF75_5D61_11D2_8EEB_0008C7BCAF29_.wvu.PrintTitles" localSheetId="31" hidden="1">#REF!,#REF!</definedName>
    <definedName name="Z_0E8DEF75_5D61_11D2_8EEB_0008C7BCAF29_.wvu.PrintTitles" localSheetId="7" hidden="1">#REF!,#REF!</definedName>
    <definedName name="Z_0E8DEF75_5D61_11D2_8EEB_0008C7BCAF29_.wvu.PrintTitles" localSheetId="12" hidden="1">#REF!,#REF!</definedName>
    <definedName name="Z_0E8DEF75_5D61_11D2_8EEB_0008C7BCAF29_.wvu.PrintTitles" localSheetId="9" hidden="1">#REF!,#REF!</definedName>
    <definedName name="Z_0E8DEF75_5D61_11D2_8EEB_0008C7BCAF29_.wvu.PrintTitles" hidden="1">#REF!,#REF!</definedName>
    <definedName name="Z_104A9A10_1599_11D2_A26F_08000939C87E_.wvu.Cols" localSheetId="10" hidden="1">#REF!</definedName>
    <definedName name="Z_104A9A10_1599_11D2_A26F_08000939C87E_.wvu.Cols" hidden="1">#REF!</definedName>
    <definedName name="Z_104A9A11_1599_11D2_A26F_08000939C87E_.wvu.Cols" localSheetId="7" hidden="1">#REF!,#REF!</definedName>
    <definedName name="Z_104A9A11_1599_11D2_A26F_08000939C87E_.wvu.Cols" localSheetId="10" hidden="1">#REF!,#REF!</definedName>
    <definedName name="Z_104A9A11_1599_11D2_A26F_08000939C87E_.wvu.Cols" hidden="1">#REF!,#REF!</definedName>
    <definedName name="Z_104A9A12_1599_11D2_A26F_08000939C87E_.wvu.Cols" localSheetId="10" hidden="1">#REF!</definedName>
    <definedName name="Z_104A9A12_1599_11D2_A26F_08000939C87E_.wvu.Cols" hidden="1">#REF!</definedName>
    <definedName name="Z_104A9A14_1599_11D2_A26F_08000939C87E_.wvu.Cols" localSheetId="10" hidden="1">#REF!</definedName>
    <definedName name="Z_104A9A14_1599_11D2_A26F_08000939C87E_.wvu.Cols" hidden="1">#REF!</definedName>
    <definedName name="Z_179EFDC8_A1B1_11D3_8FA9_0008C7809E09_.wvu.PrintArea" localSheetId="17" hidden="1">#REF!</definedName>
    <definedName name="Z_179EFDC8_A1B1_11D3_8FA9_0008C7809E09_.wvu.PrintArea" localSheetId="30" hidden="1">#REF!</definedName>
    <definedName name="Z_179EFDC8_A1B1_11D3_8FA9_0008C7809E09_.wvu.PrintArea" localSheetId="31" hidden="1">#REF!</definedName>
    <definedName name="Z_179EFDC8_A1B1_11D3_8FA9_0008C7809E09_.wvu.PrintArea" localSheetId="7" hidden="1">#REF!</definedName>
    <definedName name="Z_179EFDC8_A1B1_11D3_8FA9_0008C7809E09_.wvu.PrintArea" localSheetId="9" hidden="1">#REF!</definedName>
    <definedName name="Z_179EFDC8_A1B1_11D3_8FA9_0008C7809E09_.wvu.PrintArea" hidden="1">#REF!</definedName>
    <definedName name="Z_179EFDC8_A1B1_11D3_8FA9_0008C7809E09_.wvu.PrintTitles" localSheetId="17" hidden="1">#REF!,#REF!</definedName>
    <definedName name="Z_179EFDC8_A1B1_11D3_8FA9_0008C7809E09_.wvu.PrintTitles" localSheetId="30" hidden="1">#REF!,#REF!</definedName>
    <definedName name="Z_179EFDC8_A1B1_11D3_8FA9_0008C7809E09_.wvu.PrintTitles" localSheetId="31" hidden="1">#REF!,#REF!</definedName>
    <definedName name="Z_179EFDC8_A1B1_11D3_8FA9_0008C7809E09_.wvu.PrintTitles" localSheetId="7" hidden="1">#REF!,#REF!</definedName>
    <definedName name="Z_179EFDC8_A1B1_11D3_8FA9_0008C7809E09_.wvu.PrintTitles" localSheetId="12" hidden="1">#REF!,#REF!</definedName>
    <definedName name="Z_179EFDC8_A1B1_11D3_8FA9_0008C7809E09_.wvu.PrintTitles" localSheetId="9" hidden="1">#REF!,#REF!</definedName>
    <definedName name="Z_179EFDC8_A1B1_11D3_8FA9_0008C7809E09_.wvu.PrintTitles" hidden="1">#REF!,#REF!</definedName>
    <definedName name="Z_179EFDC9_A1B1_11D3_8FA9_0008C7809E09_.wvu.PrintArea" localSheetId="17" hidden="1">#REF!</definedName>
    <definedName name="Z_179EFDC9_A1B1_11D3_8FA9_0008C7809E09_.wvu.PrintArea" localSheetId="30" hidden="1">#REF!</definedName>
    <definedName name="Z_179EFDC9_A1B1_11D3_8FA9_0008C7809E09_.wvu.PrintArea" localSheetId="31" hidden="1">#REF!</definedName>
    <definedName name="Z_179EFDC9_A1B1_11D3_8FA9_0008C7809E09_.wvu.PrintArea" localSheetId="7" hidden="1">#REF!</definedName>
    <definedName name="Z_179EFDC9_A1B1_11D3_8FA9_0008C7809E09_.wvu.PrintArea" localSheetId="12" hidden="1">#REF!</definedName>
    <definedName name="Z_179EFDC9_A1B1_11D3_8FA9_0008C7809E09_.wvu.PrintArea" localSheetId="9" hidden="1">#REF!</definedName>
    <definedName name="Z_179EFDC9_A1B1_11D3_8FA9_0008C7809E09_.wvu.PrintArea" hidden="1">#REF!</definedName>
    <definedName name="Z_179EFDC9_A1B1_11D3_8FA9_0008C7809E09_.wvu.PrintTitles" localSheetId="17" hidden="1">#REF!,#REF!</definedName>
    <definedName name="Z_179EFDC9_A1B1_11D3_8FA9_0008C7809E09_.wvu.PrintTitles" localSheetId="30" hidden="1">#REF!,#REF!</definedName>
    <definedName name="Z_179EFDC9_A1B1_11D3_8FA9_0008C7809E09_.wvu.PrintTitles" localSheetId="31" hidden="1">#REF!,#REF!</definedName>
    <definedName name="Z_179EFDC9_A1B1_11D3_8FA9_0008C7809E09_.wvu.PrintTitles" localSheetId="7" hidden="1">#REF!,#REF!</definedName>
    <definedName name="Z_179EFDC9_A1B1_11D3_8FA9_0008C7809E09_.wvu.PrintTitles" localSheetId="12" hidden="1">#REF!,#REF!</definedName>
    <definedName name="Z_179EFDC9_A1B1_11D3_8FA9_0008C7809E09_.wvu.PrintTitles" localSheetId="9" hidden="1">#REF!,#REF!</definedName>
    <definedName name="Z_179EFDC9_A1B1_11D3_8FA9_0008C7809E09_.wvu.PrintTitles" hidden="1">#REF!,#REF!</definedName>
    <definedName name="Z_179EFDCA_A1B1_11D3_8FA9_0008C7809E09_.wvu.PrintArea" localSheetId="17" hidden="1">#REF!</definedName>
    <definedName name="Z_179EFDCA_A1B1_11D3_8FA9_0008C7809E09_.wvu.PrintArea" localSheetId="30" hidden="1">#REF!</definedName>
    <definedName name="Z_179EFDCA_A1B1_11D3_8FA9_0008C7809E09_.wvu.PrintArea" localSheetId="31" hidden="1">#REF!</definedName>
    <definedName name="Z_179EFDCA_A1B1_11D3_8FA9_0008C7809E09_.wvu.PrintArea" localSheetId="7" hidden="1">#REF!</definedName>
    <definedName name="Z_179EFDCA_A1B1_11D3_8FA9_0008C7809E09_.wvu.PrintArea" localSheetId="12" hidden="1">#REF!</definedName>
    <definedName name="Z_179EFDCA_A1B1_11D3_8FA9_0008C7809E09_.wvu.PrintArea" localSheetId="9" hidden="1">#REF!</definedName>
    <definedName name="Z_179EFDCA_A1B1_11D3_8FA9_0008C7809E09_.wvu.PrintArea" hidden="1">#REF!</definedName>
    <definedName name="Z_179EFDCA_A1B1_11D3_8FA9_0008C7809E09_.wvu.PrintTitles" localSheetId="17" hidden="1">#REF!,#REF!</definedName>
    <definedName name="Z_179EFDCA_A1B1_11D3_8FA9_0008C7809E09_.wvu.PrintTitles" localSheetId="30" hidden="1">#REF!,#REF!</definedName>
    <definedName name="Z_179EFDCA_A1B1_11D3_8FA9_0008C7809E09_.wvu.PrintTitles" localSheetId="31" hidden="1">#REF!,#REF!</definedName>
    <definedName name="Z_179EFDCA_A1B1_11D3_8FA9_0008C7809E09_.wvu.PrintTitles" localSheetId="7" hidden="1">#REF!,#REF!</definedName>
    <definedName name="Z_179EFDCA_A1B1_11D3_8FA9_0008C7809E09_.wvu.PrintTitles" localSheetId="12" hidden="1">#REF!,#REF!</definedName>
    <definedName name="Z_179EFDCA_A1B1_11D3_8FA9_0008C7809E09_.wvu.PrintTitles" localSheetId="9" hidden="1">#REF!,#REF!</definedName>
    <definedName name="Z_179EFDCA_A1B1_11D3_8FA9_0008C7809E09_.wvu.PrintTitles" hidden="1">#REF!,#REF!</definedName>
    <definedName name="Z_179EFDCB_A1B1_11D3_8FA9_0008C7809E09_.wvu.PrintArea" localSheetId="17" hidden="1">#REF!</definedName>
    <definedName name="Z_179EFDCB_A1B1_11D3_8FA9_0008C7809E09_.wvu.PrintArea" localSheetId="30" hidden="1">#REF!</definedName>
    <definedName name="Z_179EFDCB_A1B1_11D3_8FA9_0008C7809E09_.wvu.PrintArea" localSheetId="31" hidden="1">#REF!</definedName>
    <definedName name="Z_179EFDCB_A1B1_11D3_8FA9_0008C7809E09_.wvu.PrintArea" localSheetId="7" hidden="1">#REF!</definedName>
    <definedName name="Z_179EFDCB_A1B1_11D3_8FA9_0008C7809E09_.wvu.PrintArea" localSheetId="12" hidden="1">#REF!</definedName>
    <definedName name="Z_179EFDCB_A1B1_11D3_8FA9_0008C7809E09_.wvu.PrintArea" localSheetId="9" hidden="1">#REF!</definedName>
    <definedName name="Z_179EFDCB_A1B1_11D3_8FA9_0008C7809E09_.wvu.PrintArea" hidden="1">#REF!</definedName>
    <definedName name="Z_179EFDCB_A1B1_11D3_8FA9_0008C7809E09_.wvu.PrintTitles" localSheetId="17" hidden="1">#REF!,#REF!</definedName>
    <definedName name="Z_179EFDCB_A1B1_11D3_8FA9_0008C7809E09_.wvu.PrintTitles" localSheetId="30" hidden="1">#REF!,#REF!</definedName>
    <definedName name="Z_179EFDCB_A1B1_11D3_8FA9_0008C7809E09_.wvu.PrintTitles" localSheetId="31" hidden="1">#REF!,#REF!</definedName>
    <definedName name="Z_179EFDCB_A1B1_11D3_8FA9_0008C7809E09_.wvu.PrintTitles" localSheetId="7" hidden="1">#REF!,#REF!</definedName>
    <definedName name="Z_179EFDCB_A1B1_11D3_8FA9_0008C7809E09_.wvu.PrintTitles" localSheetId="12" hidden="1">#REF!,#REF!</definedName>
    <definedName name="Z_179EFDCB_A1B1_11D3_8FA9_0008C7809E09_.wvu.PrintTitles" localSheetId="9" hidden="1">#REF!,#REF!</definedName>
    <definedName name="Z_179EFDCB_A1B1_11D3_8FA9_0008C7809E09_.wvu.PrintTitles" hidden="1">#REF!,#REF!</definedName>
    <definedName name="Z_179EFDCC_A1B1_11D3_8FA9_0008C7809E09_.wvu.PrintArea" localSheetId="17" hidden="1">#REF!</definedName>
    <definedName name="Z_179EFDCC_A1B1_11D3_8FA9_0008C7809E09_.wvu.PrintArea" localSheetId="30" hidden="1">#REF!</definedName>
    <definedName name="Z_179EFDCC_A1B1_11D3_8FA9_0008C7809E09_.wvu.PrintArea" localSheetId="31" hidden="1">#REF!</definedName>
    <definedName name="Z_179EFDCC_A1B1_11D3_8FA9_0008C7809E09_.wvu.PrintArea" localSheetId="7" hidden="1">#REF!</definedName>
    <definedName name="Z_179EFDCC_A1B1_11D3_8FA9_0008C7809E09_.wvu.PrintArea" localSheetId="12" hidden="1">#REF!</definedName>
    <definedName name="Z_179EFDCC_A1B1_11D3_8FA9_0008C7809E09_.wvu.PrintArea" localSheetId="9" hidden="1">#REF!</definedName>
    <definedName name="Z_179EFDCC_A1B1_11D3_8FA9_0008C7809E09_.wvu.PrintArea" hidden="1">#REF!</definedName>
    <definedName name="Z_179EFDCC_A1B1_11D3_8FA9_0008C7809E09_.wvu.PrintTitles" localSheetId="17" hidden="1">#REF!,#REF!</definedName>
    <definedName name="Z_179EFDCC_A1B1_11D3_8FA9_0008C7809E09_.wvu.PrintTitles" localSheetId="30" hidden="1">#REF!,#REF!</definedName>
    <definedName name="Z_179EFDCC_A1B1_11D3_8FA9_0008C7809E09_.wvu.PrintTitles" localSheetId="31" hidden="1">#REF!,#REF!</definedName>
    <definedName name="Z_179EFDCC_A1B1_11D3_8FA9_0008C7809E09_.wvu.PrintTitles" localSheetId="7" hidden="1">#REF!,#REF!</definedName>
    <definedName name="Z_179EFDCC_A1B1_11D3_8FA9_0008C7809E09_.wvu.PrintTitles" localSheetId="12" hidden="1">#REF!,#REF!</definedName>
    <definedName name="Z_179EFDCC_A1B1_11D3_8FA9_0008C7809E09_.wvu.PrintTitles" localSheetId="9" hidden="1">#REF!,#REF!</definedName>
    <definedName name="Z_179EFDCC_A1B1_11D3_8FA9_0008C7809E09_.wvu.PrintTitles" hidden="1">#REF!,#REF!</definedName>
    <definedName name="Z_179EFDCD_A1B1_11D3_8FA9_0008C7809E09_.wvu.PrintArea" localSheetId="17" hidden="1">#REF!</definedName>
    <definedName name="Z_179EFDCD_A1B1_11D3_8FA9_0008C7809E09_.wvu.PrintArea" localSheetId="30" hidden="1">#REF!</definedName>
    <definedName name="Z_179EFDCD_A1B1_11D3_8FA9_0008C7809E09_.wvu.PrintArea" localSheetId="31" hidden="1">#REF!</definedName>
    <definedName name="Z_179EFDCD_A1B1_11D3_8FA9_0008C7809E09_.wvu.PrintArea" localSheetId="7" hidden="1">#REF!</definedName>
    <definedName name="Z_179EFDCD_A1B1_11D3_8FA9_0008C7809E09_.wvu.PrintArea" localSheetId="12" hidden="1">#REF!</definedName>
    <definedName name="Z_179EFDCD_A1B1_11D3_8FA9_0008C7809E09_.wvu.PrintArea" localSheetId="9" hidden="1">#REF!</definedName>
    <definedName name="Z_179EFDCD_A1B1_11D3_8FA9_0008C7809E09_.wvu.PrintArea" hidden="1">#REF!</definedName>
    <definedName name="Z_179EFDCD_A1B1_11D3_8FA9_0008C7809E09_.wvu.PrintTitles" localSheetId="17" hidden="1">#REF!,#REF!</definedName>
    <definedName name="Z_179EFDCD_A1B1_11D3_8FA9_0008C7809E09_.wvu.PrintTitles" localSheetId="30" hidden="1">#REF!,#REF!</definedName>
    <definedName name="Z_179EFDCD_A1B1_11D3_8FA9_0008C7809E09_.wvu.PrintTitles" localSheetId="31" hidden="1">#REF!,#REF!</definedName>
    <definedName name="Z_179EFDCD_A1B1_11D3_8FA9_0008C7809E09_.wvu.PrintTitles" localSheetId="7" hidden="1">#REF!,#REF!</definedName>
    <definedName name="Z_179EFDCD_A1B1_11D3_8FA9_0008C7809E09_.wvu.PrintTitles" localSheetId="12" hidden="1">#REF!,#REF!</definedName>
    <definedName name="Z_179EFDCD_A1B1_11D3_8FA9_0008C7809E09_.wvu.PrintTitles" localSheetId="9" hidden="1">#REF!,#REF!</definedName>
    <definedName name="Z_179EFDCD_A1B1_11D3_8FA9_0008C7809E09_.wvu.PrintTitles" hidden="1">#REF!,#REF!</definedName>
    <definedName name="Z_179EFDCE_A1B1_11D3_8FA9_0008C7809E09_.wvu.PrintArea" localSheetId="17" hidden="1">#REF!</definedName>
    <definedName name="Z_179EFDCE_A1B1_11D3_8FA9_0008C7809E09_.wvu.PrintArea" localSheetId="30" hidden="1">#REF!</definedName>
    <definedName name="Z_179EFDCE_A1B1_11D3_8FA9_0008C7809E09_.wvu.PrintArea" localSheetId="31" hidden="1">#REF!</definedName>
    <definedName name="Z_179EFDCE_A1B1_11D3_8FA9_0008C7809E09_.wvu.PrintArea" localSheetId="7" hidden="1">#REF!</definedName>
    <definedName name="Z_179EFDCE_A1B1_11D3_8FA9_0008C7809E09_.wvu.PrintArea" localSheetId="12" hidden="1">#REF!</definedName>
    <definedName name="Z_179EFDCE_A1B1_11D3_8FA9_0008C7809E09_.wvu.PrintArea" localSheetId="9" hidden="1">#REF!</definedName>
    <definedName name="Z_179EFDCE_A1B1_11D3_8FA9_0008C7809E09_.wvu.PrintArea" hidden="1">#REF!</definedName>
    <definedName name="Z_179EFDCE_A1B1_11D3_8FA9_0008C7809E09_.wvu.PrintTitles" localSheetId="17" hidden="1">#REF!,#REF!</definedName>
    <definedName name="Z_179EFDCE_A1B1_11D3_8FA9_0008C7809E09_.wvu.PrintTitles" localSheetId="30" hidden="1">#REF!,#REF!</definedName>
    <definedName name="Z_179EFDCE_A1B1_11D3_8FA9_0008C7809E09_.wvu.PrintTitles" localSheetId="31" hidden="1">#REF!,#REF!</definedName>
    <definedName name="Z_179EFDCE_A1B1_11D3_8FA9_0008C7809E09_.wvu.PrintTitles" localSheetId="7" hidden="1">#REF!,#REF!</definedName>
    <definedName name="Z_179EFDCE_A1B1_11D3_8FA9_0008C7809E09_.wvu.PrintTitles" localSheetId="12" hidden="1">#REF!,#REF!</definedName>
    <definedName name="Z_179EFDCE_A1B1_11D3_8FA9_0008C7809E09_.wvu.PrintTitles" localSheetId="9" hidden="1">#REF!,#REF!</definedName>
    <definedName name="Z_179EFDCE_A1B1_11D3_8FA9_0008C7809E09_.wvu.PrintTitles" hidden="1">#REF!,#REF!</definedName>
    <definedName name="Z_179EFDCF_A1B1_11D3_8FA9_0008C7809E09_.wvu.PrintArea" localSheetId="17" hidden="1">#REF!</definedName>
    <definedName name="Z_179EFDCF_A1B1_11D3_8FA9_0008C7809E09_.wvu.PrintArea" localSheetId="30" hidden="1">#REF!</definedName>
    <definedName name="Z_179EFDCF_A1B1_11D3_8FA9_0008C7809E09_.wvu.PrintArea" localSheetId="31" hidden="1">#REF!</definedName>
    <definedName name="Z_179EFDCF_A1B1_11D3_8FA9_0008C7809E09_.wvu.PrintArea" localSheetId="7" hidden="1">#REF!</definedName>
    <definedName name="Z_179EFDCF_A1B1_11D3_8FA9_0008C7809E09_.wvu.PrintArea" localSheetId="12" hidden="1">#REF!</definedName>
    <definedName name="Z_179EFDCF_A1B1_11D3_8FA9_0008C7809E09_.wvu.PrintArea" localSheetId="9" hidden="1">#REF!</definedName>
    <definedName name="Z_179EFDCF_A1B1_11D3_8FA9_0008C7809E09_.wvu.PrintArea" hidden="1">#REF!</definedName>
    <definedName name="Z_179EFDCF_A1B1_11D3_8FA9_0008C7809E09_.wvu.PrintTitles" localSheetId="17" hidden="1">#REF!,#REF!</definedName>
    <definedName name="Z_179EFDCF_A1B1_11D3_8FA9_0008C7809E09_.wvu.PrintTitles" localSheetId="30" hidden="1">#REF!,#REF!</definedName>
    <definedName name="Z_179EFDCF_A1B1_11D3_8FA9_0008C7809E09_.wvu.PrintTitles" localSheetId="31" hidden="1">#REF!,#REF!</definedName>
    <definedName name="Z_179EFDCF_A1B1_11D3_8FA9_0008C7809E09_.wvu.PrintTitles" localSheetId="7" hidden="1">#REF!,#REF!</definedName>
    <definedName name="Z_179EFDCF_A1B1_11D3_8FA9_0008C7809E09_.wvu.PrintTitles" localSheetId="12" hidden="1">#REF!,#REF!</definedName>
    <definedName name="Z_179EFDCF_A1B1_11D3_8FA9_0008C7809E09_.wvu.PrintTitles" localSheetId="9" hidden="1">#REF!,#REF!</definedName>
    <definedName name="Z_179EFDCF_A1B1_11D3_8FA9_0008C7809E09_.wvu.PrintTitles" hidden="1">#REF!,#REF!</definedName>
    <definedName name="Z_179EFDD0_A1B1_11D3_8FA9_0008C7809E09_.wvu.PrintArea" localSheetId="17" hidden="1">#REF!</definedName>
    <definedName name="Z_179EFDD0_A1B1_11D3_8FA9_0008C7809E09_.wvu.PrintArea" localSheetId="30" hidden="1">#REF!</definedName>
    <definedName name="Z_179EFDD0_A1B1_11D3_8FA9_0008C7809E09_.wvu.PrintArea" localSheetId="31" hidden="1">#REF!</definedName>
    <definedName name="Z_179EFDD0_A1B1_11D3_8FA9_0008C7809E09_.wvu.PrintArea" localSheetId="7" hidden="1">#REF!</definedName>
    <definedName name="Z_179EFDD0_A1B1_11D3_8FA9_0008C7809E09_.wvu.PrintArea" localSheetId="12" hidden="1">#REF!</definedName>
    <definedName name="Z_179EFDD0_A1B1_11D3_8FA9_0008C7809E09_.wvu.PrintArea" localSheetId="9" hidden="1">#REF!</definedName>
    <definedName name="Z_179EFDD0_A1B1_11D3_8FA9_0008C7809E09_.wvu.PrintArea" hidden="1">#REF!</definedName>
    <definedName name="Z_179EFDD0_A1B1_11D3_8FA9_0008C7809E09_.wvu.PrintTitles" localSheetId="17" hidden="1">#REF!,#REF!</definedName>
    <definedName name="Z_179EFDD0_A1B1_11D3_8FA9_0008C7809E09_.wvu.PrintTitles" localSheetId="30" hidden="1">#REF!,#REF!</definedName>
    <definedName name="Z_179EFDD0_A1B1_11D3_8FA9_0008C7809E09_.wvu.PrintTitles" localSheetId="31" hidden="1">#REF!,#REF!</definedName>
    <definedName name="Z_179EFDD0_A1B1_11D3_8FA9_0008C7809E09_.wvu.PrintTitles" localSheetId="7" hidden="1">#REF!,#REF!</definedName>
    <definedName name="Z_179EFDD0_A1B1_11D3_8FA9_0008C7809E09_.wvu.PrintTitles" localSheetId="12" hidden="1">#REF!,#REF!</definedName>
    <definedName name="Z_179EFDD0_A1B1_11D3_8FA9_0008C7809E09_.wvu.PrintTitles" localSheetId="9" hidden="1">#REF!,#REF!</definedName>
    <definedName name="Z_179EFDD0_A1B1_11D3_8FA9_0008C7809E09_.wvu.PrintTitles" hidden="1">#REF!,#REF!</definedName>
    <definedName name="Z_179EFDD1_A1B1_11D3_8FA9_0008C7809E09_.wvu.PrintArea" localSheetId="17" hidden="1">#REF!</definedName>
    <definedName name="Z_179EFDD1_A1B1_11D3_8FA9_0008C7809E09_.wvu.PrintArea" localSheetId="30" hidden="1">#REF!</definedName>
    <definedName name="Z_179EFDD1_A1B1_11D3_8FA9_0008C7809E09_.wvu.PrintArea" localSheetId="31" hidden="1">#REF!</definedName>
    <definedName name="Z_179EFDD1_A1B1_11D3_8FA9_0008C7809E09_.wvu.PrintArea" localSheetId="7" hidden="1">#REF!</definedName>
    <definedName name="Z_179EFDD1_A1B1_11D3_8FA9_0008C7809E09_.wvu.PrintArea" localSheetId="12" hidden="1">#REF!</definedName>
    <definedName name="Z_179EFDD1_A1B1_11D3_8FA9_0008C7809E09_.wvu.PrintArea" localSheetId="9" hidden="1">#REF!</definedName>
    <definedName name="Z_179EFDD1_A1B1_11D3_8FA9_0008C7809E09_.wvu.PrintArea" hidden="1">#REF!</definedName>
    <definedName name="Z_179EFDD1_A1B1_11D3_8FA9_0008C7809E09_.wvu.PrintTitles" localSheetId="17" hidden="1">#REF!,#REF!</definedName>
    <definedName name="Z_179EFDD1_A1B1_11D3_8FA9_0008C7809E09_.wvu.PrintTitles" localSheetId="30" hidden="1">#REF!,#REF!</definedName>
    <definedName name="Z_179EFDD1_A1B1_11D3_8FA9_0008C7809E09_.wvu.PrintTitles" localSheetId="31" hidden="1">#REF!,#REF!</definedName>
    <definedName name="Z_179EFDD1_A1B1_11D3_8FA9_0008C7809E09_.wvu.PrintTitles" localSheetId="7" hidden="1">#REF!,#REF!</definedName>
    <definedName name="Z_179EFDD1_A1B1_11D3_8FA9_0008C7809E09_.wvu.PrintTitles" localSheetId="12" hidden="1">#REF!,#REF!</definedName>
    <definedName name="Z_179EFDD1_A1B1_11D3_8FA9_0008C7809E09_.wvu.PrintTitles" localSheetId="9" hidden="1">#REF!,#REF!</definedName>
    <definedName name="Z_179EFDD1_A1B1_11D3_8FA9_0008C7809E09_.wvu.PrintTitles" hidden="1">#REF!,#REF!</definedName>
    <definedName name="Z_179EFDD2_A1B1_11D3_8FA9_0008C7809E09_.wvu.PrintArea" localSheetId="17" hidden="1">#REF!</definedName>
    <definedName name="Z_179EFDD2_A1B1_11D3_8FA9_0008C7809E09_.wvu.PrintArea" localSheetId="30" hidden="1">#REF!</definedName>
    <definedName name="Z_179EFDD2_A1B1_11D3_8FA9_0008C7809E09_.wvu.PrintArea" localSheetId="31" hidden="1">#REF!</definedName>
    <definedName name="Z_179EFDD2_A1B1_11D3_8FA9_0008C7809E09_.wvu.PrintArea" localSheetId="7" hidden="1">#REF!</definedName>
    <definedName name="Z_179EFDD2_A1B1_11D3_8FA9_0008C7809E09_.wvu.PrintArea" localSheetId="12" hidden="1">#REF!</definedName>
    <definedName name="Z_179EFDD2_A1B1_11D3_8FA9_0008C7809E09_.wvu.PrintArea" localSheetId="9" hidden="1">#REF!</definedName>
    <definedName name="Z_179EFDD2_A1B1_11D3_8FA9_0008C7809E09_.wvu.PrintArea" hidden="1">#REF!</definedName>
    <definedName name="Z_179EFDD2_A1B1_11D3_8FA9_0008C7809E09_.wvu.PrintTitles" localSheetId="17" hidden="1">#REF!,#REF!</definedName>
    <definedName name="Z_179EFDD2_A1B1_11D3_8FA9_0008C7809E09_.wvu.PrintTitles" localSheetId="30" hidden="1">#REF!,#REF!</definedName>
    <definedName name="Z_179EFDD2_A1B1_11D3_8FA9_0008C7809E09_.wvu.PrintTitles" localSheetId="31" hidden="1">#REF!,#REF!</definedName>
    <definedName name="Z_179EFDD2_A1B1_11D3_8FA9_0008C7809E09_.wvu.PrintTitles" localSheetId="7" hidden="1">#REF!,#REF!</definedName>
    <definedName name="Z_179EFDD2_A1B1_11D3_8FA9_0008C7809E09_.wvu.PrintTitles" localSheetId="12" hidden="1">#REF!,#REF!</definedName>
    <definedName name="Z_179EFDD2_A1B1_11D3_8FA9_0008C7809E09_.wvu.PrintTitles" localSheetId="9" hidden="1">#REF!,#REF!</definedName>
    <definedName name="Z_179EFDD2_A1B1_11D3_8FA9_0008C7809E09_.wvu.PrintTitles" hidden="1">#REF!,#REF!</definedName>
    <definedName name="Z_179EFDD3_A1B1_11D3_8FA9_0008C7809E09_.wvu.PrintArea" localSheetId="17" hidden="1">#REF!</definedName>
    <definedName name="Z_179EFDD3_A1B1_11D3_8FA9_0008C7809E09_.wvu.PrintArea" localSheetId="30" hidden="1">#REF!</definedName>
    <definedName name="Z_179EFDD3_A1B1_11D3_8FA9_0008C7809E09_.wvu.PrintArea" localSheetId="31" hidden="1">#REF!</definedName>
    <definedName name="Z_179EFDD3_A1B1_11D3_8FA9_0008C7809E09_.wvu.PrintArea" localSheetId="7" hidden="1">#REF!</definedName>
    <definedName name="Z_179EFDD3_A1B1_11D3_8FA9_0008C7809E09_.wvu.PrintArea" localSheetId="12" hidden="1">#REF!</definedName>
    <definedName name="Z_179EFDD3_A1B1_11D3_8FA9_0008C7809E09_.wvu.PrintArea" localSheetId="9" hidden="1">#REF!</definedName>
    <definedName name="Z_179EFDD3_A1B1_11D3_8FA9_0008C7809E09_.wvu.PrintArea" hidden="1">#REF!</definedName>
    <definedName name="Z_179EFDD3_A1B1_11D3_8FA9_0008C7809E09_.wvu.PrintTitles" localSheetId="17" hidden="1">#REF!,#REF!</definedName>
    <definedName name="Z_179EFDD3_A1B1_11D3_8FA9_0008C7809E09_.wvu.PrintTitles" localSheetId="30" hidden="1">#REF!,#REF!</definedName>
    <definedName name="Z_179EFDD3_A1B1_11D3_8FA9_0008C7809E09_.wvu.PrintTitles" localSheetId="31" hidden="1">#REF!,#REF!</definedName>
    <definedName name="Z_179EFDD3_A1B1_11D3_8FA9_0008C7809E09_.wvu.PrintTitles" localSheetId="7" hidden="1">#REF!,#REF!</definedName>
    <definedName name="Z_179EFDD3_A1B1_11D3_8FA9_0008C7809E09_.wvu.PrintTitles" localSheetId="12" hidden="1">#REF!,#REF!</definedName>
    <definedName name="Z_179EFDD3_A1B1_11D3_8FA9_0008C7809E09_.wvu.PrintTitles" localSheetId="9" hidden="1">#REF!,#REF!</definedName>
    <definedName name="Z_179EFDD3_A1B1_11D3_8FA9_0008C7809E09_.wvu.PrintTitles" hidden="1">#REF!,#REF!</definedName>
    <definedName name="Z_179EFDD4_A1B1_11D3_8FA9_0008C7809E09_.wvu.PrintArea" localSheetId="17" hidden="1">#REF!</definedName>
    <definedName name="Z_179EFDD4_A1B1_11D3_8FA9_0008C7809E09_.wvu.PrintArea" localSheetId="30" hidden="1">#REF!</definedName>
    <definedName name="Z_179EFDD4_A1B1_11D3_8FA9_0008C7809E09_.wvu.PrintArea" localSheetId="31" hidden="1">#REF!</definedName>
    <definedName name="Z_179EFDD4_A1B1_11D3_8FA9_0008C7809E09_.wvu.PrintArea" localSheetId="7" hidden="1">#REF!</definedName>
    <definedName name="Z_179EFDD4_A1B1_11D3_8FA9_0008C7809E09_.wvu.PrintArea" localSheetId="12" hidden="1">#REF!</definedName>
    <definedName name="Z_179EFDD4_A1B1_11D3_8FA9_0008C7809E09_.wvu.PrintArea" localSheetId="9" hidden="1">#REF!</definedName>
    <definedName name="Z_179EFDD4_A1B1_11D3_8FA9_0008C7809E09_.wvu.PrintArea" hidden="1">#REF!</definedName>
    <definedName name="Z_179EFDD4_A1B1_11D3_8FA9_0008C7809E09_.wvu.PrintTitles" localSheetId="17" hidden="1">#REF!,#REF!</definedName>
    <definedName name="Z_179EFDD4_A1B1_11D3_8FA9_0008C7809E09_.wvu.PrintTitles" localSheetId="30" hidden="1">#REF!,#REF!</definedName>
    <definedName name="Z_179EFDD4_A1B1_11D3_8FA9_0008C7809E09_.wvu.PrintTitles" localSheetId="31" hidden="1">#REF!,#REF!</definedName>
    <definedName name="Z_179EFDD4_A1B1_11D3_8FA9_0008C7809E09_.wvu.PrintTitles" localSheetId="7" hidden="1">#REF!,#REF!</definedName>
    <definedName name="Z_179EFDD4_A1B1_11D3_8FA9_0008C7809E09_.wvu.PrintTitles" localSheetId="12" hidden="1">#REF!,#REF!</definedName>
    <definedName name="Z_179EFDD4_A1B1_11D3_8FA9_0008C7809E09_.wvu.PrintTitles" localSheetId="9" hidden="1">#REF!,#REF!</definedName>
    <definedName name="Z_179EFDD4_A1B1_11D3_8FA9_0008C7809E09_.wvu.PrintTitles" hidden="1">#REF!,#REF!</definedName>
    <definedName name="Z_179EFDD5_A1B1_11D3_8FA9_0008C7809E09_.wvu.PrintArea" localSheetId="17" hidden="1">#REF!</definedName>
    <definedName name="Z_179EFDD5_A1B1_11D3_8FA9_0008C7809E09_.wvu.PrintArea" localSheetId="30" hidden="1">#REF!</definedName>
    <definedName name="Z_179EFDD5_A1B1_11D3_8FA9_0008C7809E09_.wvu.PrintArea" localSheetId="31" hidden="1">#REF!</definedName>
    <definedName name="Z_179EFDD5_A1B1_11D3_8FA9_0008C7809E09_.wvu.PrintArea" localSheetId="7" hidden="1">#REF!</definedName>
    <definedName name="Z_179EFDD5_A1B1_11D3_8FA9_0008C7809E09_.wvu.PrintArea" localSheetId="12" hidden="1">#REF!</definedName>
    <definedName name="Z_179EFDD5_A1B1_11D3_8FA9_0008C7809E09_.wvu.PrintArea" localSheetId="9" hidden="1">#REF!</definedName>
    <definedName name="Z_179EFDD5_A1B1_11D3_8FA9_0008C7809E09_.wvu.PrintArea" hidden="1">#REF!</definedName>
    <definedName name="Z_179EFDD5_A1B1_11D3_8FA9_0008C7809E09_.wvu.PrintTitles" localSheetId="17" hidden="1">#REF!,#REF!</definedName>
    <definedName name="Z_179EFDD5_A1B1_11D3_8FA9_0008C7809E09_.wvu.PrintTitles" localSheetId="30" hidden="1">#REF!,#REF!</definedName>
    <definedName name="Z_179EFDD5_A1B1_11D3_8FA9_0008C7809E09_.wvu.PrintTitles" localSheetId="31" hidden="1">#REF!,#REF!</definedName>
    <definedName name="Z_179EFDD5_A1B1_11D3_8FA9_0008C7809E09_.wvu.PrintTitles" localSheetId="7" hidden="1">#REF!,#REF!</definedName>
    <definedName name="Z_179EFDD5_A1B1_11D3_8FA9_0008C7809E09_.wvu.PrintTitles" localSheetId="12" hidden="1">#REF!,#REF!</definedName>
    <definedName name="Z_179EFDD5_A1B1_11D3_8FA9_0008C7809E09_.wvu.PrintTitles" localSheetId="9" hidden="1">#REF!,#REF!</definedName>
    <definedName name="Z_179EFDD5_A1B1_11D3_8FA9_0008C7809E09_.wvu.PrintTitles" hidden="1">#REF!,#REF!</definedName>
    <definedName name="Z_179EFDD6_A1B1_11D3_8FA9_0008C7809E09_.wvu.PrintArea" localSheetId="17" hidden="1">#REF!</definedName>
    <definedName name="Z_179EFDD6_A1B1_11D3_8FA9_0008C7809E09_.wvu.PrintArea" localSheetId="30" hidden="1">#REF!</definedName>
    <definedName name="Z_179EFDD6_A1B1_11D3_8FA9_0008C7809E09_.wvu.PrintArea" localSheetId="31" hidden="1">#REF!</definedName>
    <definedName name="Z_179EFDD6_A1B1_11D3_8FA9_0008C7809E09_.wvu.PrintArea" localSheetId="7" hidden="1">#REF!</definedName>
    <definedName name="Z_179EFDD6_A1B1_11D3_8FA9_0008C7809E09_.wvu.PrintArea" localSheetId="12" hidden="1">#REF!</definedName>
    <definedName name="Z_179EFDD6_A1B1_11D3_8FA9_0008C7809E09_.wvu.PrintArea" localSheetId="9" hidden="1">#REF!</definedName>
    <definedName name="Z_179EFDD6_A1B1_11D3_8FA9_0008C7809E09_.wvu.PrintArea" hidden="1">#REF!</definedName>
    <definedName name="Z_179EFDD6_A1B1_11D3_8FA9_0008C7809E09_.wvu.PrintTitles" localSheetId="17" hidden="1">#REF!,#REF!</definedName>
    <definedName name="Z_179EFDD6_A1B1_11D3_8FA9_0008C7809E09_.wvu.PrintTitles" localSheetId="30" hidden="1">#REF!,#REF!</definedName>
    <definedName name="Z_179EFDD6_A1B1_11D3_8FA9_0008C7809E09_.wvu.PrintTitles" localSheetId="31" hidden="1">#REF!,#REF!</definedName>
    <definedName name="Z_179EFDD6_A1B1_11D3_8FA9_0008C7809E09_.wvu.PrintTitles" localSheetId="7" hidden="1">#REF!,#REF!</definedName>
    <definedName name="Z_179EFDD6_A1B1_11D3_8FA9_0008C7809E09_.wvu.PrintTitles" localSheetId="12" hidden="1">#REF!,#REF!</definedName>
    <definedName name="Z_179EFDD6_A1B1_11D3_8FA9_0008C7809E09_.wvu.PrintTitles" localSheetId="9" hidden="1">#REF!,#REF!</definedName>
    <definedName name="Z_179EFDD6_A1B1_11D3_8FA9_0008C7809E09_.wvu.PrintTitles" hidden="1">#REF!,#REF!</definedName>
    <definedName name="Z_179EFDD7_A1B1_11D3_8FA9_0008C7809E09_.wvu.PrintArea" localSheetId="17" hidden="1">#REF!</definedName>
    <definedName name="Z_179EFDD7_A1B1_11D3_8FA9_0008C7809E09_.wvu.PrintArea" localSheetId="30" hidden="1">#REF!</definedName>
    <definedName name="Z_179EFDD7_A1B1_11D3_8FA9_0008C7809E09_.wvu.PrintArea" localSheetId="31" hidden="1">#REF!</definedName>
    <definedName name="Z_179EFDD7_A1B1_11D3_8FA9_0008C7809E09_.wvu.PrintArea" localSheetId="7" hidden="1">#REF!</definedName>
    <definedName name="Z_179EFDD7_A1B1_11D3_8FA9_0008C7809E09_.wvu.PrintArea" localSheetId="12" hidden="1">#REF!</definedName>
    <definedName name="Z_179EFDD7_A1B1_11D3_8FA9_0008C7809E09_.wvu.PrintArea" localSheetId="9" hidden="1">#REF!</definedName>
    <definedName name="Z_179EFDD7_A1B1_11D3_8FA9_0008C7809E09_.wvu.PrintArea" hidden="1">#REF!</definedName>
    <definedName name="Z_179EFDD7_A1B1_11D3_8FA9_0008C7809E09_.wvu.PrintTitles" localSheetId="17" hidden="1">#REF!,#REF!</definedName>
    <definedName name="Z_179EFDD7_A1B1_11D3_8FA9_0008C7809E09_.wvu.PrintTitles" localSheetId="30" hidden="1">#REF!,#REF!</definedName>
    <definedName name="Z_179EFDD7_A1B1_11D3_8FA9_0008C7809E09_.wvu.PrintTitles" localSheetId="31" hidden="1">#REF!,#REF!</definedName>
    <definedName name="Z_179EFDD7_A1B1_11D3_8FA9_0008C7809E09_.wvu.PrintTitles" localSheetId="7" hidden="1">#REF!,#REF!</definedName>
    <definedName name="Z_179EFDD7_A1B1_11D3_8FA9_0008C7809E09_.wvu.PrintTitles" localSheetId="12" hidden="1">#REF!,#REF!</definedName>
    <definedName name="Z_179EFDD7_A1B1_11D3_8FA9_0008C7809E09_.wvu.PrintTitles" localSheetId="9" hidden="1">#REF!,#REF!</definedName>
    <definedName name="Z_179EFDD7_A1B1_11D3_8FA9_0008C7809E09_.wvu.PrintTitles" hidden="1">#REF!,#REF!</definedName>
    <definedName name="Z_179EFDD8_A1B1_11D3_8FA9_0008C7809E09_.wvu.PrintArea" localSheetId="17" hidden="1">#REF!</definedName>
    <definedName name="Z_179EFDD8_A1B1_11D3_8FA9_0008C7809E09_.wvu.PrintArea" localSheetId="30" hidden="1">#REF!</definedName>
    <definedName name="Z_179EFDD8_A1B1_11D3_8FA9_0008C7809E09_.wvu.PrintArea" localSheetId="31" hidden="1">#REF!</definedName>
    <definedName name="Z_179EFDD8_A1B1_11D3_8FA9_0008C7809E09_.wvu.PrintArea" localSheetId="7" hidden="1">#REF!</definedName>
    <definedName name="Z_179EFDD8_A1B1_11D3_8FA9_0008C7809E09_.wvu.PrintArea" localSheetId="12" hidden="1">#REF!</definedName>
    <definedName name="Z_179EFDD8_A1B1_11D3_8FA9_0008C7809E09_.wvu.PrintArea" localSheetId="9" hidden="1">#REF!</definedName>
    <definedName name="Z_179EFDD8_A1B1_11D3_8FA9_0008C7809E09_.wvu.PrintArea" hidden="1">#REF!</definedName>
    <definedName name="Z_179EFDD8_A1B1_11D3_8FA9_0008C7809E09_.wvu.PrintTitles" localSheetId="17" hidden="1">#REF!,#REF!</definedName>
    <definedName name="Z_179EFDD8_A1B1_11D3_8FA9_0008C7809E09_.wvu.PrintTitles" localSheetId="30" hidden="1">#REF!,#REF!</definedName>
    <definedName name="Z_179EFDD8_A1B1_11D3_8FA9_0008C7809E09_.wvu.PrintTitles" localSheetId="31" hidden="1">#REF!,#REF!</definedName>
    <definedName name="Z_179EFDD8_A1B1_11D3_8FA9_0008C7809E09_.wvu.PrintTitles" localSheetId="7" hidden="1">#REF!,#REF!</definedName>
    <definedName name="Z_179EFDD8_A1B1_11D3_8FA9_0008C7809E09_.wvu.PrintTitles" localSheetId="12" hidden="1">#REF!,#REF!</definedName>
    <definedName name="Z_179EFDD8_A1B1_11D3_8FA9_0008C7809E09_.wvu.PrintTitles" localSheetId="9" hidden="1">#REF!,#REF!</definedName>
    <definedName name="Z_179EFDD8_A1B1_11D3_8FA9_0008C7809E09_.wvu.PrintTitles" hidden="1">#REF!,#REF!</definedName>
    <definedName name="Z_179EFDD9_A1B1_11D3_8FA9_0008C7809E09_.wvu.PrintArea" localSheetId="17" hidden="1">#REF!</definedName>
    <definedName name="Z_179EFDD9_A1B1_11D3_8FA9_0008C7809E09_.wvu.PrintArea" localSheetId="30" hidden="1">#REF!</definedName>
    <definedName name="Z_179EFDD9_A1B1_11D3_8FA9_0008C7809E09_.wvu.PrintArea" localSheetId="31" hidden="1">#REF!</definedName>
    <definedName name="Z_179EFDD9_A1B1_11D3_8FA9_0008C7809E09_.wvu.PrintArea" localSheetId="7" hidden="1">#REF!</definedName>
    <definedName name="Z_179EFDD9_A1B1_11D3_8FA9_0008C7809E09_.wvu.PrintArea" localSheetId="12" hidden="1">#REF!</definedName>
    <definedName name="Z_179EFDD9_A1B1_11D3_8FA9_0008C7809E09_.wvu.PrintArea" localSheetId="9" hidden="1">#REF!</definedName>
    <definedName name="Z_179EFDD9_A1B1_11D3_8FA9_0008C7809E09_.wvu.PrintArea" hidden="1">#REF!</definedName>
    <definedName name="Z_179EFDD9_A1B1_11D3_8FA9_0008C7809E09_.wvu.PrintTitles" localSheetId="17" hidden="1">#REF!,#REF!</definedName>
    <definedName name="Z_179EFDD9_A1B1_11D3_8FA9_0008C7809E09_.wvu.PrintTitles" localSheetId="30" hidden="1">#REF!,#REF!</definedName>
    <definedName name="Z_179EFDD9_A1B1_11D3_8FA9_0008C7809E09_.wvu.PrintTitles" localSheetId="31" hidden="1">#REF!,#REF!</definedName>
    <definedName name="Z_179EFDD9_A1B1_11D3_8FA9_0008C7809E09_.wvu.PrintTitles" localSheetId="7" hidden="1">#REF!,#REF!</definedName>
    <definedName name="Z_179EFDD9_A1B1_11D3_8FA9_0008C7809E09_.wvu.PrintTitles" localSheetId="12" hidden="1">#REF!,#REF!</definedName>
    <definedName name="Z_179EFDD9_A1B1_11D3_8FA9_0008C7809E09_.wvu.PrintTitles" localSheetId="9" hidden="1">#REF!,#REF!</definedName>
    <definedName name="Z_179EFDD9_A1B1_11D3_8FA9_0008C7809E09_.wvu.PrintTitles" hidden="1">#REF!,#REF!</definedName>
    <definedName name="Z_179EFDDA_A1B1_11D3_8FA9_0008C7809E09_.wvu.PrintArea" localSheetId="17" hidden="1">#REF!</definedName>
    <definedName name="Z_179EFDDA_A1B1_11D3_8FA9_0008C7809E09_.wvu.PrintArea" localSheetId="30" hidden="1">#REF!</definedName>
    <definedName name="Z_179EFDDA_A1B1_11D3_8FA9_0008C7809E09_.wvu.PrintArea" localSheetId="31" hidden="1">#REF!</definedName>
    <definedName name="Z_179EFDDA_A1B1_11D3_8FA9_0008C7809E09_.wvu.PrintArea" localSheetId="7" hidden="1">#REF!</definedName>
    <definedName name="Z_179EFDDA_A1B1_11D3_8FA9_0008C7809E09_.wvu.PrintArea" localSheetId="12" hidden="1">#REF!</definedName>
    <definedName name="Z_179EFDDA_A1B1_11D3_8FA9_0008C7809E09_.wvu.PrintArea" localSheetId="9" hidden="1">#REF!</definedName>
    <definedName name="Z_179EFDDA_A1B1_11D3_8FA9_0008C7809E09_.wvu.PrintArea" hidden="1">#REF!</definedName>
    <definedName name="Z_179EFDDA_A1B1_11D3_8FA9_0008C7809E09_.wvu.PrintTitles" localSheetId="17" hidden="1">#REF!,#REF!</definedName>
    <definedName name="Z_179EFDDA_A1B1_11D3_8FA9_0008C7809E09_.wvu.PrintTitles" localSheetId="30" hidden="1">#REF!,#REF!</definedName>
    <definedName name="Z_179EFDDA_A1B1_11D3_8FA9_0008C7809E09_.wvu.PrintTitles" localSheetId="31" hidden="1">#REF!,#REF!</definedName>
    <definedName name="Z_179EFDDA_A1B1_11D3_8FA9_0008C7809E09_.wvu.PrintTitles" localSheetId="7" hidden="1">#REF!,#REF!</definedName>
    <definedName name="Z_179EFDDA_A1B1_11D3_8FA9_0008C7809E09_.wvu.PrintTitles" localSheetId="12" hidden="1">#REF!,#REF!</definedName>
    <definedName name="Z_179EFDDA_A1B1_11D3_8FA9_0008C7809E09_.wvu.PrintTitles" localSheetId="9" hidden="1">#REF!,#REF!</definedName>
    <definedName name="Z_179EFDDA_A1B1_11D3_8FA9_0008C7809E09_.wvu.PrintTitles" hidden="1">#REF!,#REF!</definedName>
    <definedName name="Z_179EFDDB_A1B1_11D3_8FA9_0008C7809E09_.wvu.PrintArea" localSheetId="17" hidden="1">#REF!</definedName>
    <definedName name="Z_179EFDDB_A1B1_11D3_8FA9_0008C7809E09_.wvu.PrintArea" localSheetId="30" hidden="1">#REF!</definedName>
    <definedName name="Z_179EFDDB_A1B1_11D3_8FA9_0008C7809E09_.wvu.PrintArea" localSheetId="31" hidden="1">#REF!</definedName>
    <definedName name="Z_179EFDDB_A1B1_11D3_8FA9_0008C7809E09_.wvu.PrintArea" localSheetId="7" hidden="1">#REF!</definedName>
    <definedName name="Z_179EFDDB_A1B1_11D3_8FA9_0008C7809E09_.wvu.PrintArea" localSheetId="12" hidden="1">#REF!</definedName>
    <definedName name="Z_179EFDDB_A1B1_11D3_8FA9_0008C7809E09_.wvu.PrintArea" localSheetId="9" hidden="1">#REF!</definedName>
    <definedName name="Z_179EFDDB_A1B1_11D3_8FA9_0008C7809E09_.wvu.PrintArea" hidden="1">#REF!</definedName>
    <definedName name="Z_179EFDDB_A1B1_11D3_8FA9_0008C7809E09_.wvu.PrintTitles" localSheetId="17" hidden="1">#REF!,#REF!</definedName>
    <definedName name="Z_179EFDDB_A1B1_11D3_8FA9_0008C7809E09_.wvu.PrintTitles" localSheetId="30" hidden="1">#REF!,#REF!</definedName>
    <definedName name="Z_179EFDDB_A1B1_11D3_8FA9_0008C7809E09_.wvu.PrintTitles" localSheetId="31" hidden="1">#REF!,#REF!</definedName>
    <definedName name="Z_179EFDDB_A1B1_11D3_8FA9_0008C7809E09_.wvu.PrintTitles" localSheetId="7" hidden="1">#REF!,#REF!</definedName>
    <definedName name="Z_179EFDDB_A1B1_11D3_8FA9_0008C7809E09_.wvu.PrintTitles" localSheetId="12" hidden="1">#REF!,#REF!</definedName>
    <definedName name="Z_179EFDDB_A1B1_11D3_8FA9_0008C7809E09_.wvu.PrintTitles" localSheetId="9" hidden="1">#REF!,#REF!</definedName>
    <definedName name="Z_179EFDDB_A1B1_11D3_8FA9_0008C7809E09_.wvu.PrintTitles" hidden="1">#REF!,#REF!</definedName>
    <definedName name="Z_179EFDDC_A1B1_11D3_8FA9_0008C7809E09_.wvu.PrintArea" localSheetId="17" hidden="1">#REF!</definedName>
    <definedName name="Z_179EFDDC_A1B1_11D3_8FA9_0008C7809E09_.wvu.PrintArea" localSheetId="30" hidden="1">#REF!</definedName>
    <definedName name="Z_179EFDDC_A1B1_11D3_8FA9_0008C7809E09_.wvu.PrintArea" localSheetId="31" hidden="1">#REF!</definedName>
    <definedName name="Z_179EFDDC_A1B1_11D3_8FA9_0008C7809E09_.wvu.PrintArea" localSheetId="7" hidden="1">#REF!</definedName>
    <definedName name="Z_179EFDDC_A1B1_11D3_8FA9_0008C7809E09_.wvu.PrintArea" localSheetId="12" hidden="1">#REF!</definedName>
    <definedName name="Z_179EFDDC_A1B1_11D3_8FA9_0008C7809E09_.wvu.PrintArea" localSheetId="9" hidden="1">#REF!</definedName>
    <definedName name="Z_179EFDDC_A1B1_11D3_8FA9_0008C7809E09_.wvu.PrintArea" hidden="1">#REF!</definedName>
    <definedName name="Z_179EFDDC_A1B1_11D3_8FA9_0008C7809E09_.wvu.PrintTitles" localSheetId="17" hidden="1">#REF!,#REF!</definedName>
    <definedName name="Z_179EFDDC_A1B1_11D3_8FA9_0008C7809E09_.wvu.PrintTitles" localSheetId="30" hidden="1">#REF!,#REF!</definedName>
    <definedName name="Z_179EFDDC_A1B1_11D3_8FA9_0008C7809E09_.wvu.PrintTitles" localSheetId="31" hidden="1">#REF!,#REF!</definedName>
    <definedName name="Z_179EFDDC_A1B1_11D3_8FA9_0008C7809E09_.wvu.PrintTitles" localSheetId="7" hidden="1">#REF!,#REF!</definedName>
    <definedName name="Z_179EFDDC_A1B1_11D3_8FA9_0008C7809E09_.wvu.PrintTitles" localSheetId="12" hidden="1">#REF!,#REF!</definedName>
    <definedName name="Z_179EFDDC_A1B1_11D3_8FA9_0008C7809E09_.wvu.PrintTitles" localSheetId="9" hidden="1">#REF!,#REF!</definedName>
    <definedName name="Z_179EFDDC_A1B1_11D3_8FA9_0008C7809E09_.wvu.PrintTitles" hidden="1">#REF!,#REF!</definedName>
    <definedName name="Z_179EFDDD_A1B1_11D3_8FA9_0008C7809E09_.wvu.PrintArea" localSheetId="17" hidden="1">#REF!</definedName>
    <definedName name="Z_179EFDDD_A1B1_11D3_8FA9_0008C7809E09_.wvu.PrintArea" localSheetId="30" hidden="1">#REF!</definedName>
    <definedName name="Z_179EFDDD_A1B1_11D3_8FA9_0008C7809E09_.wvu.PrintArea" localSheetId="31" hidden="1">#REF!</definedName>
    <definedName name="Z_179EFDDD_A1B1_11D3_8FA9_0008C7809E09_.wvu.PrintArea" localSheetId="7" hidden="1">#REF!</definedName>
    <definedName name="Z_179EFDDD_A1B1_11D3_8FA9_0008C7809E09_.wvu.PrintArea" localSheetId="12" hidden="1">#REF!</definedName>
    <definedName name="Z_179EFDDD_A1B1_11D3_8FA9_0008C7809E09_.wvu.PrintArea" localSheetId="9" hidden="1">#REF!</definedName>
    <definedName name="Z_179EFDDD_A1B1_11D3_8FA9_0008C7809E09_.wvu.PrintArea" hidden="1">#REF!</definedName>
    <definedName name="Z_179EFDDD_A1B1_11D3_8FA9_0008C7809E09_.wvu.PrintTitles" localSheetId="17" hidden="1">#REF!,#REF!</definedName>
    <definedName name="Z_179EFDDD_A1B1_11D3_8FA9_0008C7809E09_.wvu.PrintTitles" localSheetId="30" hidden="1">#REF!,#REF!</definedName>
    <definedName name="Z_179EFDDD_A1B1_11D3_8FA9_0008C7809E09_.wvu.PrintTitles" localSheetId="31" hidden="1">#REF!,#REF!</definedName>
    <definedName name="Z_179EFDDD_A1B1_11D3_8FA9_0008C7809E09_.wvu.PrintTitles" localSheetId="7" hidden="1">#REF!,#REF!</definedName>
    <definedName name="Z_179EFDDD_A1B1_11D3_8FA9_0008C7809E09_.wvu.PrintTitles" localSheetId="12" hidden="1">#REF!,#REF!</definedName>
    <definedName name="Z_179EFDDD_A1B1_11D3_8FA9_0008C7809E09_.wvu.PrintTitles" localSheetId="9" hidden="1">#REF!,#REF!</definedName>
    <definedName name="Z_179EFDDD_A1B1_11D3_8FA9_0008C7809E09_.wvu.PrintTitles" hidden="1">#REF!,#REF!</definedName>
    <definedName name="Z_179EFDDE_A1B1_11D3_8FA9_0008C7809E09_.wvu.PrintArea" localSheetId="17" hidden="1">#REF!</definedName>
    <definedName name="Z_179EFDDE_A1B1_11D3_8FA9_0008C7809E09_.wvu.PrintArea" localSheetId="30" hidden="1">#REF!</definedName>
    <definedName name="Z_179EFDDE_A1B1_11D3_8FA9_0008C7809E09_.wvu.PrintArea" localSheetId="31" hidden="1">#REF!</definedName>
    <definedName name="Z_179EFDDE_A1B1_11D3_8FA9_0008C7809E09_.wvu.PrintArea" localSheetId="7" hidden="1">#REF!</definedName>
    <definedName name="Z_179EFDDE_A1B1_11D3_8FA9_0008C7809E09_.wvu.PrintArea" localSheetId="12" hidden="1">#REF!</definedName>
    <definedName name="Z_179EFDDE_A1B1_11D3_8FA9_0008C7809E09_.wvu.PrintArea" localSheetId="9" hidden="1">#REF!</definedName>
    <definedName name="Z_179EFDDE_A1B1_11D3_8FA9_0008C7809E09_.wvu.PrintArea" hidden="1">#REF!</definedName>
    <definedName name="Z_179EFDDE_A1B1_11D3_8FA9_0008C7809E09_.wvu.PrintTitles" localSheetId="17" hidden="1">#REF!,#REF!</definedName>
    <definedName name="Z_179EFDDE_A1B1_11D3_8FA9_0008C7809E09_.wvu.PrintTitles" localSheetId="30" hidden="1">#REF!,#REF!</definedName>
    <definedName name="Z_179EFDDE_A1B1_11D3_8FA9_0008C7809E09_.wvu.PrintTitles" localSheetId="31" hidden="1">#REF!,#REF!</definedName>
    <definedName name="Z_179EFDDE_A1B1_11D3_8FA9_0008C7809E09_.wvu.PrintTitles" localSheetId="7" hidden="1">#REF!,#REF!</definedName>
    <definedName name="Z_179EFDDE_A1B1_11D3_8FA9_0008C7809E09_.wvu.PrintTitles" localSheetId="12" hidden="1">#REF!,#REF!</definedName>
    <definedName name="Z_179EFDDE_A1B1_11D3_8FA9_0008C7809E09_.wvu.PrintTitles" localSheetId="9" hidden="1">#REF!,#REF!</definedName>
    <definedName name="Z_179EFDDE_A1B1_11D3_8FA9_0008C7809E09_.wvu.PrintTitles" hidden="1">#REF!,#REF!</definedName>
    <definedName name="Z_179EFDDF_A1B1_11D3_8FA9_0008C7809E09_.wvu.PrintArea" localSheetId="17" hidden="1">#REF!</definedName>
    <definedName name="Z_179EFDDF_A1B1_11D3_8FA9_0008C7809E09_.wvu.PrintArea" localSheetId="30" hidden="1">#REF!</definedName>
    <definedName name="Z_179EFDDF_A1B1_11D3_8FA9_0008C7809E09_.wvu.PrintArea" localSheetId="31" hidden="1">#REF!</definedName>
    <definedName name="Z_179EFDDF_A1B1_11D3_8FA9_0008C7809E09_.wvu.PrintArea" localSheetId="7" hidden="1">#REF!</definedName>
    <definedName name="Z_179EFDDF_A1B1_11D3_8FA9_0008C7809E09_.wvu.PrintArea" localSheetId="12" hidden="1">#REF!</definedName>
    <definedName name="Z_179EFDDF_A1B1_11D3_8FA9_0008C7809E09_.wvu.PrintArea" localSheetId="9" hidden="1">#REF!</definedName>
    <definedName name="Z_179EFDDF_A1B1_11D3_8FA9_0008C7809E09_.wvu.PrintArea" hidden="1">#REF!</definedName>
    <definedName name="Z_179EFDDF_A1B1_11D3_8FA9_0008C7809E09_.wvu.PrintTitles" localSheetId="17" hidden="1">#REF!,#REF!</definedName>
    <definedName name="Z_179EFDDF_A1B1_11D3_8FA9_0008C7809E09_.wvu.PrintTitles" localSheetId="30" hidden="1">#REF!,#REF!</definedName>
    <definedName name="Z_179EFDDF_A1B1_11D3_8FA9_0008C7809E09_.wvu.PrintTitles" localSheetId="31" hidden="1">#REF!,#REF!</definedName>
    <definedName name="Z_179EFDDF_A1B1_11D3_8FA9_0008C7809E09_.wvu.PrintTitles" localSheetId="7" hidden="1">#REF!,#REF!</definedName>
    <definedName name="Z_179EFDDF_A1B1_11D3_8FA9_0008C7809E09_.wvu.PrintTitles" localSheetId="12" hidden="1">#REF!,#REF!</definedName>
    <definedName name="Z_179EFDDF_A1B1_11D3_8FA9_0008C7809E09_.wvu.PrintTitles" localSheetId="9" hidden="1">#REF!,#REF!</definedName>
    <definedName name="Z_179EFDDF_A1B1_11D3_8FA9_0008C7809E09_.wvu.PrintTitles" hidden="1">#REF!,#REF!</definedName>
    <definedName name="Z_179EFDE0_A1B1_11D3_8FA9_0008C7809E09_.wvu.PrintArea" localSheetId="17" hidden="1">#REF!</definedName>
    <definedName name="Z_179EFDE0_A1B1_11D3_8FA9_0008C7809E09_.wvu.PrintArea" localSheetId="30" hidden="1">#REF!</definedName>
    <definedName name="Z_179EFDE0_A1B1_11D3_8FA9_0008C7809E09_.wvu.PrintArea" localSheetId="31" hidden="1">#REF!</definedName>
    <definedName name="Z_179EFDE0_A1B1_11D3_8FA9_0008C7809E09_.wvu.PrintArea" localSheetId="7" hidden="1">#REF!</definedName>
    <definedName name="Z_179EFDE0_A1B1_11D3_8FA9_0008C7809E09_.wvu.PrintArea" localSheetId="12" hidden="1">#REF!</definedName>
    <definedName name="Z_179EFDE0_A1B1_11D3_8FA9_0008C7809E09_.wvu.PrintArea" localSheetId="9" hidden="1">#REF!</definedName>
    <definedName name="Z_179EFDE0_A1B1_11D3_8FA9_0008C7809E09_.wvu.PrintArea" hidden="1">#REF!</definedName>
    <definedName name="Z_179EFDE0_A1B1_11D3_8FA9_0008C7809E09_.wvu.PrintTitles" localSheetId="17" hidden="1">#REF!,#REF!</definedName>
    <definedName name="Z_179EFDE0_A1B1_11D3_8FA9_0008C7809E09_.wvu.PrintTitles" localSheetId="30" hidden="1">#REF!,#REF!</definedName>
    <definedName name="Z_179EFDE0_A1B1_11D3_8FA9_0008C7809E09_.wvu.PrintTitles" localSheetId="31" hidden="1">#REF!,#REF!</definedName>
    <definedName name="Z_179EFDE0_A1B1_11D3_8FA9_0008C7809E09_.wvu.PrintTitles" localSheetId="7" hidden="1">#REF!,#REF!</definedName>
    <definedName name="Z_179EFDE0_A1B1_11D3_8FA9_0008C7809E09_.wvu.PrintTitles" localSheetId="12" hidden="1">#REF!,#REF!</definedName>
    <definedName name="Z_179EFDE0_A1B1_11D3_8FA9_0008C7809E09_.wvu.PrintTitles" localSheetId="9" hidden="1">#REF!,#REF!</definedName>
    <definedName name="Z_179EFDE0_A1B1_11D3_8FA9_0008C7809E09_.wvu.PrintTitles" hidden="1">#REF!,#REF!</definedName>
    <definedName name="Z_179EFDE1_A1B1_11D3_8FA9_0008C7809E09_.wvu.PrintArea" localSheetId="17" hidden="1">#REF!</definedName>
    <definedName name="Z_179EFDE1_A1B1_11D3_8FA9_0008C7809E09_.wvu.PrintArea" localSheetId="30" hidden="1">#REF!</definedName>
    <definedName name="Z_179EFDE1_A1B1_11D3_8FA9_0008C7809E09_.wvu.PrintArea" localSheetId="31" hidden="1">#REF!</definedName>
    <definedName name="Z_179EFDE1_A1B1_11D3_8FA9_0008C7809E09_.wvu.PrintArea" localSheetId="7" hidden="1">#REF!</definedName>
    <definedName name="Z_179EFDE1_A1B1_11D3_8FA9_0008C7809E09_.wvu.PrintArea" localSheetId="12" hidden="1">#REF!</definedName>
    <definedName name="Z_179EFDE1_A1B1_11D3_8FA9_0008C7809E09_.wvu.PrintArea" localSheetId="9" hidden="1">#REF!</definedName>
    <definedName name="Z_179EFDE1_A1B1_11D3_8FA9_0008C7809E09_.wvu.PrintArea" hidden="1">#REF!</definedName>
    <definedName name="Z_179EFDE1_A1B1_11D3_8FA9_0008C7809E09_.wvu.PrintTitles" localSheetId="17" hidden="1">#REF!,#REF!</definedName>
    <definedName name="Z_179EFDE1_A1B1_11D3_8FA9_0008C7809E09_.wvu.PrintTitles" localSheetId="30" hidden="1">#REF!,#REF!</definedName>
    <definedName name="Z_179EFDE1_A1B1_11D3_8FA9_0008C7809E09_.wvu.PrintTitles" localSheetId="31" hidden="1">#REF!,#REF!</definedName>
    <definedName name="Z_179EFDE1_A1B1_11D3_8FA9_0008C7809E09_.wvu.PrintTitles" localSheetId="7" hidden="1">#REF!,#REF!</definedName>
    <definedName name="Z_179EFDE1_A1B1_11D3_8FA9_0008C7809E09_.wvu.PrintTitles" localSheetId="12" hidden="1">#REF!,#REF!</definedName>
    <definedName name="Z_179EFDE1_A1B1_11D3_8FA9_0008C7809E09_.wvu.PrintTitles" localSheetId="9" hidden="1">#REF!,#REF!</definedName>
    <definedName name="Z_179EFDE1_A1B1_11D3_8FA9_0008C7809E09_.wvu.PrintTitles" hidden="1">#REF!,#REF!</definedName>
    <definedName name="Z_179EFDE2_A1B1_11D3_8FA9_0008C7809E09_.wvu.PrintArea" localSheetId="17" hidden="1">#REF!</definedName>
    <definedName name="Z_179EFDE2_A1B1_11D3_8FA9_0008C7809E09_.wvu.PrintArea" localSheetId="30" hidden="1">#REF!</definedName>
    <definedName name="Z_179EFDE2_A1B1_11D3_8FA9_0008C7809E09_.wvu.PrintArea" localSheetId="31" hidden="1">#REF!</definedName>
    <definedName name="Z_179EFDE2_A1B1_11D3_8FA9_0008C7809E09_.wvu.PrintArea" localSheetId="7" hidden="1">#REF!</definedName>
    <definedName name="Z_179EFDE2_A1B1_11D3_8FA9_0008C7809E09_.wvu.PrintArea" localSheetId="12" hidden="1">#REF!</definedName>
    <definedName name="Z_179EFDE2_A1B1_11D3_8FA9_0008C7809E09_.wvu.PrintArea" localSheetId="9" hidden="1">#REF!</definedName>
    <definedName name="Z_179EFDE2_A1B1_11D3_8FA9_0008C7809E09_.wvu.PrintArea" hidden="1">#REF!</definedName>
    <definedName name="Z_179EFDE2_A1B1_11D3_8FA9_0008C7809E09_.wvu.PrintTitles" localSheetId="17" hidden="1">#REF!,#REF!</definedName>
    <definedName name="Z_179EFDE2_A1B1_11D3_8FA9_0008C7809E09_.wvu.PrintTitles" localSheetId="30" hidden="1">#REF!,#REF!</definedName>
    <definedName name="Z_179EFDE2_A1B1_11D3_8FA9_0008C7809E09_.wvu.PrintTitles" localSheetId="31" hidden="1">#REF!,#REF!</definedName>
    <definedName name="Z_179EFDE2_A1B1_11D3_8FA9_0008C7809E09_.wvu.PrintTitles" localSheetId="7" hidden="1">#REF!,#REF!</definedName>
    <definedName name="Z_179EFDE2_A1B1_11D3_8FA9_0008C7809E09_.wvu.PrintTitles" localSheetId="12" hidden="1">#REF!,#REF!</definedName>
    <definedName name="Z_179EFDE2_A1B1_11D3_8FA9_0008C7809E09_.wvu.PrintTitles" localSheetId="9" hidden="1">#REF!,#REF!</definedName>
    <definedName name="Z_179EFDE2_A1B1_11D3_8FA9_0008C7809E09_.wvu.PrintTitles" hidden="1">#REF!,#REF!</definedName>
    <definedName name="Z_179EFDE3_A1B1_11D3_8FA9_0008C7809E09_.wvu.PrintArea" localSheetId="17" hidden="1">#REF!</definedName>
    <definedName name="Z_179EFDE3_A1B1_11D3_8FA9_0008C7809E09_.wvu.PrintArea" localSheetId="30" hidden="1">#REF!</definedName>
    <definedName name="Z_179EFDE3_A1B1_11D3_8FA9_0008C7809E09_.wvu.PrintArea" localSheetId="31" hidden="1">#REF!</definedName>
    <definedName name="Z_179EFDE3_A1B1_11D3_8FA9_0008C7809E09_.wvu.PrintArea" localSheetId="7" hidden="1">#REF!</definedName>
    <definedName name="Z_179EFDE3_A1B1_11D3_8FA9_0008C7809E09_.wvu.PrintArea" localSheetId="12" hidden="1">#REF!</definedName>
    <definedName name="Z_179EFDE3_A1B1_11D3_8FA9_0008C7809E09_.wvu.PrintArea" localSheetId="9" hidden="1">#REF!</definedName>
    <definedName name="Z_179EFDE3_A1B1_11D3_8FA9_0008C7809E09_.wvu.PrintArea" hidden="1">#REF!</definedName>
    <definedName name="Z_179EFDE3_A1B1_11D3_8FA9_0008C7809E09_.wvu.PrintTitles" localSheetId="17" hidden="1">#REF!,#REF!</definedName>
    <definedName name="Z_179EFDE3_A1B1_11D3_8FA9_0008C7809E09_.wvu.PrintTitles" localSheetId="30" hidden="1">#REF!,#REF!</definedName>
    <definedName name="Z_179EFDE3_A1B1_11D3_8FA9_0008C7809E09_.wvu.PrintTitles" localSheetId="31" hidden="1">#REF!,#REF!</definedName>
    <definedName name="Z_179EFDE3_A1B1_11D3_8FA9_0008C7809E09_.wvu.PrintTitles" localSheetId="7" hidden="1">#REF!,#REF!</definedName>
    <definedName name="Z_179EFDE3_A1B1_11D3_8FA9_0008C7809E09_.wvu.PrintTitles" localSheetId="12" hidden="1">#REF!,#REF!</definedName>
    <definedName name="Z_179EFDE3_A1B1_11D3_8FA9_0008C7809E09_.wvu.PrintTitles" localSheetId="9" hidden="1">#REF!,#REF!</definedName>
    <definedName name="Z_179EFDE3_A1B1_11D3_8FA9_0008C7809E09_.wvu.PrintTitles" hidden="1">#REF!,#REF!</definedName>
    <definedName name="Z_179EFDE4_A1B1_11D3_8FA9_0008C7809E09_.wvu.PrintArea" localSheetId="17" hidden="1">#REF!</definedName>
    <definedName name="Z_179EFDE4_A1B1_11D3_8FA9_0008C7809E09_.wvu.PrintArea" localSheetId="30" hidden="1">#REF!</definedName>
    <definedName name="Z_179EFDE4_A1B1_11D3_8FA9_0008C7809E09_.wvu.PrintArea" localSheetId="31" hidden="1">#REF!</definedName>
    <definedName name="Z_179EFDE4_A1B1_11D3_8FA9_0008C7809E09_.wvu.PrintArea" localSheetId="7" hidden="1">#REF!</definedName>
    <definedName name="Z_179EFDE4_A1B1_11D3_8FA9_0008C7809E09_.wvu.PrintArea" localSheetId="12" hidden="1">#REF!</definedName>
    <definedName name="Z_179EFDE4_A1B1_11D3_8FA9_0008C7809E09_.wvu.PrintArea" localSheetId="9" hidden="1">#REF!</definedName>
    <definedName name="Z_179EFDE4_A1B1_11D3_8FA9_0008C7809E09_.wvu.PrintArea" hidden="1">#REF!</definedName>
    <definedName name="Z_179EFDE4_A1B1_11D3_8FA9_0008C7809E09_.wvu.PrintTitles" localSheetId="17" hidden="1">#REF!,#REF!</definedName>
    <definedName name="Z_179EFDE4_A1B1_11D3_8FA9_0008C7809E09_.wvu.PrintTitles" localSheetId="30" hidden="1">#REF!,#REF!</definedName>
    <definedName name="Z_179EFDE4_A1B1_11D3_8FA9_0008C7809E09_.wvu.PrintTitles" localSheetId="31" hidden="1">#REF!,#REF!</definedName>
    <definedName name="Z_179EFDE4_A1B1_11D3_8FA9_0008C7809E09_.wvu.PrintTitles" localSheetId="7" hidden="1">#REF!,#REF!</definedName>
    <definedName name="Z_179EFDE4_A1B1_11D3_8FA9_0008C7809E09_.wvu.PrintTitles" localSheetId="12" hidden="1">#REF!,#REF!</definedName>
    <definedName name="Z_179EFDE4_A1B1_11D3_8FA9_0008C7809E09_.wvu.PrintTitles" localSheetId="9" hidden="1">#REF!,#REF!</definedName>
    <definedName name="Z_179EFDE4_A1B1_11D3_8FA9_0008C7809E09_.wvu.PrintTitles" hidden="1">#REF!,#REF!</definedName>
    <definedName name="Z_179EFDE5_A1B1_11D3_8FA9_0008C7809E09_.wvu.PrintArea" localSheetId="17" hidden="1">#REF!</definedName>
    <definedName name="Z_179EFDE5_A1B1_11D3_8FA9_0008C7809E09_.wvu.PrintArea" localSheetId="30" hidden="1">#REF!</definedName>
    <definedName name="Z_179EFDE5_A1B1_11D3_8FA9_0008C7809E09_.wvu.PrintArea" localSheetId="31" hidden="1">#REF!</definedName>
    <definedName name="Z_179EFDE5_A1B1_11D3_8FA9_0008C7809E09_.wvu.PrintArea" localSheetId="7" hidden="1">#REF!</definedName>
    <definedName name="Z_179EFDE5_A1B1_11D3_8FA9_0008C7809E09_.wvu.PrintArea" localSheetId="12" hidden="1">#REF!</definedName>
    <definedName name="Z_179EFDE5_A1B1_11D3_8FA9_0008C7809E09_.wvu.PrintArea" localSheetId="9" hidden="1">#REF!</definedName>
    <definedName name="Z_179EFDE5_A1B1_11D3_8FA9_0008C7809E09_.wvu.PrintArea" hidden="1">#REF!</definedName>
    <definedName name="Z_179EFDE5_A1B1_11D3_8FA9_0008C7809E09_.wvu.PrintTitles" localSheetId="17" hidden="1">#REF!,#REF!</definedName>
    <definedName name="Z_179EFDE5_A1B1_11D3_8FA9_0008C7809E09_.wvu.PrintTitles" localSheetId="30" hidden="1">#REF!,#REF!</definedName>
    <definedName name="Z_179EFDE5_A1B1_11D3_8FA9_0008C7809E09_.wvu.PrintTitles" localSheetId="31" hidden="1">#REF!,#REF!</definedName>
    <definedName name="Z_179EFDE5_A1B1_11D3_8FA9_0008C7809E09_.wvu.PrintTitles" localSheetId="7" hidden="1">#REF!,#REF!</definedName>
    <definedName name="Z_179EFDE5_A1B1_11D3_8FA9_0008C7809E09_.wvu.PrintTitles" localSheetId="12" hidden="1">#REF!,#REF!</definedName>
    <definedName name="Z_179EFDE5_A1B1_11D3_8FA9_0008C7809E09_.wvu.PrintTitles" localSheetId="9" hidden="1">#REF!,#REF!</definedName>
    <definedName name="Z_179EFDE5_A1B1_11D3_8FA9_0008C7809E09_.wvu.PrintTitles" hidden="1">#REF!,#REF!</definedName>
    <definedName name="Z_179EFDE6_A1B1_11D3_8FA9_0008C7809E09_.wvu.PrintArea" localSheetId="17" hidden="1">#REF!</definedName>
    <definedName name="Z_179EFDE6_A1B1_11D3_8FA9_0008C7809E09_.wvu.PrintArea" localSheetId="30" hidden="1">#REF!</definedName>
    <definedName name="Z_179EFDE6_A1B1_11D3_8FA9_0008C7809E09_.wvu.PrintArea" localSheetId="31" hidden="1">#REF!</definedName>
    <definedName name="Z_179EFDE6_A1B1_11D3_8FA9_0008C7809E09_.wvu.PrintArea" localSheetId="7" hidden="1">#REF!</definedName>
    <definedName name="Z_179EFDE6_A1B1_11D3_8FA9_0008C7809E09_.wvu.PrintArea" localSheetId="12" hidden="1">#REF!</definedName>
    <definedName name="Z_179EFDE6_A1B1_11D3_8FA9_0008C7809E09_.wvu.PrintArea" localSheetId="9" hidden="1">#REF!</definedName>
    <definedName name="Z_179EFDE6_A1B1_11D3_8FA9_0008C7809E09_.wvu.PrintArea" hidden="1">#REF!</definedName>
    <definedName name="Z_179EFDE6_A1B1_11D3_8FA9_0008C7809E09_.wvu.PrintTitles" localSheetId="17" hidden="1">#REF!</definedName>
    <definedName name="Z_179EFDE6_A1B1_11D3_8FA9_0008C7809E09_.wvu.PrintTitles" localSheetId="31" hidden="1">#REF!</definedName>
    <definedName name="Z_179EFDE6_A1B1_11D3_8FA9_0008C7809E09_.wvu.PrintTitles" localSheetId="7" hidden="1">#REF!</definedName>
    <definedName name="Z_179EFDE6_A1B1_11D3_8FA9_0008C7809E09_.wvu.PrintTitles" localSheetId="9" hidden="1">#REF!</definedName>
    <definedName name="Z_179EFDE6_A1B1_11D3_8FA9_0008C7809E09_.wvu.PrintTitles" hidden="1">#REF!</definedName>
    <definedName name="Z_179EFDE7_A1B1_11D3_8FA9_0008C7809E09_.wvu.PrintArea" localSheetId="17" hidden="1">#REF!</definedName>
    <definedName name="Z_179EFDE7_A1B1_11D3_8FA9_0008C7809E09_.wvu.PrintArea" localSheetId="31" hidden="1">#REF!</definedName>
    <definedName name="Z_179EFDE7_A1B1_11D3_8FA9_0008C7809E09_.wvu.PrintArea" localSheetId="7" hidden="1">#REF!</definedName>
    <definedName name="Z_179EFDE7_A1B1_11D3_8FA9_0008C7809E09_.wvu.PrintArea" localSheetId="9" hidden="1">#REF!</definedName>
    <definedName name="Z_179EFDE7_A1B1_11D3_8FA9_0008C7809E09_.wvu.PrintArea" hidden="1">#REF!</definedName>
    <definedName name="Z_179EFDE7_A1B1_11D3_8FA9_0008C7809E09_.wvu.PrintTitles" localSheetId="31" hidden="1">#REF!</definedName>
    <definedName name="Z_179EFDE7_A1B1_11D3_8FA9_0008C7809E09_.wvu.PrintTitles" localSheetId="7" hidden="1">#REF!</definedName>
    <definedName name="Z_179EFDE7_A1B1_11D3_8FA9_0008C7809E09_.wvu.PrintTitles" hidden="1">#REF!</definedName>
    <definedName name="Z_179EFDE8_A1B1_11D3_8FA9_0008C7809E09_.wvu.PrintArea" localSheetId="31" hidden="1">#REF!</definedName>
    <definedName name="Z_179EFDE8_A1B1_11D3_8FA9_0008C7809E09_.wvu.PrintArea" localSheetId="7" hidden="1">#REF!</definedName>
    <definedName name="Z_179EFDE8_A1B1_11D3_8FA9_0008C7809E09_.wvu.PrintArea" hidden="1">#REF!</definedName>
    <definedName name="Z_179EFDE8_A1B1_11D3_8FA9_0008C7809E09_.wvu.PrintTitles" localSheetId="31" hidden="1">#REF!</definedName>
    <definedName name="Z_179EFDE8_A1B1_11D3_8FA9_0008C7809E09_.wvu.PrintTitles" localSheetId="7" hidden="1">#REF!</definedName>
    <definedName name="Z_179EFDE8_A1B1_11D3_8FA9_0008C7809E09_.wvu.PrintTitles" hidden="1">#REF!</definedName>
    <definedName name="Z_179EFDE9_A1B1_11D3_8FA9_0008C7809E09_.wvu.PrintArea" localSheetId="31" hidden="1">#REF!</definedName>
    <definedName name="Z_179EFDE9_A1B1_11D3_8FA9_0008C7809E09_.wvu.PrintArea" localSheetId="7" hidden="1">#REF!</definedName>
    <definedName name="Z_179EFDE9_A1B1_11D3_8FA9_0008C7809E09_.wvu.PrintArea" hidden="1">#REF!</definedName>
    <definedName name="Z_179EFDE9_A1B1_11D3_8FA9_0008C7809E09_.wvu.PrintTitles" localSheetId="31" hidden="1">#REF!</definedName>
    <definedName name="Z_179EFDE9_A1B1_11D3_8FA9_0008C7809E09_.wvu.PrintTitles" localSheetId="7" hidden="1">#REF!</definedName>
    <definedName name="Z_179EFDE9_A1B1_11D3_8FA9_0008C7809E09_.wvu.PrintTitles" hidden="1">#REF!</definedName>
    <definedName name="Z_179EFDEA_A1B1_11D3_8FA9_0008C7809E09_.wvu.PrintArea" localSheetId="31" hidden="1">#REF!</definedName>
    <definedName name="Z_179EFDEA_A1B1_11D3_8FA9_0008C7809E09_.wvu.PrintArea" localSheetId="7" hidden="1">#REF!</definedName>
    <definedName name="Z_179EFDEA_A1B1_11D3_8FA9_0008C7809E09_.wvu.PrintArea" hidden="1">#REF!</definedName>
    <definedName name="Z_179EFDEA_A1B1_11D3_8FA9_0008C7809E09_.wvu.PrintTitles" localSheetId="31" hidden="1">#REF!</definedName>
    <definedName name="Z_179EFDEA_A1B1_11D3_8FA9_0008C7809E09_.wvu.PrintTitles" localSheetId="7" hidden="1">#REF!</definedName>
    <definedName name="Z_179EFDEA_A1B1_11D3_8FA9_0008C7809E09_.wvu.PrintTitles" hidden="1">#REF!</definedName>
    <definedName name="Z_179EFDEB_A1B1_11D3_8FA9_0008C7809E09_.wvu.PrintArea" localSheetId="31" hidden="1">#REF!</definedName>
    <definedName name="Z_179EFDEB_A1B1_11D3_8FA9_0008C7809E09_.wvu.PrintArea" localSheetId="7" hidden="1">#REF!</definedName>
    <definedName name="Z_179EFDEB_A1B1_11D3_8FA9_0008C7809E09_.wvu.PrintArea" hidden="1">#REF!</definedName>
    <definedName name="Z_179EFDEB_A1B1_11D3_8FA9_0008C7809E09_.wvu.PrintTitles" localSheetId="31" hidden="1">#REF!</definedName>
    <definedName name="Z_179EFDEB_A1B1_11D3_8FA9_0008C7809E09_.wvu.PrintTitles" localSheetId="7" hidden="1">#REF!</definedName>
    <definedName name="Z_179EFDEB_A1B1_11D3_8FA9_0008C7809E09_.wvu.PrintTitles" hidden="1">#REF!</definedName>
    <definedName name="Z_179EFDEC_A1B1_11D3_8FA9_0008C7809E09_.wvu.PrintArea" localSheetId="31" hidden="1">#REF!</definedName>
    <definedName name="Z_179EFDEC_A1B1_11D3_8FA9_0008C7809E09_.wvu.PrintArea" localSheetId="7" hidden="1">#REF!</definedName>
    <definedName name="Z_179EFDEC_A1B1_11D3_8FA9_0008C7809E09_.wvu.PrintArea" hidden="1">#REF!</definedName>
    <definedName name="Z_179EFDEC_A1B1_11D3_8FA9_0008C7809E09_.wvu.PrintTitles" localSheetId="31" hidden="1">#REF!</definedName>
    <definedName name="Z_179EFDEC_A1B1_11D3_8FA9_0008C7809E09_.wvu.PrintTitles" localSheetId="7" hidden="1">#REF!</definedName>
    <definedName name="Z_179EFDEC_A1B1_11D3_8FA9_0008C7809E09_.wvu.PrintTitles" hidden="1">#REF!</definedName>
    <definedName name="Z_179EFDED_A1B1_11D3_8FA9_0008C7809E09_.wvu.PrintArea" localSheetId="31" hidden="1">#REF!</definedName>
    <definedName name="Z_179EFDED_A1B1_11D3_8FA9_0008C7809E09_.wvu.PrintArea" localSheetId="7" hidden="1">#REF!</definedName>
    <definedName name="Z_179EFDED_A1B1_11D3_8FA9_0008C7809E09_.wvu.PrintArea" hidden="1">#REF!</definedName>
    <definedName name="Z_179EFDED_A1B1_11D3_8FA9_0008C7809E09_.wvu.PrintTitles" localSheetId="31" hidden="1">#REF!</definedName>
    <definedName name="Z_179EFDED_A1B1_11D3_8FA9_0008C7809E09_.wvu.PrintTitles" localSheetId="7" hidden="1">#REF!</definedName>
    <definedName name="Z_179EFDED_A1B1_11D3_8FA9_0008C7809E09_.wvu.PrintTitles" hidden="1">#REF!</definedName>
    <definedName name="Z_179EFDEE_A1B1_11D3_8FA9_0008C7809E09_.wvu.PrintArea" localSheetId="31" hidden="1">#REF!</definedName>
    <definedName name="Z_179EFDEE_A1B1_11D3_8FA9_0008C7809E09_.wvu.PrintArea" localSheetId="7" hidden="1">#REF!</definedName>
    <definedName name="Z_179EFDEE_A1B1_11D3_8FA9_0008C7809E09_.wvu.PrintArea" hidden="1">#REF!</definedName>
    <definedName name="Z_179EFDEE_A1B1_11D3_8FA9_0008C7809E09_.wvu.PrintTitles" localSheetId="31" hidden="1">#REF!</definedName>
    <definedName name="Z_179EFDEE_A1B1_11D3_8FA9_0008C7809E09_.wvu.PrintTitles" localSheetId="7" hidden="1">#REF!</definedName>
    <definedName name="Z_179EFDEE_A1B1_11D3_8FA9_0008C7809E09_.wvu.PrintTitles" hidden="1">#REF!</definedName>
    <definedName name="Z_179EFDEF_A1B1_11D3_8FA9_0008C7809E09_.wvu.PrintArea" localSheetId="31" hidden="1">#REF!</definedName>
    <definedName name="Z_179EFDEF_A1B1_11D3_8FA9_0008C7809E09_.wvu.PrintArea" localSheetId="7" hidden="1">#REF!</definedName>
    <definedName name="Z_179EFDEF_A1B1_11D3_8FA9_0008C7809E09_.wvu.PrintArea" hidden="1">#REF!</definedName>
    <definedName name="Z_179EFDEF_A1B1_11D3_8FA9_0008C7809E09_.wvu.PrintTitles" localSheetId="31" hidden="1">#REF!</definedName>
    <definedName name="Z_179EFDEF_A1B1_11D3_8FA9_0008C7809E09_.wvu.PrintTitles" localSheetId="7" hidden="1">#REF!</definedName>
    <definedName name="Z_179EFDEF_A1B1_11D3_8FA9_0008C7809E09_.wvu.PrintTitles" hidden="1">#REF!</definedName>
    <definedName name="Z_179EFDF0_A1B1_11D3_8FA9_0008C7809E09_.wvu.PrintArea" localSheetId="31" hidden="1">#REF!</definedName>
    <definedName name="Z_179EFDF0_A1B1_11D3_8FA9_0008C7809E09_.wvu.PrintArea" localSheetId="7" hidden="1">#REF!</definedName>
    <definedName name="Z_179EFDF0_A1B1_11D3_8FA9_0008C7809E09_.wvu.PrintArea" hidden="1">#REF!</definedName>
    <definedName name="Z_179EFDF0_A1B1_11D3_8FA9_0008C7809E09_.wvu.PrintTitles" localSheetId="31" hidden="1">#REF!</definedName>
    <definedName name="Z_179EFDF0_A1B1_11D3_8FA9_0008C7809E09_.wvu.PrintTitles" localSheetId="7" hidden="1">#REF!</definedName>
    <definedName name="Z_179EFDF0_A1B1_11D3_8FA9_0008C7809E09_.wvu.PrintTitles" hidden="1">#REF!</definedName>
    <definedName name="Z_179EFDF1_A1B1_11D3_8FA9_0008C7809E09_.wvu.PrintArea" localSheetId="31" hidden="1">#REF!</definedName>
    <definedName name="Z_179EFDF1_A1B1_11D3_8FA9_0008C7809E09_.wvu.PrintArea" localSheetId="7" hidden="1">#REF!</definedName>
    <definedName name="Z_179EFDF1_A1B1_11D3_8FA9_0008C7809E09_.wvu.PrintArea" hidden="1">#REF!</definedName>
    <definedName name="Z_179EFDF1_A1B1_11D3_8FA9_0008C7809E09_.wvu.PrintTitles" localSheetId="31" hidden="1">#REF!</definedName>
    <definedName name="Z_179EFDF1_A1B1_11D3_8FA9_0008C7809E09_.wvu.PrintTitles" localSheetId="7" hidden="1">#REF!</definedName>
    <definedName name="Z_179EFDF1_A1B1_11D3_8FA9_0008C7809E09_.wvu.PrintTitles" hidden="1">#REF!</definedName>
    <definedName name="Z_179EFDF2_A1B1_11D3_8FA9_0008C7809E09_.wvu.PrintArea" localSheetId="31" hidden="1">#REF!</definedName>
    <definedName name="Z_179EFDF2_A1B1_11D3_8FA9_0008C7809E09_.wvu.PrintArea" localSheetId="7" hidden="1">#REF!</definedName>
    <definedName name="Z_179EFDF2_A1B1_11D3_8FA9_0008C7809E09_.wvu.PrintArea" hidden="1">#REF!</definedName>
    <definedName name="Z_179EFDF2_A1B1_11D3_8FA9_0008C7809E09_.wvu.PrintTitles" localSheetId="31" hidden="1">#REF!</definedName>
    <definedName name="Z_179EFDF2_A1B1_11D3_8FA9_0008C7809E09_.wvu.PrintTitles" localSheetId="7" hidden="1">#REF!</definedName>
    <definedName name="Z_179EFDF2_A1B1_11D3_8FA9_0008C7809E09_.wvu.PrintTitles" hidden="1">#REF!</definedName>
    <definedName name="Z_179EFDF3_A1B1_11D3_8FA9_0008C7809E09_.wvu.PrintArea" localSheetId="31" hidden="1">#REF!</definedName>
    <definedName name="Z_179EFDF3_A1B1_11D3_8FA9_0008C7809E09_.wvu.PrintArea" localSheetId="7" hidden="1">#REF!</definedName>
    <definedName name="Z_179EFDF3_A1B1_11D3_8FA9_0008C7809E09_.wvu.PrintArea" hidden="1">#REF!</definedName>
    <definedName name="Z_179EFDF3_A1B1_11D3_8FA9_0008C7809E09_.wvu.PrintTitles" localSheetId="17" hidden="1">#REF!,#REF!</definedName>
    <definedName name="Z_179EFDF3_A1B1_11D3_8FA9_0008C7809E09_.wvu.PrintTitles" localSheetId="30" hidden="1">#REF!,#REF!</definedName>
    <definedName name="Z_179EFDF3_A1B1_11D3_8FA9_0008C7809E09_.wvu.PrintTitles" localSheetId="31" hidden="1">#REF!,#REF!</definedName>
    <definedName name="Z_179EFDF3_A1B1_11D3_8FA9_0008C7809E09_.wvu.PrintTitles" localSheetId="7" hidden="1">#REF!,#REF!</definedName>
    <definedName name="Z_179EFDF3_A1B1_11D3_8FA9_0008C7809E09_.wvu.PrintTitles" localSheetId="12" hidden="1">#REF!,#REF!</definedName>
    <definedName name="Z_179EFDF3_A1B1_11D3_8FA9_0008C7809E09_.wvu.PrintTitles" localSheetId="9" hidden="1">#REF!,#REF!</definedName>
    <definedName name="Z_179EFDF3_A1B1_11D3_8FA9_0008C7809E09_.wvu.PrintTitles" hidden="1">#REF!,#REF!</definedName>
    <definedName name="Z_179EFDF4_A1B1_11D3_8FA9_0008C7809E09_.wvu.PrintArea" localSheetId="17" hidden="1">#REF!</definedName>
    <definedName name="Z_179EFDF4_A1B1_11D3_8FA9_0008C7809E09_.wvu.PrintArea" localSheetId="30" hidden="1">#REF!</definedName>
    <definedName name="Z_179EFDF4_A1B1_11D3_8FA9_0008C7809E09_.wvu.PrintArea" localSheetId="31" hidden="1">#REF!</definedName>
    <definedName name="Z_179EFDF4_A1B1_11D3_8FA9_0008C7809E09_.wvu.PrintArea" localSheetId="7" hidden="1">#REF!</definedName>
    <definedName name="Z_179EFDF4_A1B1_11D3_8FA9_0008C7809E09_.wvu.PrintArea" localSheetId="12" hidden="1">#REF!</definedName>
    <definedName name="Z_179EFDF4_A1B1_11D3_8FA9_0008C7809E09_.wvu.PrintArea" localSheetId="9" hidden="1">#REF!</definedName>
    <definedName name="Z_179EFDF4_A1B1_11D3_8FA9_0008C7809E09_.wvu.PrintArea" hidden="1">#REF!</definedName>
    <definedName name="Z_179EFDF4_A1B1_11D3_8FA9_0008C7809E09_.wvu.PrintTitles" localSheetId="17" hidden="1">#REF!,#REF!</definedName>
    <definedName name="Z_179EFDF4_A1B1_11D3_8FA9_0008C7809E09_.wvu.PrintTitles" localSheetId="30" hidden="1">#REF!,#REF!</definedName>
    <definedName name="Z_179EFDF4_A1B1_11D3_8FA9_0008C7809E09_.wvu.PrintTitles" localSheetId="31" hidden="1">#REF!,#REF!</definedName>
    <definedName name="Z_179EFDF4_A1B1_11D3_8FA9_0008C7809E09_.wvu.PrintTitles" localSheetId="7" hidden="1">#REF!,#REF!</definedName>
    <definedName name="Z_179EFDF4_A1B1_11D3_8FA9_0008C7809E09_.wvu.PrintTitles" localSheetId="12" hidden="1">#REF!,#REF!</definedName>
    <definedName name="Z_179EFDF4_A1B1_11D3_8FA9_0008C7809E09_.wvu.PrintTitles" localSheetId="9" hidden="1">#REF!,#REF!</definedName>
    <definedName name="Z_179EFDF4_A1B1_11D3_8FA9_0008C7809E09_.wvu.PrintTitles" hidden="1">#REF!,#REF!</definedName>
    <definedName name="Z_179EFDF5_A1B1_11D3_8FA9_0008C7809E09_.wvu.PrintArea" localSheetId="17" hidden="1">#REF!</definedName>
    <definedName name="Z_179EFDF5_A1B1_11D3_8FA9_0008C7809E09_.wvu.PrintArea" localSheetId="30" hidden="1">#REF!</definedName>
    <definedName name="Z_179EFDF5_A1B1_11D3_8FA9_0008C7809E09_.wvu.PrintArea" localSheetId="31" hidden="1">#REF!</definedName>
    <definedName name="Z_179EFDF5_A1B1_11D3_8FA9_0008C7809E09_.wvu.PrintArea" localSheetId="7" hidden="1">#REF!</definedName>
    <definedName name="Z_179EFDF5_A1B1_11D3_8FA9_0008C7809E09_.wvu.PrintArea" localSheetId="12" hidden="1">#REF!</definedName>
    <definedName name="Z_179EFDF5_A1B1_11D3_8FA9_0008C7809E09_.wvu.PrintArea" localSheetId="9" hidden="1">#REF!</definedName>
    <definedName name="Z_179EFDF5_A1B1_11D3_8FA9_0008C7809E09_.wvu.PrintArea" hidden="1">#REF!</definedName>
    <definedName name="Z_179EFDF5_A1B1_11D3_8FA9_0008C7809E09_.wvu.PrintTitles" localSheetId="17" hidden="1">#REF!,#REF!</definedName>
    <definedName name="Z_179EFDF5_A1B1_11D3_8FA9_0008C7809E09_.wvu.PrintTitles" localSheetId="30" hidden="1">#REF!,#REF!</definedName>
    <definedName name="Z_179EFDF5_A1B1_11D3_8FA9_0008C7809E09_.wvu.PrintTitles" localSheetId="31" hidden="1">#REF!,#REF!</definedName>
    <definedName name="Z_179EFDF5_A1B1_11D3_8FA9_0008C7809E09_.wvu.PrintTitles" localSheetId="7" hidden="1">#REF!,#REF!</definedName>
    <definedName name="Z_179EFDF5_A1B1_11D3_8FA9_0008C7809E09_.wvu.PrintTitles" localSheetId="12" hidden="1">#REF!,#REF!</definedName>
    <definedName name="Z_179EFDF5_A1B1_11D3_8FA9_0008C7809E09_.wvu.PrintTitles" localSheetId="9" hidden="1">#REF!,#REF!</definedName>
    <definedName name="Z_179EFDF5_A1B1_11D3_8FA9_0008C7809E09_.wvu.PrintTitles" hidden="1">#REF!,#REF!</definedName>
    <definedName name="Z_179EFDF6_A1B1_11D3_8FA9_0008C7809E09_.wvu.PrintArea" localSheetId="17" hidden="1">#REF!</definedName>
    <definedName name="Z_179EFDF6_A1B1_11D3_8FA9_0008C7809E09_.wvu.PrintArea" localSheetId="30" hidden="1">#REF!</definedName>
    <definedName name="Z_179EFDF6_A1B1_11D3_8FA9_0008C7809E09_.wvu.PrintArea" localSheetId="31" hidden="1">#REF!</definedName>
    <definedName name="Z_179EFDF6_A1B1_11D3_8FA9_0008C7809E09_.wvu.PrintArea" localSheetId="7" hidden="1">#REF!</definedName>
    <definedName name="Z_179EFDF6_A1B1_11D3_8FA9_0008C7809E09_.wvu.PrintArea" localSheetId="12" hidden="1">#REF!</definedName>
    <definedName name="Z_179EFDF6_A1B1_11D3_8FA9_0008C7809E09_.wvu.PrintArea" localSheetId="9" hidden="1">#REF!</definedName>
    <definedName name="Z_179EFDF6_A1B1_11D3_8FA9_0008C7809E09_.wvu.PrintArea" hidden="1">#REF!</definedName>
    <definedName name="Z_179EFDF6_A1B1_11D3_8FA9_0008C7809E09_.wvu.PrintTitles" localSheetId="17" hidden="1">#REF!,#REF!</definedName>
    <definedName name="Z_179EFDF6_A1B1_11D3_8FA9_0008C7809E09_.wvu.PrintTitles" localSheetId="30" hidden="1">#REF!,#REF!</definedName>
    <definedName name="Z_179EFDF6_A1B1_11D3_8FA9_0008C7809E09_.wvu.PrintTitles" localSheetId="31" hidden="1">#REF!,#REF!</definedName>
    <definedName name="Z_179EFDF6_A1B1_11D3_8FA9_0008C7809E09_.wvu.PrintTitles" localSheetId="7" hidden="1">#REF!,#REF!</definedName>
    <definedName name="Z_179EFDF6_A1B1_11D3_8FA9_0008C7809E09_.wvu.PrintTitles" localSheetId="12" hidden="1">#REF!,#REF!</definedName>
    <definedName name="Z_179EFDF6_A1B1_11D3_8FA9_0008C7809E09_.wvu.PrintTitles" localSheetId="9" hidden="1">#REF!,#REF!</definedName>
    <definedName name="Z_179EFDF6_A1B1_11D3_8FA9_0008C7809E09_.wvu.PrintTitles" hidden="1">#REF!,#REF!</definedName>
    <definedName name="Z_179EFDF7_A1B1_11D3_8FA9_0008C7809E09_.wvu.PrintArea" localSheetId="17" hidden="1">#REF!</definedName>
    <definedName name="Z_179EFDF7_A1B1_11D3_8FA9_0008C7809E09_.wvu.PrintArea" localSheetId="30" hidden="1">#REF!</definedName>
    <definedName name="Z_179EFDF7_A1B1_11D3_8FA9_0008C7809E09_.wvu.PrintArea" localSheetId="31" hidden="1">#REF!</definedName>
    <definedName name="Z_179EFDF7_A1B1_11D3_8FA9_0008C7809E09_.wvu.PrintArea" localSheetId="7" hidden="1">#REF!</definedName>
    <definedName name="Z_179EFDF7_A1B1_11D3_8FA9_0008C7809E09_.wvu.PrintArea" localSheetId="12" hidden="1">#REF!</definedName>
    <definedName name="Z_179EFDF7_A1B1_11D3_8FA9_0008C7809E09_.wvu.PrintArea" localSheetId="9" hidden="1">#REF!</definedName>
    <definedName name="Z_179EFDF7_A1B1_11D3_8FA9_0008C7809E09_.wvu.PrintArea" hidden="1">#REF!</definedName>
    <definedName name="Z_179EFDF7_A1B1_11D3_8FA9_0008C7809E09_.wvu.PrintTitles" localSheetId="17" hidden="1">#REF!,#REF!</definedName>
    <definedName name="Z_179EFDF7_A1B1_11D3_8FA9_0008C7809E09_.wvu.PrintTitles" localSheetId="30" hidden="1">#REF!,#REF!</definedName>
    <definedName name="Z_179EFDF7_A1B1_11D3_8FA9_0008C7809E09_.wvu.PrintTitles" localSheetId="31" hidden="1">#REF!,#REF!</definedName>
    <definedName name="Z_179EFDF7_A1B1_11D3_8FA9_0008C7809E09_.wvu.PrintTitles" localSheetId="7" hidden="1">#REF!,#REF!</definedName>
    <definedName name="Z_179EFDF7_A1B1_11D3_8FA9_0008C7809E09_.wvu.PrintTitles" localSheetId="12" hidden="1">#REF!,#REF!</definedName>
    <definedName name="Z_179EFDF7_A1B1_11D3_8FA9_0008C7809E09_.wvu.PrintTitles" localSheetId="9" hidden="1">#REF!,#REF!</definedName>
    <definedName name="Z_179EFDF7_A1B1_11D3_8FA9_0008C7809E09_.wvu.PrintTitles" hidden="1">#REF!,#REF!</definedName>
    <definedName name="Z_179EFDF8_A1B1_11D3_8FA9_0008C7809E09_.wvu.PrintArea" localSheetId="17" hidden="1">#REF!</definedName>
    <definedName name="Z_179EFDF8_A1B1_11D3_8FA9_0008C7809E09_.wvu.PrintArea" localSheetId="30" hidden="1">#REF!</definedName>
    <definedName name="Z_179EFDF8_A1B1_11D3_8FA9_0008C7809E09_.wvu.PrintArea" localSheetId="31" hidden="1">#REF!</definedName>
    <definedName name="Z_179EFDF8_A1B1_11D3_8FA9_0008C7809E09_.wvu.PrintArea" localSheetId="7" hidden="1">#REF!</definedName>
    <definedName name="Z_179EFDF8_A1B1_11D3_8FA9_0008C7809E09_.wvu.PrintArea" localSheetId="12" hidden="1">#REF!</definedName>
    <definedName name="Z_179EFDF8_A1B1_11D3_8FA9_0008C7809E09_.wvu.PrintArea" localSheetId="9" hidden="1">#REF!</definedName>
    <definedName name="Z_179EFDF8_A1B1_11D3_8FA9_0008C7809E09_.wvu.PrintArea" hidden="1">#REF!</definedName>
    <definedName name="Z_179EFDF8_A1B1_11D3_8FA9_0008C7809E09_.wvu.PrintTitles" localSheetId="17" hidden="1">#REF!,#REF!</definedName>
    <definedName name="Z_179EFDF8_A1B1_11D3_8FA9_0008C7809E09_.wvu.PrintTitles" localSheetId="30" hidden="1">#REF!,#REF!</definedName>
    <definedName name="Z_179EFDF8_A1B1_11D3_8FA9_0008C7809E09_.wvu.PrintTitles" localSheetId="31" hidden="1">#REF!,#REF!</definedName>
    <definedName name="Z_179EFDF8_A1B1_11D3_8FA9_0008C7809E09_.wvu.PrintTitles" localSheetId="7" hidden="1">#REF!,#REF!</definedName>
    <definedName name="Z_179EFDF8_A1B1_11D3_8FA9_0008C7809E09_.wvu.PrintTitles" localSheetId="12" hidden="1">#REF!,#REF!</definedName>
    <definedName name="Z_179EFDF8_A1B1_11D3_8FA9_0008C7809E09_.wvu.PrintTitles" localSheetId="9" hidden="1">#REF!,#REF!</definedName>
    <definedName name="Z_179EFDF8_A1B1_11D3_8FA9_0008C7809E09_.wvu.PrintTitles" hidden="1">#REF!,#REF!</definedName>
    <definedName name="Z_179EFDF9_A1B1_11D3_8FA9_0008C7809E09_.wvu.PrintArea" localSheetId="17" hidden="1">#REF!</definedName>
    <definedName name="Z_179EFDF9_A1B1_11D3_8FA9_0008C7809E09_.wvu.PrintArea" localSheetId="30" hidden="1">#REF!</definedName>
    <definedName name="Z_179EFDF9_A1B1_11D3_8FA9_0008C7809E09_.wvu.PrintArea" localSheetId="31" hidden="1">#REF!</definedName>
    <definedName name="Z_179EFDF9_A1B1_11D3_8FA9_0008C7809E09_.wvu.PrintArea" localSheetId="7" hidden="1">#REF!</definedName>
    <definedName name="Z_179EFDF9_A1B1_11D3_8FA9_0008C7809E09_.wvu.PrintArea" localSheetId="12" hidden="1">#REF!</definedName>
    <definedName name="Z_179EFDF9_A1B1_11D3_8FA9_0008C7809E09_.wvu.PrintArea" localSheetId="9" hidden="1">#REF!</definedName>
    <definedName name="Z_179EFDF9_A1B1_11D3_8FA9_0008C7809E09_.wvu.PrintArea" hidden="1">#REF!</definedName>
    <definedName name="Z_179EFDF9_A1B1_11D3_8FA9_0008C7809E09_.wvu.PrintTitles" localSheetId="17" hidden="1">#REF!,#REF!</definedName>
    <definedName name="Z_179EFDF9_A1B1_11D3_8FA9_0008C7809E09_.wvu.PrintTitles" localSheetId="30" hidden="1">#REF!,#REF!</definedName>
    <definedName name="Z_179EFDF9_A1B1_11D3_8FA9_0008C7809E09_.wvu.PrintTitles" localSheetId="31" hidden="1">#REF!,#REF!</definedName>
    <definedName name="Z_179EFDF9_A1B1_11D3_8FA9_0008C7809E09_.wvu.PrintTitles" localSheetId="7" hidden="1">#REF!,#REF!</definedName>
    <definedName name="Z_179EFDF9_A1B1_11D3_8FA9_0008C7809E09_.wvu.PrintTitles" localSheetId="12" hidden="1">#REF!,#REF!</definedName>
    <definedName name="Z_179EFDF9_A1B1_11D3_8FA9_0008C7809E09_.wvu.PrintTitles" localSheetId="9" hidden="1">#REF!,#REF!</definedName>
    <definedName name="Z_179EFDF9_A1B1_11D3_8FA9_0008C7809E09_.wvu.PrintTitles" hidden="1">#REF!,#REF!</definedName>
    <definedName name="Z_179EFDFA_A1B1_11D3_8FA9_0008C7809E09_.wvu.PrintArea" localSheetId="17" hidden="1">#REF!</definedName>
    <definedName name="Z_179EFDFA_A1B1_11D3_8FA9_0008C7809E09_.wvu.PrintArea" localSheetId="30" hidden="1">#REF!</definedName>
    <definedName name="Z_179EFDFA_A1B1_11D3_8FA9_0008C7809E09_.wvu.PrintArea" localSheetId="31" hidden="1">#REF!</definedName>
    <definedName name="Z_179EFDFA_A1B1_11D3_8FA9_0008C7809E09_.wvu.PrintArea" localSheetId="7" hidden="1">#REF!</definedName>
    <definedName name="Z_179EFDFA_A1B1_11D3_8FA9_0008C7809E09_.wvu.PrintArea" localSheetId="12" hidden="1">#REF!</definedName>
    <definedName name="Z_179EFDFA_A1B1_11D3_8FA9_0008C7809E09_.wvu.PrintArea" localSheetId="9" hidden="1">#REF!</definedName>
    <definedName name="Z_179EFDFA_A1B1_11D3_8FA9_0008C7809E09_.wvu.PrintArea" hidden="1">#REF!</definedName>
    <definedName name="Z_179EFDFA_A1B1_11D3_8FA9_0008C7809E09_.wvu.PrintTitles" localSheetId="17" hidden="1">#REF!,#REF!</definedName>
    <definedName name="Z_179EFDFA_A1B1_11D3_8FA9_0008C7809E09_.wvu.PrintTitles" localSheetId="30" hidden="1">#REF!,#REF!</definedName>
    <definedName name="Z_179EFDFA_A1B1_11D3_8FA9_0008C7809E09_.wvu.PrintTitles" localSheetId="31" hidden="1">#REF!,#REF!</definedName>
    <definedName name="Z_179EFDFA_A1B1_11D3_8FA9_0008C7809E09_.wvu.PrintTitles" localSheetId="7" hidden="1">#REF!,#REF!</definedName>
    <definedName name="Z_179EFDFA_A1B1_11D3_8FA9_0008C7809E09_.wvu.PrintTitles" localSheetId="12" hidden="1">#REF!,#REF!</definedName>
    <definedName name="Z_179EFDFA_A1B1_11D3_8FA9_0008C7809E09_.wvu.PrintTitles" localSheetId="9" hidden="1">#REF!,#REF!</definedName>
    <definedName name="Z_179EFDFA_A1B1_11D3_8FA9_0008C7809E09_.wvu.PrintTitles" hidden="1">#REF!,#REF!</definedName>
    <definedName name="Z_179EFDFB_A1B1_11D3_8FA9_0008C7809E09_.wvu.PrintArea" localSheetId="17" hidden="1">#REF!</definedName>
    <definedName name="Z_179EFDFB_A1B1_11D3_8FA9_0008C7809E09_.wvu.PrintArea" localSheetId="30" hidden="1">#REF!</definedName>
    <definedName name="Z_179EFDFB_A1B1_11D3_8FA9_0008C7809E09_.wvu.PrintArea" localSheetId="31" hidden="1">#REF!</definedName>
    <definedName name="Z_179EFDFB_A1B1_11D3_8FA9_0008C7809E09_.wvu.PrintArea" localSheetId="7" hidden="1">#REF!</definedName>
    <definedName name="Z_179EFDFB_A1B1_11D3_8FA9_0008C7809E09_.wvu.PrintArea" localSheetId="12" hidden="1">#REF!</definedName>
    <definedName name="Z_179EFDFB_A1B1_11D3_8FA9_0008C7809E09_.wvu.PrintArea" localSheetId="9" hidden="1">#REF!</definedName>
    <definedName name="Z_179EFDFB_A1B1_11D3_8FA9_0008C7809E09_.wvu.PrintArea" hidden="1">#REF!</definedName>
    <definedName name="Z_179EFDFB_A1B1_11D3_8FA9_0008C7809E09_.wvu.PrintTitles" localSheetId="17" hidden="1">#REF!,#REF!</definedName>
    <definedName name="Z_179EFDFB_A1B1_11D3_8FA9_0008C7809E09_.wvu.PrintTitles" localSheetId="30" hidden="1">#REF!,#REF!</definedName>
    <definedName name="Z_179EFDFB_A1B1_11D3_8FA9_0008C7809E09_.wvu.PrintTitles" localSheetId="31" hidden="1">#REF!,#REF!</definedName>
    <definedName name="Z_179EFDFB_A1B1_11D3_8FA9_0008C7809E09_.wvu.PrintTitles" localSheetId="7" hidden="1">#REF!,#REF!</definedName>
    <definedName name="Z_179EFDFB_A1B1_11D3_8FA9_0008C7809E09_.wvu.PrintTitles" localSheetId="12" hidden="1">#REF!,#REF!</definedName>
    <definedName name="Z_179EFDFB_A1B1_11D3_8FA9_0008C7809E09_.wvu.PrintTitles" localSheetId="9" hidden="1">#REF!,#REF!</definedName>
    <definedName name="Z_179EFDFB_A1B1_11D3_8FA9_0008C7809E09_.wvu.PrintTitles" hidden="1">#REF!,#REF!</definedName>
    <definedName name="Z_179EFDFC_A1B1_11D3_8FA9_0008C7809E09_.wvu.PrintArea" localSheetId="17" hidden="1">#REF!</definedName>
    <definedName name="Z_179EFDFC_A1B1_11D3_8FA9_0008C7809E09_.wvu.PrintArea" localSheetId="30" hidden="1">#REF!</definedName>
    <definedName name="Z_179EFDFC_A1B1_11D3_8FA9_0008C7809E09_.wvu.PrintArea" localSheetId="31" hidden="1">#REF!</definedName>
    <definedName name="Z_179EFDFC_A1B1_11D3_8FA9_0008C7809E09_.wvu.PrintArea" localSheetId="7" hidden="1">#REF!</definedName>
    <definedName name="Z_179EFDFC_A1B1_11D3_8FA9_0008C7809E09_.wvu.PrintArea" localSheetId="12" hidden="1">#REF!</definedName>
    <definedName name="Z_179EFDFC_A1B1_11D3_8FA9_0008C7809E09_.wvu.PrintArea" localSheetId="9" hidden="1">#REF!</definedName>
    <definedName name="Z_179EFDFC_A1B1_11D3_8FA9_0008C7809E09_.wvu.PrintArea" hidden="1">#REF!</definedName>
    <definedName name="Z_179EFDFC_A1B1_11D3_8FA9_0008C7809E09_.wvu.PrintTitles" localSheetId="17" hidden="1">#REF!,#REF!</definedName>
    <definedName name="Z_179EFDFC_A1B1_11D3_8FA9_0008C7809E09_.wvu.PrintTitles" localSheetId="30" hidden="1">#REF!,#REF!</definedName>
    <definedName name="Z_179EFDFC_A1B1_11D3_8FA9_0008C7809E09_.wvu.PrintTitles" localSheetId="31" hidden="1">#REF!,#REF!</definedName>
    <definedName name="Z_179EFDFC_A1B1_11D3_8FA9_0008C7809E09_.wvu.PrintTitles" localSheetId="7" hidden="1">#REF!,#REF!</definedName>
    <definedName name="Z_179EFDFC_A1B1_11D3_8FA9_0008C7809E09_.wvu.PrintTitles" localSheetId="12" hidden="1">#REF!,#REF!</definedName>
    <definedName name="Z_179EFDFC_A1B1_11D3_8FA9_0008C7809E09_.wvu.PrintTitles" localSheetId="9" hidden="1">#REF!,#REF!</definedName>
    <definedName name="Z_179EFDFC_A1B1_11D3_8FA9_0008C7809E09_.wvu.PrintTitles" hidden="1">#REF!,#REF!</definedName>
    <definedName name="Z_179EFDFD_A1B1_11D3_8FA9_0008C7809E09_.wvu.PrintArea" localSheetId="17" hidden="1">#REF!</definedName>
    <definedName name="Z_179EFDFD_A1B1_11D3_8FA9_0008C7809E09_.wvu.PrintArea" localSheetId="30" hidden="1">#REF!</definedName>
    <definedName name="Z_179EFDFD_A1B1_11D3_8FA9_0008C7809E09_.wvu.PrintArea" localSheetId="31" hidden="1">#REF!</definedName>
    <definedName name="Z_179EFDFD_A1B1_11D3_8FA9_0008C7809E09_.wvu.PrintArea" localSheetId="7" hidden="1">#REF!</definedName>
    <definedName name="Z_179EFDFD_A1B1_11D3_8FA9_0008C7809E09_.wvu.PrintArea" localSheetId="12" hidden="1">#REF!</definedName>
    <definedName name="Z_179EFDFD_A1B1_11D3_8FA9_0008C7809E09_.wvu.PrintArea" localSheetId="9" hidden="1">#REF!</definedName>
    <definedName name="Z_179EFDFD_A1B1_11D3_8FA9_0008C7809E09_.wvu.PrintArea" hidden="1">#REF!</definedName>
    <definedName name="Z_179EFDFD_A1B1_11D3_8FA9_0008C7809E09_.wvu.PrintTitles" localSheetId="17" hidden="1">#REF!,#REF!</definedName>
    <definedName name="Z_179EFDFD_A1B1_11D3_8FA9_0008C7809E09_.wvu.PrintTitles" localSheetId="30" hidden="1">#REF!,#REF!</definedName>
    <definedName name="Z_179EFDFD_A1B1_11D3_8FA9_0008C7809E09_.wvu.PrintTitles" localSheetId="31" hidden="1">#REF!,#REF!</definedName>
    <definedName name="Z_179EFDFD_A1B1_11D3_8FA9_0008C7809E09_.wvu.PrintTitles" localSheetId="7" hidden="1">#REF!,#REF!</definedName>
    <definedName name="Z_179EFDFD_A1B1_11D3_8FA9_0008C7809E09_.wvu.PrintTitles" localSheetId="12" hidden="1">#REF!,#REF!</definedName>
    <definedName name="Z_179EFDFD_A1B1_11D3_8FA9_0008C7809E09_.wvu.PrintTitles" localSheetId="9" hidden="1">#REF!,#REF!</definedName>
    <definedName name="Z_179EFDFD_A1B1_11D3_8FA9_0008C7809E09_.wvu.PrintTitles" hidden="1">#REF!,#REF!</definedName>
    <definedName name="Z_179EFDFE_A1B1_11D3_8FA9_0008C7809E09_.wvu.PrintArea" localSheetId="17" hidden="1">#REF!</definedName>
    <definedName name="Z_179EFDFE_A1B1_11D3_8FA9_0008C7809E09_.wvu.PrintArea" localSheetId="30" hidden="1">#REF!</definedName>
    <definedName name="Z_179EFDFE_A1B1_11D3_8FA9_0008C7809E09_.wvu.PrintArea" localSheetId="31" hidden="1">#REF!</definedName>
    <definedName name="Z_179EFDFE_A1B1_11D3_8FA9_0008C7809E09_.wvu.PrintArea" localSheetId="7" hidden="1">#REF!</definedName>
    <definedName name="Z_179EFDFE_A1B1_11D3_8FA9_0008C7809E09_.wvu.PrintArea" localSheetId="12" hidden="1">#REF!</definedName>
    <definedName name="Z_179EFDFE_A1B1_11D3_8FA9_0008C7809E09_.wvu.PrintArea" localSheetId="9" hidden="1">#REF!</definedName>
    <definedName name="Z_179EFDFE_A1B1_11D3_8FA9_0008C7809E09_.wvu.PrintArea" hidden="1">#REF!</definedName>
    <definedName name="Z_179EFDFE_A1B1_11D3_8FA9_0008C7809E09_.wvu.PrintTitles" localSheetId="17" hidden="1">#REF!,#REF!</definedName>
    <definedName name="Z_179EFDFE_A1B1_11D3_8FA9_0008C7809E09_.wvu.PrintTitles" localSheetId="30" hidden="1">#REF!,#REF!</definedName>
    <definedName name="Z_179EFDFE_A1B1_11D3_8FA9_0008C7809E09_.wvu.PrintTitles" localSheetId="31" hidden="1">#REF!,#REF!</definedName>
    <definedName name="Z_179EFDFE_A1B1_11D3_8FA9_0008C7809E09_.wvu.PrintTitles" localSheetId="7" hidden="1">#REF!,#REF!</definedName>
    <definedName name="Z_179EFDFE_A1B1_11D3_8FA9_0008C7809E09_.wvu.PrintTitles" localSheetId="12" hidden="1">#REF!,#REF!</definedName>
    <definedName name="Z_179EFDFE_A1B1_11D3_8FA9_0008C7809E09_.wvu.PrintTitles" localSheetId="9" hidden="1">#REF!,#REF!</definedName>
    <definedName name="Z_179EFDFE_A1B1_11D3_8FA9_0008C7809E09_.wvu.PrintTitles" hidden="1">#REF!,#REF!</definedName>
    <definedName name="Z_179EFDFF_A1B1_11D3_8FA9_0008C7809E09_.wvu.PrintArea" localSheetId="17" hidden="1">#REF!</definedName>
    <definedName name="Z_179EFDFF_A1B1_11D3_8FA9_0008C7809E09_.wvu.PrintArea" localSheetId="30" hidden="1">#REF!</definedName>
    <definedName name="Z_179EFDFF_A1B1_11D3_8FA9_0008C7809E09_.wvu.PrintArea" localSheetId="31" hidden="1">#REF!</definedName>
    <definedName name="Z_179EFDFF_A1B1_11D3_8FA9_0008C7809E09_.wvu.PrintArea" localSheetId="7" hidden="1">#REF!</definedName>
    <definedName name="Z_179EFDFF_A1B1_11D3_8FA9_0008C7809E09_.wvu.PrintArea" localSheetId="12" hidden="1">#REF!</definedName>
    <definedName name="Z_179EFDFF_A1B1_11D3_8FA9_0008C7809E09_.wvu.PrintArea" localSheetId="9" hidden="1">#REF!</definedName>
    <definedName name="Z_179EFDFF_A1B1_11D3_8FA9_0008C7809E09_.wvu.PrintArea" hidden="1">#REF!</definedName>
    <definedName name="Z_179EFDFF_A1B1_11D3_8FA9_0008C7809E09_.wvu.PrintTitles" localSheetId="17" hidden="1">#REF!,#REF!</definedName>
    <definedName name="Z_179EFDFF_A1B1_11D3_8FA9_0008C7809E09_.wvu.PrintTitles" localSheetId="30" hidden="1">#REF!,#REF!</definedName>
    <definedName name="Z_179EFDFF_A1B1_11D3_8FA9_0008C7809E09_.wvu.PrintTitles" localSheetId="31" hidden="1">#REF!,#REF!</definedName>
    <definedName name="Z_179EFDFF_A1B1_11D3_8FA9_0008C7809E09_.wvu.PrintTitles" localSheetId="7" hidden="1">#REF!,#REF!</definedName>
    <definedName name="Z_179EFDFF_A1B1_11D3_8FA9_0008C7809E09_.wvu.PrintTitles" localSheetId="12" hidden="1">#REF!,#REF!</definedName>
    <definedName name="Z_179EFDFF_A1B1_11D3_8FA9_0008C7809E09_.wvu.PrintTitles" localSheetId="9" hidden="1">#REF!,#REF!</definedName>
    <definedName name="Z_179EFDFF_A1B1_11D3_8FA9_0008C7809E09_.wvu.PrintTitles" hidden="1">#REF!,#REF!</definedName>
    <definedName name="Z_179EFE00_A1B1_11D3_8FA9_0008C7809E09_.wvu.PrintArea" localSheetId="17" hidden="1">#REF!</definedName>
    <definedName name="Z_179EFE00_A1B1_11D3_8FA9_0008C7809E09_.wvu.PrintArea" localSheetId="30" hidden="1">#REF!</definedName>
    <definedName name="Z_179EFE00_A1B1_11D3_8FA9_0008C7809E09_.wvu.PrintArea" localSheetId="31" hidden="1">#REF!</definedName>
    <definedName name="Z_179EFE00_A1B1_11D3_8FA9_0008C7809E09_.wvu.PrintArea" localSheetId="7" hidden="1">#REF!</definedName>
    <definedName name="Z_179EFE00_A1B1_11D3_8FA9_0008C7809E09_.wvu.PrintArea" localSheetId="12" hidden="1">#REF!</definedName>
    <definedName name="Z_179EFE00_A1B1_11D3_8FA9_0008C7809E09_.wvu.PrintArea" localSheetId="9" hidden="1">#REF!</definedName>
    <definedName name="Z_179EFE00_A1B1_11D3_8FA9_0008C7809E09_.wvu.PrintArea" hidden="1">#REF!</definedName>
    <definedName name="Z_179EFE00_A1B1_11D3_8FA9_0008C7809E09_.wvu.PrintTitles" localSheetId="17" hidden="1">#REF!,#REF!</definedName>
    <definedName name="Z_179EFE00_A1B1_11D3_8FA9_0008C7809E09_.wvu.PrintTitles" localSheetId="30" hidden="1">#REF!,#REF!</definedName>
    <definedName name="Z_179EFE00_A1B1_11D3_8FA9_0008C7809E09_.wvu.PrintTitles" localSheetId="31" hidden="1">#REF!,#REF!</definedName>
    <definedName name="Z_179EFE00_A1B1_11D3_8FA9_0008C7809E09_.wvu.PrintTitles" localSheetId="7" hidden="1">#REF!,#REF!</definedName>
    <definedName name="Z_179EFE00_A1B1_11D3_8FA9_0008C7809E09_.wvu.PrintTitles" localSheetId="12" hidden="1">#REF!,#REF!</definedName>
    <definedName name="Z_179EFE00_A1B1_11D3_8FA9_0008C7809E09_.wvu.PrintTitles" localSheetId="9" hidden="1">#REF!,#REF!</definedName>
    <definedName name="Z_179EFE00_A1B1_11D3_8FA9_0008C7809E09_.wvu.PrintTitles" hidden="1">#REF!,#REF!</definedName>
    <definedName name="Z_179EFE01_A1B1_11D3_8FA9_0008C7809E09_.wvu.PrintArea" localSheetId="17" hidden="1">#REF!</definedName>
    <definedName name="Z_179EFE01_A1B1_11D3_8FA9_0008C7809E09_.wvu.PrintArea" localSheetId="30" hidden="1">#REF!</definedName>
    <definedName name="Z_179EFE01_A1B1_11D3_8FA9_0008C7809E09_.wvu.PrintArea" localSheetId="31" hidden="1">#REF!</definedName>
    <definedName name="Z_179EFE01_A1B1_11D3_8FA9_0008C7809E09_.wvu.PrintArea" localSheetId="7" hidden="1">#REF!</definedName>
    <definedName name="Z_179EFE01_A1B1_11D3_8FA9_0008C7809E09_.wvu.PrintArea" localSheetId="12" hidden="1">#REF!</definedName>
    <definedName name="Z_179EFE01_A1B1_11D3_8FA9_0008C7809E09_.wvu.PrintArea" localSheetId="9" hidden="1">#REF!</definedName>
    <definedName name="Z_179EFE01_A1B1_11D3_8FA9_0008C7809E09_.wvu.PrintArea" hidden="1">#REF!</definedName>
    <definedName name="Z_179EFE01_A1B1_11D3_8FA9_0008C7809E09_.wvu.PrintTitles" localSheetId="17" hidden="1">#REF!,#REF!</definedName>
    <definedName name="Z_179EFE01_A1B1_11D3_8FA9_0008C7809E09_.wvu.PrintTitles" localSheetId="30" hidden="1">#REF!,#REF!</definedName>
    <definedName name="Z_179EFE01_A1B1_11D3_8FA9_0008C7809E09_.wvu.PrintTitles" localSheetId="31" hidden="1">#REF!,#REF!</definedName>
    <definedName name="Z_179EFE01_A1B1_11D3_8FA9_0008C7809E09_.wvu.PrintTitles" localSheetId="7" hidden="1">#REF!,#REF!</definedName>
    <definedName name="Z_179EFE01_A1B1_11D3_8FA9_0008C7809E09_.wvu.PrintTitles" localSheetId="12" hidden="1">#REF!,#REF!</definedName>
    <definedName name="Z_179EFE01_A1B1_11D3_8FA9_0008C7809E09_.wvu.PrintTitles" localSheetId="9" hidden="1">#REF!,#REF!</definedName>
    <definedName name="Z_179EFE01_A1B1_11D3_8FA9_0008C7809E09_.wvu.PrintTitles" hidden="1">#REF!,#REF!</definedName>
    <definedName name="Z_179EFE02_A1B1_11D3_8FA9_0008C7809E09_.wvu.PrintArea" localSheetId="17" hidden="1">#REF!</definedName>
    <definedName name="Z_179EFE02_A1B1_11D3_8FA9_0008C7809E09_.wvu.PrintArea" localSheetId="30" hidden="1">#REF!</definedName>
    <definedName name="Z_179EFE02_A1B1_11D3_8FA9_0008C7809E09_.wvu.PrintArea" localSheetId="31" hidden="1">#REF!</definedName>
    <definedName name="Z_179EFE02_A1B1_11D3_8FA9_0008C7809E09_.wvu.PrintArea" localSheetId="7" hidden="1">#REF!</definedName>
    <definedName name="Z_179EFE02_A1B1_11D3_8FA9_0008C7809E09_.wvu.PrintArea" localSheetId="12" hidden="1">#REF!</definedName>
    <definedName name="Z_179EFE02_A1B1_11D3_8FA9_0008C7809E09_.wvu.PrintArea" localSheetId="9" hidden="1">#REF!</definedName>
    <definedName name="Z_179EFE02_A1B1_11D3_8FA9_0008C7809E09_.wvu.PrintArea" hidden="1">#REF!</definedName>
    <definedName name="Z_179EFE02_A1B1_11D3_8FA9_0008C7809E09_.wvu.PrintTitles" localSheetId="17" hidden="1">#REF!,#REF!</definedName>
    <definedName name="Z_179EFE02_A1B1_11D3_8FA9_0008C7809E09_.wvu.PrintTitles" localSheetId="30" hidden="1">#REF!,#REF!</definedName>
    <definedName name="Z_179EFE02_A1B1_11D3_8FA9_0008C7809E09_.wvu.PrintTitles" localSheetId="31" hidden="1">#REF!,#REF!</definedName>
    <definedName name="Z_179EFE02_A1B1_11D3_8FA9_0008C7809E09_.wvu.PrintTitles" localSheetId="7" hidden="1">#REF!,#REF!</definedName>
    <definedName name="Z_179EFE02_A1B1_11D3_8FA9_0008C7809E09_.wvu.PrintTitles" localSheetId="12" hidden="1">#REF!,#REF!</definedName>
    <definedName name="Z_179EFE02_A1B1_11D3_8FA9_0008C7809E09_.wvu.PrintTitles" localSheetId="9" hidden="1">#REF!,#REF!</definedName>
    <definedName name="Z_179EFE02_A1B1_11D3_8FA9_0008C7809E09_.wvu.PrintTitles" hidden="1">#REF!,#REF!</definedName>
    <definedName name="Z_179EFE03_A1B1_11D3_8FA9_0008C7809E09_.wvu.PrintArea" localSheetId="17" hidden="1">#REF!</definedName>
    <definedName name="Z_179EFE03_A1B1_11D3_8FA9_0008C7809E09_.wvu.PrintArea" localSheetId="30" hidden="1">#REF!</definedName>
    <definedName name="Z_179EFE03_A1B1_11D3_8FA9_0008C7809E09_.wvu.PrintArea" localSheetId="31" hidden="1">#REF!</definedName>
    <definedName name="Z_179EFE03_A1B1_11D3_8FA9_0008C7809E09_.wvu.PrintArea" localSheetId="7" hidden="1">#REF!</definedName>
    <definedName name="Z_179EFE03_A1B1_11D3_8FA9_0008C7809E09_.wvu.PrintArea" localSheetId="12" hidden="1">#REF!</definedName>
    <definedName name="Z_179EFE03_A1B1_11D3_8FA9_0008C7809E09_.wvu.PrintArea" localSheetId="9" hidden="1">#REF!</definedName>
    <definedName name="Z_179EFE03_A1B1_11D3_8FA9_0008C7809E09_.wvu.PrintArea" hidden="1">#REF!</definedName>
    <definedName name="Z_179EFE03_A1B1_11D3_8FA9_0008C7809E09_.wvu.PrintTitles" localSheetId="17" hidden="1">#REF!,#REF!</definedName>
    <definedName name="Z_179EFE03_A1B1_11D3_8FA9_0008C7809E09_.wvu.PrintTitles" localSheetId="30" hidden="1">#REF!,#REF!</definedName>
    <definedName name="Z_179EFE03_A1B1_11D3_8FA9_0008C7809E09_.wvu.PrintTitles" localSheetId="31" hidden="1">#REF!,#REF!</definedName>
    <definedName name="Z_179EFE03_A1B1_11D3_8FA9_0008C7809E09_.wvu.PrintTitles" localSheetId="7" hidden="1">#REF!,#REF!</definedName>
    <definedName name="Z_179EFE03_A1B1_11D3_8FA9_0008C7809E09_.wvu.PrintTitles" localSheetId="12" hidden="1">#REF!,#REF!</definedName>
    <definedName name="Z_179EFE03_A1B1_11D3_8FA9_0008C7809E09_.wvu.PrintTitles" localSheetId="9" hidden="1">#REF!,#REF!</definedName>
    <definedName name="Z_179EFE03_A1B1_11D3_8FA9_0008C7809E09_.wvu.PrintTitles" hidden="1">#REF!,#REF!</definedName>
    <definedName name="Z_179EFE04_A1B1_11D3_8FA9_0008C7809E09_.wvu.PrintArea" localSheetId="17" hidden="1">#REF!</definedName>
    <definedName name="Z_179EFE04_A1B1_11D3_8FA9_0008C7809E09_.wvu.PrintArea" localSheetId="30" hidden="1">#REF!</definedName>
    <definedName name="Z_179EFE04_A1B1_11D3_8FA9_0008C7809E09_.wvu.PrintArea" localSheetId="31" hidden="1">#REF!</definedName>
    <definedName name="Z_179EFE04_A1B1_11D3_8FA9_0008C7809E09_.wvu.PrintArea" localSheetId="7" hidden="1">#REF!</definedName>
    <definedName name="Z_179EFE04_A1B1_11D3_8FA9_0008C7809E09_.wvu.PrintArea" localSheetId="12" hidden="1">#REF!</definedName>
    <definedName name="Z_179EFE04_A1B1_11D3_8FA9_0008C7809E09_.wvu.PrintArea" localSheetId="9" hidden="1">#REF!</definedName>
    <definedName name="Z_179EFE04_A1B1_11D3_8FA9_0008C7809E09_.wvu.PrintArea" hidden="1">#REF!</definedName>
    <definedName name="Z_179EFE04_A1B1_11D3_8FA9_0008C7809E09_.wvu.PrintTitles" localSheetId="17" hidden="1">#REF!,#REF!</definedName>
    <definedName name="Z_179EFE04_A1B1_11D3_8FA9_0008C7809E09_.wvu.PrintTitles" localSheetId="30" hidden="1">#REF!,#REF!</definedName>
    <definedName name="Z_179EFE04_A1B1_11D3_8FA9_0008C7809E09_.wvu.PrintTitles" localSheetId="31" hidden="1">#REF!,#REF!</definedName>
    <definedName name="Z_179EFE04_A1B1_11D3_8FA9_0008C7809E09_.wvu.PrintTitles" localSheetId="7" hidden="1">#REF!,#REF!</definedName>
    <definedName name="Z_179EFE04_A1B1_11D3_8FA9_0008C7809E09_.wvu.PrintTitles" localSheetId="12" hidden="1">#REF!,#REF!</definedName>
    <definedName name="Z_179EFE04_A1B1_11D3_8FA9_0008C7809E09_.wvu.PrintTitles" localSheetId="9" hidden="1">#REF!,#REF!</definedName>
    <definedName name="Z_179EFE04_A1B1_11D3_8FA9_0008C7809E09_.wvu.PrintTitles" hidden="1">#REF!,#REF!</definedName>
    <definedName name="Z_179EFE05_A1B1_11D3_8FA9_0008C7809E09_.wvu.PrintArea" localSheetId="17" hidden="1">#REF!</definedName>
    <definedName name="Z_179EFE05_A1B1_11D3_8FA9_0008C7809E09_.wvu.PrintArea" localSheetId="30" hidden="1">#REF!</definedName>
    <definedName name="Z_179EFE05_A1B1_11D3_8FA9_0008C7809E09_.wvu.PrintArea" localSheetId="31" hidden="1">#REF!</definedName>
    <definedName name="Z_179EFE05_A1B1_11D3_8FA9_0008C7809E09_.wvu.PrintArea" localSheetId="7" hidden="1">#REF!</definedName>
    <definedName name="Z_179EFE05_A1B1_11D3_8FA9_0008C7809E09_.wvu.PrintArea" localSheetId="12" hidden="1">#REF!</definedName>
    <definedName name="Z_179EFE05_A1B1_11D3_8FA9_0008C7809E09_.wvu.PrintArea" localSheetId="9" hidden="1">#REF!</definedName>
    <definedName name="Z_179EFE05_A1B1_11D3_8FA9_0008C7809E09_.wvu.PrintArea" hidden="1">#REF!</definedName>
    <definedName name="Z_179EFE05_A1B1_11D3_8FA9_0008C7809E09_.wvu.PrintTitles" localSheetId="17" hidden="1">#REF!,#REF!</definedName>
    <definedName name="Z_179EFE05_A1B1_11D3_8FA9_0008C7809E09_.wvu.PrintTitles" localSheetId="30" hidden="1">#REF!,#REF!</definedName>
    <definedName name="Z_179EFE05_A1B1_11D3_8FA9_0008C7809E09_.wvu.PrintTitles" localSheetId="31" hidden="1">#REF!,#REF!</definedName>
    <definedName name="Z_179EFE05_A1B1_11D3_8FA9_0008C7809E09_.wvu.PrintTitles" localSheetId="7" hidden="1">#REF!,#REF!</definedName>
    <definedName name="Z_179EFE05_A1B1_11D3_8FA9_0008C7809E09_.wvu.PrintTitles" localSheetId="12" hidden="1">#REF!,#REF!</definedName>
    <definedName name="Z_179EFE05_A1B1_11D3_8FA9_0008C7809E09_.wvu.PrintTitles" localSheetId="9" hidden="1">#REF!,#REF!</definedName>
    <definedName name="Z_179EFE05_A1B1_11D3_8FA9_0008C7809E09_.wvu.PrintTitles" hidden="1">#REF!,#REF!</definedName>
    <definedName name="Z_179EFE06_A1B1_11D3_8FA9_0008C7809E09_.wvu.PrintArea" localSheetId="17" hidden="1">#REF!</definedName>
    <definedName name="Z_179EFE06_A1B1_11D3_8FA9_0008C7809E09_.wvu.PrintArea" localSheetId="30" hidden="1">#REF!</definedName>
    <definedName name="Z_179EFE06_A1B1_11D3_8FA9_0008C7809E09_.wvu.PrintArea" localSheetId="31" hidden="1">#REF!</definedName>
    <definedName name="Z_179EFE06_A1B1_11D3_8FA9_0008C7809E09_.wvu.PrintArea" localSheetId="7" hidden="1">#REF!</definedName>
    <definedName name="Z_179EFE06_A1B1_11D3_8FA9_0008C7809E09_.wvu.PrintArea" localSheetId="12" hidden="1">#REF!</definedName>
    <definedName name="Z_179EFE06_A1B1_11D3_8FA9_0008C7809E09_.wvu.PrintArea" localSheetId="9" hidden="1">#REF!</definedName>
    <definedName name="Z_179EFE06_A1B1_11D3_8FA9_0008C7809E09_.wvu.PrintArea" hidden="1">#REF!</definedName>
    <definedName name="Z_179EFE06_A1B1_11D3_8FA9_0008C7809E09_.wvu.PrintTitles" localSheetId="17" hidden="1">#REF!,#REF!</definedName>
    <definedName name="Z_179EFE06_A1B1_11D3_8FA9_0008C7809E09_.wvu.PrintTitles" localSheetId="30" hidden="1">#REF!,#REF!</definedName>
    <definedName name="Z_179EFE06_A1B1_11D3_8FA9_0008C7809E09_.wvu.PrintTitles" localSheetId="31" hidden="1">#REF!,#REF!</definedName>
    <definedName name="Z_179EFE06_A1B1_11D3_8FA9_0008C7809E09_.wvu.PrintTitles" localSheetId="7" hidden="1">#REF!,#REF!</definedName>
    <definedName name="Z_179EFE06_A1B1_11D3_8FA9_0008C7809E09_.wvu.PrintTitles" localSheetId="12" hidden="1">#REF!,#REF!</definedName>
    <definedName name="Z_179EFE06_A1B1_11D3_8FA9_0008C7809E09_.wvu.PrintTitles" localSheetId="9" hidden="1">#REF!,#REF!</definedName>
    <definedName name="Z_179EFE06_A1B1_11D3_8FA9_0008C7809E09_.wvu.PrintTitles" hidden="1">#REF!,#REF!</definedName>
    <definedName name="Z_179EFE07_A1B1_11D3_8FA9_0008C7809E09_.wvu.PrintArea" localSheetId="17" hidden="1">#REF!</definedName>
    <definedName name="Z_179EFE07_A1B1_11D3_8FA9_0008C7809E09_.wvu.PrintArea" localSheetId="30" hidden="1">#REF!</definedName>
    <definedName name="Z_179EFE07_A1B1_11D3_8FA9_0008C7809E09_.wvu.PrintArea" localSheetId="31" hidden="1">#REF!</definedName>
    <definedName name="Z_179EFE07_A1B1_11D3_8FA9_0008C7809E09_.wvu.PrintArea" localSheetId="7" hidden="1">#REF!</definedName>
    <definedName name="Z_179EFE07_A1B1_11D3_8FA9_0008C7809E09_.wvu.PrintArea" localSheetId="12" hidden="1">#REF!</definedName>
    <definedName name="Z_179EFE07_A1B1_11D3_8FA9_0008C7809E09_.wvu.PrintArea" localSheetId="9" hidden="1">#REF!</definedName>
    <definedName name="Z_179EFE07_A1B1_11D3_8FA9_0008C7809E09_.wvu.PrintArea" hidden="1">#REF!</definedName>
    <definedName name="Z_179EFE07_A1B1_11D3_8FA9_0008C7809E09_.wvu.PrintTitles" localSheetId="17" hidden="1">#REF!,#REF!</definedName>
    <definedName name="Z_179EFE07_A1B1_11D3_8FA9_0008C7809E09_.wvu.PrintTitles" localSheetId="30" hidden="1">#REF!,#REF!</definedName>
    <definedName name="Z_179EFE07_A1B1_11D3_8FA9_0008C7809E09_.wvu.PrintTitles" localSheetId="31" hidden="1">#REF!,#REF!</definedName>
    <definedName name="Z_179EFE07_A1B1_11D3_8FA9_0008C7809E09_.wvu.PrintTitles" localSheetId="7" hidden="1">#REF!,#REF!</definedName>
    <definedName name="Z_179EFE07_A1B1_11D3_8FA9_0008C7809E09_.wvu.PrintTitles" localSheetId="12" hidden="1">#REF!,#REF!</definedName>
    <definedName name="Z_179EFE07_A1B1_11D3_8FA9_0008C7809E09_.wvu.PrintTitles" localSheetId="9" hidden="1">#REF!,#REF!</definedName>
    <definedName name="Z_179EFE07_A1B1_11D3_8FA9_0008C7809E09_.wvu.PrintTitles" hidden="1">#REF!,#REF!</definedName>
    <definedName name="Z_179EFE08_A1B1_11D3_8FA9_0008C7809E09_.wvu.PrintArea" localSheetId="17" hidden="1">#REF!</definedName>
    <definedName name="Z_179EFE08_A1B1_11D3_8FA9_0008C7809E09_.wvu.PrintArea" localSheetId="30" hidden="1">#REF!</definedName>
    <definedName name="Z_179EFE08_A1B1_11D3_8FA9_0008C7809E09_.wvu.PrintArea" localSheetId="31" hidden="1">#REF!</definedName>
    <definedName name="Z_179EFE08_A1B1_11D3_8FA9_0008C7809E09_.wvu.PrintArea" localSheetId="7" hidden="1">#REF!</definedName>
    <definedName name="Z_179EFE08_A1B1_11D3_8FA9_0008C7809E09_.wvu.PrintArea" localSheetId="12" hidden="1">#REF!</definedName>
    <definedName name="Z_179EFE08_A1B1_11D3_8FA9_0008C7809E09_.wvu.PrintArea" localSheetId="9" hidden="1">#REF!</definedName>
    <definedName name="Z_179EFE08_A1B1_11D3_8FA9_0008C7809E09_.wvu.PrintArea" hidden="1">#REF!</definedName>
    <definedName name="Z_179EFE08_A1B1_11D3_8FA9_0008C7809E09_.wvu.PrintTitles" localSheetId="17" hidden="1">#REF!,#REF!</definedName>
    <definedName name="Z_179EFE08_A1B1_11D3_8FA9_0008C7809E09_.wvu.PrintTitles" localSheetId="30" hidden="1">#REF!,#REF!</definedName>
    <definedName name="Z_179EFE08_A1B1_11D3_8FA9_0008C7809E09_.wvu.PrintTitles" localSheetId="31" hidden="1">#REF!,#REF!</definedName>
    <definedName name="Z_179EFE08_A1B1_11D3_8FA9_0008C7809E09_.wvu.PrintTitles" localSheetId="7" hidden="1">#REF!,#REF!</definedName>
    <definedName name="Z_179EFE08_A1B1_11D3_8FA9_0008C7809E09_.wvu.PrintTitles" localSheetId="12" hidden="1">#REF!,#REF!</definedName>
    <definedName name="Z_179EFE08_A1B1_11D3_8FA9_0008C7809E09_.wvu.PrintTitles" localSheetId="9" hidden="1">#REF!,#REF!</definedName>
    <definedName name="Z_179EFE08_A1B1_11D3_8FA9_0008C7809E09_.wvu.PrintTitles" hidden="1">#REF!,#REF!</definedName>
    <definedName name="Z_179EFE09_A1B1_11D3_8FA9_0008C7809E09_.wvu.PrintArea" localSheetId="17" hidden="1">#REF!</definedName>
    <definedName name="Z_179EFE09_A1B1_11D3_8FA9_0008C7809E09_.wvu.PrintArea" localSheetId="30" hidden="1">#REF!</definedName>
    <definedName name="Z_179EFE09_A1B1_11D3_8FA9_0008C7809E09_.wvu.PrintArea" localSheetId="31" hidden="1">#REF!</definedName>
    <definedName name="Z_179EFE09_A1B1_11D3_8FA9_0008C7809E09_.wvu.PrintArea" localSheetId="7" hidden="1">#REF!</definedName>
    <definedName name="Z_179EFE09_A1B1_11D3_8FA9_0008C7809E09_.wvu.PrintArea" localSheetId="12" hidden="1">#REF!</definedName>
    <definedName name="Z_179EFE09_A1B1_11D3_8FA9_0008C7809E09_.wvu.PrintArea" localSheetId="9" hidden="1">#REF!</definedName>
    <definedName name="Z_179EFE09_A1B1_11D3_8FA9_0008C7809E09_.wvu.PrintArea" hidden="1">#REF!</definedName>
    <definedName name="Z_179EFE09_A1B1_11D3_8FA9_0008C7809E09_.wvu.PrintTitles" localSheetId="17" hidden="1">#REF!,#REF!</definedName>
    <definedName name="Z_179EFE09_A1B1_11D3_8FA9_0008C7809E09_.wvu.PrintTitles" localSheetId="30" hidden="1">#REF!,#REF!</definedName>
    <definedName name="Z_179EFE09_A1B1_11D3_8FA9_0008C7809E09_.wvu.PrintTitles" localSheetId="31" hidden="1">#REF!,#REF!</definedName>
    <definedName name="Z_179EFE09_A1B1_11D3_8FA9_0008C7809E09_.wvu.PrintTitles" localSheetId="7" hidden="1">#REF!,#REF!</definedName>
    <definedName name="Z_179EFE09_A1B1_11D3_8FA9_0008C7809E09_.wvu.PrintTitles" localSheetId="12" hidden="1">#REF!,#REF!</definedName>
    <definedName name="Z_179EFE09_A1B1_11D3_8FA9_0008C7809E09_.wvu.PrintTitles" localSheetId="9" hidden="1">#REF!,#REF!</definedName>
    <definedName name="Z_179EFE09_A1B1_11D3_8FA9_0008C7809E09_.wvu.PrintTitles" hidden="1">#REF!,#REF!</definedName>
    <definedName name="Z_179EFE0A_A1B1_11D3_8FA9_0008C7809E09_.wvu.PrintArea" localSheetId="17" hidden="1">#REF!</definedName>
    <definedName name="Z_179EFE0A_A1B1_11D3_8FA9_0008C7809E09_.wvu.PrintArea" localSheetId="30" hidden="1">#REF!</definedName>
    <definedName name="Z_179EFE0A_A1B1_11D3_8FA9_0008C7809E09_.wvu.PrintArea" localSheetId="31" hidden="1">#REF!</definedName>
    <definedName name="Z_179EFE0A_A1B1_11D3_8FA9_0008C7809E09_.wvu.PrintArea" localSheetId="7" hidden="1">#REF!</definedName>
    <definedName name="Z_179EFE0A_A1B1_11D3_8FA9_0008C7809E09_.wvu.PrintArea" localSheetId="12" hidden="1">#REF!</definedName>
    <definedName name="Z_179EFE0A_A1B1_11D3_8FA9_0008C7809E09_.wvu.PrintArea" localSheetId="9" hidden="1">#REF!</definedName>
    <definedName name="Z_179EFE0A_A1B1_11D3_8FA9_0008C7809E09_.wvu.PrintArea" hidden="1">#REF!</definedName>
    <definedName name="Z_179EFE0A_A1B1_11D3_8FA9_0008C7809E09_.wvu.PrintTitles" localSheetId="17" hidden="1">#REF!,#REF!</definedName>
    <definedName name="Z_179EFE0A_A1B1_11D3_8FA9_0008C7809E09_.wvu.PrintTitles" localSheetId="30" hidden="1">#REF!,#REF!</definedName>
    <definedName name="Z_179EFE0A_A1B1_11D3_8FA9_0008C7809E09_.wvu.PrintTitles" localSheetId="31" hidden="1">#REF!,#REF!</definedName>
    <definedName name="Z_179EFE0A_A1B1_11D3_8FA9_0008C7809E09_.wvu.PrintTitles" localSheetId="7" hidden="1">#REF!,#REF!</definedName>
    <definedName name="Z_179EFE0A_A1B1_11D3_8FA9_0008C7809E09_.wvu.PrintTitles" localSheetId="12" hidden="1">#REF!,#REF!</definedName>
    <definedName name="Z_179EFE0A_A1B1_11D3_8FA9_0008C7809E09_.wvu.PrintTitles" localSheetId="9" hidden="1">#REF!,#REF!</definedName>
    <definedName name="Z_179EFE0A_A1B1_11D3_8FA9_0008C7809E09_.wvu.PrintTitles" hidden="1">#REF!,#REF!</definedName>
    <definedName name="Z_179EFE0B_A1B1_11D3_8FA9_0008C7809E09_.wvu.PrintArea" localSheetId="17" hidden="1">#REF!</definedName>
    <definedName name="Z_179EFE0B_A1B1_11D3_8FA9_0008C7809E09_.wvu.PrintArea" localSheetId="30" hidden="1">#REF!</definedName>
    <definedName name="Z_179EFE0B_A1B1_11D3_8FA9_0008C7809E09_.wvu.PrintArea" localSheetId="31" hidden="1">#REF!</definedName>
    <definedName name="Z_179EFE0B_A1B1_11D3_8FA9_0008C7809E09_.wvu.PrintArea" localSheetId="7" hidden="1">#REF!</definedName>
    <definedName name="Z_179EFE0B_A1B1_11D3_8FA9_0008C7809E09_.wvu.PrintArea" localSheetId="12" hidden="1">#REF!</definedName>
    <definedName name="Z_179EFE0B_A1B1_11D3_8FA9_0008C7809E09_.wvu.PrintArea" localSheetId="9" hidden="1">#REF!</definedName>
    <definedName name="Z_179EFE0B_A1B1_11D3_8FA9_0008C7809E09_.wvu.PrintArea" hidden="1">#REF!</definedName>
    <definedName name="Z_179EFE0B_A1B1_11D3_8FA9_0008C7809E09_.wvu.PrintTitles" localSheetId="17" hidden="1">#REF!,#REF!</definedName>
    <definedName name="Z_179EFE0B_A1B1_11D3_8FA9_0008C7809E09_.wvu.PrintTitles" localSheetId="30" hidden="1">#REF!,#REF!</definedName>
    <definedName name="Z_179EFE0B_A1B1_11D3_8FA9_0008C7809E09_.wvu.PrintTitles" localSheetId="31" hidden="1">#REF!,#REF!</definedName>
    <definedName name="Z_179EFE0B_A1B1_11D3_8FA9_0008C7809E09_.wvu.PrintTitles" localSheetId="7" hidden="1">#REF!,#REF!</definedName>
    <definedName name="Z_179EFE0B_A1B1_11D3_8FA9_0008C7809E09_.wvu.PrintTitles" localSheetId="12" hidden="1">#REF!,#REF!</definedName>
    <definedName name="Z_179EFE0B_A1B1_11D3_8FA9_0008C7809E09_.wvu.PrintTitles" localSheetId="9" hidden="1">#REF!,#REF!</definedName>
    <definedName name="Z_179EFE0B_A1B1_11D3_8FA9_0008C7809E09_.wvu.PrintTitles" hidden="1">#REF!,#REF!</definedName>
    <definedName name="Z_179EFE0C_A1B1_11D3_8FA9_0008C7809E09_.wvu.PrintArea" localSheetId="17" hidden="1">#REF!</definedName>
    <definedName name="Z_179EFE0C_A1B1_11D3_8FA9_0008C7809E09_.wvu.PrintArea" localSheetId="30" hidden="1">#REF!</definedName>
    <definedName name="Z_179EFE0C_A1B1_11D3_8FA9_0008C7809E09_.wvu.PrintArea" localSheetId="31" hidden="1">#REF!</definedName>
    <definedName name="Z_179EFE0C_A1B1_11D3_8FA9_0008C7809E09_.wvu.PrintArea" localSheetId="7" hidden="1">#REF!</definedName>
    <definedName name="Z_179EFE0C_A1B1_11D3_8FA9_0008C7809E09_.wvu.PrintArea" localSheetId="12" hidden="1">#REF!</definedName>
    <definedName name="Z_179EFE0C_A1B1_11D3_8FA9_0008C7809E09_.wvu.PrintArea" localSheetId="9" hidden="1">#REF!</definedName>
    <definedName name="Z_179EFE0C_A1B1_11D3_8FA9_0008C7809E09_.wvu.PrintArea" hidden="1">#REF!</definedName>
    <definedName name="Z_179EFE0C_A1B1_11D3_8FA9_0008C7809E09_.wvu.PrintTitles" localSheetId="17" hidden="1">#REF!,#REF!</definedName>
    <definedName name="Z_179EFE0C_A1B1_11D3_8FA9_0008C7809E09_.wvu.PrintTitles" localSheetId="30" hidden="1">#REF!,#REF!</definedName>
    <definedName name="Z_179EFE0C_A1B1_11D3_8FA9_0008C7809E09_.wvu.PrintTitles" localSheetId="31" hidden="1">#REF!,#REF!</definedName>
    <definedName name="Z_179EFE0C_A1B1_11D3_8FA9_0008C7809E09_.wvu.PrintTitles" localSheetId="7" hidden="1">#REF!,#REF!</definedName>
    <definedName name="Z_179EFE0C_A1B1_11D3_8FA9_0008C7809E09_.wvu.PrintTitles" localSheetId="12" hidden="1">#REF!,#REF!</definedName>
    <definedName name="Z_179EFE0C_A1B1_11D3_8FA9_0008C7809E09_.wvu.PrintTitles" localSheetId="9" hidden="1">#REF!,#REF!</definedName>
    <definedName name="Z_179EFE0C_A1B1_11D3_8FA9_0008C7809E09_.wvu.PrintTitles" hidden="1">#REF!,#REF!</definedName>
    <definedName name="Z_179EFE0D_A1B1_11D3_8FA9_0008C7809E09_.wvu.PrintArea" localSheetId="17" hidden="1">#REF!</definedName>
    <definedName name="Z_179EFE0D_A1B1_11D3_8FA9_0008C7809E09_.wvu.PrintArea" localSheetId="30" hidden="1">#REF!</definedName>
    <definedName name="Z_179EFE0D_A1B1_11D3_8FA9_0008C7809E09_.wvu.PrintArea" localSheetId="31" hidden="1">#REF!</definedName>
    <definedName name="Z_179EFE0D_A1B1_11D3_8FA9_0008C7809E09_.wvu.PrintArea" localSheetId="7" hidden="1">#REF!</definedName>
    <definedName name="Z_179EFE0D_A1B1_11D3_8FA9_0008C7809E09_.wvu.PrintArea" localSheetId="12" hidden="1">#REF!</definedName>
    <definedName name="Z_179EFE0D_A1B1_11D3_8FA9_0008C7809E09_.wvu.PrintArea" localSheetId="9" hidden="1">#REF!</definedName>
    <definedName name="Z_179EFE0D_A1B1_11D3_8FA9_0008C7809E09_.wvu.PrintArea" hidden="1">#REF!</definedName>
    <definedName name="Z_179EFE0D_A1B1_11D3_8FA9_0008C7809E09_.wvu.PrintTitles" localSheetId="17" hidden="1">#REF!,#REF!</definedName>
    <definedName name="Z_179EFE0D_A1B1_11D3_8FA9_0008C7809E09_.wvu.PrintTitles" localSheetId="30" hidden="1">#REF!,#REF!</definedName>
    <definedName name="Z_179EFE0D_A1B1_11D3_8FA9_0008C7809E09_.wvu.PrintTitles" localSheetId="31" hidden="1">#REF!,#REF!</definedName>
    <definedName name="Z_179EFE0D_A1B1_11D3_8FA9_0008C7809E09_.wvu.PrintTitles" localSheetId="7" hidden="1">#REF!,#REF!</definedName>
    <definedName name="Z_179EFE0D_A1B1_11D3_8FA9_0008C7809E09_.wvu.PrintTitles" localSheetId="12" hidden="1">#REF!,#REF!</definedName>
    <definedName name="Z_179EFE0D_A1B1_11D3_8FA9_0008C7809E09_.wvu.PrintTitles" localSheetId="9" hidden="1">#REF!,#REF!</definedName>
    <definedName name="Z_179EFE0D_A1B1_11D3_8FA9_0008C7809E09_.wvu.PrintTitles" hidden="1">#REF!,#REF!</definedName>
    <definedName name="Z_179EFE0E_A1B1_11D3_8FA9_0008C7809E09_.wvu.PrintArea" localSheetId="17" hidden="1">#REF!</definedName>
    <definedName name="Z_179EFE0E_A1B1_11D3_8FA9_0008C7809E09_.wvu.PrintArea" localSheetId="30" hidden="1">#REF!</definedName>
    <definedName name="Z_179EFE0E_A1B1_11D3_8FA9_0008C7809E09_.wvu.PrintArea" localSheetId="31" hidden="1">#REF!</definedName>
    <definedName name="Z_179EFE0E_A1B1_11D3_8FA9_0008C7809E09_.wvu.PrintArea" localSheetId="7" hidden="1">#REF!</definedName>
    <definedName name="Z_179EFE0E_A1B1_11D3_8FA9_0008C7809E09_.wvu.PrintArea" localSheetId="12" hidden="1">#REF!</definedName>
    <definedName name="Z_179EFE0E_A1B1_11D3_8FA9_0008C7809E09_.wvu.PrintArea" localSheetId="9" hidden="1">#REF!</definedName>
    <definedName name="Z_179EFE0E_A1B1_11D3_8FA9_0008C7809E09_.wvu.PrintArea" hidden="1">#REF!</definedName>
    <definedName name="Z_179EFE0E_A1B1_11D3_8FA9_0008C7809E09_.wvu.PrintTitles" localSheetId="17" hidden="1">#REF!,#REF!</definedName>
    <definedName name="Z_179EFE0E_A1B1_11D3_8FA9_0008C7809E09_.wvu.PrintTitles" localSheetId="30" hidden="1">#REF!,#REF!</definedName>
    <definedName name="Z_179EFE0E_A1B1_11D3_8FA9_0008C7809E09_.wvu.PrintTitles" localSheetId="31" hidden="1">#REF!,#REF!</definedName>
    <definedName name="Z_179EFE0E_A1B1_11D3_8FA9_0008C7809E09_.wvu.PrintTitles" localSheetId="7" hidden="1">#REF!,#REF!</definedName>
    <definedName name="Z_179EFE0E_A1B1_11D3_8FA9_0008C7809E09_.wvu.PrintTitles" localSheetId="12" hidden="1">#REF!,#REF!</definedName>
    <definedName name="Z_179EFE0E_A1B1_11D3_8FA9_0008C7809E09_.wvu.PrintTitles" localSheetId="9" hidden="1">#REF!,#REF!</definedName>
    <definedName name="Z_179EFE0E_A1B1_11D3_8FA9_0008C7809E09_.wvu.PrintTitles" hidden="1">#REF!,#REF!</definedName>
    <definedName name="Z_179EFE0F_A1B1_11D3_8FA9_0008C7809E09_.wvu.PrintArea" localSheetId="17" hidden="1">#REF!</definedName>
    <definedName name="Z_179EFE0F_A1B1_11D3_8FA9_0008C7809E09_.wvu.PrintArea" localSheetId="30" hidden="1">#REF!</definedName>
    <definedName name="Z_179EFE0F_A1B1_11D3_8FA9_0008C7809E09_.wvu.PrintArea" localSheetId="31" hidden="1">#REF!</definedName>
    <definedName name="Z_179EFE0F_A1B1_11D3_8FA9_0008C7809E09_.wvu.PrintArea" localSheetId="7" hidden="1">#REF!</definedName>
    <definedName name="Z_179EFE0F_A1B1_11D3_8FA9_0008C7809E09_.wvu.PrintArea" localSheetId="12" hidden="1">#REF!</definedName>
    <definedName name="Z_179EFE0F_A1B1_11D3_8FA9_0008C7809E09_.wvu.PrintArea" localSheetId="9" hidden="1">#REF!</definedName>
    <definedName name="Z_179EFE0F_A1B1_11D3_8FA9_0008C7809E09_.wvu.PrintArea" hidden="1">#REF!</definedName>
    <definedName name="Z_179EFE0F_A1B1_11D3_8FA9_0008C7809E09_.wvu.PrintTitles" localSheetId="17" hidden="1">#REF!,#REF!</definedName>
    <definedName name="Z_179EFE0F_A1B1_11D3_8FA9_0008C7809E09_.wvu.PrintTitles" localSheetId="30" hidden="1">#REF!,#REF!</definedName>
    <definedName name="Z_179EFE0F_A1B1_11D3_8FA9_0008C7809E09_.wvu.PrintTitles" localSheetId="31" hidden="1">#REF!,#REF!</definedName>
    <definedName name="Z_179EFE0F_A1B1_11D3_8FA9_0008C7809E09_.wvu.PrintTitles" localSheetId="7" hidden="1">#REF!,#REF!</definedName>
    <definedName name="Z_179EFE0F_A1B1_11D3_8FA9_0008C7809E09_.wvu.PrintTitles" localSheetId="12" hidden="1">#REF!,#REF!</definedName>
    <definedName name="Z_179EFE0F_A1B1_11D3_8FA9_0008C7809E09_.wvu.PrintTitles" localSheetId="9" hidden="1">#REF!,#REF!</definedName>
    <definedName name="Z_179EFE0F_A1B1_11D3_8FA9_0008C7809E09_.wvu.PrintTitles" hidden="1">#REF!,#REF!</definedName>
    <definedName name="Z_179EFE10_A1B1_11D3_8FA9_0008C7809E09_.wvu.PrintArea" localSheetId="17" hidden="1">#REF!</definedName>
    <definedName name="Z_179EFE10_A1B1_11D3_8FA9_0008C7809E09_.wvu.PrintArea" localSheetId="30" hidden="1">#REF!</definedName>
    <definedName name="Z_179EFE10_A1B1_11D3_8FA9_0008C7809E09_.wvu.PrintArea" localSheetId="31" hidden="1">#REF!</definedName>
    <definedName name="Z_179EFE10_A1B1_11D3_8FA9_0008C7809E09_.wvu.PrintArea" localSheetId="7" hidden="1">#REF!</definedName>
    <definedName name="Z_179EFE10_A1B1_11D3_8FA9_0008C7809E09_.wvu.PrintArea" localSheetId="12" hidden="1">#REF!</definedName>
    <definedName name="Z_179EFE10_A1B1_11D3_8FA9_0008C7809E09_.wvu.PrintArea" localSheetId="9" hidden="1">#REF!</definedName>
    <definedName name="Z_179EFE10_A1B1_11D3_8FA9_0008C7809E09_.wvu.PrintArea" hidden="1">#REF!</definedName>
    <definedName name="Z_179EFE10_A1B1_11D3_8FA9_0008C7809E09_.wvu.PrintTitles" localSheetId="17" hidden="1">#REF!,#REF!</definedName>
    <definedName name="Z_179EFE10_A1B1_11D3_8FA9_0008C7809E09_.wvu.PrintTitles" localSheetId="30" hidden="1">#REF!,#REF!</definedName>
    <definedName name="Z_179EFE10_A1B1_11D3_8FA9_0008C7809E09_.wvu.PrintTitles" localSheetId="31" hidden="1">#REF!,#REF!</definedName>
    <definedName name="Z_179EFE10_A1B1_11D3_8FA9_0008C7809E09_.wvu.PrintTitles" localSheetId="7" hidden="1">#REF!,#REF!</definedName>
    <definedName name="Z_179EFE10_A1B1_11D3_8FA9_0008C7809E09_.wvu.PrintTitles" localSheetId="12" hidden="1">#REF!,#REF!</definedName>
    <definedName name="Z_179EFE10_A1B1_11D3_8FA9_0008C7809E09_.wvu.PrintTitles" localSheetId="9" hidden="1">#REF!,#REF!</definedName>
    <definedName name="Z_179EFE10_A1B1_11D3_8FA9_0008C7809E09_.wvu.PrintTitles" hidden="1">#REF!,#REF!</definedName>
    <definedName name="Z_179EFE11_A1B1_11D3_8FA9_0008C7809E09_.wvu.PrintArea" localSheetId="17" hidden="1">#REF!</definedName>
    <definedName name="Z_179EFE11_A1B1_11D3_8FA9_0008C7809E09_.wvu.PrintArea" localSheetId="30" hidden="1">#REF!</definedName>
    <definedName name="Z_179EFE11_A1B1_11D3_8FA9_0008C7809E09_.wvu.PrintArea" localSheetId="31" hidden="1">#REF!</definedName>
    <definedName name="Z_179EFE11_A1B1_11D3_8FA9_0008C7809E09_.wvu.PrintArea" localSheetId="7" hidden="1">#REF!</definedName>
    <definedName name="Z_179EFE11_A1B1_11D3_8FA9_0008C7809E09_.wvu.PrintArea" localSheetId="12" hidden="1">#REF!</definedName>
    <definedName name="Z_179EFE11_A1B1_11D3_8FA9_0008C7809E09_.wvu.PrintArea" localSheetId="9" hidden="1">#REF!</definedName>
    <definedName name="Z_179EFE11_A1B1_11D3_8FA9_0008C7809E09_.wvu.PrintArea" hidden="1">#REF!</definedName>
    <definedName name="Z_179EFE11_A1B1_11D3_8FA9_0008C7809E09_.wvu.PrintTitles" localSheetId="17" hidden="1">#REF!,#REF!</definedName>
    <definedName name="Z_179EFE11_A1B1_11D3_8FA9_0008C7809E09_.wvu.PrintTitles" localSheetId="30" hidden="1">#REF!,#REF!</definedName>
    <definedName name="Z_179EFE11_A1B1_11D3_8FA9_0008C7809E09_.wvu.PrintTitles" localSheetId="31" hidden="1">#REF!,#REF!</definedName>
    <definedName name="Z_179EFE11_A1B1_11D3_8FA9_0008C7809E09_.wvu.PrintTitles" localSheetId="7" hidden="1">#REF!,#REF!</definedName>
    <definedName name="Z_179EFE11_A1B1_11D3_8FA9_0008C7809E09_.wvu.PrintTitles" localSheetId="12" hidden="1">#REF!,#REF!</definedName>
    <definedName name="Z_179EFE11_A1B1_11D3_8FA9_0008C7809E09_.wvu.PrintTitles" localSheetId="9" hidden="1">#REF!,#REF!</definedName>
    <definedName name="Z_179EFE11_A1B1_11D3_8FA9_0008C7809E09_.wvu.PrintTitles" hidden="1">#REF!,#REF!</definedName>
    <definedName name="Z_179EFE12_A1B1_11D3_8FA9_0008C7809E09_.wvu.PrintArea" localSheetId="17" hidden="1">#REF!</definedName>
    <definedName name="Z_179EFE12_A1B1_11D3_8FA9_0008C7809E09_.wvu.PrintArea" localSheetId="30" hidden="1">#REF!</definedName>
    <definedName name="Z_179EFE12_A1B1_11D3_8FA9_0008C7809E09_.wvu.PrintArea" localSheetId="31" hidden="1">#REF!</definedName>
    <definedName name="Z_179EFE12_A1B1_11D3_8FA9_0008C7809E09_.wvu.PrintArea" localSheetId="7" hidden="1">#REF!</definedName>
    <definedName name="Z_179EFE12_A1B1_11D3_8FA9_0008C7809E09_.wvu.PrintArea" localSheetId="12" hidden="1">#REF!</definedName>
    <definedName name="Z_179EFE12_A1B1_11D3_8FA9_0008C7809E09_.wvu.PrintArea" localSheetId="9" hidden="1">#REF!</definedName>
    <definedName name="Z_179EFE12_A1B1_11D3_8FA9_0008C7809E09_.wvu.PrintArea" hidden="1">#REF!</definedName>
    <definedName name="Z_179EFE12_A1B1_11D3_8FA9_0008C7809E09_.wvu.PrintTitles" localSheetId="17" hidden="1">#REF!,#REF!</definedName>
    <definedName name="Z_179EFE12_A1B1_11D3_8FA9_0008C7809E09_.wvu.PrintTitles" localSheetId="30" hidden="1">#REF!,#REF!</definedName>
    <definedName name="Z_179EFE12_A1B1_11D3_8FA9_0008C7809E09_.wvu.PrintTitles" localSheetId="31" hidden="1">#REF!,#REF!</definedName>
    <definedName name="Z_179EFE12_A1B1_11D3_8FA9_0008C7809E09_.wvu.PrintTitles" localSheetId="7" hidden="1">#REF!,#REF!</definedName>
    <definedName name="Z_179EFE12_A1B1_11D3_8FA9_0008C7809E09_.wvu.PrintTitles" localSheetId="12" hidden="1">#REF!,#REF!</definedName>
    <definedName name="Z_179EFE12_A1B1_11D3_8FA9_0008C7809E09_.wvu.PrintTitles" localSheetId="9" hidden="1">#REF!,#REF!</definedName>
    <definedName name="Z_179EFE12_A1B1_11D3_8FA9_0008C7809E09_.wvu.PrintTitles" hidden="1">#REF!,#REF!</definedName>
    <definedName name="Z_179EFE13_A1B1_11D3_8FA9_0008C7809E09_.wvu.PrintArea" localSheetId="17" hidden="1">#REF!</definedName>
    <definedName name="Z_179EFE13_A1B1_11D3_8FA9_0008C7809E09_.wvu.PrintArea" localSheetId="30" hidden="1">#REF!</definedName>
    <definedName name="Z_179EFE13_A1B1_11D3_8FA9_0008C7809E09_.wvu.PrintArea" localSheetId="31" hidden="1">#REF!</definedName>
    <definedName name="Z_179EFE13_A1B1_11D3_8FA9_0008C7809E09_.wvu.PrintArea" localSheetId="7" hidden="1">#REF!</definedName>
    <definedName name="Z_179EFE13_A1B1_11D3_8FA9_0008C7809E09_.wvu.PrintArea" localSheetId="12" hidden="1">#REF!</definedName>
    <definedName name="Z_179EFE13_A1B1_11D3_8FA9_0008C7809E09_.wvu.PrintArea" localSheetId="9" hidden="1">#REF!</definedName>
    <definedName name="Z_179EFE13_A1B1_11D3_8FA9_0008C7809E09_.wvu.PrintArea" hidden="1">#REF!</definedName>
    <definedName name="Z_179EFE13_A1B1_11D3_8FA9_0008C7809E09_.wvu.PrintTitles" localSheetId="17" hidden="1">#REF!,#REF!</definedName>
    <definedName name="Z_179EFE13_A1B1_11D3_8FA9_0008C7809E09_.wvu.PrintTitles" localSheetId="30" hidden="1">#REF!,#REF!</definedName>
    <definedName name="Z_179EFE13_A1B1_11D3_8FA9_0008C7809E09_.wvu.PrintTitles" localSheetId="31" hidden="1">#REF!,#REF!</definedName>
    <definedName name="Z_179EFE13_A1B1_11D3_8FA9_0008C7809E09_.wvu.PrintTitles" localSheetId="7" hidden="1">#REF!,#REF!</definedName>
    <definedName name="Z_179EFE13_A1B1_11D3_8FA9_0008C7809E09_.wvu.PrintTitles" localSheetId="12" hidden="1">#REF!,#REF!</definedName>
    <definedName name="Z_179EFE13_A1B1_11D3_8FA9_0008C7809E09_.wvu.PrintTitles" localSheetId="9" hidden="1">#REF!,#REF!</definedName>
    <definedName name="Z_179EFE13_A1B1_11D3_8FA9_0008C7809E09_.wvu.PrintTitles" hidden="1">#REF!,#REF!</definedName>
    <definedName name="Z_179EFE14_A1B1_11D3_8FA9_0008C7809E09_.wvu.PrintArea" localSheetId="17" hidden="1">#REF!</definedName>
    <definedName name="Z_179EFE14_A1B1_11D3_8FA9_0008C7809E09_.wvu.PrintArea" localSheetId="30" hidden="1">#REF!</definedName>
    <definedName name="Z_179EFE14_A1B1_11D3_8FA9_0008C7809E09_.wvu.PrintArea" localSheetId="31" hidden="1">#REF!</definedName>
    <definedName name="Z_179EFE14_A1B1_11D3_8FA9_0008C7809E09_.wvu.PrintArea" localSheetId="7" hidden="1">#REF!</definedName>
    <definedName name="Z_179EFE14_A1B1_11D3_8FA9_0008C7809E09_.wvu.PrintArea" localSheetId="12" hidden="1">#REF!</definedName>
    <definedName name="Z_179EFE14_A1B1_11D3_8FA9_0008C7809E09_.wvu.PrintArea" localSheetId="9" hidden="1">#REF!</definedName>
    <definedName name="Z_179EFE14_A1B1_11D3_8FA9_0008C7809E09_.wvu.PrintArea" hidden="1">#REF!</definedName>
    <definedName name="Z_179EFE14_A1B1_11D3_8FA9_0008C7809E09_.wvu.PrintTitles" localSheetId="17" hidden="1">#REF!,#REF!</definedName>
    <definedName name="Z_179EFE14_A1B1_11D3_8FA9_0008C7809E09_.wvu.PrintTitles" localSheetId="30" hidden="1">#REF!,#REF!</definedName>
    <definedName name="Z_179EFE14_A1B1_11D3_8FA9_0008C7809E09_.wvu.PrintTitles" localSheetId="31" hidden="1">#REF!,#REF!</definedName>
    <definedName name="Z_179EFE14_A1B1_11D3_8FA9_0008C7809E09_.wvu.PrintTitles" localSheetId="7" hidden="1">#REF!,#REF!</definedName>
    <definedName name="Z_179EFE14_A1B1_11D3_8FA9_0008C7809E09_.wvu.PrintTitles" localSheetId="12" hidden="1">#REF!,#REF!</definedName>
    <definedName name="Z_179EFE14_A1B1_11D3_8FA9_0008C7809E09_.wvu.PrintTitles" localSheetId="9" hidden="1">#REF!,#REF!</definedName>
    <definedName name="Z_179EFE14_A1B1_11D3_8FA9_0008C7809E09_.wvu.PrintTitles" hidden="1">#REF!,#REF!</definedName>
    <definedName name="Z_179EFE15_A1B1_11D3_8FA9_0008C7809E09_.wvu.PrintArea" localSheetId="17" hidden="1">#REF!</definedName>
    <definedName name="Z_179EFE15_A1B1_11D3_8FA9_0008C7809E09_.wvu.PrintArea" localSheetId="30" hidden="1">#REF!</definedName>
    <definedName name="Z_179EFE15_A1B1_11D3_8FA9_0008C7809E09_.wvu.PrintArea" localSheetId="31" hidden="1">#REF!</definedName>
    <definedName name="Z_179EFE15_A1B1_11D3_8FA9_0008C7809E09_.wvu.PrintArea" localSheetId="7" hidden="1">#REF!</definedName>
    <definedName name="Z_179EFE15_A1B1_11D3_8FA9_0008C7809E09_.wvu.PrintArea" localSheetId="12" hidden="1">#REF!</definedName>
    <definedName name="Z_179EFE15_A1B1_11D3_8FA9_0008C7809E09_.wvu.PrintArea" localSheetId="9" hidden="1">#REF!</definedName>
    <definedName name="Z_179EFE15_A1B1_11D3_8FA9_0008C7809E09_.wvu.PrintArea" hidden="1">#REF!</definedName>
    <definedName name="Z_179EFE15_A1B1_11D3_8FA9_0008C7809E09_.wvu.PrintTitles" localSheetId="17" hidden="1">#REF!,#REF!</definedName>
    <definedName name="Z_179EFE15_A1B1_11D3_8FA9_0008C7809E09_.wvu.PrintTitles" localSheetId="30" hidden="1">#REF!,#REF!</definedName>
    <definedName name="Z_179EFE15_A1B1_11D3_8FA9_0008C7809E09_.wvu.PrintTitles" localSheetId="31" hidden="1">#REF!,#REF!</definedName>
    <definedName name="Z_179EFE15_A1B1_11D3_8FA9_0008C7809E09_.wvu.PrintTitles" localSheetId="7" hidden="1">#REF!,#REF!</definedName>
    <definedName name="Z_179EFE15_A1B1_11D3_8FA9_0008C7809E09_.wvu.PrintTitles" localSheetId="12" hidden="1">#REF!,#REF!</definedName>
    <definedName name="Z_179EFE15_A1B1_11D3_8FA9_0008C7809E09_.wvu.PrintTitles" localSheetId="9" hidden="1">#REF!,#REF!</definedName>
    <definedName name="Z_179EFE15_A1B1_11D3_8FA9_0008C7809E09_.wvu.PrintTitles" hidden="1">#REF!,#REF!</definedName>
    <definedName name="Z_179EFE16_A1B1_11D3_8FA9_0008C7809E09_.wvu.PrintArea" localSheetId="17" hidden="1">#REF!</definedName>
    <definedName name="Z_179EFE16_A1B1_11D3_8FA9_0008C7809E09_.wvu.PrintArea" localSheetId="30" hidden="1">#REF!</definedName>
    <definedName name="Z_179EFE16_A1B1_11D3_8FA9_0008C7809E09_.wvu.PrintArea" localSheetId="31" hidden="1">#REF!</definedName>
    <definedName name="Z_179EFE16_A1B1_11D3_8FA9_0008C7809E09_.wvu.PrintArea" localSheetId="7" hidden="1">#REF!</definedName>
    <definedName name="Z_179EFE16_A1B1_11D3_8FA9_0008C7809E09_.wvu.PrintArea" localSheetId="12" hidden="1">#REF!</definedName>
    <definedName name="Z_179EFE16_A1B1_11D3_8FA9_0008C7809E09_.wvu.PrintArea" localSheetId="9" hidden="1">#REF!</definedName>
    <definedName name="Z_179EFE16_A1B1_11D3_8FA9_0008C7809E09_.wvu.PrintArea" hidden="1">#REF!</definedName>
    <definedName name="Z_179EFE16_A1B1_11D3_8FA9_0008C7809E09_.wvu.PrintTitles" localSheetId="17" hidden="1">#REF!,#REF!</definedName>
    <definedName name="Z_179EFE16_A1B1_11D3_8FA9_0008C7809E09_.wvu.PrintTitles" localSheetId="30" hidden="1">#REF!,#REF!</definedName>
    <definedName name="Z_179EFE16_A1B1_11D3_8FA9_0008C7809E09_.wvu.PrintTitles" localSheetId="31" hidden="1">#REF!,#REF!</definedName>
    <definedName name="Z_179EFE16_A1B1_11D3_8FA9_0008C7809E09_.wvu.PrintTitles" localSheetId="7" hidden="1">#REF!,#REF!</definedName>
    <definedName name="Z_179EFE16_A1B1_11D3_8FA9_0008C7809E09_.wvu.PrintTitles" localSheetId="12" hidden="1">#REF!,#REF!</definedName>
    <definedName name="Z_179EFE16_A1B1_11D3_8FA9_0008C7809E09_.wvu.PrintTitles" localSheetId="9" hidden="1">#REF!,#REF!</definedName>
    <definedName name="Z_179EFE16_A1B1_11D3_8FA9_0008C7809E09_.wvu.PrintTitles" hidden="1">#REF!,#REF!</definedName>
    <definedName name="Z_179EFE17_A1B1_11D3_8FA9_0008C7809E09_.wvu.PrintArea" localSheetId="17" hidden="1">#REF!</definedName>
    <definedName name="Z_179EFE17_A1B1_11D3_8FA9_0008C7809E09_.wvu.PrintArea" localSheetId="30" hidden="1">#REF!</definedName>
    <definedName name="Z_179EFE17_A1B1_11D3_8FA9_0008C7809E09_.wvu.PrintArea" localSheetId="31" hidden="1">#REF!</definedName>
    <definedName name="Z_179EFE17_A1B1_11D3_8FA9_0008C7809E09_.wvu.PrintArea" localSheetId="7" hidden="1">#REF!</definedName>
    <definedName name="Z_179EFE17_A1B1_11D3_8FA9_0008C7809E09_.wvu.PrintArea" localSheetId="12" hidden="1">#REF!</definedName>
    <definedName name="Z_179EFE17_A1B1_11D3_8FA9_0008C7809E09_.wvu.PrintArea" localSheetId="9" hidden="1">#REF!</definedName>
    <definedName name="Z_179EFE17_A1B1_11D3_8FA9_0008C7809E09_.wvu.PrintArea" hidden="1">#REF!</definedName>
    <definedName name="Z_179EFE17_A1B1_11D3_8FA9_0008C7809E09_.wvu.PrintTitles" localSheetId="17" hidden="1">#REF!,#REF!</definedName>
    <definedName name="Z_179EFE17_A1B1_11D3_8FA9_0008C7809E09_.wvu.PrintTitles" localSheetId="30" hidden="1">#REF!,#REF!</definedName>
    <definedName name="Z_179EFE17_A1B1_11D3_8FA9_0008C7809E09_.wvu.PrintTitles" localSheetId="31" hidden="1">#REF!,#REF!</definedName>
    <definedName name="Z_179EFE17_A1B1_11D3_8FA9_0008C7809E09_.wvu.PrintTitles" localSheetId="7" hidden="1">#REF!,#REF!</definedName>
    <definedName name="Z_179EFE17_A1B1_11D3_8FA9_0008C7809E09_.wvu.PrintTitles" localSheetId="12" hidden="1">#REF!,#REF!</definedName>
    <definedName name="Z_179EFE17_A1B1_11D3_8FA9_0008C7809E09_.wvu.PrintTitles" localSheetId="9" hidden="1">#REF!,#REF!</definedName>
    <definedName name="Z_179EFE17_A1B1_11D3_8FA9_0008C7809E09_.wvu.PrintTitles" hidden="1">#REF!,#REF!</definedName>
    <definedName name="Z_179EFE18_A1B1_11D3_8FA9_0008C7809E09_.wvu.PrintArea" localSheetId="17" hidden="1">#REF!</definedName>
    <definedName name="Z_179EFE18_A1B1_11D3_8FA9_0008C7809E09_.wvu.PrintArea" localSheetId="30" hidden="1">#REF!</definedName>
    <definedName name="Z_179EFE18_A1B1_11D3_8FA9_0008C7809E09_.wvu.PrintArea" localSheetId="31" hidden="1">#REF!</definedName>
    <definedName name="Z_179EFE18_A1B1_11D3_8FA9_0008C7809E09_.wvu.PrintArea" localSheetId="7" hidden="1">#REF!</definedName>
    <definedName name="Z_179EFE18_A1B1_11D3_8FA9_0008C7809E09_.wvu.PrintArea" localSheetId="12" hidden="1">#REF!</definedName>
    <definedName name="Z_179EFE18_A1B1_11D3_8FA9_0008C7809E09_.wvu.PrintArea" localSheetId="9" hidden="1">#REF!</definedName>
    <definedName name="Z_179EFE18_A1B1_11D3_8FA9_0008C7809E09_.wvu.PrintArea" hidden="1">#REF!</definedName>
    <definedName name="Z_179EFE18_A1B1_11D3_8FA9_0008C7809E09_.wvu.PrintTitles" localSheetId="17" hidden="1">#REF!,#REF!</definedName>
    <definedName name="Z_179EFE18_A1B1_11D3_8FA9_0008C7809E09_.wvu.PrintTitles" localSheetId="30" hidden="1">#REF!,#REF!</definedName>
    <definedName name="Z_179EFE18_A1B1_11D3_8FA9_0008C7809E09_.wvu.PrintTitles" localSheetId="31" hidden="1">#REF!,#REF!</definedName>
    <definedName name="Z_179EFE18_A1B1_11D3_8FA9_0008C7809E09_.wvu.PrintTitles" localSheetId="7" hidden="1">#REF!,#REF!</definedName>
    <definedName name="Z_179EFE18_A1B1_11D3_8FA9_0008C7809E09_.wvu.PrintTitles" localSheetId="12" hidden="1">#REF!,#REF!</definedName>
    <definedName name="Z_179EFE18_A1B1_11D3_8FA9_0008C7809E09_.wvu.PrintTitles" localSheetId="9" hidden="1">#REF!,#REF!</definedName>
    <definedName name="Z_179EFE18_A1B1_11D3_8FA9_0008C7809E09_.wvu.PrintTitles" hidden="1">#REF!,#REF!</definedName>
    <definedName name="Z_179EFE19_A1B1_11D3_8FA9_0008C7809E09_.wvu.PrintArea" localSheetId="17" hidden="1">#REF!</definedName>
    <definedName name="Z_179EFE19_A1B1_11D3_8FA9_0008C7809E09_.wvu.PrintArea" localSheetId="30" hidden="1">#REF!</definedName>
    <definedName name="Z_179EFE19_A1B1_11D3_8FA9_0008C7809E09_.wvu.PrintArea" localSheetId="31" hidden="1">#REF!</definedName>
    <definedName name="Z_179EFE19_A1B1_11D3_8FA9_0008C7809E09_.wvu.PrintArea" localSheetId="7" hidden="1">#REF!</definedName>
    <definedName name="Z_179EFE19_A1B1_11D3_8FA9_0008C7809E09_.wvu.PrintArea" localSheetId="12" hidden="1">#REF!</definedName>
    <definedName name="Z_179EFE19_A1B1_11D3_8FA9_0008C7809E09_.wvu.PrintArea" localSheetId="9" hidden="1">#REF!</definedName>
    <definedName name="Z_179EFE19_A1B1_11D3_8FA9_0008C7809E09_.wvu.PrintArea" hidden="1">#REF!</definedName>
    <definedName name="Z_179EFE19_A1B1_11D3_8FA9_0008C7809E09_.wvu.PrintTitles" localSheetId="17" hidden="1">#REF!,#REF!</definedName>
    <definedName name="Z_179EFE19_A1B1_11D3_8FA9_0008C7809E09_.wvu.PrintTitles" localSheetId="30" hidden="1">#REF!,#REF!</definedName>
    <definedName name="Z_179EFE19_A1B1_11D3_8FA9_0008C7809E09_.wvu.PrintTitles" localSheetId="31" hidden="1">#REF!,#REF!</definedName>
    <definedName name="Z_179EFE19_A1B1_11D3_8FA9_0008C7809E09_.wvu.PrintTitles" localSheetId="7" hidden="1">#REF!,#REF!</definedName>
    <definedName name="Z_179EFE19_A1B1_11D3_8FA9_0008C7809E09_.wvu.PrintTitles" localSheetId="12" hidden="1">#REF!,#REF!</definedName>
    <definedName name="Z_179EFE19_A1B1_11D3_8FA9_0008C7809E09_.wvu.PrintTitles" localSheetId="9" hidden="1">#REF!,#REF!</definedName>
    <definedName name="Z_179EFE19_A1B1_11D3_8FA9_0008C7809E09_.wvu.PrintTitles" hidden="1">#REF!,#REF!</definedName>
    <definedName name="Z_179EFE1A_A1B1_11D3_8FA9_0008C7809E09_.wvu.PrintArea" localSheetId="17" hidden="1">#REF!</definedName>
    <definedName name="Z_179EFE1A_A1B1_11D3_8FA9_0008C7809E09_.wvu.PrintArea" localSheetId="30" hidden="1">#REF!</definedName>
    <definedName name="Z_179EFE1A_A1B1_11D3_8FA9_0008C7809E09_.wvu.PrintArea" localSheetId="31" hidden="1">#REF!</definedName>
    <definedName name="Z_179EFE1A_A1B1_11D3_8FA9_0008C7809E09_.wvu.PrintArea" localSheetId="7" hidden="1">#REF!</definedName>
    <definedName name="Z_179EFE1A_A1B1_11D3_8FA9_0008C7809E09_.wvu.PrintArea" localSheetId="12" hidden="1">#REF!</definedName>
    <definedName name="Z_179EFE1A_A1B1_11D3_8FA9_0008C7809E09_.wvu.PrintArea" localSheetId="9" hidden="1">#REF!</definedName>
    <definedName name="Z_179EFE1A_A1B1_11D3_8FA9_0008C7809E09_.wvu.PrintArea" hidden="1">#REF!</definedName>
    <definedName name="Z_179EFE1A_A1B1_11D3_8FA9_0008C7809E09_.wvu.PrintTitles" localSheetId="17" hidden="1">#REF!,#REF!</definedName>
    <definedName name="Z_179EFE1A_A1B1_11D3_8FA9_0008C7809E09_.wvu.PrintTitles" localSheetId="30" hidden="1">#REF!,#REF!</definedName>
    <definedName name="Z_179EFE1A_A1B1_11D3_8FA9_0008C7809E09_.wvu.PrintTitles" localSheetId="31" hidden="1">#REF!,#REF!</definedName>
    <definedName name="Z_179EFE1A_A1B1_11D3_8FA9_0008C7809E09_.wvu.PrintTitles" localSheetId="7" hidden="1">#REF!,#REF!</definedName>
    <definedName name="Z_179EFE1A_A1B1_11D3_8FA9_0008C7809E09_.wvu.PrintTitles" localSheetId="12" hidden="1">#REF!,#REF!</definedName>
    <definedName name="Z_179EFE1A_A1B1_11D3_8FA9_0008C7809E09_.wvu.PrintTitles" localSheetId="9" hidden="1">#REF!,#REF!</definedName>
    <definedName name="Z_179EFE1A_A1B1_11D3_8FA9_0008C7809E09_.wvu.PrintTitles" hidden="1">#REF!,#REF!</definedName>
    <definedName name="Z_179EFE1B_A1B1_11D3_8FA9_0008C7809E09_.wvu.PrintArea" localSheetId="17" hidden="1">#REF!</definedName>
    <definedName name="Z_179EFE1B_A1B1_11D3_8FA9_0008C7809E09_.wvu.PrintArea" localSheetId="30" hidden="1">#REF!</definedName>
    <definedName name="Z_179EFE1B_A1B1_11D3_8FA9_0008C7809E09_.wvu.PrintArea" localSheetId="31" hidden="1">#REF!</definedName>
    <definedName name="Z_179EFE1B_A1B1_11D3_8FA9_0008C7809E09_.wvu.PrintArea" localSheetId="7" hidden="1">#REF!</definedName>
    <definedName name="Z_179EFE1B_A1B1_11D3_8FA9_0008C7809E09_.wvu.PrintArea" localSheetId="12" hidden="1">#REF!</definedName>
    <definedName name="Z_179EFE1B_A1B1_11D3_8FA9_0008C7809E09_.wvu.PrintArea" localSheetId="9" hidden="1">#REF!</definedName>
    <definedName name="Z_179EFE1B_A1B1_11D3_8FA9_0008C7809E09_.wvu.PrintArea" hidden="1">#REF!</definedName>
    <definedName name="Z_179EFE1B_A1B1_11D3_8FA9_0008C7809E09_.wvu.PrintTitles" localSheetId="17" hidden="1">#REF!,#REF!</definedName>
    <definedName name="Z_179EFE1B_A1B1_11D3_8FA9_0008C7809E09_.wvu.PrintTitles" localSheetId="30" hidden="1">#REF!,#REF!</definedName>
    <definedName name="Z_179EFE1B_A1B1_11D3_8FA9_0008C7809E09_.wvu.PrintTitles" localSheetId="31" hidden="1">#REF!,#REF!</definedName>
    <definedName name="Z_179EFE1B_A1B1_11D3_8FA9_0008C7809E09_.wvu.PrintTitles" localSheetId="7" hidden="1">#REF!,#REF!</definedName>
    <definedName name="Z_179EFE1B_A1B1_11D3_8FA9_0008C7809E09_.wvu.PrintTitles" localSheetId="12" hidden="1">#REF!,#REF!</definedName>
    <definedName name="Z_179EFE1B_A1B1_11D3_8FA9_0008C7809E09_.wvu.PrintTitles" localSheetId="9" hidden="1">#REF!,#REF!</definedName>
    <definedName name="Z_179EFE1B_A1B1_11D3_8FA9_0008C7809E09_.wvu.PrintTitles" hidden="1">#REF!,#REF!</definedName>
    <definedName name="Z_179EFE1C_A1B1_11D3_8FA9_0008C7809E09_.wvu.PrintArea" localSheetId="17" hidden="1">#REF!</definedName>
    <definedName name="Z_179EFE1C_A1B1_11D3_8FA9_0008C7809E09_.wvu.PrintArea" localSheetId="30" hidden="1">#REF!</definedName>
    <definedName name="Z_179EFE1C_A1B1_11D3_8FA9_0008C7809E09_.wvu.PrintArea" localSheetId="31" hidden="1">#REF!</definedName>
    <definedName name="Z_179EFE1C_A1B1_11D3_8FA9_0008C7809E09_.wvu.PrintArea" localSheetId="7" hidden="1">#REF!</definedName>
    <definedName name="Z_179EFE1C_A1B1_11D3_8FA9_0008C7809E09_.wvu.PrintArea" localSheetId="12" hidden="1">#REF!</definedName>
    <definedName name="Z_179EFE1C_A1B1_11D3_8FA9_0008C7809E09_.wvu.PrintArea" localSheetId="9" hidden="1">#REF!</definedName>
    <definedName name="Z_179EFE1C_A1B1_11D3_8FA9_0008C7809E09_.wvu.PrintArea" hidden="1">#REF!</definedName>
    <definedName name="Z_179EFE1C_A1B1_11D3_8FA9_0008C7809E09_.wvu.PrintTitles" localSheetId="17" hidden="1">#REF!,#REF!</definedName>
    <definedName name="Z_179EFE1C_A1B1_11D3_8FA9_0008C7809E09_.wvu.PrintTitles" localSheetId="30" hidden="1">#REF!,#REF!</definedName>
    <definedName name="Z_179EFE1C_A1B1_11D3_8FA9_0008C7809E09_.wvu.PrintTitles" localSheetId="31" hidden="1">#REF!,#REF!</definedName>
    <definedName name="Z_179EFE1C_A1B1_11D3_8FA9_0008C7809E09_.wvu.PrintTitles" localSheetId="7" hidden="1">#REF!,#REF!</definedName>
    <definedName name="Z_179EFE1C_A1B1_11D3_8FA9_0008C7809E09_.wvu.PrintTitles" localSheetId="12" hidden="1">#REF!,#REF!</definedName>
    <definedName name="Z_179EFE1C_A1B1_11D3_8FA9_0008C7809E09_.wvu.PrintTitles" localSheetId="9" hidden="1">#REF!,#REF!</definedName>
    <definedName name="Z_179EFE1C_A1B1_11D3_8FA9_0008C7809E09_.wvu.PrintTitles" hidden="1">#REF!,#REF!</definedName>
    <definedName name="Z_179EFE1D_A1B1_11D3_8FA9_0008C7809E09_.wvu.PrintArea" localSheetId="17" hidden="1">#REF!</definedName>
    <definedName name="Z_179EFE1D_A1B1_11D3_8FA9_0008C7809E09_.wvu.PrintArea" localSheetId="30" hidden="1">#REF!</definedName>
    <definedName name="Z_179EFE1D_A1B1_11D3_8FA9_0008C7809E09_.wvu.PrintArea" localSheetId="31" hidden="1">#REF!</definedName>
    <definedName name="Z_179EFE1D_A1B1_11D3_8FA9_0008C7809E09_.wvu.PrintArea" localSheetId="7" hidden="1">#REF!</definedName>
    <definedName name="Z_179EFE1D_A1B1_11D3_8FA9_0008C7809E09_.wvu.PrintArea" localSheetId="12" hidden="1">#REF!</definedName>
    <definedName name="Z_179EFE1D_A1B1_11D3_8FA9_0008C7809E09_.wvu.PrintArea" localSheetId="9" hidden="1">#REF!</definedName>
    <definedName name="Z_179EFE1D_A1B1_11D3_8FA9_0008C7809E09_.wvu.PrintArea" hidden="1">#REF!</definedName>
    <definedName name="Z_179EFE1D_A1B1_11D3_8FA9_0008C7809E09_.wvu.PrintTitles" localSheetId="17" hidden="1">#REF!,#REF!</definedName>
    <definedName name="Z_179EFE1D_A1B1_11D3_8FA9_0008C7809E09_.wvu.PrintTitles" localSheetId="30" hidden="1">#REF!,#REF!</definedName>
    <definedName name="Z_179EFE1D_A1B1_11D3_8FA9_0008C7809E09_.wvu.PrintTitles" localSheetId="31" hidden="1">#REF!,#REF!</definedName>
    <definedName name="Z_179EFE1D_A1B1_11D3_8FA9_0008C7809E09_.wvu.PrintTitles" localSheetId="7" hidden="1">#REF!,#REF!</definedName>
    <definedName name="Z_179EFE1D_A1B1_11D3_8FA9_0008C7809E09_.wvu.PrintTitles" localSheetId="12" hidden="1">#REF!,#REF!</definedName>
    <definedName name="Z_179EFE1D_A1B1_11D3_8FA9_0008C7809E09_.wvu.PrintTitles" localSheetId="9" hidden="1">#REF!,#REF!</definedName>
    <definedName name="Z_179EFE1D_A1B1_11D3_8FA9_0008C7809E09_.wvu.PrintTitles" hidden="1">#REF!,#REF!</definedName>
    <definedName name="Z_179EFE1E_A1B1_11D3_8FA9_0008C7809E09_.wvu.PrintArea" localSheetId="17" hidden="1">#REF!</definedName>
    <definedName name="Z_179EFE1E_A1B1_11D3_8FA9_0008C7809E09_.wvu.PrintArea" localSheetId="30" hidden="1">#REF!</definedName>
    <definedName name="Z_179EFE1E_A1B1_11D3_8FA9_0008C7809E09_.wvu.PrintArea" localSheetId="31" hidden="1">#REF!</definedName>
    <definedName name="Z_179EFE1E_A1B1_11D3_8FA9_0008C7809E09_.wvu.PrintArea" localSheetId="7" hidden="1">#REF!</definedName>
    <definedName name="Z_179EFE1E_A1B1_11D3_8FA9_0008C7809E09_.wvu.PrintArea" localSheetId="12" hidden="1">#REF!</definedName>
    <definedName name="Z_179EFE1E_A1B1_11D3_8FA9_0008C7809E09_.wvu.PrintArea" localSheetId="9" hidden="1">#REF!</definedName>
    <definedName name="Z_179EFE1E_A1B1_11D3_8FA9_0008C7809E09_.wvu.PrintArea" hidden="1">#REF!</definedName>
    <definedName name="Z_179EFE1E_A1B1_11D3_8FA9_0008C7809E09_.wvu.PrintTitles" localSheetId="17" hidden="1">#REF!,#REF!</definedName>
    <definedName name="Z_179EFE1E_A1B1_11D3_8FA9_0008C7809E09_.wvu.PrintTitles" localSheetId="30" hidden="1">#REF!,#REF!</definedName>
    <definedName name="Z_179EFE1E_A1B1_11D3_8FA9_0008C7809E09_.wvu.PrintTitles" localSheetId="31" hidden="1">#REF!,#REF!</definedName>
    <definedName name="Z_179EFE1E_A1B1_11D3_8FA9_0008C7809E09_.wvu.PrintTitles" localSheetId="7" hidden="1">#REF!,#REF!</definedName>
    <definedName name="Z_179EFE1E_A1B1_11D3_8FA9_0008C7809E09_.wvu.PrintTitles" localSheetId="12" hidden="1">#REF!,#REF!</definedName>
    <definedName name="Z_179EFE1E_A1B1_11D3_8FA9_0008C7809E09_.wvu.PrintTitles" localSheetId="9" hidden="1">#REF!,#REF!</definedName>
    <definedName name="Z_179EFE1E_A1B1_11D3_8FA9_0008C7809E09_.wvu.PrintTitles" hidden="1">#REF!,#REF!</definedName>
    <definedName name="Z_179EFE1F_A1B1_11D3_8FA9_0008C7809E09_.wvu.PrintArea" localSheetId="17" hidden="1">#REF!</definedName>
    <definedName name="Z_179EFE1F_A1B1_11D3_8FA9_0008C7809E09_.wvu.PrintArea" localSheetId="30" hidden="1">#REF!</definedName>
    <definedName name="Z_179EFE1F_A1B1_11D3_8FA9_0008C7809E09_.wvu.PrintArea" localSheetId="31" hidden="1">#REF!</definedName>
    <definedName name="Z_179EFE1F_A1B1_11D3_8FA9_0008C7809E09_.wvu.PrintArea" localSheetId="7" hidden="1">#REF!</definedName>
    <definedName name="Z_179EFE1F_A1B1_11D3_8FA9_0008C7809E09_.wvu.PrintArea" localSheetId="12" hidden="1">#REF!</definedName>
    <definedName name="Z_179EFE1F_A1B1_11D3_8FA9_0008C7809E09_.wvu.PrintArea" localSheetId="9" hidden="1">#REF!</definedName>
    <definedName name="Z_179EFE1F_A1B1_11D3_8FA9_0008C7809E09_.wvu.PrintArea" hidden="1">#REF!</definedName>
    <definedName name="Z_179EFE1F_A1B1_11D3_8FA9_0008C7809E09_.wvu.PrintTitles" localSheetId="17" hidden="1">#REF!,#REF!</definedName>
    <definedName name="Z_179EFE1F_A1B1_11D3_8FA9_0008C7809E09_.wvu.PrintTitles" localSheetId="30" hidden="1">#REF!,#REF!</definedName>
    <definedName name="Z_179EFE1F_A1B1_11D3_8FA9_0008C7809E09_.wvu.PrintTitles" localSheetId="31" hidden="1">#REF!,#REF!</definedName>
    <definedName name="Z_179EFE1F_A1B1_11D3_8FA9_0008C7809E09_.wvu.PrintTitles" localSheetId="7" hidden="1">#REF!,#REF!</definedName>
    <definedName name="Z_179EFE1F_A1B1_11D3_8FA9_0008C7809E09_.wvu.PrintTitles" localSheetId="12" hidden="1">#REF!,#REF!</definedName>
    <definedName name="Z_179EFE1F_A1B1_11D3_8FA9_0008C7809E09_.wvu.PrintTitles" localSheetId="9" hidden="1">#REF!,#REF!</definedName>
    <definedName name="Z_179EFE1F_A1B1_11D3_8FA9_0008C7809E09_.wvu.PrintTitles" hidden="1">#REF!,#REF!</definedName>
    <definedName name="Z_179EFE20_A1B1_11D3_8FA9_0008C7809E09_.wvu.PrintArea" localSheetId="17" hidden="1">#REF!</definedName>
    <definedName name="Z_179EFE20_A1B1_11D3_8FA9_0008C7809E09_.wvu.PrintArea" localSheetId="30" hidden="1">#REF!</definedName>
    <definedName name="Z_179EFE20_A1B1_11D3_8FA9_0008C7809E09_.wvu.PrintArea" localSheetId="31" hidden="1">#REF!</definedName>
    <definedName name="Z_179EFE20_A1B1_11D3_8FA9_0008C7809E09_.wvu.PrintArea" localSheetId="7" hidden="1">#REF!</definedName>
    <definedName name="Z_179EFE20_A1B1_11D3_8FA9_0008C7809E09_.wvu.PrintArea" localSheetId="12" hidden="1">#REF!</definedName>
    <definedName name="Z_179EFE20_A1B1_11D3_8FA9_0008C7809E09_.wvu.PrintArea" localSheetId="9" hidden="1">#REF!</definedName>
    <definedName name="Z_179EFE20_A1B1_11D3_8FA9_0008C7809E09_.wvu.PrintArea" hidden="1">#REF!</definedName>
    <definedName name="Z_179EFE20_A1B1_11D3_8FA9_0008C7809E09_.wvu.PrintTitles" localSheetId="17" hidden="1">#REF!,#REF!</definedName>
    <definedName name="Z_179EFE20_A1B1_11D3_8FA9_0008C7809E09_.wvu.PrintTitles" localSheetId="30" hidden="1">#REF!,#REF!</definedName>
    <definedName name="Z_179EFE20_A1B1_11D3_8FA9_0008C7809E09_.wvu.PrintTitles" localSheetId="31" hidden="1">#REF!,#REF!</definedName>
    <definedName name="Z_179EFE20_A1B1_11D3_8FA9_0008C7809E09_.wvu.PrintTitles" localSheetId="7" hidden="1">#REF!,#REF!</definedName>
    <definedName name="Z_179EFE20_A1B1_11D3_8FA9_0008C7809E09_.wvu.PrintTitles" localSheetId="12" hidden="1">#REF!,#REF!</definedName>
    <definedName name="Z_179EFE20_A1B1_11D3_8FA9_0008C7809E09_.wvu.PrintTitles" localSheetId="9" hidden="1">#REF!,#REF!</definedName>
    <definedName name="Z_179EFE20_A1B1_11D3_8FA9_0008C7809E09_.wvu.PrintTitles" hidden="1">#REF!,#REF!</definedName>
    <definedName name="Z_179EFE21_A1B1_11D3_8FA9_0008C7809E09_.wvu.PrintArea" localSheetId="17" hidden="1">#REF!</definedName>
    <definedName name="Z_179EFE21_A1B1_11D3_8FA9_0008C7809E09_.wvu.PrintArea" localSheetId="30" hidden="1">#REF!</definedName>
    <definedName name="Z_179EFE21_A1B1_11D3_8FA9_0008C7809E09_.wvu.PrintArea" localSheetId="31" hidden="1">#REF!</definedName>
    <definedName name="Z_179EFE21_A1B1_11D3_8FA9_0008C7809E09_.wvu.PrintArea" localSheetId="7" hidden="1">#REF!</definedName>
    <definedName name="Z_179EFE21_A1B1_11D3_8FA9_0008C7809E09_.wvu.PrintArea" localSheetId="12" hidden="1">#REF!</definedName>
    <definedName name="Z_179EFE21_A1B1_11D3_8FA9_0008C7809E09_.wvu.PrintArea" localSheetId="9" hidden="1">#REF!</definedName>
    <definedName name="Z_179EFE21_A1B1_11D3_8FA9_0008C7809E09_.wvu.PrintArea" hidden="1">#REF!</definedName>
    <definedName name="Z_179EFE21_A1B1_11D3_8FA9_0008C7809E09_.wvu.PrintTitles" localSheetId="17" hidden="1">#REF!,#REF!</definedName>
    <definedName name="Z_179EFE21_A1B1_11D3_8FA9_0008C7809E09_.wvu.PrintTitles" localSheetId="30" hidden="1">#REF!,#REF!</definedName>
    <definedName name="Z_179EFE21_A1B1_11D3_8FA9_0008C7809E09_.wvu.PrintTitles" localSheetId="31" hidden="1">#REF!,#REF!</definedName>
    <definedName name="Z_179EFE21_A1B1_11D3_8FA9_0008C7809E09_.wvu.PrintTitles" localSheetId="7" hidden="1">#REF!,#REF!</definedName>
    <definedName name="Z_179EFE21_A1B1_11D3_8FA9_0008C7809E09_.wvu.PrintTitles" localSheetId="12" hidden="1">#REF!,#REF!</definedName>
    <definedName name="Z_179EFE21_A1B1_11D3_8FA9_0008C7809E09_.wvu.PrintTitles" localSheetId="9" hidden="1">#REF!,#REF!</definedName>
    <definedName name="Z_179EFE21_A1B1_11D3_8FA9_0008C7809E09_.wvu.PrintTitles" hidden="1">#REF!,#REF!</definedName>
    <definedName name="Z_179EFE22_A1B1_11D3_8FA9_0008C7809E09_.wvu.PrintArea" localSheetId="17" hidden="1">#REF!</definedName>
    <definedName name="Z_179EFE22_A1B1_11D3_8FA9_0008C7809E09_.wvu.PrintArea" localSheetId="30" hidden="1">#REF!</definedName>
    <definedName name="Z_179EFE22_A1B1_11D3_8FA9_0008C7809E09_.wvu.PrintArea" localSheetId="31" hidden="1">#REF!</definedName>
    <definedName name="Z_179EFE22_A1B1_11D3_8FA9_0008C7809E09_.wvu.PrintArea" localSheetId="7" hidden="1">#REF!</definedName>
    <definedName name="Z_179EFE22_A1B1_11D3_8FA9_0008C7809E09_.wvu.PrintArea" localSheetId="12" hidden="1">#REF!</definedName>
    <definedName name="Z_179EFE22_A1B1_11D3_8FA9_0008C7809E09_.wvu.PrintArea" localSheetId="9" hidden="1">#REF!</definedName>
    <definedName name="Z_179EFE22_A1B1_11D3_8FA9_0008C7809E09_.wvu.PrintArea" hidden="1">#REF!</definedName>
    <definedName name="Z_179EFE22_A1B1_11D3_8FA9_0008C7809E09_.wvu.PrintTitles" localSheetId="17" hidden="1">#REF!,#REF!</definedName>
    <definedName name="Z_179EFE22_A1B1_11D3_8FA9_0008C7809E09_.wvu.PrintTitles" localSheetId="30" hidden="1">#REF!,#REF!</definedName>
    <definedName name="Z_179EFE22_A1B1_11D3_8FA9_0008C7809E09_.wvu.PrintTitles" localSheetId="31" hidden="1">#REF!,#REF!</definedName>
    <definedName name="Z_179EFE22_A1B1_11D3_8FA9_0008C7809E09_.wvu.PrintTitles" localSheetId="7" hidden="1">#REF!,#REF!</definedName>
    <definedName name="Z_179EFE22_A1B1_11D3_8FA9_0008C7809E09_.wvu.PrintTitles" localSheetId="12" hidden="1">#REF!,#REF!</definedName>
    <definedName name="Z_179EFE22_A1B1_11D3_8FA9_0008C7809E09_.wvu.PrintTitles" localSheetId="9" hidden="1">#REF!,#REF!</definedName>
    <definedName name="Z_179EFE22_A1B1_11D3_8FA9_0008C7809E09_.wvu.PrintTitles" hidden="1">#REF!,#REF!</definedName>
    <definedName name="Z_179EFE23_A1B1_11D3_8FA9_0008C7809E09_.wvu.PrintArea" localSheetId="17" hidden="1">#REF!</definedName>
    <definedName name="Z_179EFE23_A1B1_11D3_8FA9_0008C7809E09_.wvu.PrintArea" localSheetId="30" hidden="1">#REF!</definedName>
    <definedName name="Z_179EFE23_A1B1_11D3_8FA9_0008C7809E09_.wvu.PrintArea" localSheetId="31" hidden="1">#REF!</definedName>
    <definedName name="Z_179EFE23_A1B1_11D3_8FA9_0008C7809E09_.wvu.PrintArea" localSheetId="7" hidden="1">#REF!</definedName>
    <definedName name="Z_179EFE23_A1B1_11D3_8FA9_0008C7809E09_.wvu.PrintArea" localSheetId="12" hidden="1">#REF!</definedName>
    <definedName name="Z_179EFE23_A1B1_11D3_8FA9_0008C7809E09_.wvu.PrintArea" localSheetId="9" hidden="1">#REF!</definedName>
    <definedName name="Z_179EFE23_A1B1_11D3_8FA9_0008C7809E09_.wvu.PrintArea" hidden="1">#REF!</definedName>
    <definedName name="Z_179EFE23_A1B1_11D3_8FA9_0008C7809E09_.wvu.PrintTitles" localSheetId="17" hidden="1">#REF!,#REF!</definedName>
    <definedName name="Z_179EFE23_A1B1_11D3_8FA9_0008C7809E09_.wvu.PrintTitles" localSheetId="30" hidden="1">#REF!,#REF!</definedName>
    <definedName name="Z_179EFE23_A1B1_11D3_8FA9_0008C7809E09_.wvu.PrintTitles" localSheetId="31" hidden="1">#REF!,#REF!</definedName>
    <definedName name="Z_179EFE23_A1B1_11D3_8FA9_0008C7809E09_.wvu.PrintTitles" localSheetId="7" hidden="1">#REF!,#REF!</definedName>
    <definedName name="Z_179EFE23_A1B1_11D3_8FA9_0008C7809E09_.wvu.PrintTitles" localSheetId="12" hidden="1">#REF!,#REF!</definedName>
    <definedName name="Z_179EFE23_A1B1_11D3_8FA9_0008C7809E09_.wvu.PrintTitles" localSheetId="9" hidden="1">#REF!,#REF!</definedName>
    <definedName name="Z_179EFE23_A1B1_11D3_8FA9_0008C7809E09_.wvu.PrintTitles" hidden="1">#REF!,#REF!</definedName>
    <definedName name="Z_179EFE24_A1B1_11D3_8FA9_0008C7809E09_.wvu.PrintArea" localSheetId="17" hidden="1">#REF!</definedName>
    <definedName name="Z_179EFE24_A1B1_11D3_8FA9_0008C7809E09_.wvu.PrintArea" localSheetId="30" hidden="1">#REF!</definedName>
    <definedName name="Z_179EFE24_A1B1_11D3_8FA9_0008C7809E09_.wvu.PrintArea" localSheetId="31" hidden="1">#REF!</definedName>
    <definedName name="Z_179EFE24_A1B1_11D3_8FA9_0008C7809E09_.wvu.PrintArea" localSheetId="7" hidden="1">#REF!</definedName>
    <definedName name="Z_179EFE24_A1B1_11D3_8FA9_0008C7809E09_.wvu.PrintArea" localSheetId="12" hidden="1">#REF!</definedName>
    <definedName name="Z_179EFE24_A1B1_11D3_8FA9_0008C7809E09_.wvu.PrintArea" localSheetId="9" hidden="1">#REF!</definedName>
    <definedName name="Z_179EFE24_A1B1_11D3_8FA9_0008C7809E09_.wvu.PrintArea" hidden="1">#REF!</definedName>
    <definedName name="Z_179EFE24_A1B1_11D3_8FA9_0008C7809E09_.wvu.PrintTitles" localSheetId="17" hidden="1">#REF!,#REF!</definedName>
    <definedName name="Z_179EFE24_A1B1_11D3_8FA9_0008C7809E09_.wvu.PrintTitles" localSheetId="30" hidden="1">#REF!,#REF!</definedName>
    <definedName name="Z_179EFE24_A1B1_11D3_8FA9_0008C7809E09_.wvu.PrintTitles" localSheetId="31" hidden="1">#REF!,#REF!</definedName>
    <definedName name="Z_179EFE24_A1B1_11D3_8FA9_0008C7809E09_.wvu.PrintTitles" localSheetId="7" hidden="1">#REF!,#REF!</definedName>
    <definedName name="Z_179EFE24_A1B1_11D3_8FA9_0008C7809E09_.wvu.PrintTitles" localSheetId="12" hidden="1">#REF!,#REF!</definedName>
    <definedName name="Z_179EFE24_A1B1_11D3_8FA9_0008C7809E09_.wvu.PrintTitles" localSheetId="9" hidden="1">#REF!,#REF!</definedName>
    <definedName name="Z_179EFE24_A1B1_11D3_8FA9_0008C7809E09_.wvu.PrintTitles" hidden="1">#REF!,#REF!</definedName>
    <definedName name="Z_179EFE25_A1B1_11D3_8FA9_0008C7809E09_.wvu.PrintArea" localSheetId="17" hidden="1">#REF!</definedName>
    <definedName name="Z_179EFE25_A1B1_11D3_8FA9_0008C7809E09_.wvu.PrintArea" localSheetId="30" hidden="1">#REF!</definedName>
    <definedName name="Z_179EFE25_A1B1_11D3_8FA9_0008C7809E09_.wvu.PrintArea" localSheetId="31" hidden="1">#REF!</definedName>
    <definedName name="Z_179EFE25_A1B1_11D3_8FA9_0008C7809E09_.wvu.PrintArea" localSheetId="7" hidden="1">#REF!</definedName>
    <definedName name="Z_179EFE25_A1B1_11D3_8FA9_0008C7809E09_.wvu.PrintArea" localSheetId="12" hidden="1">#REF!</definedName>
    <definedName name="Z_179EFE25_A1B1_11D3_8FA9_0008C7809E09_.wvu.PrintArea" localSheetId="9" hidden="1">#REF!</definedName>
    <definedName name="Z_179EFE25_A1B1_11D3_8FA9_0008C7809E09_.wvu.PrintArea" hidden="1">#REF!</definedName>
    <definedName name="Z_179EFE25_A1B1_11D3_8FA9_0008C7809E09_.wvu.PrintTitles" localSheetId="17" hidden="1">#REF!,#REF!</definedName>
    <definedName name="Z_179EFE25_A1B1_11D3_8FA9_0008C7809E09_.wvu.PrintTitles" localSheetId="30" hidden="1">#REF!,#REF!</definedName>
    <definedName name="Z_179EFE25_A1B1_11D3_8FA9_0008C7809E09_.wvu.PrintTitles" localSheetId="31" hidden="1">#REF!,#REF!</definedName>
    <definedName name="Z_179EFE25_A1B1_11D3_8FA9_0008C7809E09_.wvu.PrintTitles" localSheetId="7" hidden="1">#REF!,#REF!</definedName>
    <definedName name="Z_179EFE25_A1B1_11D3_8FA9_0008C7809E09_.wvu.PrintTitles" localSheetId="12" hidden="1">#REF!,#REF!</definedName>
    <definedName name="Z_179EFE25_A1B1_11D3_8FA9_0008C7809E09_.wvu.PrintTitles" localSheetId="9" hidden="1">#REF!,#REF!</definedName>
    <definedName name="Z_179EFE25_A1B1_11D3_8FA9_0008C7809E09_.wvu.PrintTitles" hidden="1">#REF!,#REF!</definedName>
    <definedName name="Z_179EFE26_A1B1_11D3_8FA9_0008C7809E09_.wvu.PrintArea" localSheetId="17" hidden="1">#REF!</definedName>
    <definedName name="Z_179EFE26_A1B1_11D3_8FA9_0008C7809E09_.wvu.PrintArea" localSheetId="30" hidden="1">#REF!</definedName>
    <definedName name="Z_179EFE26_A1B1_11D3_8FA9_0008C7809E09_.wvu.PrintArea" localSheetId="31" hidden="1">#REF!</definedName>
    <definedName name="Z_179EFE26_A1B1_11D3_8FA9_0008C7809E09_.wvu.PrintArea" localSheetId="7" hidden="1">#REF!</definedName>
    <definedName name="Z_179EFE26_A1B1_11D3_8FA9_0008C7809E09_.wvu.PrintArea" localSheetId="12" hidden="1">#REF!</definedName>
    <definedName name="Z_179EFE26_A1B1_11D3_8FA9_0008C7809E09_.wvu.PrintArea" localSheetId="9" hidden="1">#REF!</definedName>
    <definedName name="Z_179EFE26_A1B1_11D3_8FA9_0008C7809E09_.wvu.PrintArea" hidden="1">#REF!</definedName>
    <definedName name="Z_179EFE26_A1B1_11D3_8FA9_0008C7809E09_.wvu.PrintTitles" localSheetId="17" hidden="1">#REF!,#REF!</definedName>
    <definedName name="Z_179EFE26_A1B1_11D3_8FA9_0008C7809E09_.wvu.PrintTitles" localSheetId="30" hidden="1">#REF!,#REF!</definedName>
    <definedName name="Z_179EFE26_A1B1_11D3_8FA9_0008C7809E09_.wvu.PrintTitles" localSheetId="31" hidden="1">#REF!,#REF!</definedName>
    <definedName name="Z_179EFE26_A1B1_11D3_8FA9_0008C7809E09_.wvu.PrintTitles" localSheetId="7" hidden="1">#REF!,#REF!</definedName>
    <definedName name="Z_179EFE26_A1B1_11D3_8FA9_0008C7809E09_.wvu.PrintTitles" localSheetId="12" hidden="1">#REF!,#REF!</definedName>
    <definedName name="Z_179EFE26_A1B1_11D3_8FA9_0008C7809E09_.wvu.PrintTitles" localSheetId="9" hidden="1">#REF!,#REF!</definedName>
    <definedName name="Z_179EFE26_A1B1_11D3_8FA9_0008C7809E09_.wvu.PrintTitles" hidden="1">#REF!,#REF!</definedName>
    <definedName name="Z_179EFE27_A1B1_11D3_8FA9_0008C7809E09_.wvu.PrintArea" localSheetId="17" hidden="1">#REF!</definedName>
    <definedName name="Z_179EFE27_A1B1_11D3_8FA9_0008C7809E09_.wvu.PrintArea" localSheetId="30" hidden="1">#REF!</definedName>
    <definedName name="Z_179EFE27_A1B1_11D3_8FA9_0008C7809E09_.wvu.PrintArea" localSheetId="31" hidden="1">#REF!</definedName>
    <definedName name="Z_179EFE27_A1B1_11D3_8FA9_0008C7809E09_.wvu.PrintArea" localSheetId="7" hidden="1">#REF!</definedName>
    <definedName name="Z_179EFE27_A1B1_11D3_8FA9_0008C7809E09_.wvu.PrintArea" localSheetId="12" hidden="1">#REF!</definedName>
    <definedName name="Z_179EFE27_A1B1_11D3_8FA9_0008C7809E09_.wvu.PrintArea" localSheetId="9" hidden="1">#REF!</definedName>
    <definedName name="Z_179EFE27_A1B1_11D3_8FA9_0008C7809E09_.wvu.PrintArea" hidden="1">#REF!</definedName>
    <definedName name="Z_179EFE27_A1B1_11D3_8FA9_0008C7809E09_.wvu.PrintTitles" localSheetId="17" hidden="1">#REF!,#REF!</definedName>
    <definedName name="Z_179EFE27_A1B1_11D3_8FA9_0008C7809E09_.wvu.PrintTitles" localSheetId="30" hidden="1">#REF!,#REF!</definedName>
    <definedName name="Z_179EFE27_A1B1_11D3_8FA9_0008C7809E09_.wvu.PrintTitles" localSheetId="31" hidden="1">#REF!,#REF!</definedName>
    <definedName name="Z_179EFE27_A1B1_11D3_8FA9_0008C7809E09_.wvu.PrintTitles" localSheetId="7" hidden="1">#REF!,#REF!</definedName>
    <definedName name="Z_179EFE27_A1B1_11D3_8FA9_0008C7809E09_.wvu.PrintTitles" localSheetId="12" hidden="1">#REF!,#REF!</definedName>
    <definedName name="Z_179EFE27_A1B1_11D3_8FA9_0008C7809E09_.wvu.PrintTitles" localSheetId="9" hidden="1">#REF!,#REF!</definedName>
    <definedName name="Z_179EFE27_A1B1_11D3_8FA9_0008C7809E09_.wvu.PrintTitles" hidden="1">#REF!,#REF!</definedName>
    <definedName name="Z_179EFE28_A1B1_11D3_8FA9_0008C7809E09_.wvu.PrintArea" localSheetId="17" hidden="1">#REF!</definedName>
    <definedName name="Z_179EFE28_A1B1_11D3_8FA9_0008C7809E09_.wvu.PrintArea" localSheetId="30" hidden="1">#REF!</definedName>
    <definedName name="Z_179EFE28_A1B1_11D3_8FA9_0008C7809E09_.wvu.PrintArea" localSheetId="31" hidden="1">#REF!</definedName>
    <definedName name="Z_179EFE28_A1B1_11D3_8FA9_0008C7809E09_.wvu.PrintArea" localSheetId="7" hidden="1">#REF!</definedName>
    <definedName name="Z_179EFE28_A1B1_11D3_8FA9_0008C7809E09_.wvu.PrintArea" localSheetId="12" hidden="1">#REF!</definedName>
    <definedName name="Z_179EFE28_A1B1_11D3_8FA9_0008C7809E09_.wvu.PrintArea" localSheetId="9" hidden="1">#REF!</definedName>
    <definedName name="Z_179EFE28_A1B1_11D3_8FA9_0008C7809E09_.wvu.PrintArea" hidden="1">#REF!</definedName>
    <definedName name="Z_179EFE28_A1B1_11D3_8FA9_0008C7809E09_.wvu.PrintTitles" localSheetId="17" hidden="1">#REF!,#REF!</definedName>
    <definedName name="Z_179EFE28_A1B1_11D3_8FA9_0008C7809E09_.wvu.PrintTitles" localSheetId="30" hidden="1">#REF!,#REF!</definedName>
    <definedName name="Z_179EFE28_A1B1_11D3_8FA9_0008C7809E09_.wvu.PrintTitles" localSheetId="31" hidden="1">#REF!,#REF!</definedName>
    <definedName name="Z_179EFE28_A1B1_11D3_8FA9_0008C7809E09_.wvu.PrintTitles" localSheetId="7" hidden="1">#REF!,#REF!</definedName>
    <definedName name="Z_179EFE28_A1B1_11D3_8FA9_0008C7809E09_.wvu.PrintTitles" localSheetId="12" hidden="1">#REF!,#REF!</definedName>
    <definedName name="Z_179EFE28_A1B1_11D3_8FA9_0008C7809E09_.wvu.PrintTitles" localSheetId="9" hidden="1">#REF!,#REF!</definedName>
    <definedName name="Z_179EFE28_A1B1_11D3_8FA9_0008C7809E09_.wvu.PrintTitles" hidden="1">#REF!,#REF!</definedName>
    <definedName name="Z_179EFE29_A1B1_11D3_8FA9_0008C7809E09_.wvu.PrintArea" localSheetId="17" hidden="1">#REF!</definedName>
    <definedName name="Z_179EFE29_A1B1_11D3_8FA9_0008C7809E09_.wvu.PrintArea" localSheetId="30" hidden="1">#REF!</definedName>
    <definedName name="Z_179EFE29_A1B1_11D3_8FA9_0008C7809E09_.wvu.PrintArea" localSheetId="31" hidden="1">#REF!</definedName>
    <definedName name="Z_179EFE29_A1B1_11D3_8FA9_0008C7809E09_.wvu.PrintArea" localSheetId="7" hidden="1">#REF!</definedName>
    <definedName name="Z_179EFE29_A1B1_11D3_8FA9_0008C7809E09_.wvu.PrintArea" localSheetId="12" hidden="1">#REF!</definedName>
    <definedName name="Z_179EFE29_A1B1_11D3_8FA9_0008C7809E09_.wvu.PrintArea" localSheetId="9" hidden="1">#REF!</definedName>
    <definedName name="Z_179EFE29_A1B1_11D3_8FA9_0008C7809E09_.wvu.PrintArea" hidden="1">#REF!</definedName>
    <definedName name="Z_179EFE29_A1B1_11D3_8FA9_0008C7809E09_.wvu.PrintTitles" localSheetId="17" hidden="1">#REF!,#REF!</definedName>
    <definedName name="Z_179EFE29_A1B1_11D3_8FA9_0008C7809E09_.wvu.PrintTitles" localSheetId="30" hidden="1">#REF!,#REF!</definedName>
    <definedName name="Z_179EFE29_A1B1_11D3_8FA9_0008C7809E09_.wvu.PrintTitles" localSheetId="31" hidden="1">#REF!,#REF!</definedName>
    <definedName name="Z_179EFE29_A1B1_11D3_8FA9_0008C7809E09_.wvu.PrintTitles" localSheetId="7" hidden="1">#REF!,#REF!</definedName>
    <definedName name="Z_179EFE29_A1B1_11D3_8FA9_0008C7809E09_.wvu.PrintTitles" localSheetId="12" hidden="1">#REF!,#REF!</definedName>
    <definedName name="Z_179EFE29_A1B1_11D3_8FA9_0008C7809E09_.wvu.PrintTitles" localSheetId="9" hidden="1">#REF!,#REF!</definedName>
    <definedName name="Z_179EFE29_A1B1_11D3_8FA9_0008C7809E09_.wvu.PrintTitles" hidden="1">#REF!,#REF!</definedName>
    <definedName name="Z_179EFE2A_A1B1_11D3_8FA9_0008C7809E09_.wvu.PrintArea" localSheetId="17" hidden="1">#REF!</definedName>
    <definedName name="Z_179EFE2A_A1B1_11D3_8FA9_0008C7809E09_.wvu.PrintArea" localSheetId="30" hidden="1">#REF!</definedName>
    <definedName name="Z_179EFE2A_A1B1_11D3_8FA9_0008C7809E09_.wvu.PrintArea" localSheetId="31" hidden="1">#REF!</definedName>
    <definedName name="Z_179EFE2A_A1B1_11D3_8FA9_0008C7809E09_.wvu.PrintArea" localSheetId="7" hidden="1">#REF!</definedName>
    <definedName name="Z_179EFE2A_A1B1_11D3_8FA9_0008C7809E09_.wvu.PrintArea" localSheetId="12" hidden="1">#REF!</definedName>
    <definedName name="Z_179EFE2A_A1B1_11D3_8FA9_0008C7809E09_.wvu.PrintArea" localSheetId="9" hidden="1">#REF!</definedName>
    <definedName name="Z_179EFE2A_A1B1_11D3_8FA9_0008C7809E09_.wvu.PrintArea" hidden="1">#REF!</definedName>
    <definedName name="Z_179EFE2A_A1B1_11D3_8FA9_0008C7809E09_.wvu.PrintTitles" localSheetId="17" hidden="1">#REF!,#REF!</definedName>
    <definedName name="Z_179EFE2A_A1B1_11D3_8FA9_0008C7809E09_.wvu.PrintTitles" localSheetId="30" hidden="1">#REF!,#REF!</definedName>
    <definedName name="Z_179EFE2A_A1B1_11D3_8FA9_0008C7809E09_.wvu.PrintTitles" localSheetId="31" hidden="1">#REF!,#REF!</definedName>
    <definedName name="Z_179EFE2A_A1B1_11D3_8FA9_0008C7809E09_.wvu.PrintTitles" localSheetId="7" hidden="1">#REF!,#REF!</definedName>
    <definedName name="Z_179EFE2A_A1B1_11D3_8FA9_0008C7809E09_.wvu.PrintTitles" localSheetId="12" hidden="1">#REF!,#REF!</definedName>
    <definedName name="Z_179EFE2A_A1B1_11D3_8FA9_0008C7809E09_.wvu.PrintTitles" localSheetId="9" hidden="1">#REF!,#REF!</definedName>
    <definedName name="Z_179EFE2A_A1B1_11D3_8FA9_0008C7809E09_.wvu.PrintTitles" hidden="1">#REF!,#REF!</definedName>
    <definedName name="Z_179EFE2B_A1B1_11D3_8FA9_0008C7809E09_.wvu.PrintArea" localSheetId="17" hidden="1">#REF!</definedName>
    <definedName name="Z_179EFE2B_A1B1_11D3_8FA9_0008C7809E09_.wvu.PrintArea" localSheetId="30" hidden="1">#REF!</definedName>
    <definedName name="Z_179EFE2B_A1B1_11D3_8FA9_0008C7809E09_.wvu.PrintArea" localSheetId="31" hidden="1">#REF!</definedName>
    <definedName name="Z_179EFE2B_A1B1_11D3_8FA9_0008C7809E09_.wvu.PrintArea" localSheetId="7" hidden="1">#REF!</definedName>
    <definedName name="Z_179EFE2B_A1B1_11D3_8FA9_0008C7809E09_.wvu.PrintArea" localSheetId="12" hidden="1">#REF!</definedName>
    <definedName name="Z_179EFE2B_A1B1_11D3_8FA9_0008C7809E09_.wvu.PrintArea" localSheetId="9" hidden="1">#REF!</definedName>
    <definedName name="Z_179EFE2B_A1B1_11D3_8FA9_0008C7809E09_.wvu.PrintArea" hidden="1">#REF!</definedName>
    <definedName name="Z_179EFE2B_A1B1_11D3_8FA9_0008C7809E09_.wvu.PrintTitles" localSheetId="17" hidden="1">#REF!,#REF!</definedName>
    <definedName name="Z_179EFE2B_A1B1_11D3_8FA9_0008C7809E09_.wvu.PrintTitles" localSheetId="30" hidden="1">#REF!,#REF!</definedName>
    <definedName name="Z_179EFE2B_A1B1_11D3_8FA9_0008C7809E09_.wvu.PrintTitles" localSheetId="31" hidden="1">#REF!,#REF!</definedName>
    <definedName name="Z_179EFE2B_A1B1_11D3_8FA9_0008C7809E09_.wvu.PrintTitles" localSheetId="7" hidden="1">#REF!,#REF!</definedName>
    <definedName name="Z_179EFE2B_A1B1_11D3_8FA9_0008C7809E09_.wvu.PrintTitles" localSheetId="12" hidden="1">#REF!,#REF!</definedName>
    <definedName name="Z_179EFE2B_A1B1_11D3_8FA9_0008C7809E09_.wvu.PrintTitles" localSheetId="9" hidden="1">#REF!,#REF!</definedName>
    <definedName name="Z_179EFE2B_A1B1_11D3_8FA9_0008C7809E09_.wvu.PrintTitles" hidden="1">#REF!,#REF!</definedName>
    <definedName name="Z_179EFE2C_A1B1_11D3_8FA9_0008C7809E09_.wvu.PrintArea" localSheetId="17" hidden="1">#REF!</definedName>
    <definedName name="Z_179EFE2C_A1B1_11D3_8FA9_0008C7809E09_.wvu.PrintArea" localSheetId="30" hidden="1">#REF!</definedName>
    <definedName name="Z_179EFE2C_A1B1_11D3_8FA9_0008C7809E09_.wvu.PrintArea" localSheetId="31" hidden="1">#REF!</definedName>
    <definedName name="Z_179EFE2C_A1B1_11D3_8FA9_0008C7809E09_.wvu.PrintArea" localSheetId="7" hidden="1">#REF!</definedName>
    <definedName name="Z_179EFE2C_A1B1_11D3_8FA9_0008C7809E09_.wvu.PrintArea" localSheetId="12" hidden="1">#REF!</definedName>
    <definedName name="Z_179EFE2C_A1B1_11D3_8FA9_0008C7809E09_.wvu.PrintArea" localSheetId="9" hidden="1">#REF!</definedName>
    <definedName name="Z_179EFE2C_A1B1_11D3_8FA9_0008C7809E09_.wvu.PrintArea" hidden="1">#REF!</definedName>
    <definedName name="Z_179EFE2C_A1B1_11D3_8FA9_0008C7809E09_.wvu.PrintTitles" localSheetId="17" hidden="1">#REF!,#REF!</definedName>
    <definedName name="Z_179EFE2C_A1B1_11D3_8FA9_0008C7809E09_.wvu.PrintTitles" localSheetId="30" hidden="1">#REF!,#REF!</definedName>
    <definedName name="Z_179EFE2C_A1B1_11D3_8FA9_0008C7809E09_.wvu.PrintTitles" localSheetId="31" hidden="1">#REF!,#REF!</definedName>
    <definedName name="Z_179EFE2C_A1B1_11D3_8FA9_0008C7809E09_.wvu.PrintTitles" localSheetId="7" hidden="1">#REF!,#REF!</definedName>
    <definedName name="Z_179EFE2C_A1B1_11D3_8FA9_0008C7809E09_.wvu.PrintTitles" localSheetId="12" hidden="1">#REF!,#REF!</definedName>
    <definedName name="Z_179EFE2C_A1B1_11D3_8FA9_0008C7809E09_.wvu.PrintTitles" localSheetId="9" hidden="1">#REF!,#REF!</definedName>
    <definedName name="Z_179EFE2C_A1B1_11D3_8FA9_0008C7809E09_.wvu.PrintTitles" hidden="1">#REF!,#REF!</definedName>
    <definedName name="Z_179EFE2D_A1B1_11D3_8FA9_0008C7809E09_.wvu.PrintArea" localSheetId="17" hidden="1">#REF!</definedName>
    <definedName name="Z_179EFE2D_A1B1_11D3_8FA9_0008C7809E09_.wvu.PrintArea" localSheetId="30" hidden="1">#REF!</definedName>
    <definedName name="Z_179EFE2D_A1B1_11D3_8FA9_0008C7809E09_.wvu.PrintArea" localSheetId="31" hidden="1">#REF!</definedName>
    <definedName name="Z_179EFE2D_A1B1_11D3_8FA9_0008C7809E09_.wvu.PrintArea" localSheetId="7" hidden="1">#REF!</definedName>
    <definedName name="Z_179EFE2D_A1B1_11D3_8FA9_0008C7809E09_.wvu.PrintArea" localSheetId="12" hidden="1">#REF!</definedName>
    <definedName name="Z_179EFE2D_A1B1_11D3_8FA9_0008C7809E09_.wvu.PrintArea" localSheetId="9" hidden="1">#REF!</definedName>
    <definedName name="Z_179EFE2D_A1B1_11D3_8FA9_0008C7809E09_.wvu.PrintArea" hidden="1">#REF!</definedName>
    <definedName name="Z_179EFE2D_A1B1_11D3_8FA9_0008C7809E09_.wvu.PrintTitles" localSheetId="17" hidden="1">#REF!,#REF!</definedName>
    <definedName name="Z_179EFE2D_A1B1_11D3_8FA9_0008C7809E09_.wvu.PrintTitles" localSheetId="30" hidden="1">#REF!,#REF!</definedName>
    <definedName name="Z_179EFE2D_A1B1_11D3_8FA9_0008C7809E09_.wvu.PrintTitles" localSheetId="31" hidden="1">#REF!,#REF!</definedName>
    <definedName name="Z_179EFE2D_A1B1_11D3_8FA9_0008C7809E09_.wvu.PrintTitles" localSheetId="7" hidden="1">#REF!,#REF!</definedName>
    <definedName name="Z_179EFE2D_A1B1_11D3_8FA9_0008C7809E09_.wvu.PrintTitles" localSheetId="12" hidden="1">#REF!,#REF!</definedName>
    <definedName name="Z_179EFE2D_A1B1_11D3_8FA9_0008C7809E09_.wvu.PrintTitles" localSheetId="9" hidden="1">#REF!,#REF!</definedName>
    <definedName name="Z_179EFE2D_A1B1_11D3_8FA9_0008C7809E09_.wvu.PrintTitles" hidden="1">#REF!,#REF!</definedName>
    <definedName name="Z_179EFE2E_A1B1_11D3_8FA9_0008C7809E09_.wvu.PrintArea" localSheetId="17" hidden="1">#REF!</definedName>
    <definedName name="Z_179EFE2E_A1B1_11D3_8FA9_0008C7809E09_.wvu.PrintArea" localSheetId="30" hidden="1">#REF!</definedName>
    <definedName name="Z_179EFE2E_A1B1_11D3_8FA9_0008C7809E09_.wvu.PrintArea" localSheetId="31" hidden="1">#REF!</definedName>
    <definedName name="Z_179EFE2E_A1B1_11D3_8FA9_0008C7809E09_.wvu.PrintArea" localSheetId="7" hidden="1">#REF!</definedName>
    <definedName name="Z_179EFE2E_A1B1_11D3_8FA9_0008C7809E09_.wvu.PrintArea" localSheetId="12" hidden="1">#REF!</definedName>
    <definedName name="Z_179EFE2E_A1B1_11D3_8FA9_0008C7809E09_.wvu.PrintArea" localSheetId="9" hidden="1">#REF!</definedName>
    <definedName name="Z_179EFE2E_A1B1_11D3_8FA9_0008C7809E09_.wvu.PrintArea" hidden="1">#REF!</definedName>
    <definedName name="Z_179EFE2E_A1B1_11D3_8FA9_0008C7809E09_.wvu.PrintTitles" localSheetId="17" hidden="1">#REF!,#REF!</definedName>
    <definedName name="Z_179EFE2E_A1B1_11D3_8FA9_0008C7809E09_.wvu.PrintTitles" localSheetId="30" hidden="1">#REF!,#REF!</definedName>
    <definedName name="Z_179EFE2E_A1B1_11D3_8FA9_0008C7809E09_.wvu.PrintTitles" localSheetId="31" hidden="1">#REF!,#REF!</definedName>
    <definedName name="Z_179EFE2E_A1B1_11D3_8FA9_0008C7809E09_.wvu.PrintTitles" localSheetId="7" hidden="1">#REF!,#REF!</definedName>
    <definedName name="Z_179EFE2E_A1B1_11D3_8FA9_0008C7809E09_.wvu.PrintTitles" localSheetId="12" hidden="1">#REF!,#REF!</definedName>
    <definedName name="Z_179EFE2E_A1B1_11D3_8FA9_0008C7809E09_.wvu.PrintTitles" localSheetId="9" hidden="1">#REF!,#REF!</definedName>
    <definedName name="Z_179EFE2E_A1B1_11D3_8FA9_0008C7809E09_.wvu.PrintTitles" hidden="1">#REF!,#REF!</definedName>
    <definedName name="Z_179EFE2F_A1B1_11D3_8FA9_0008C7809E09_.wvu.PrintArea" localSheetId="17" hidden="1">#REF!</definedName>
    <definedName name="Z_179EFE2F_A1B1_11D3_8FA9_0008C7809E09_.wvu.PrintArea" localSheetId="30" hidden="1">#REF!</definedName>
    <definedName name="Z_179EFE2F_A1B1_11D3_8FA9_0008C7809E09_.wvu.PrintArea" localSheetId="31" hidden="1">#REF!</definedName>
    <definedName name="Z_179EFE2F_A1B1_11D3_8FA9_0008C7809E09_.wvu.PrintArea" localSheetId="7" hidden="1">#REF!</definedName>
    <definedName name="Z_179EFE2F_A1B1_11D3_8FA9_0008C7809E09_.wvu.PrintArea" localSheetId="12" hidden="1">#REF!</definedName>
    <definedName name="Z_179EFE2F_A1B1_11D3_8FA9_0008C7809E09_.wvu.PrintArea" localSheetId="9" hidden="1">#REF!</definedName>
    <definedName name="Z_179EFE2F_A1B1_11D3_8FA9_0008C7809E09_.wvu.PrintArea" hidden="1">#REF!</definedName>
    <definedName name="Z_179EFE2F_A1B1_11D3_8FA9_0008C7809E09_.wvu.PrintTitles" localSheetId="17" hidden="1">#REF!</definedName>
    <definedName name="Z_179EFE2F_A1B1_11D3_8FA9_0008C7809E09_.wvu.PrintTitles" localSheetId="31" hidden="1">#REF!</definedName>
    <definedName name="Z_179EFE2F_A1B1_11D3_8FA9_0008C7809E09_.wvu.PrintTitles" localSheetId="7" hidden="1">#REF!</definedName>
    <definedName name="Z_179EFE2F_A1B1_11D3_8FA9_0008C7809E09_.wvu.PrintTitles" localSheetId="9" hidden="1">#REF!</definedName>
    <definedName name="Z_179EFE2F_A1B1_11D3_8FA9_0008C7809E09_.wvu.PrintTitles" hidden="1">#REF!</definedName>
    <definedName name="Z_179EFE30_A1B1_11D3_8FA9_0008C7809E09_.wvu.PrintArea" localSheetId="17" hidden="1">#REF!</definedName>
    <definedName name="Z_179EFE30_A1B1_11D3_8FA9_0008C7809E09_.wvu.PrintArea" localSheetId="31" hidden="1">#REF!</definedName>
    <definedName name="Z_179EFE30_A1B1_11D3_8FA9_0008C7809E09_.wvu.PrintArea" localSheetId="7" hidden="1">#REF!</definedName>
    <definedName name="Z_179EFE30_A1B1_11D3_8FA9_0008C7809E09_.wvu.PrintArea" localSheetId="9" hidden="1">#REF!</definedName>
    <definedName name="Z_179EFE30_A1B1_11D3_8FA9_0008C7809E09_.wvu.PrintArea" hidden="1">#REF!</definedName>
    <definedName name="Z_179EFE30_A1B1_11D3_8FA9_0008C7809E09_.wvu.PrintTitles" localSheetId="31" hidden="1">#REF!</definedName>
    <definedName name="Z_179EFE30_A1B1_11D3_8FA9_0008C7809E09_.wvu.PrintTitles" localSheetId="7" hidden="1">#REF!</definedName>
    <definedName name="Z_179EFE30_A1B1_11D3_8FA9_0008C7809E09_.wvu.PrintTitles" hidden="1">#REF!</definedName>
    <definedName name="Z_179EFE31_A1B1_11D3_8FA9_0008C7809E09_.wvu.PrintArea" localSheetId="31" hidden="1">#REF!</definedName>
    <definedName name="Z_179EFE31_A1B1_11D3_8FA9_0008C7809E09_.wvu.PrintArea" localSheetId="7" hidden="1">#REF!</definedName>
    <definedName name="Z_179EFE31_A1B1_11D3_8FA9_0008C7809E09_.wvu.PrintArea" hidden="1">#REF!</definedName>
    <definedName name="Z_179EFE31_A1B1_11D3_8FA9_0008C7809E09_.wvu.PrintTitles" localSheetId="31" hidden="1">#REF!</definedName>
    <definedName name="Z_179EFE31_A1B1_11D3_8FA9_0008C7809E09_.wvu.PrintTitles" localSheetId="7" hidden="1">#REF!</definedName>
    <definedName name="Z_179EFE31_A1B1_11D3_8FA9_0008C7809E09_.wvu.PrintTitles" hidden="1">#REF!</definedName>
    <definedName name="Z_179EFE32_A1B1_11D3_8FA9_0008C7809E09_.wvu.PrintArea" localSheetId="31" hidden="1">#REF!</definedName>
    <definedName name="Z_179EFE32_A1B1_11D3_8FA9_0008C7809E09_.wvu.PrintArea" localSheetId="7" hidden="1">#REF!</definedName>
    <definedName name="Z_179EFE32_A1B1_11D3_8FA9_0008C7809E09_.wvu.PrintArea" hidden="1">#REF!</definedName>
    <definedName name="Z_179EFE32_A1B1_11D3_8FA9_0008C7809E09_.wvu.PrintTitles" localSheetId="31" hidden="1">#REF!</definedName>
    <definedName name="Z_179EFE32_A1B1_11D3_8FA9_0008C7809E09_.wvu.PrintTitles" localSheetId="7" hidden="1">#REF!</definedName>
    <definedName name="Z_179EFE32_A1B1_11D3_8FA9_0008C7809E09_.wvu.PrintTitles" hidden="1">#REF!</definedName>
    <definedName name="Z_179EFE33_A1B1_11D3_8FA9_0008C7809E09_.wvu.PrintArea" localSheetId="31" hidden="1">#REF!</definedName>
    <definedName name="Z_179EFE33_A1B1_11D3_8FA9_0008C7809E09_.wvu.PrintArea" localSheetId="7" hidden="1">#REF!</definedName>
    <definedName name="Z_179EFE33_A1B1_11D3_8FA9_0008C7809E09_.wvu.PrintArea" hidden="1">#REF!</definedName>
    <definedName name="Z_179EFE33_A1B1_11D3_8FA9_0008C7809E09_.wvu.PrintTitles" localSheetId="31" hidden="1">#REF!</definedName>
    <definedName name="Z_179EFE33_A1B1_11D3_8FA9_0008C7809E09_.wvu.PrintTitles" localSheetId="7" hidden="1">#REF!</definedName>
    <definedName name="Z_179EFE33_A1B1_11D3_8FA9_0008C7809E09_.wvu.PrintTitles" hidden="1">#REF!</definedName>
    <definedName name="Z_179EFE34_A1B1_11D3_8FA9_0008C7809E09_.wvu.PrintArea" localSheetId="31" hidden="1">#REF!</definedName>
    <definedName name="Z_179EFE34_A1B1_11D3_8FA9_0008C7809E09_.wvu.PrintArea" localSheetId="7" hidden="1">#REF!</definedName>
    <definedName name="Z_179EFE34_A1B1_11D3_8FA9_0008C7809E09_.wvu.PrintArea" hidden="1">#REF!</definedName>
    <definedName name="Z_179EFE34_A1B1_11D3_8FA9_0008C7809E09_.wvu.PrintTitles" localSheetId="31" hidden="1">#REF!</definedName>
    <definedName name="Z_179EFE34_A1B1_11D3_8FA9_0008C7809E09_.wvu.PrintTitles" localSheetId="7" hidden="1">#REF!</definedName>
    <definedName name="Z_179EFE34_A1B1_11D3_8FA9_0008C7809E09_.wvu.PrintTitles" hidden="1">#REF!</definedName>
    <definedName name="Z_179EFE35_A1B1_11D3_8FA9_0008C7809E09_.wvu.PrintArea" localSheetId="31" hidden="1">#REF!</definedName>
    <definedName name="Z_179EFE35_A1B1_11D3_8FA9_0008C7809E09_.wvu.PrintArea" localSheetId="7" hidden="1">#REF!</definedName>
    <definedName name="Z_179EFE35_A1B1_11D3_8FA9_0008C7809E09_.wvu.PrintArea" hidden="1">#REF!</definedName>
    <definedName name="Z_179EFE35_A1B1_11D3_8FA9_0008C7809E09_.wvu.PrintTitles" localSheetId="31" hidden="1">#REF!</definedName>
    <definedName name="Z_179EFE35_A1B1_11D3_8FA9_0008C7809E09_.wvu.PrintTitles" localSheetId="7" hidden="1">#REF!</definedName>
    <definedName name="Z_179EFE35_A1B1_11D3_8FA9_0008C7809E09_.wvu.PrintTitles" hidden="1">#REF!</definedName>
    <definedName name="Z_179EFE36_A1B1_11D3_8FA9_0008C7809E09_.wvu.PrintArea" localSheetId="31" hidden="1">#REF!</definedName>
    <definedName name="Z_179EFE36_A1B1_11D3_8FA9_0008C7809E09_.wvu.PrintArea" localSheetId="7" hidden="1">#REF!</definedName>
    <definedName name="Z_179EFE36_A1B1_11D3_8FA9_0008C7809E09_.wvu.PrintArea" hidden="1">#REF!</definedName>
    <definedName name="Z_179EFE36_A1B1_11D3_8FA9_0008C7809E09_.wvu.PrintTitles" localSheetId="31" hidden="1">#REF!</definedName>
    <definedName name="Z_179EFE36_A1B1_11D3_8FA9_0008C7809E09_.wvu.PrintTitles" localSheetId="7" hidden="1">#REF!</definedName>
    <definedName name="Z_179EFE36_A1B1_11D3_8FA9_0008C7809E09_.wvu.PrintTitles" hidden="1">#REF!</definedName>
    <definedName name="Z_179EFE37_A1B1_11D3_8FA9_0008C7809E09_.wvu.PrintArea" localSheetId="31" hidden="1">#REF!</definedName>
    <definedName name="Z_179EFE37_A1B1_11D3_8FA9_0008C7809E09_.wvu.PrintArea" localSheetId="7" hidden="1">#REF!</definedName>
    <definedName name="Z_179EFE37_A1B1_11D3_8FA9_0008C7809E09_.wvu.PrintArea" hidden="1">#REF!</definedName>
    <definedName name="Z_179EFE37_A1B1_11D3_8FA9_0008C7809E09_.wvu.PrintTitles" localSheetId="31" hidden="1">#REF!</definedName>
    <definedName name="Z_179EFE37_A1B1_11D3_8FA9_0008C7809E09_.wvu.PrintTitles" localSheetId="7" hidden="1">#REF!</definedName>
    <definedName name="Z_179EFE37_A1B1_11D3_8FA9_0008C7809E09_.wvu.PrintTitles" hidden="1">#REF!</definedName>
    <definedName name="Z_179EFE38_A1B1_11D3_8FA9_0008C7809E09_.wvu.PrintArea" localSheetId="31" hidden="1">#REF!</definedName>
    <definedName name="Z_179EFE38_A1B1_11D3_8FA9_0008C7809E09_.wvu.PrintArea" localSheetId="7" hidden="1">#REF!</definedName>
    <definedName name="Z_179EFE38_A1B1_11D3_8FA9_0008C7809E09_.wvu.PrintArea" hidden="1">#REF!</definedName>
    <definedName name="Z_179EFE38_A1B1_11D3_8FA9_0008C7809E09_.wvu.PrintTitles" localSheetId="31" hidden="1">#REF!</definedName>
    <definedName name="Z_179EFE38_A1B1_11D3_8FA9_0008C7809E09_.wvu.PrintTitles" localSheetId="7" hidden="1">#REF!</definedName>
    <definedName name="Z_179EFE38_A1B1_11D3_8FA9_0008C7809E09_.wvu.PrintTitles" hidden="1">#REF!</definedName>
    <definedName name="Z_179EFE39_A1B1_11D3_8FA9_0008C7809E09_.wvu.PrintArea" localSheetId="31" hidden="1">#REF!</definedName>
    <definedName name="Z_179EFE39_A1B1_11D3_8FA9_0008C7809E09_.wvu.PrintArea" localSheetId="7" hidden="1">#REF!</definedName>
    <definedName name="Z_179EFE39_A1B1_11D3_8FA9_0008C7809E09_.wvu.PrintArea" hidden="1">#REF!</definedName>
    <definedName name="Z_179EFE39_A1B1_11D3_8FA9_0008C7809E09_.wvu.PrintTitles" localSheetId="31" hidden="1">#REF!</definedName>
    <definedName name="Z_179EFE39_A1B1_11D3_8FA9_0008C7809E09_.wvu.PrintTitles" localSheetId="7" hidden="1">#REF!</definedName>
    <definedName name="Z_179EFE39_A1B1_11D3_8FA9_0008C7809E09_.wvu.PrintTitles" hidden="1">#REF!</definedName>
    <definedName name="Z_179EFE3A_A1B1_11D3_8FA9_0008C7809E09_.wvu.PrintArea" localSheetId="31" hidden="1">#REF!</definedName>
    <definedName name="Z_179EFE3A_A1B1_11D3_8FA9_0008C7809E09_.wvu.PrintArea" localSheetId="7" hidden="1">#REF!</definedName>
    <definedName name="Z_179EFE3A_A1B1_11D3_8FA9_0008C7809E09_.wvu.PrintArea" hidden="1">#REF!</definedName>
    <definedName name="Z_179EFE3A_A1B1_11D3_8FA9_0008C7809E09_.wvu.PrintTitles" localSheetId="31" hidden="1">#REF!</definedName>
    <definedName name="Z_179EFE3A_A1B1_11D3_8FA9_0008C7809E09_.wvu.PrintTitles" localSheetId="7" hidden="1">#REF!</definedName>
    <definedName name="Z_179EFE3A_A1B1_11D3_8FA9_0008C7809E09_.wvu.PrintTitles" hidden="1">#REF!</definedName>
    <definedName name="Z_179EFE3B_A1B1_11D3_8FA9_0008C7809E09_.wvu.PrintArea" localSheetId="31" hidden="1">#REF!</definedName>
    <definedName name="Z_179EFE3B_A1B1_11D3_8FA9_0008C7809E09_.wvu.PrintArea" localSheetId="7" hidden="1">#REF!</definedName>
    <definedName name="Z_179EFE3B_A1B1_11D3_8FA9_0008C7809E09_.wvu.PrintArea" hidden="1">#REF!</definedName>
    <definedName name="Z_179EFE3B_A1B1_11D3_8FA9_0008C7809E09_.wvu.PrintTitles" localSheetId="31" hidden="1">#REF!</definedName>
    <definedName name="Z_179EFE3B_A1B1_11D3_8FA9_0008C7809E09_.wvu.PrintTitles" localSheetId="7" hidden="1">#REF!</definedName>
    <definedName name="Z_179EFE3B_A1B1_11D3_8FA9_0008C7809E09_.wvu.PrintTitles" hidden="1">#REF!</definedName>
    <definedName name="Z_179EFE3C_A1B1_11D3_8FA9_0008C7809E09_.wvu.PrintArea" localSheetId="31" hidden="1">#REF!</definedName>
    <definedName name="Z_179EFE3C_A1B1_11D3_8FA9_0008C7809E09_.wvu.PrintArea" localSheetId="7" hidden="1">#REF!</definedName>
    <definedName name="Z_179EFE3C_A1B1_11D3_8FA9_0008C7809E09_.wvu.PrintArea" hidden="1">#REF!</definedName>
    <definedName name="Z_179EFE3C_A1B1_11D3_8FA9_0008C7809E09_.wvu.PrintTitles" localSheetId="17" hidden="1">#REF!,#REF!</definedName>
    <definedName name="Z_179EFE3C_A1B1_11D3_8FA9_0008C7809E09_.wvu.PrintTitles" localSheetId="30" hidden="1">#REF!,#REF!</definedName>
    <definedName name="Z_179EFE3C_A1B1_11D3_8FA9_0008C7809E09_.wvu.PrintTitles" localSheetId="31" hidden="1">#REF!,#REF!</definedName>
    <definedName name="Z_179EFE3C_A1B1_11D3_8FA9_0008C7809E09_.wvu.PrintTitles" localSheetId="7" hidden="1">#REF!,#REF!</definedName>
    <definedName name="Z_179EFE3C_A1B1_11D3_8FA9_0008C7809E09_.wvu.PrintTitles" localSheetId="12" hidden="1">#REF!,#REF!</definedName>
    <definedName name="Z_179EFE3C_A1B1_11D3_8FA9_0008C7809E09_.wvu.PrintTitles" localSheetId="9" hidden="1">#REF!,#REF!</definedName>
    <definedName name="Z_179EFE3C_A1B1_11D3_8FA9_0008C7809E09_.wvu.PrintTitles" hidden="1">#REF!,#REF!</definedName>
    <definedName name="Z_179EFE3D_A1B1_11D3_8FA9_0008C7809E09_.wvu.PrintArea" localSheetId="17" hidden="1">#REF!</definedName>
    <definedName name="Z_179EFE3D_A1B1_11D3_8FA9_0008C7809E09_.wvu.PrintArea" localSheetId="30" hidden="1">#REF!</definedName>
    <definedName name="Z_179EFE3D_A1B1_11D3_8FA9_0008C7809E09_.wvu.PrintArea" localSheetId="31" hidden="1">#REF!</definedName>
    <definedName name="Z_179EFE3D_A1B1_11D3_8FA9_0008C7809E09_.wvu.PrintArea" localSheetId="7" hidden="1">#REF!</definedName>
    <definedName name="Z_179EFE3D_A1B1_11D3_8FA9_0008C7809E09_.wvu.PrintArea" localSheetId="12" hidden="1">#REF!</definedName>
    <definedName name="Z_179EFE3D_A1B1_11D3_8FA9_0008C7809E09_.wvu.PrintArea" localSheetId="9" hidden="1">#REF!</definedName>
    <definedName name="Z_179EFE3D_A1B1_11D3_8FA9_0008C7809E09_.wvu.PrintArea" hidden="1">#REF!</definedName>
    <definedName name="Z_179EFE3D_A1B1_11D3_8FA9_0008C7809E09_.wvu.PrintTitles" localSheetId="17" hidden="1">#REF!,#REF!</definedName>
    <definedName name="Z_179EFE3D_A1B1_11D3_8FA9_0008C7809E09_.wvu.PrintTitles" localSheetId="30" hidden="1">#REF!,#REF!</definedName>
    <definedName name="Z_179EFE3D_A1B1_11D3_8FA9_0008C7809E09_.wvu.PrintTitles" localSheetId="31" hidden="1">#REF!,#REF!</definedName>
    <definedName name="Z_179EFE3D_A1B1_11D3_8FA9_0008C7809E09_.wvu.PrintTitles" localSheetId="7" hidden="1">#REF!,#REF!</definedName>
    <definedName name="Z_179EFE3D_A1B1_11D3_8FA9_0008C7809E09_.wvu.PrintTitles" localSheetId="12" hidden="1">#REF!,#REF!</definedName>
    <definedName name="Z_179EFE3D_A1B1_11D3_8FA9_0008C7809E09_.wvu.PrintTitles" localSheetId="9" hidden="1">#REF!,#REF!</definedName>
    <definedName name="Z_179EFE3D_A1B1_11D3_8FA9_0008C7809E09_.wvu.PrintTitles" hidden="1">#REF!,#REF!</definedName>
    <definedName name="Z_179EFE3E_A1B1_11D3_8FA9_0008C7809E09_.wvu.PrintArea" localSheetId="17" hidden="1">#REF!</definedName>
    <definedName name="Z_179EFE3E_A1B1_11D3_8FA9_0008C7809E09_.wvu.PrintArea" localSheetId="30" hidden="1">#REF!</definedName>
    <definedName name="Z_179EFE3E_A1B1_11D3_8FA9_0008C7809E09_.wvu.PrintArea" localSheetId="31" hidden="1">#REF!</definedName>
    <definedName name="Z_179EFE3E_A1B1_11D3_8FA9_0008C7809E09_.wvu.PrintArea" localSheetId="7" hidden="1">#REF!</definedName>
    <definedName name="Z_179EFE3E_A1B1_11D3_8FA9_0008C7809E09_.wvu.PrintArea" localSheetId="12" hidden="1">#REF!</definedName>
    <definedName name="Z_179EFE3E_A1B1_11D3_8FA9_0008C7809E09_.wvu.PrintArea" localSheetId="9" hidden="1">#REF!</definedName>
    <definedName name="Z_179EFE3E_A1B1_11D3_8FA9_0008C7809E09_.wvu.PrintArea" hidden="1">#REF!</definedName>
    <definedName name="Z_179EFE3E_A1B1_11D3_8FA9_0008C7809E09_.wvu.PrintTitles" localSheetId="17" hidden="1">#REF!,#REF!</definedName>
    <definedName name="Z_179EFE3E_A1B1_11D3_8FA9_0008C7809E09_.wvu.PrintTitles" localSheetId="30" hidden="1">#REF!,#REF!</definedName>
    <definedName name="Z_179EFE3E_A1B1_11D3_8FA9_0008C7809E09_.wvu.PrintTitles" localSheetId="31" hidden="1">#REF!,#REF!</definedName>
    <definedName name="Z_179EFE3E_A1B1_11D3_8FA9_0008C7809E09_.wvu.PrintTitles" localSheetId="7" hidden="1">#REF!,#REF!</definedName>
    <definedName name="Z_179EFE3E_A1B1_11D3_8FA9_0008C7809E09_.wvu.PrintTitles" localSheetId="12" hidden="1">#REF!,#REF!</definedName>
    <definedName name="Z_179EFE3E_A1B1_11D3_8FA9_0008C7809E09_.wvu.PrintTitles" localSheetId="9" hidden="1">#REF!,#REF!</definedName>
    <definedName name="Z_179EFE3E_A1B1_11D3_8FA9_0008C7809E09_.wvu.PrintTitles" hidden="1">#REF!,#REF!</definedName>
    <definedName name="Z_179EFE3F_A1B1_11D3_8FA9_0008C7809E09_.wvu.PrintArea" localSheetId="17" hidden="1">#REF!</definedName>
    <definedName name="Z_179EFE3F_A1B1_11D3_8FA9_0008C7809E09_.wvu.PrintArea" localSheetId="30" hidden="1">#REF!</definedName>
    <definedName name="Z_179EFE3F_A1B1_11D3_8FA9_0008C7809E09_.wvu.PrintArea" localSheetId="31" hidden="1">#REF!</definedName>
    <definedName name="Z_179EFE3F_A1B1_11D3_8FA9_0008C7809E09_.wvu.PrintArea" localSheetId="7" hidden="1">#REF!</definedName>
    <definedName name="Z_179EFE3F_A1B1_11D3_8FA9_0008C7809E09_.wvu.PrintArea" localSheetId="12" hidden="1">#REF!</definedName>
    <definedName name="Z_179EFE3F_A1B1_11D3_8FA9_0008C7809E09_.wvu.PrintArea" localSheetId="9" hidden="1">#REF!</definedName>
    <definedName name="Z_179EFE3F_A1B1_11D3_8FA9_0008C7809E09_.wvu.PrintArea" hidden="1">#REF!</definedName>
    <definedName name="Z_179EFE3F_A1B1_11D3_8FA9_0008C7809E09_.wvu.PrintTitles" localSheetId="17" hidden="1">#REF!,#REF!</definedName>
    <definedName name="Z_179EFE3F_A1B1_11D3_8FA9_0008C7809E09_.wvu.PrintTitles" localSheetId="30" hidden="1">#REF!,#REF!</definedName>
    <definedName name="Z_179EFE3F_A1B1_11D3_8FA9_0008C7809E09_.wvu.PrintTitles" localSheetId="31" hidden="1">#REF!,#REF!</definedName>
    <definedName name="Z_179EFE3F_A1B1_11D3_8FA9_0008C7809E09_.wvu.PrintTitles" localSheetId="7" hidden="1">#REF!,#REF!</definedName>
    <definedName name="Z_179EFE3F_A1B1_11D3_8FA9_0008C7809E09_.wvu.PrintTitles" localSheetId="12" hidden="1">#REF!,#REF!</definedName>
    <definedName name="Z_179EFE3F_A1B1_11D3_8FA9_0008C7809E09_.wvu.PrintTitles" localSheetId="9" hidden="1">#REF!,#REF!</definedName>
    <definedName name="Z_179EFE3F_A1B1_11D3_8FA9_0008C7809E09_.wvu.PrintTitles" hidden="1">#REF!,#REF!</definedName>
    <definedName name="Z_179EFE40_A1B1_11D3_8FA9_0008C7809E09_.wvu.PrintArea" localSheetId="17" hidden="1">#REF!</definedName>
    <definedName name="Z_179EFE40_A1B1_11D3_8FA9_0008C7809E09_.wvu.PrintArea" localSheetId="30" hidden="1">#REF!</definedName>
    <definedName name="Z_179EFE40_A1B1_11D3_8FA9_0008C7809E09_.wvu.PrintArea" localSheetId="31" hidden="1">#REF!</definedName>
    <definedName name="Z_179EFE40_A1B1_11D3_8FA9_0008C7809E09_.wvu.PrintArea" localSheetId="7" hidden="1">#REF!</definedName>
    <definedName name="Z_179EFE40_A1B1_11D3_8FA9_0008C7809E09_.wvu.PrintArea" localSheetId="12" hidden="1">#REF!</definedName>
    <definedName name="Z_179EFE40_A1B1_11D3_8FA9_0008C7809E09_.wvu.PrintArea" localSheetId="9" hidden="1">#REF!</definedName>
    <definedName name="Z_179EFE40_A1B1_11D3_8FA9_0008C7809E09_.wvu.PrintArea" hidden="1">#REF!</definedName>
    <definedName name="Z_179EFE40_A1B1_11D3_8FA9_0008C7809E09_.wvu.PrintTitles" localSheetId="17" hidden="1">#REF!,#REF!</definedName>
    <definedName name="Z_179EFE40_A1B1_11D3_8FA9_0008C7809E09_.wvu.PrintTitles" localSheetId="30" hidden="1">#REF!,#REF!</definedName>
    <definedName name="Z_179EFE40_A1B1_11D3_8FA9_0008C7809E09_.wvu.PrintTitles" localSheetId="31" hidden="1">#REF!,#REF!</definedName>
    <definedName name="Z_179EFE40_A1B1_11D3_8FA9_0008C7809E09_.wvu.PrintTitles" localSheetId="7" hidden="1">#REF!,#REF!</definedName>
    <definedName name="Z_179EFE40_A1B1_11D3_8FA9_0008C7809E09_.wvu.PrintTitles" localSheetId="12" hidden="1">#REF!,#REF!</definedName>
    <definedName name="Z_179EFE40_A1B1_11D3_8FA9_0008C7809E09_.wvu.PrintTitles" localSheetId="9" hidden="1">#REF!,#REF!</definedName>
    <definedName name="Z_179EFE40_A1B1_11D3_8FA9_0008C7809E09_.wvu.PrintTitles" hidden="1">#REF!,#REF!</definedName>
    <definedName name="Z_179EFE41_A1B1_11D3_8FA9_0008C7809E09_.wvu.PrintArea" localSheetId="17" hidden="1">#REF!</definedName>
    <definedName name="Z_179EFE41_A1B1_11D3_8FA9_0008C7809E09_.wvu.PrintArea" localSheetId="30" hidden="1">#REF!</definedName>
    <definedName name="Z_179EFE41_A1B1_11D3_8FA9_0008C7809E09_.wvu.PrintArea" localSheetId="31" hidden="1">#REF!</definedName>
    <definedName name="Z_179EFE41_A1B1_11D3_8FA9_0008C7809E09_.wvu.PrintArea" localSheetId="7" hidden="1">#REF!</definedName>
    <definedName name="Z_179EFE41_A1B1_11D3_8FA9_0008C7809E09_.wvu.PrintArea" localSheetId="12" hidden="1">#REF!</definedName>
    <definedName name="Z_179EFE41_A1B1_11D3_8FA9_0008C7809E09_.wvu.PrintArea" localSheetId="9" hidden="1">#REF!</definedName>
    <definedName name="Z_179EFE41_A1B1_11D3_8FA9_0008C7809E09_.wvu.PrintArea" hidden="1">#REF!</definedName>
    <definedName name="Z_179EFE41_A1B1_11D3_8FA9_0008C7809E09_.wvu.PrintTitles" localSheetId="17" hidden="1">#REF!,#REF!</definedName>
    <definedName name="Z_179EFE41_A1B1_11D3_8FA9_0008C7809E09_.wvu.PrintTitles" localSheetId="30" hidden="1">#REF!,#REF!</definedName>
    <definedName name="Z_179EFE41_A1B1_11D3_8FA9_0008C7809E09_.wvu.PrintTitles" localSheetId="31" hidden="1">#REF!,#REF!</definedName>
    <definedName name="Z_179EFE41_A1B1_11D3_8FA9_0008C7809E09_.wvu.PrintTitles" localSheetId="7" hidden="1">#REF!,#REF!</definedName>
    <definedName name="Z_179EFE41_A1B1_11D3_8FA9_0008C7809E09_.wvu.PrintTitles" localSheetId="12" hidden="1">#REF!,#REF!</definedName>
    <definedName name="Z_179EFE41_A1B1_11D3_8FA9_0008C7809E09_.wvu.PrintTitles" localSheetId="9" hidden="1">#REF!,#REF!</definedName>
    <definedName name="Z_179EFE41_A1B1_11D3_8FA9_0008C7809E09_.wvu.PrintTitles" hidden="1">#REF!,#REF!</definedName>
    <definedName name="Z_179EFE42_A1B1_11D3_8FA9_0008C7809E09_.wvu.PrintArea" localSheetId="17" hidden="1">#REF!</definedName>
    <definedName name="Z_179EFE42_A1B1_11D3_8FA9_0008C7809E09_.wvu.PrintArea" localSheetId="30" hidden="1">#REF!</definedName>
    <definedName name="Z_179EFE42_A1B1_11D3_8FA9_0008C7809E09_.wvu.PrintArea" localSheetId="31" hidden="1">#REF!</definedName>
    <definedName name="Z_179EFE42_A1B1_11D3_8FA9_0008C7809E09_.wvu.PrintArea" localSheetId="7" hidden="1">#REF!</definedName>
    <definedName name="Z_179EFE42_A1B1_11D3_8FA9_0008C7809E09_.wvu.PrintArea" localSheetId="12" hidden="1">#REF!</definedName>
    <definedName name="Z_179EFE42_A1B1_11D3_8FA9_0008C7809E09_.wvu.PrintArea" localSheetId="9" hidden="1">#REF!</definedName>
    <definedName name="Z_179EFE42_A1B1_11D3_8FA9_0008C7809E09_.wvu.PrintArea" hidden="1">#REF!</definedName>
    <definedName name="Z_179EFE42_A1B1_11D3_8FA9_0008C7809E09_.wvu.PrintTitles" localSheetId="17" hidden="1">#REF!,#REF!</definedName>
    <definedName name="Z_179EFE42_A1B1_11D3_8FA9_0008C7809E09_.wvu.PrintTitles" localSheetId="30" hidden="1">#REF!,#REF!</definedName>
    <definedName name="Z_179EFE42_A1B1_11D3_8FA9_0008C7809E09_.wvu.PrintTitles" localSheetId="31" hidden="1">#REF!,#REF!</definedName>
    <definedName name="Z_179EFE42_A1B1_11D3_8FA9_0008C7809E09_.wvu.PrintTitles" localSheetId="7" hidden="1">#REF!,#REF!</definedName>
    <definedName name="Z_179EFE42_A1B1_11D3_8FA9_0008C7809E09_.wvu.PrintTitles" localSheetId="12" hidden="1">#REF!,#REF!</definedName>
    <definedName name="Z_179EFE42_A1B1_11D3_8FA9_0008C7809E09_.wvu.PrintTitles" localSheetId="9" hidden="1">#REF!,#REF!</definedName>
    <definedName name="Z_179EFE42_A1B1_11D3_8FA9_0008C7809E09_.wvu.PrintTitles" hidden="1">#REF!,#REF!</definedName>
    <definedName name="Z_179EFE43_A1B1_11D3_8FA9_0008C7809E09_.wvu.PrintArea" localSheetId="17" hidden="1">#REF!</definedName>
    <definedName name="Z_179EFE43_A1B1_11D3_8FA9_0008C7809E09_.wvu.PrintArea" localSheetId="30" hidden="1">#REF!</definedName>
    <definedName name="Z_179EFE43_A1B1_11D3_8FA9_0008C7809E09_.wvu.PrintArea" localSheetId="31" hidden="1">#REF!</definedName>
    <definedName name="Z_179EFE43_A1B1_11D3_8FA9_0008C7809E09_.wvu.PrintArea" localSheetId="7" hidden="1">#REF!</definedName>
    <definedName name="Z_179EFE43_A1B1_11D3_8FA9_0008C7809E09_.wvu.PrintArea" localSheetId="12" hidden="1">#REF!</definedName>
    <definedName name="Z_179EFE43_A1B1_11D3_8FA9_0008C7809E09_.wvu.PrintArea" localSheetId="9" hidden="1">#REF!</definedName>
    <definedName name="Z_179EFE43_A1B1_11D3_8FA9_0008C7809E09_.wvu.PrintArea" hidden="1">#REF!</definedName>
    <definedName name="Z_179EFE43_A1B1_11D3_8FA9_0008C7809E09_.wvu.PrintTitles" localSheetId="17" hidden="1">#REF!,#REF!</definedName>
    <definedName name="Z_179EFE43_A1B1_11D3_8FA9_0008C7809E09_.wvu.PrintTitles" localSheetId="30" hidden="1">#REF!,#REF!</definedName>
    <definedName name="Z_179EFE43_A1B1_11D3_8FA9_0008C7809E09_.wvu.PrintTitles" localSheetId="31" hidden="1">#REF!,#REF!</definedName>
    <definedName name="Z_179EFE43_A1B1_11D3_8FA9_0008C7809E09_.wvu.PrintTitles" localSheetId="7" hidden="1">#REF!,#REF!</definedName>
    <definedName name="Z_179EFE43_A1B1_11D3_8FA9_0008C7809E09_.wvu.PrintTitles" localSheetId="12" hidden="1">#REF!,#REF!</definedName>
    <definedName name="Z_179EFE43_A1B1_11D3_8FA9_0008C7809E09_.wvu.PrintTitles" localSheetId="9" hidden="1">#REF!,#REF!</definedName>
    <definedName name="Z_179EFE43_A1B1_11D3_8FA9_0008C7809E09_.wvu.PrintTitles" hidden="1">#REF!,#REF!</definedName>
    <definedName name="Z_179EFE44_A1B1_11D3_8FA9_0008C7809E09_.wvu.PrintArea" localSheetId="17" hidden="1">#REF!</definedName>
    <definedName name="Z_179EFE44_A1B1_11D3_8FA9_0008C7809E09_.wvu.PrintArea" localSheetId="30" hidden="1">#REF!</definedName>
    <definedName name="Z_179EFE44_A1B1_11D3_8FA9_0008C7809E09_.wvu.PrintArea" localSheetId="31" hidden="1">#REF!</definedName>
    <definedName name="Z_179EFE44_A1B1_11D3_8FA9_0008C7809E09_.wvu.PrintArea" localSheetId="7" hidden="1">#REF!</definedName>
    <definedName name="Z_179EFE44_A1B1_11D3_8FA9_0008C7809E09_.wvu.PrintArea" localSheetId="12" hidden="1">#REF!</definedName>
    <definedName name="Z_179EFE44_A1B1_11D3_8FA9_0008C7809E09_.wvu.PrintArea" localSheetId="9" hidden="1">#REF!</definedName>
    <definedName name="Z_179EFE44_A1B1_11D3_8FA9_0008C7809E09_.wvu.PrintArea" hidden="1">#REF!</definedName>
    <definedName name="Z_179EFE44_A1B1_11D3_8FA9_0008C7809E09_.wvu.PrintTitles" localSheetId="17" hidden="1">#REF!,#REF!</definedName>
    <definedName name="Z_179EFE44_A1B1_11D3_8FA9_0008C7809E09_.wvu.PrintTitles" localSheetId="30" hidden="1">#REF!,#REF!</definedName>
    <definedName name="Z_179EFE44_A1B1_11D3_8FA9_0008C7809E09_.wvu.PrintTitles" localSheetId="31" hidden="1">#REF!,#REF!</definedName>
    <definedName name="Z_179EFE44_A1B1_11D3_8FA9_0008C7809E09_.wvu.PrintTitles" localSheetId="7" hidden="1">#REF!,#REF!</definedName>
    <definedName name="Z_179EFE44_A1B1_11D3_8FA9_0008C7809E09_.wvu.PrintTitles" localSheetId="12" hidden="1">#REF!,#REF!</definedName>
    <definedName name="Z_179EFE44_A1B1_11D3_8FA9_0008C7809E09_.wvu.PrintTitles" localSheetId="9" hidden="1">#REF!,#REF!</definedName>
    <definedName name="Z_179EFE44_A1B1_11D3_8FA9_0008C7809E09_.wvu.PrintTitles" hidden="1">#REF!,#REF!</definedName>
    <definedName name="Z_179EFE45_A1B1_11D3_8FA9_0008C7809E09_.wvu.PrintArea" localSheetId="17" hidden="1">#REF!</definedName>
    <definedName name="Z_179EFE45_A1B1_11D3_8FA9_0008C7809E09_.wvu.PrintArea" localSheetId="30" hidden="1">#REF!</definedName>
    <definedName name="Z_179EFE45_A1B1_11D3_8FA9_0008C7809E09_.wvu.PrintArea" localSheetId="31" hidden="1">#REF!</definedName>
    <definedName name="Z_179EFE45_A1B1_11D3_8FA9_0008C7809E09_.wvu.PrintArea" localSheetId="7" hidden="1">#REF!</definedName>
    <definedName name="Z_179EFE45_A1B1_11D3_8FA9_0008C7809E09_.wvu.PrintArea" localSheetId="12" hidden="1">#REF!</definedName>
    <definedName name="Z_179EFE45_A1B1_11D3_8FA9_0008C7809E09_.wvu.PrintArea" localSheetId="9" hidden="1">#REF!</definedName>
    <definedName name="Z_179EFE45_A1B1_11D3_8FA9_0008C7809E09_.wvu.PrintArea" hidden="1">#REF!</definedName>
    <definedName name="Z_179EFE45_A1B1_11D3_8FA9_0008C7809E09_.wvu.PrintTitles" localSheetId="17" hidden="1">#REF!,#REF!</definedName>
    <definedName name="Z_179EFE45_A1B1_11D3_8FA9_0008C7809E09_.wvu.PrintTitles" localSheetId="30" hidden="1">#REF!,#REF!</definedName>
    <definedName name="Z_179EFE45_A1B1_11D3_8FA9_0008C7809E09_.wvu.PrintTitles" localSheetId="31" hidden="1">#REF!,#REF!</definedName>
    <definedName name="Z_179EFE45_A1B1_11D3_8FA9_0008C7809E09_.wvu.PrintTitles" localSheetId="7" hidden="1">#REF!,#REF!</definedName>
    <definedName name="Z_179EFE45_A1B1_11D3_8FA9_0008C7809E09_.wvu.PrintTitles" localSheetId="12" hidden="1">#REF!,#REF!</definedName>
    <definedName name="Z_179EFE45_A1B1_11D3_8FA9_0008C7809E09_.wvu.PrintTitles" localSheetId="9" hidden="1">#REF!,#REF!</definedName>
    <definedName name="Z_179EFE45_A1B1_11D3_8FA9_0008C7809E09_.wvu.PrintTitles" hidden="1">#REF!,#REF!</definedName>
    <definedName name="Z_179EFE46_A1B1_11D3_8FA9_0008C7809E09_.wvu.PrintArea" localSheetId="17" hidden="1">#REF!</definedName>
    <definedName name="Z_179EFE46_A1B1_11D3_8FA9_0008C7809E09_.wvu.PrintArea" localSheetId="30" hidden="1">#REF!</definedName>
    <definedName name="Z_179EFE46_A1B1_11D3_8FA9_0008C7809E09_.wvu.PrintArea" localSheetId="31" hidden="1">#REF!</definedName>
    <definedName name="Z_179EFE46_A1B1_11D3_8FA9_0008C7809E09_.wvu.PrintArea" localSheetId="7" hidden="1">#REF!</definedName>
    <definedName name="Z_179EFE46_A1B1_11D3_8FA9_0008C7809E09_.wvu.PrintArea" localSheetId="12" hidden="1">#REF!</definedName>
    <definedName name="Z_179EFE46_A1B1_11D3_8FA9_0008C7809E09_.wvu.PrintArea" localSheetId="9" hidden="1">#REF!</definedName>
    <definedName name="Z_179EFE46_A1B1_11D3_8FA9_0008C7809E09_.wvu.PrintArea" hidden="1">#REF!</definedName>
    <definedName name="Z_179EFE46_A1B1_11D3_8FA9_0008C7809E09_.wvu.PrintTitles" localSheetId="17" hidden="1">#REF!,#REF!</definedName>
    <definedName name="Z_179EFE46_A1B1_11D3_8FA9_0008C7809E09_.wvu.PrintTitles" localSheetId="30" hidden="1">#REF!,#REF!</definedName>
    <definedName name="Z_179EFE46_A1B1_11D3_8FA9_0008C7809E09_.wvu.PrintTitles" localSheetId="31" hidden="1">#REF!,#REF!</definedName>
    <definedName name="Z_179EFE46_A1B1_11D3_8FA9_0008C7809E09_.wvu.PrintTitles" localSheetId="7" hidden="1">#REF!,#REF!</definedName>
    <definedName name="Z_179EFE46_A1B1_11D3_8FA9_0008C7809E09_.wvu.PrintTitles" localSheetId="12" hidden="1">#REF!,#REF!</definedName>
    <definedName name="Z_179EFE46_A1B1_11D3_8FA9_0008C7809E09_.wvu.PrintTitles" localSheetId="9" hidden="1">#REF!,#REF!</definedName>
    <definedName name="Z_179EFE46_A1B1_11D3_8FA9_0008C7809E09_.wvu.PrintTitles" hidden="1">#REF!,#REF!</definedName>
    <definedName name="Z_179EFE47_A1B1_11D3_8FA9_0008C7809E09_.wvu.PrintArea" localSheetId="17" hidden="1">#REF!</definedName>
    <definedName name="Z_179EFE47_A1B1_11D3_8FA9_0008C7809E09_.wvu.PrintArea" localSheetId="30" hidden="1">#REF!</definedName>
    <definedName name="Z_179EFE47_A1B1_11D3_8FA9_0008C7809E09_.wvu.PrintArea" localSheetId="31" hidden="1">#REF!</definedName>
    <definedName name="Z_179EFE47_A1B1_11D3_8FA9_0008C7809E09_.wvu.PrintArea" localSheetId="7" hidden="1">#REF!</definedName>
    <definedName name="Z_179EFE47_A1B1_11D3_8FA9_0008C7809E09_.wvu.PrintArea" localSheetId="12" hidden="1">#REF!</definedName>
    <definedName name="Z_179EFE47_A1B1_11D3_8FA9_0008C7809E09_.wvu.PrintArea" localSheetId="9" hidden="1">#REF!</definedName>
    <definedName name="Z_179EFE47_A1B1_11D3_8FA9_0008C7809E09_.wvu.PrintArea" hidden="1">#REF!</definedName>
    <definedName name="Z_179EFE47_A1B1_11D3_8FA9_0008C7809E09_.wvu.PrintTitles" localSheetId="17" hidden="1">#REF!,#REF!</definedName>
    <definedName name="Z_179EFE47_A1B1_11D3_8FA9_0008C7809E09_.wvu.PrintTitles" localSheetId="30" hidden="1">#REF!,#REF!</definedName>
    <definedName name="Z_179EFE47_A1B1_11D3_8FA9_0008C7809E09_.wvu.PrintTitles" localSheetId="31" hidden="1">#REF!,#REF!</definedName>
    <definedName name="Z_179EFE47_A1B1_11D3_8FA9_0008C7809E09_.wvu.PrintTitles" localSheetId="7" hidden="1">#REF!,#REF!</definedName>
    <definedName name="Z_179EFE47_A1B1_11D3_8FA9_0008C7809E09_.wvu.PrintTitles" localSheetId="12" hidden="1">#REF!,#REF!</definedName>
    <definedName name="Z_179EFE47_A1B1_11D3_8FA9_0008C7809E09_.wvu.PrintTitles" localSheetId="9" hidden="1">#REF!,#REF!</definedName>
    <definedName name="Z_179EFE47_A1B1_11D3_8FA9_0008C7809E09_.wvu.PrintTitles" hidden="1">#REF!,#REF!</definedName>
    <definedName name="Z_179EFE48_A1B1_11D3_8FA9_0008C7809E09_.wvu.PrintArea" localSheetId="17" hidden="1">#REF!</definedName>
    <definedName name="Z_179EFE48_A1B1_11D3_8FA9_0008C7809E09_.wvu.PrintArea" localSheetId="30" hidden="1">#REF!</definedName>
    <definedName name="Z_179EFE48_A1B1_11D3_8FA9_0008C7809E09_.wvu.PrintArea" localSheetId="31" hidden="1">#REF!</definedName>
    <definedName name="Z_179EFE48_A1B1_11D3_8FA9_0008C7809E09_.wvu.PrintArea" localSheetId="7" hidden="1">#REF!</definedName>
    <definedName name="Z_179EFE48_A1B1_11D3_8FA9_0008C7809E09_.wvu.PrintArea" localSheetId="12" hidden="1">#REF!</definedName>
    <definedName name="Z_179EFE48_A1B1_11D3_8FA9_0008C7809E09_.wvu.PrintArea" localSheetId="9" hidden="1">#REF!</definedName>
    <definedName name="Z_179EFE48_A1B1_11D3_8FA9_0008C7809E09_.wvu.PrintArea" hidden="1">#REF!</definedName>
    <definedName name="Z_179EFE48_A1B1_11D3_8FA9_0008C7809E09_.wvu.PrintTitles" localSheetId="17" hidden="1">#REF!,#REF!</definedName>
    <definedName name="Z_179EFE48_A1B1_11D3_8FA9_0008C7809E09_.wvu.PrintTitles" localSheetId="30" hidden="1">#REF!,#REF!</definedName>
    <definedName name="Z_179EFE48_A1B1_11D3_8FA9_0008C7809E09_.wvu.PrintTitles" localSheetId="31" hidden="1">#REF!,#REF!</definedName>
    <definedName name="Z_179EFE48_A1B1_11D3_8FA9_0008C7809E09_.wvu.PrintTitles" localSheetId="7" hidden="1">#REF!,#REF!</definedName>
    <definedName name="Z_179EFE48_A1B1_11D3_8FA9_0008C7809E09_.wvu.PrintTitles" localSheetId="12" hidden="1">#REF!,#REF!</definedName>
    <definedName name="Z_179EFE48_A1B1_11D3_8FA9_0008C7809E09_.wvu.PrintTitles" localSheetId="9" hidden="1">#REF!,#REF!</definedName>
    <definedName name="Z_179EFE48_A1B1_11D3_8FA9_0008C7809E09_.wvu.PrintTitles" hidden="1">#REF!,#REF!</definedName>
    <definedName name="Z_179EFE49_A1B1_11D3_8FA9_0008C7809E09_.wvu.PrintArea" localSheetId="17" hidden="1">#REF!</definedName>
    <definedName name="Z_179EFE49_A1B1_11D3_8FA9_0008C7809E09_.wvu.PrintArea" localSheetId="30" hidden="1">#REF!</definedName>
    <definedName name="Z_179EFE49_A1B1_11D3_8FA9_0008C7809E09_.wvu.PrintArea" localSheetId="31" hidden="1">#REF!</definedName>
    <definedName name="Z_179EFE49_A1B1_11D3_8FA9_0008C7809E09_.wvu.PrintArea" localSheetId="7" hidden="1">#REF!</definedName>
    <definedName name="Z_179EFE49_A1B1_11D3_8FA9_0008C7809E09_.wvu.PrintArea" localSheetId="12" hidden="1">#REF!</definedName>
    <definedName name="Z_179EFE49_A1B1_11D3_8FA9_0008C7809E09_.wvu.PrintArea" localSheetId="9" hidden="1">#REF!</definedName>
    <definedName name="Z_179EFE49_A1B1_11D3_8FA9_0008C7809E09_.wvu.PrintArea" hidden="1">#REF!</definedName>
    <definedName name="Z_179EFE49_A1B1_11D3_8FA9_0008C7809E09_.wvu.PrintTitles" localSheetId="17" hidden="1">#REF!,#REF!</definedName>
    <definedName name="Z_179EFE49_A1B1_11D3_8FA9_0008C7809E09_.wvu.PrintTitles" localSheetId="30" hidden="1">#REF!,#REF!</definedName>
    <definedName name="Z_179EFE49_A1B1_11D3_8FA9_0008C7809E09_.wvu.PrintTitles" localSheetId="31" hidden="1">#REF!,#REF!</definedName>
    <definedName name="Z_179EFE49_A1B1_11D3_8FA9_0008C7809E09_.wvu.PrintTitles" localSheetId="7" hidden="1">#REF!,#REF!</definedName>
    <definedName name="Z_179EFE49_A1B1_11D3_8FA9_0008C7809E09_.wvu.PrintTitles" localSheetId="12" hidden="1">#REF!,#REF!</definedName>
    <definedName name="Z_179EFE49_A1B1_11D3_8FA9_0008C7809E09_.wvu.PrintTitles" localSheetId="9" hidden="1">#REF!,#REF!</definedName>
    <definedName name="Z_179EFE49_A1B1_11D3_8FA9_0008C7809E09_.wvu.PrintTitles" hidden="1">#REF!,#REF!</definedName>
    <definedName name="Z_179EFE4A_A1B1_11D3_8FA9_0008C7809E09_.wvu.PrintArea" localSheetId="17" hidden="1">#REF!</definedName>
    <definedName name="Z_179EFE4A_A1B1_11D3_8FA9_0008C7809E09_.wvu.PrintArea" localSheetId="30" hidden="1">#REF!</definedName>
    <definedName name="Z_179EFE4A_A1B1_11D3_8FA9_0008C7809E09_.wvu.PrintArea" localSheetId="31" hidden="1">#REF!</definedName>
    <definedName name="Z_179EFE4A_A1B1_11D3_8FA9_0008C7809E09_.wvu.PrintArea" localSheetId="7" hidden="1">#REF!</definedName>
    <definedName name="Z_179EFE4A_A1B1_11D3_8FA9_0008C7809E09_.wvu.PrintArea" localSheetId="12" hidden="1">#REF!</definedName>
    <definedName name="Z_179EFE4A_A1B1_11D3_8FA9_0008C7809E09_.wvu.PrintArea" localSheetId="9" hidden="1">#REF!</definedName>
    <definedName name="Z_179EFE4A_A1B1_11D3_8FA9_0008C7809E09_.wvu.PrintArea" hidden="1">#REF!</definedName>
    <definedName name="Z_179EFE4A_A1B1_11D3_8FA9_0008C7809E09_.wvu.PrintTitles" localSheetId="17" hidden="1">#REF!,#REF!</definedName>
    <definedName name="Z_179EFE4A_A1B1_11D3_8FA9_0008C7809E09_.wvu.PrintTitles" localSheetId="30" hidden="1">#REF!,#REF!</definedName>
    <definedName name="Z_179EFE4A_A1B1_11D3_8FA9_0008C7809E09_.wvu.PrintTitles" localSheetId="31" hidden="1">#REF!,#REF!</definedName>
    <definedName name="Z_179EFE4A_A1B1_11D3_8FA9_0008C7809E09_.wvu.PrintTitles" localSheetId="7" hidden="1">#REF!,#REF!</definedName>
    <definedName name="Z_179EFE4A_A1B1_11D3_8FA9_0008C7809E09_.wvu.PrintTitles" localSheetId="12" hidden="1">#REF!,#REF!</definedName>
    <definedName name="Z_179EFE4A_A1B1_11D3_8FA9_0008C7809E09_.wvu.PrintTitles" localSheetId="9" hidden="1">#REF!,#REF!</definedName>
    <definedName name="Z_179EFE4A_A1B1_11D3_8FA9_0008C7809E09_.wvu.PrintTitles" hidden="1">#REF!,#REF!</definedName>
    <definedName name="Z_179EFE4B_A1B1_11D3_8FA9_0008C7809E09_.wvu.PrintArea" localSheetId="17" hidden="1">#REF!</definedName>
    <definedName name="Z_179EFE4B_A1B1_11D3_8FA9_0008C7809E09_.wvu.PrintArea" localSheetId="30" hidden="1">#REF!</definedName>
    <definedName name="Z_179EFE4B_A1B1_11D3_8FA9_0008C7809E09_.wvu.PrintArea" localSheetId="31" hidden="1">#REF!</definedName>
    <definedName name="Z_179EFE4B_A1B1_11D3_8FA9_0008C7809E09_.wvu.PrintArea" localSheetId="7" hidden="1">#REF!</definedName>
    <definedName name="Z_179EFE4B_A1B1_11D3_8FA9_0008C7809E09_.wvu.PrintArea" localSheetId="12" hidden="1">#REF!</definedName>
    <definedName name="Z_179EFE4B_A1B1_11D3_8FA9_0008C7809E09_.wvu.PrintArea" localSheetId="9" hidden="1">#REF!</definedName>
    <definedName name="Z_179EFE4B_A1B1_11D3_8FA9_0008C7809E09_.wvu.PrintArea" hidden="1">#REF!</definedName>
    <definedName name="Z_179EFE4B_A1B1_11D3_8FA9_0008C7809E09_.wvu.PrintTitles" localSheetId="17" hidden="1">#REF!,#REF!</definedName>
    <definedName name="Z_179EFE4B_A1B1_11D3_8FA9_0008C7809E09_.wvu.PrintTitles" localSheetId="30" hidden="1">#REF!,#REF!</definedName>
    <definedName name="Z_179EFE4B_A1B1_11D3_8FA9_0008C7809E09_.wvu.PrintTitles" localSheetId="31" hidden="1">#REF!,#REF!</definedName>
    <definedName name="Z_179EFE4B_A1B1_11D3_8FA9_0008C7809E09_.wvu.PrintTitles" localSheetId="7" hidden="1">#REF!,#REF!</definedName>
    <definedName name="Z_179EFE4B_A1B1_11D3_8FA9_0008C7809E09_.wvu.PrintTitles" localSheetId="12" hidden="1">#REF!,#REF!</definedName>
    <definedName name="Z_179EFE4B_A1B1_11D3_8FA9_0008C7809E09_.wvu.PrintTitles" localSheetId="9" hidden="1">#REF!,#REF!</definedName>
    <definedName name="Z_179EFE4B_A1B1_11D3_8FA9_0008C7809E09_.wvu.PrintTitles" hidden="1">#REF!,#REF!</definedName>
    <definedName name="Z_179EFE4C_A1B1_11D3_8FA9_0008C7809E09_.wvu.PrintArea" localSheetId="17" hidden="1">#REF!</definedName>
    <definedName name="Z_179EFE4C_A1B1_11D3_8FA9_0008C7809E09_.wvu.PrintArea" localSheetId="30" hidden="1">#REF!</definedName>
    <definedName name="Z_179EFE4C_A1B1_11D3_8FA9_0008C7809E09_.wvu.PrintArea" localSheetId="31" hidden="1">#REF!</definedName>
    <definedName name="Z_179EFE4C_A1B1_11D3_8FA9_0008C7809E09_.wvu.PrintArea" localSheetId="7" hidden="1">#REF!</definedName>
    <definedName name="Z_179EFE4C_A1B1_11D3_8FA9_0008C7809E09_.wvu.PrintArea" localSheetId="12" hidden="1">#REF!</definedName>
    <definedName name="Z_179EFE4C_A1B1_11D3_8FA9_0008C7809E09_.wvu.PrintArea" localSheetId="9" hidden="1">#REF!</definedName>
    <definedName name="Z_179EFE4C_A1B1_11D3_8FA9_0008C7809E09_.wvu.PrintArea" hidden="1">#REF!</definedName>
    <definedName name="Z_179EFE4C_A1B1_11D3_8FA9_0008C7809E09_.wvu.PrintTitles" localSheetId="17" hidden="1">#REF!,#REF!</definedName>
    <definedName name="Z_179EFE4C_A1B1_11D3_8FA9_0008C7809E09_.wvu.PrintTitles" localSheetId="30" hidden="1">#REF!,#REF!</definedName>
    <definedName name="Z_179EFE4C_A1B1_11D3_8FA9_0008C7809E09_.wvu.PrintTitles" localSheetId="31" hidden="1">#REF!,#REF!</definedName>
    <definedName name="Z_179EFE4C_A1B1_11D3_8FA9_0008C7809E09_.wvu.PrintTitles" localSheetId="7" hidden="1">#REF!,#REF!</definedName>
    <definedName name="Z_179EFE4C_A1B1_11D3_8FA9_0008C7809E09_.wvu.PrintTitles" localSheetId="12" hidden="1">#REF!,#REF!</definedName>
    <definedName name="Z_179EFE4C_A1B1_11D3_8FA9_0008C7809E09_.wvu.PrintTitles" localSheetId="9" hidden="1">#REF!,#REF!</definedName>
    <definedName name="Z_179EFE4C_A1B1_11D3_8FA9_0008C7809E09_.wvu.PrintTitles" hidden="1">#REF!,#REF!</definedName>
    <definedName name="Z_179EFE4D_A1B1_11D3_8FA9_0008C7809E09_.wvu.PrintArea" localSheetId="17" hidden="1">#REF!</definedName>
    <definedName name="Z_179EFE4D_A1B1_11D3_8FA9_0008C7809E09_.wvu.PrintArea" localSheetId="30" hidden="1">#REF!</definedName>
    <definedName name="Z_179EFE4D_A1B1_11D3_8FA9_0008C7809E09_.wvu.PrintArea" localSheetId="31" hidden="1">#REF!</definedName>
    <definedName name="Z_179EFE4D_A1B1_11D3_8FA9_0008C7809E09_.wvu.PrintArea" localSheetId="7" hidden="1">#REF!</definedName>
    <definedName name="Z_179EFE4D_A1B1_11D3_8FA9_0008C7809E09_.wvu.PrintArea" localSheetId="12" hidden="1">#REF!</definedName>
    <definedName name="Z_179EFE4D_A1B1_11D3_8FA9_0008C7809E09_.wvu.PrintArea" localSheetId="9" hidden="1">#REF!</definedName>
    <definedName name="Z_179EFE4D_A1B1_11D3_8FA9_0008C7809E09_.wvu.PrintArea" hidden="1">#REF!</definedName>
    <definedName name="Z_179EFE4D_A1B1_11D3_8FA9_0008C7809E09_.wvu.PrintTitles" localSheetId="17" hidden="1">#REF!,#REF!</definedName>
    <definedName name="Z_179EFE4D_A1B1_11D3_8FA9_0008C7809E09_.wvu.PrintTitles" localSheetId="30" hidden="1">#REF!,#REF!</definedName>
    <definedName name="Z_179EFE4D_A1B1_11D3_8FA9_0008C7809E09_.wvu.PrintTitles" localSheetId="31" hidden="1">#REF!,#REF!</definedName>
    <definedName name="Z_179EFE4D_A1B1_11D3_8FA9_0008C7809E09_.wvu.PrintTitles" localSheetId="7" hidden="1">#REF!,#REF!</definedName>
    <definedName name="Z_179EFE4D_A1B1_11D3_8FA9_0008C7809E09_.wvu.PrintTitles" localSheetId="12" hidden="1">#REF!,#REF!</definedName>
    <definedName name="Z_179EFE4D_A1B1_11D3_8FA9_0008C7809E09_.wvu.PrintTitles" localSheetId="9" hidden="1">#REF!,#REF!</definedName>
    <definedName name="Z_179EFE4D_A1B1_11D3_8FA9_0008C7809E09_.wvu.PrintTitles" hidden="1">#REF!,#REF!</definedName>
    <definedName name="Z_179EFE4E_A1B1_11D3_8FA9_0008C7809E09_.wvu.PrintArea" localSheetId="17" hidden="1">#REF!</definedName>
    <definedName name="Z_179EFE4E_A1B1_11D3_8FA9_0008C7809E09_.wvu.PrintArea" localSheetId="30" hidden="1">#REF!</definedName>
    <definedName name="Z_179EFE4E_A1B1_11D3_8FA9_0008C7809E09_.wvu.PrintArea" localSheetId="31" hidden="1">#REF!</definedName>
    <definedName name="Z_179EFE4E_A1B1_11D3_8FA9_0008C7809E09_.wvu.PrintArea" localSheetId="7" hidden="1">#REF!</definedName>
    <definedName name="Z_179EFE4E_A1B1_11D3_8FA9_0008C7809E09_.wvu.PrintArea" localSheetId="12" hidden="1">#REF!</definedName>
    <definedName name="Z_179EFE4E_A1B1_11D3_8FA9_0008C7809E09_.wvu.PrintArea" localSheetId="9" hidden="1">#REF!</definedName>
    <definedName name="Z_179EFE4E_A1B1_11D3_8FA9_0008C7809E09_.wvu.PrintArea" hidden="1">#REF!</definedName>
    <definedName name="Z_179EFE4E_A1B1_11D3_8FA9_0008C7809E09_.wvu.PrintTitles" localSheetId="17" hidden="1">#REF!,#REF!</definedName>
    <definedName name="Z_179EFE4E_A1B1_11D3_8FA9_0008C7809E09_.wvu.PrintTitles" localSheetId="30" hidden="1">#REF!,#REF!</definedName>
    <definedName name="Z_179EFE4E_A1B1_11D3_8FA9_0008C7809E09_.wvu.PrintTitles" localSheetId="31" hidden="1">#REF!,#REF!</definedName>
    <definedName name="Z_179EFE4E_A1B1_11D3_8FA9_0008C7809E09_.wvu.PrintTitles" localSheetId="7" hidden="1">#REF!,#REF!</definedName>
    <definedName name="Z_179EFE4E_A1B1_11D3_8FA9_0008C7809E09_.wvu.PrintTitles" localSheetId="12" hidden="1">#REF!,#REF!</definedName>
    <definedName name="Z_179EFE4E_A1B1_11D3_8FA9_0008C7809E09_.wvu.PrintTitles" localSheetId="9" hidden="1">#REF!,#REF!</definedName>
    <definedName name="Z_179EFE4E_A1B1_11D3_8FA9_0008C7809E09_.wvu.PrintTitles" hidden="1">#REF!,#REF!</definedName>
    <definedName name="Z_179EFE4F_A1B1_11D3_8FA9_0008C7809E09_.wvu.PrintArea" localSheetId="17" hidden="1">#REF!</definedName>
    <definedName name="Z_179EFE4F_A1B1_11D3_8FA9_0008C7809E09_.wvu.PrintArea" localSheetId="30" hidden="1">#REF!</definedName>
    <definedName name="Z_179EFE4F_A1B1_11D3_8FA9_0008C7809E09_.wvu.PrintArea" localSheetId="31" hidden="1">#REF!</definedName>
    <definedName name="Z_179EFE4F_A1B1_11D3_8FA9_0008C7809E09_.wvu.PrintArea" localSheetId="7" hidden="1">#REF!</definedName>
    <definedName name="Z_179EFE4F_A1B1_11D3_8FA9_0008C7809E09_.wvu.PrintArea" localSheetId="12" hidden="1">#REF!</definedName>
    <definedName name="Z_179EFE4F_A1B1_11D3_8FA9_0008C7809E09_.wvu.PrintArea" localSheetId="9" hidden="1">#REF!</definedName>
    <definedName name="Z_179EFE4F_A1B1_11D3_8FA9_0008C7809E09_.wvu.PrintArea" hidden="1">#REF!</definedName>
    <definedName name="Z_179EFE4F_A1B1_11D3_8FA9_0008C7809E09_.wvu.PrintTitles" localSheetId="17" hidden="1">#REF!,#REF!</definedName>
    <definedName name="Z_179EFE4F_A1B1_11D3_8FA9_0008C7809E09_.wvu.PrintTitles" localSheetId="30" hidden="1">#REF!,#REF!</definedName>
    <definedName name="Z_179EFE4F_A1B1_11D3_8FA9_0008C7809E09_.wvu.PrintTitles" localSheetId="31" hidden="1">#REF!,#REF!</definedName>
    <definedName name="Z_179EFE4F_A1B1_11D3_8FA9_0008C7809E09_.wvu.PrintTitles" localSheetId="7" hidden="1">#REF!,#REF!</definedName>
    <definedName name="Z_179EFE4F_A1B1_11D3_8FA9_0008C7809E09_.wvu.PrintTitles" localSheetId="12" hidden="1">#REF!,#REF!</definedName>
    <definedName name="Z_179EFE4F_A1B1_11D3_8FA9_0008C7809E09_.wvu.PrintTitles" localSheetId="9" hidden="1">#REF!,#REF!</definedName>
    <definedName name="Z_179EFE4F_A1B1_11D3_8FA9_0008C7809E09_.wvu.PrintTitles" hidden="1">#REF!,#REF!</definedName>
    <definedName name="Z_179EFE50_A1B1_11D3_8FA9_0008C7809E09_.wvu.PrintArea" localSheetId="17" hidden="1">#REF!</definedName>
    <definedName name="Z_179EFE50_A1B1_11D3_8FA9_0008C7809E09_.wvu.PrintArea" localSheetId="30" hidden="1">#REF!</definedName>
    <definedName name="Z_179EFE50_A1B1_11D3_8FA9_0008C7809E09_.wvu.PrintArea" localSheetId="31" hidden="1">#REF!</definedName>
    <definedName name="Z_179EFE50_A1B1_11D3_8FA9_0008C7809E09_.wvu.PrintArea" localSheetId="7" hidden="1">#REF!</definedName>
    <definedName name="Z_179EFE50_A1B1_11D3_8FA9_0008C7809E09_.wvu.PrintArea" localSheetId="12" hidden="1">#REF!</definedName>
    <definedName name="Z_179EFE50_A1B1_11D3_8FA9_0008C7809E09_.wvu.PrintArea" localSheetId="9" hidden="1">#REF!</definedName>
    <definedName name="Z_179EFE50_A1B1_11D3_8FA9_0008C7809E09_.wvu.PrintArea" hidden="1">#REF!</definedName>
    <definedName name="Z_179EFE50_A1B1_11D3_8FA9_0008C7809E09_.wvu.PrintTitles" localSheetId="17" hidden="1">#REF!,#REF!</definedName>
    <definedName name="Z_179EFE50_A1B1_11D3_8FA9_0008C7809E09_.wvu.PrintTitles" localSheetId="30" hidden="1">#REF!,#REF!</definedName>
    <definedName name="Z_179EFE50_A1B1_11D3_8FA9_0008C7809E09_.wvu.PrintTitles" localSheetId="31" hidden="1">#REF!,#REF!</definedName>
    <definedName name="Z_179EFE50_A1B1_11D3_8FA9_0008C7809E09_.wvu.PrintTitles" localSheetId="7" hidden="1">#REF!,#REF!</definedName>
    <definedName name="Z_179EFE50_A1B1_11D3_8FA9_0008C7809E09_.wvu.PrintTitles" localSheetId="12" hidden="1">#REF!,#REF!</definedName>
    <definedName name="Z_179EFE50_A1B1_11D3_8FA9_0008C7809E09_.wvu.PrintTitles" localSheetId="9" hidden="1">#REF!,#REF!</definedName>
    <definedName name="Z_179EFE50_A1B1_11D3_8FA9_0008C7809E09_.wvu.PrintTitles" hidden="1">#REF!,#REF!</definedName>
    <definedName name="Z_179EFE51_A1B1_11D3_8FA9_0008C7809E09_.wvu.PrintArea" localSheetId="17" hidden="1">#REF!</definedName>
    <definedName name="Z_179EFE51_A1B1_11D3_8FA9_0008C7809E09_.wvu.PrintArea" localSheetId="30" hidden="1">#REF!</definedName>
    <definedName name="Z_179EFE51_A1B1_11D3_8FA9_0008C7809E09_.wvu.PrintArea" localSheetId="31" hidden="1">#REF!</definedName>
    <definedName name="Z_179EFE51_A1B1_11D3_8FA9_0008C7809E09_.wvu.PrintArea" localSheetId="7" hidden="1">#REF!</definedName>
    <definedName name="Z_179EFE51_A1B1_11D3_8FA9_0008C7809E09_.wvu.PrintArea" localSheetId="12" hidden="1">#REF!</definedName>
    <definedName name="Z_179EFE51_A1B1_11D3_8FA9_0008C7809E09_.wvu.PrintArea" localSheetId="9" hidden="1">#REF!</definedName>
    <definedName name="Z_179EFE51_A1B1_11D3_8FA9_0008C7809E09_.wvu.PrintArea" hidden="1">#REF!</definedName>
    <definedName name="Z_179EFE51_A1B1_11D3_8FA9_0008C7809E09_.wvu.PrintTitles" localSheetId="17" hidden="1">#REF!,#REF!</definedName>
    <definedName name="Z_179EFE51_A1B1_11D3_8FA9_0008C7809E09_.wvu.PrintTitles" localSheetId="30" hidden="1">#REF!,#REF!</definedName>
    <definedName name="Z_179EFE51_A1B1_11D3_8FA9_0008C7809E09_.wvu.PrintTitles" localSheetId="31" hidden="1">#REF!,#REF!</definedName>
    <definedName name="Z_179EFE51_A1B1_11D3_8FA9_0008C7809E09_.wvu.PrintTitles" localSheetId="7" hidden="1">#REF!,#REF!</definedName>
    <definedName name="Z_179EFE51_A1B1_11D3_8FA9_0008C7809E09_.wvu.PrintTitles" localSheetId="12" hidden="1">#REF!,#REF!</definedName>
    <definedName name="Z_179EFE51_A1B1_11D3_8FA9_0008C7809E09_.wvu.PrintTitles" localSheetId="9" hidden="1">#REF!,#REF!</definedName>
    <definedName name="Z_179EFE51_A1B1_11D3_8FA9_0008C7809E09_.wvu.PrintTitles" hidden="1">#REF!,#REF!</definedName>
    <definedName name="Z_179EFE52_A1B1_11D3_8FA9_0008C7809E09_.wvu.PrintArea" localSheetId="17" hidden="1">#REF!</definedName>
    <definedName name="Z_179EFE52_A1B1_11D3_8FA9_0008C7809E09_.wvu.PrintArea" localSheetId="30" hidden="1">#REF!</definedName>
    <definedName name="Z_179EFE52_A1B1_11D3_8FA9_0008C7809E09_.wvu.PrintArea" localSheetId="31" hidden="1">#REF!</definedName>
    <definedName name="Z_179EFE52_A1B1_11D3_8FA9_0008C7809E09_.wvu.PrintArea" localSheetId="7" hidden="1">#REF!</definedName>
    <definedName name="Z_179EFE52_A1B1_11D3_8FA9_0008C7809E09_.wvu.PrintArea" localSheetId="12" hidden="1">#REF!</definedName>
    <definedName name="Z_179EFE52_A1B1_11D3_8FA9_0008C7809E09_.wvu.PrintArea" localSheetId="9" hidden="1">#REF!</definedName>
    <definedName name="Z_179EFE52_A1B1_11D3_8FA9_0008C7809E09_.wvu.PrintArea" hidden="1">#REF!</definedName>
    <definedName name="Z_179EFE52_A1B1_11D3_8FA9_0008C7809E09_.wvu.PrintTitles" localSheetId="17" hidden="1">#REF!,#REF!</definedName>
    <definedName name="Z_179EFE52_A1B1_11D3_8FA9_0008C7809E09_.wvu.PrintTitles" localSheetId="30" hidden="1">#REF!,#REF!</definedName>
    <definedName name="Z_179EFE52_A1B1_11D3_8FA9_0008C7809E09_.wvu.PrintTitles" localSheetId="31" hidden="1">#REF!,#REF!</definedName>
    <definedName name="Z_179EFE52_A1B1_11D3_8FA9_0008C7809E09_.wvu.PrintTitles" localSheetId="7" hidden="1">#REF!,#REF!</definedName>
    <definedName name="Z_179EFE52_A1B1_11D3_8FA9_0008C7809E09_.wvu.PrintTitles" localSheetId="12" hidden="1">#REF!,#REF!</definedName>
    <definedName name="Z_179EFE52_A1B1_11D3_8FA9_0008C7809E09_.wvu.PrintTitles" localSheetId="9" hidden="1">#REF!,#REF!</definedName>
    <definedName name="Z_179EFE52_A1B1_11D3_8FA9_0008C7809E09_.wvu.PrintTitles" hidden="1">#REF!,#REF!</definedName>
    <definedName name="Z_179EFE53_A1B1_11D3_8FA9_0008C7809E09_.wvu.PrintArea" localSheetId="17" hidden="1">#REF!</definedName>
    <definedName name="Z_179EFE53_A1B1_11D3_8FA9_0008C7809E09_.wvu.PrintArea" localSheetId="30" hidden="1">#REF!</definedName>
    <definedName name="Z_179EFE53_A1B1_11D3_8FA9_0008C7809E09_.wvu.PrintArea" localSheetId="31" hidden="1">#REF!</definedName>
    <definedName name="Z_179EFE53_A1B1_11D3_8FA9_0008C7809E09_.wvu.PrintArea" localSheetId="7" hidden="1">#REF!</definedName>
    <definedName name="Z_179EFE53_A1B1_11D3_8FA9_0008C7809E09_.wvu.PrintArea" localSheetId="12" hidden="1">#REF!</definedName>
    <definedName name="Z_179EFE53_A1B1_11D3_8FA9_0008C7809E09_.wvu.PrintArea" localSheetId="9" hidden="1">#REF!</definedName>
    <definedName name="Z_179EFE53_A1B1_11D3_8FA9_0008C7809E09_.wvu.PrintArea" hidden="1">#REF!</definedName>
    <definedName name="Z_179EFE53_A1B1_11D3_8FA9_0008C7809E09_.wvu.PrintTitles" localSheetId="17" hidden="1">#REF!,#REF!</definedName>
    <definedName name="Z_179EFE53_A1B1_11D3_8FA9_0008C7809E09_.wvu.PrintTitles" localSheetId="30" hidden="1">#REF!,#REF!</definedName>
    <definedName name="Z_179EFE53_A1B1_11D3_8FA9_0008C7809E09_.wvu.PrintTitles" localSheetId="31" hidden="1">#REF!,#REF!</definedName>
    <definedName name="Z_179EFE53_A1B1_11D3_8FA9_0008C7809E09_.wvu.PrintTitles" localSheetId="7" hidden="1">#REF!,#REF!</definedName>
    <definedName name="Z_179EFE53_A1B1_11D3_8FA9_0008C7809E09_.wvu.PrintTitles" localSheetId="12" hidden="1">#REF!,#REF!</definedName>
    <definedName name="Z_179EFE53_A1B1_11D3_8FA9_0008C7809E09_.wvu.PrintTitles" localSheetId="9" hidden="1">#REF!,#REF!</definedName>
    <definedName name="Z_179EFE53_A1B1_11D3_8FA9_0008C7809E09_.wvu.PrintTitles" hidden="1">#REF!,#REF!</definedName>
    <definedName name="Z_179EFE54_A1B1_11D3_8FA9_0008C7809E09_.wvu.PrintArea" localSheetId="17" hidden="1">#REF!</definedName>
    <definedName name="Z_179EFE54_A1B1_11D3_8FA9_0008C7809E09_.wvu.PrintArea" localSheetId="30" hidden="1">#REF!</definedName>
    <definedName name="Z_179EFE54_A1B1_11D3_8FA9_0008C7809E09_.wvu.PrintArea" localSheetId="31" hidden="1">#REF!</definedName>
    <definedName name="Z_179EFE54_A1B1_11D3_8FA9_0008C7809E09_.wvu.PrintArea" localSheetId="7" hidden="1">#REF!</definedName>
    <definedName name="Z_179EFE54_A1B1_11D3_8FA9_0008C7809E09_.wvu.PrintArea" localSheetId="12" hidden="1">#REF!</definedName>
    <definedName name="Z_179EFE54_A1B1_11D3_8FA9_0008C7809E09_.wvu.PrintArea" localSheetId="9" hidden="1">#REF!</definedName>
    <definedName name="Z_179EFE54_A1B1_11D3_8FA9_0008C7809E09_.wvu.PrintArea" hidden="1">#REF!</definedName>
    <definedName name="Z_179EFE54_A1B1_11D3_8FA9_0008C7809E09_.wvu.PrintTitles" localSheetId="17" hidden="1">#REF!,#REF!</definedName>
    <definedName name="Z_179EFE54_A1B1_11D3_8FA9_0008C7809E09_.wvu.PrintTitles" localSheetId="30" hidden="1">#REF!,#REF!</definedName>
    <definedName name="Z_179EFE54_A1B1_11D3_8FA9_0008C7809E09_.wvu.PrintTitles" localSheetId="31" hidden="1">#REF!,#REF!</definedName>
    <definedName name="Z_179EFE54_A1B1_11D3_8FA9_0008C7809E09_.wvu.PrintTitles" localSheetId="7" hidden="1">#REF!,#REF!</definedName>
    <definedName name="Z_179EFE54_A1B1_11D3_8FA9_0008C7809E09_.wvu.PrintTitles" localSheetId="12" hidden="1">#REF!,#REF!</definedName>
    <definedName name="Z_179EFE54_A1B1_11D3_8FA9_0008C7809E09_.wvu.PrintTitles" localSheetId="9" hidden="1">#REF!,#REF!</definedName>
    <definedName name="Z_179EFE54_A1B1_11D3_8FA9_0008C7809E09_.wvu.PrintTitles" hidden="1">#REF!,#REF!</definedName>
    <definedName name="Z_179EFE55_A1B1_11D3_8FA9_0008C7809E09_.wvu.PrintArea" localSheetId="17" hidden="1">#REF!</definedName>
    <definedName name="Z_179EFE55_A1B1_11D3_8FA9_0008C7809E09_.wvu.PrintArea" localSheetId="30" hidden="1">#REF!</definedName>
    <definedName name="Z_179EFE55_A1B1_11D3_8FA9_0008C7809E09_.wvu.PrintArea" localSheetId="31" hidden="1">#REF!</definedName>
    <definedName name="Z_179EFE55_A1B1_11D3_8FA9_0008C7809E09_.wvu.PrintArea" localSheetId="7" hidden="1">#REF!</definedName>
    <definedName name="Z_179EFE55_A1B1_11D3_8FA9_0008C7809E09_.wvu.PrintArea" localSheetId="12" hidden="1">#REF!</definedName>
    <definedName name="Z_179EFE55_A1B1_11D3_8FA9_0008C7809E09_.wvu.PrintArea" localSheetId="9" hidden="1">#REF!</definedName>
    <definedName name="Z_179EFE55_A1B1_11D3_8FA9_0008C7809E09_.wvu.PrintArea" hidden="1">#REF!</definedName>
    <definedName name="Z_179EFE55_A1B1_11D3_8FA9_0008C7809E09_.wvu.PrintTitles" localSheetId="17" hidden="1">#REF!</definedName>
    <definedName name="Z_179EFE55_A1B1_11D3_8FA9_0008C7809E09_.wvu.PrintTitles" localSheetId="31" hidden="1">#REF!</definedName>
    <definedName name="Z_179EFE55_A1B1_11D3_8FA9_0008C7809E09_.wvu.PrintTitles" localSheetId="7" hidden="1">#REF!</definedName>
    <definedName name="Z_179EFE55_A1B1_11D3_8FA9_0008C7809E09_.wvu.PrintTitles" localSheetId="9" hidden="1">#REF!</definedName>
    <definedName name="Z_179EFE55_A1B1_11D3_8FA9_0008C7809E09_.wvu.PrintTitles" hidden="1">#REF!</definedName>
    <definedName name="Z_179EFE56_A1B1_11D3_8FA9_0008C7809E09_.wvu.PrintArea" localSheetId="17" hidden="1">#REF!</definedName>
    <definedName name="Z_179EFE56_A1B1_11D3_8FA9_0008C7809E09_.wvu.PrintArea" localSheetId="31" hidden="1">#REF!</definedName>
    <definedName name="Z_179EFE56_A1B1_11D3_8FA9_0008C7809E09_.wvu.PrintArea" localSheetId="7" hidden="1">#REF!</definedName>
    <definedName name="Z_179EFE56_A1B1_11D3_8FA9_0008C7809E09_.wvu.PrintArea" localSheetId="9" hidden="1">#REF!</definedName>
    <definedName name="Z_179EFE56_A1B1_11D3_8FA9_0008C7809E09_.wvu.PrintArea" hidden="1">#REF!</definedName>
    <definedName name="Z_179EFE56_A1B1_11D3_8FA9_0008C7809E09_.wvu.PrintTitles" localSheetId="17" hidden="1">#REF!,#REF!</definedName>
    <definedName name="Z_179EFE56_A1B1_11D3_8FA9_0008C7809E09_.wvu.PrintTitles" localSheetId="30" hidden="1">#REF!,#REF!</definedName>
    <definedName name="Z_179EFE56_A1B1_11D3_8FA9_0008C7809E09_.wvu.PrintTitles" localSheetId="31" hidden="1">#REF!,#REF!</definedName>
    <definedName name="Z_179EFE56_A1B1_11D3_8FA9_0008C7809E09_.wvu.PrintTitles" localSheetId="7" hidden="1">#REF!,#REF!</definedName>
    <definedName name="Z_179EFE56_A1B1_11D3_8FA9_0008C7809E09_.wvu.PrintTitles" localSheetId="12" hidden="1">#REF!,#REF!</definedName>
    <definedName name="Z_179EFE56_A1B1_11D3_8FA9_0008C7809E09_.wvu.PrintTitles" localSheetId="9" hidden="1">#REF!,#REF!</definedName>
    <definedName name="Z_179EFE56_A1B1_11D3_8FA9_0008C7809E09_.wvu.PrintTitles" hidden="1">#REF!,#REF!</definedName>
    <definedName name="Z_179EFE57_A1B1_11D3_8FA9_0008C7809E09_.wvu.PrintArea" localSheetId="17" hidden="1">#REF!</definedName>
    <definedName name="Z_179EFE57_A1B1_11D3_8FA9_0008C7809E09_.wvu.PrintArea" localSheetId="30" hidden="1">#REF!</definedName>
    <definedName name="Z_179EFE57_A1B1_11D3_8FA9_0008C7809E09_.wvu.PrintArea" localSheetId="31" hidden="1">#REF!</definedName>
    <definedName name="Z_179EFE57_A1B1_11D3_8FA9_0008C7809E09_.wvu.PrintArea" localSheetId="7" hidden="1">#REF!</definedName>
    <definedName name="Z_179EFE57_A1B1_11D3_8FA9_0008C7809E09_.wvu.PrintArea" localSheetId="12" hidden="1">#REF!</definedName>
    <definedName name="Z_179EFE57_A1B1_11D3_8FA9_0008C7809E09_.wvu.PrintArea" localSheetId="9" hidden="1">#REF!</definedName>
    <definedName name="Z_179EFE57_A1B1_11D3_8FA9_0008C7809E09_.wvu.PrintArea" hidden="1">#REF!</definedName>
    <definedName name="Z_179EFE57_A1B1_11D3_8FA9_0008C7809E09_.wvu.PrintTitles" localSheetId="17" hidden="1">#REF!,#REF!</definedName>
    <definedName name="Z_179EFE57_A1B1_11D3_8FA9_0008C7809E09_.wvu.PrintTitles" localSheetId="30" hidden="1">#REF!,#REF!</definedName>
    <definedName name="Z_179EFE57_A1B1_11D3_8FA9_0008C7809E09_.wvu.PrintTitles" localSheetId="31" hidden="1">#REF!,#REF!</definedName>
    <definedName name="Z_179EFE57_A1B1_11D3_8FA9_0008C7809E09_.wvu.PrintTitles" localSheetId="7" hidden="1">#REF!,#REF!</definedName>
    <definedName name="Z_179EFE57_A1B1_11D3_8FA9_0008C7809E09_.wvu.PrintTitles" localSheetId="12" hidden="1">#REF!,#REF!</definedName>
    <definedName name="Z_179EFE57_A1B1_11D3_8FA9_0008C7809E09_.wvu.PrintTitles" localSheetId="9" hidden="1">#REF!,#REF!</definedName>
    <definedName name="Z_179EFE57_A1B1_11D3_8FA9_0008C7809E09_.wvu.PrintTitles" hidden="1">#REF!,#REF!</definedName>
    <definedName name="Z_179EFE58_A1B1_11D3_8FA9_0008C7809E09_.wvu.PrintArea" localSheetId="17" hidden="1">#REF!</definedName>
    <definedName name="Z_179EFE58_A1B1_11D3_8FA9_0008C7809E09_.wvu.PrintArea" localSheetId="30" hidden="1">#REF!</definedName>
    <definedName name="Z_179EFE58_A1B1_11D3_8FA9_0008C7809E09_.wvu.PrintArea" localSheetId="31" hidden="1">#REF!</definedName>
    <definedName name="Z_179EFE58_A1B1_11D3_8FA9_0008C7809E09_.wvu.PrintArea" localSheetId="7" hidden="1">#REF!</definedName>
    <definedName name="Z_179EFE58_A1B1_11D3_8FA9_0008C7809E09_.wvu.PrintArea" localSheetId="12" hidden="1">#REF!</definedName>
    <definedName name="Z_179EFE58_A1B1_11D3_8FA9_0008C7809E09_.wvu.PrintArea" localSheetId="9" hidden="1">#REF!</definedName>
    <definedName name="Z_179EFE58_A1B1_11D3_8FA9_0008C7809E09_.wvu.PrintArea" hidden="1">#REF!</definedName>
    <definedName name="Z_179EFE58_A1B1_11D3_8FA9_0008C7809E09_.wvu.PrintTitles" localSheetId="17" hidden="1">#REF!,#REF!</definedName>
    <definedName name="Z_179EFE58_A1B1_11D3_8FA9_0008C7809E09_.wvu.PrintTitles" localSheetId="30" hidden="1">#REF!,#REF!</definedName>
    <definedName name="Z_179EFE58_A1B1_11D3_8FA9_0008C7809E09_.wvu.PrintTitles" localSheetId="31" hidden="1">#REF!,#REF!</definedName>
    <definedName name="Z_179EFE58_A1B1_11D3_8FA9_0008C7809E09_.wvu.PrintTitles" localSheetId="7" hidden="1">#REF!,#REF!</definedName>
    <definedName name="Z_179EFE58_A1B1_11D3_8FA9_0008C7809E09_.wvu.PrintTitles" localSheetId="12" hidden="1">#REF!,#REF!</definedName>
    <definedName name="Z_179EFE58_A1B1_11D3_8FA9_0008C7809E09_.wvu.PrintTitles" localSheetId="9" hidden="1">#REF!,#REF!</definedName>
    <definedName name="Z_179EFE58_A1B1_11D3_8FA9_0008C7809E09_.wvu.PrintTitles" hidden="1">#REF!,#REF!</definedName>
    <definedName name="Z_179EFE59_A1B1_11D3_8FA9_0008C7809E09_.wvu.PrintArea" localSheetId="17" hidden="1">#REF!</definedName>
    <definedName name="Z_179EFE59_A1B1_11D3_8FA9_0008C7809E09_.wvu.PrintArea" localSheetId="30" hidden="1">#REF!</definedName>
    <definedName name="Z_179EFE59_A1B1_11D3_8FA9_0008C7809E09_.wvu.PrintArea" localSheetId="31" hidden="1">#REF!</definedName>
    <definedName name="Z_179EFE59_A1B1_11D3_8FA9_0008C7809E09_.wvu.PrintArea" localSheetId="7" hidden="1">#REF!</definedName>
    <definedName name="Z_179EFE59_A1B1_11D3_8FA9_0008C7809E09_.wvu.PrintArea" localSheetId="12" hidden="1">#REF!</definedName>
    <definedName name="Z_179EFE59_A1B1_11D3_8FA9_0008C7809E09_.wvu.PrintArea" localSheetId="9" hidden="1">#REF!</definedName>
    <definedName name="Z_179EFE59_A1B1_11D3_8FA9_0008C7809E09_.wvu.PrintArea" hidden="1">#REF!</definedName>
    <definedName name="Z_179EFE59_A1B1_11D3_8FA9_0008C7809E09_.wvu.PrintTitles" localSheetId="17" hidden="1">#REF!,#REF!</definedName>
    <definedName name="Z_179EFE59_A1B1_11D3_8FA9_0008C7809E09_.wvu.PrintTitles" localSheetId="30" hidden="1">#REF!,#REF!</definedName>
    <definedName name="Z_179EFE59_A1B1_11D3_8FA9_0008C7809E09_.wvu.PrintTitles" localSheetId="31" hidden="1">#REF!,#REF!</definedName>
    <definedName name="Z_179EFE59_A1B1_11D3_8FA9_0008C7809E09_.wvu.PrintTitles" localSheetId="7" hidden="1">#REF!,#REF!</definedName>
    <definedName name="Z_179EFE59_A1B1_11D3_8FA9_0008C7809E09_.wvu.PrintTitles" localSheetId="12" hidden="1">#REF!,#REF!</definedName>
    <definedName name="Z_179EFE59_A1B1_11D3_8FA9_0008C7809E09_.wvu.PrintTitles" localSheetId="9" hidden="1">#REF!,#REF!</definedName>
    <definedName name="Z_179EFE59_A1B1_11D3_8FA9_0008C7809E09_.wvu.PrintTitles" hidden="1">#REF!,#REF!</definedName>
    <definedName name="Z_179EFE5A_A1B1_11D3_8FA9_0008C7809E09_.wvu.PrintArea" localSheetId="17" hidden="1">#REF!</definedName>
    <definedName name="Z_179EFE5A_A1B1_11D3_8FA9_0008C7809E09_.wvu.PrintArea" localSheetId="30" hidden="1">#REF!</definedName>
    <definedName name="Z_179EFE5A_A1B1_11D3_8FA9_0008C7809E09_.wvu.PrintArea" localSheetId="31" hidden="1">#REF!</definedName>
    <definedName name="Z_179EFE5A_A1B1_11D3_8FA9_0008C7809E09_.wvu.PrintArea" localSheetId="7" hidden="1">#REF!</definedName>
    <definedName name="Z_179EFE5A_A1B1_11D3_8FA9_0008C7809E09_.wvu.PrintArea" localSheetId="12" hidden="1">#REF!</definedName>
    <definedName name="Z_179EFE5A_A1B1_11D3_8FA9_0008C7809E09_.wvu.PrintArea" localSheetId="9" hidden="1">#REF!</definedName>
    <definedName name="Z_179EFE5A_A1B1_11D3_8FA9_0008C7809E09_.wvu.PrintArea" hidden="1">#REF!</definedName>
    <definedName name="Z_179EFE5A_A1B1_11D3_8FA9_0008C7809E09_.wvu.PrintTitles" localSheetId="17" hidden="1">#REF!,#REF!</definedName>
    <definedName name="Z_179EFE5A_A1B1_11D3_8FA9_0008C7809E09_.wvu.PrintTitles" localSheetId="30" hidden="1">#REF!,#REF!</definedName>
    <definedName name="Z_179EFE5A_A1B1_11D3_8FA9_0008C7809E09_.wvu.PrintTitles" localSheetId="31" hidden="1">#REF!,#REF!</definedName>
    <definedName name="Z_179EFE5A_A1B1_11D3_8FA9_0008C7809E09_.wvu.PrintTitles" localSheetId="7" hidden="1">#REF!,#REF!</definedName>
    <definedName name="Z_179EFE5A_A1B1_11D3_8FA9_0008C7809E09_.wvu.PrintTitles" localSheetId="12" hidden="1">#REF!,#REF!</definedName>
    <definedName name="Z_179EFE5A_A1B1_11D3_8FA9_0008C7809E09_.wvu.PrintTitles" localSheetId="9" hidden="1">#REF!,#REF!</definedName>
    <definedName name="Z_179EFE5A_A1B1_11D3_8FA9_0008C7809E09_.wvu.PrintTitles" hidden="1">#REF!,#REF!</definedName>
    <definedName name="Z_1DA8B6E2_5DE1_11D2_8EEC_0008C7BCAF29_.wvu.PrintArea" localSheetId="17" hidden="1">#REF!</definedName>
    <definedName name="Z_1DA8B6E2_5DE1_11D2_8EEC_0008C7BCAF29_.wvu.PrintArea" localSheetId="30" hidden="1">#REF!</definedName>
    <definedName name="Z_1DA8B6E2_5DE1_11D2_8EEC_0008C7BCAF29_.wvu.PrintArea" localSheetId="31" hidden="1">#REF!</definedName>
    <definedName name="Z_1DA8B6E2_5DE1_11D2_8EEC_0008C7BCAF29_.wvu.PrintArea" localSheetId="7" hidden="1">#REF!</definedName>
    <definedName name="Z_1DA8B6E2_5DE1_11D2_8EEC_0008C7BCAF29_.wvu.PrintArea" localSheetId="12" hidden="1">#REF!</definedName>
    <definedName name="Z_1DA8B6E2_5DE1_11D2_8EEC_0008C7BCAF29_.wvu.PrintArea" localSheetId="9" hidden="1">#REF!</definedName>
    <definedName name="Z_1DA8B6E2_5DE1_11D2_8EEC_0008C7BCAF29_.wvu.PrintArea" hidden="1">#REF!</definedName>
    <definedName name="Z_1DA8B6E2_5DE1_11D2_8EEC_0008C7BCAF29_.wvu.PrintTitles" localSheetId="17" hidden="1">#REF!</definedName>
    <definedName name="Z_1DA8B6E2_5DE1_11D2_8EEC_0008C7BCAF29_.wvu.PrintTitles" localSheetId="31" hidden="1">#REF!</definedName>
    <definedName name="Z_1DA8B6E2_5DE1_11D2_8EEC_0008C7BCAF29_.wvu.PrintTitles" localSheetId="7" hidden="1">#REF!</definedName>
    <definedName name="Z_1DA8B6E2_5DE1_11D2_8EEC_0008C7BCAF29_.wvu.PrintTitles" localSheetId="9" hidden="1">#REF!</definedName>
    <definedName name="Z_1DA8B6E2_5DE1_11D2_8EEC_0008C7BCAF29_.wvu.PrintTitles" hidden="1">#REF!</definedName>
    <definedName name="Z_1DA8B6F1_5DE1_11D2_8EEC_0008C7BCAF29_.wvu.PrintArea" localSheetId="17" hidden="1">#REF!</definedName>
    <definedName name="Z_1DA8B6F1_5DE1_11D2_8EEC_0008C7BCAF29_.wvu.PrintArea" localSheetId="31" hidden="1">#REF!</definedName>
    <definedName name="Z_1DA8B6F1_5DE1_11D2_8EEC_0008C7BCAF29_.wvu.PrintArea" localSheetId="7" hidden="1">#REF!</definedName>
    <definedName name="Z_1DA8B6F1_5DE1_11D2_8EEC_0008C7BCAF29_.wvu.PrintArea" localSheetId="9" hidden="1">#REF!</definedName>
    <definedName name="Z_1DA8B6F1_5DE1_11D2_8EEC_0008C7BCAF29_.wvu.PrintArea" hidden="1">#REF!</definedName>
    <definedName name="Z_1DA8B6F1_5DE1_11D2_8EEC_0008C7BCAF29_.wvu.PrintTitles" localSheetId="31" hidden="1">#REF!</definedName>
    <definedName name="Z_1DA8B6F1_5DE1_11D2_8EEC_0008C7BCAF29_.wvu.PrintTitles" localSheetId="7" hidden="1">#REF!</definedName>
    <definedName name="Z_1DA8B6F1_5DE1_11D2_8EEC_0008C7BCAF29_.wvu.PrintTitles" hidden="1">#REF!</definedName>
    <definedName name="Z_1DA8B6FE_5DE1_11D2_8EEC_0008C7BCAF29_.wvu.PrintArea" localSheetId="31" hidden="1">#REF!</definedName>
    <definedName name="Z_1DA8B6FE_5DE1_11D2_8EEC_0008C7BCAF29_.wvu.PrintArea" localSheetId="7" hidden="1">#REF!</definedName>
    <definedName name="Z_1DA8B6FE_5DE1_11D2_8EEC_0008C7BCAF29_.wvu.PrintArea" hidden="1">#REF!</definedName>
    <definedName name="Z_1DA8B6FE_5DE1_11D2_8EEC_0008C7BCAF29_.wvu.PrintTitles" localSheetId="17" hidden="1">#REF!,#REF!</definedName>
    <definedName name="Z_1DA8B6FE_5DE1_11D2_8EEC_0008C7BCAF29_.wvu.PrintTitles" localSheetId="30" hidden="1">#REF!,#REF!</definedName>
    <definedName name="Z_1DA8B6FE_5DE1_11D2_8EEC_0008C7BCAF29_.wvu.PrintTitles" localSheetId="31" hidden="1">#REF!,#REF!</definedName>
    <definedName name="Z_1DA8B6FE_5DE1_11D2_8EEC_0008C7BCAF29_.wvu.PrintTitles" localSheetId="7" hidden="1">#REF!,#REF!</definedName>
    <definedName name="Z_1DA8B6FE_5DE1_11D2_8EEC_0008C7BCAF29_.wvu.PrintTitles" localSheetId="12" hidden="1">#REF!,#REF!</definedName>
    <definedName name="Z_1DA8B6FE_5DE1_11D2_8EEC_0008C7BCAF29_.wvu.PrintTitles" localSheetId="9" hidden="1">#REF!,#REF!</definedName>
    <definedName name="Z_1DA8B6FE_5DE1_11D2_8EEC_0008C7BCAF29_.wvu.PrintTitles" hidden="1">#REF!,#REF!</definedName>
    <definedName name="Z_23F18827_7997_11D6_8750_00508BD3B3BA_.wvu.Cols" localSheetId="1" hidden="1">#REF!,#REF!</definedName>
    <definedName name="Z_23F18827_7997_11D6_8750_00508BD3B3BA_.wvu.Cols" localSheetId="31" hidden="1">#REF!,#REF!</definedName>
    <definedName name="Z_23F18827_7997_11D6_8750_00508BD3B3BA_.wvu.Cols" localSheetId="7" hidden="1">#REF!,#REF!</definedName>
    <definedName name="Z_23F18827_7997_11D6_8750_00508BD3B3BA_.wvu.Cols" localSheetId="9" hidden="1">#REF!,#REF!</definedName>
    <definedName name="Z_23F18827_7997_11D6_8750_00508BD3B3BA_.wvu.Cols" hidden="1">#REF!,#REF!</definedName>
    <definedName name="Z_23F18827_7997_11D6_8750_00508BD3B3BA_.wvu.PrintArea" localSheetId="1" hidden="1">#REF!</definedName>
    <definedName name="Z_23F18827_7997_11D6_8750_00508BD3B3BA_.wvu.PrintArea" localSheetId="30" hidden="1">#REF!</definedName>
    <definedName name="Z_23F18827_7997_11D6_8750_00508BD3B3BA_.wvu.PrintArea" localSheetId="31" hidden="1">#REF!</definedName>
    <definedName name="Z_23F18827_7997_11D6_8750_00508BD3B3BA_.wvu.PrintArea" localSheetId="7" hidden="1">#REF!</definedName>
    <definedName name="Z_23F18827_7997_11D6_8750_00508BD3B3BA_.wvu.PrintArea" localSheetId="9" hidden="1">#REF!</definedName>
    <definedName name="Z_23F18827_7997_11D6_8750_00508BD3B3BA_.wvu.PrintArea" hidden="1">#REF!</definedName>
    <definedName name="Z_2A35EA00_019C_11D5_A0AE_00010323F649_.wvu.Cols" localSheetId="7" hidden="1">#REF!,#REF!,#REF!</definedName>
    <definedName name="Z_2A35EA00_019C_11D5_A0AE_00010323F649_.wvu.Cols" localSheetId="10" hidden="1">#REF!,#REF!,#REF!</definedName>
    <definedName name="Z_2A35EA00_019C_11D5_A0AE_00010323F649_.wvu.Cols" localSheetId="12" hidden="1">#REF!,#REF!,#REF!</definedName>
    <definedName name="Z_2A35EA00_019C_11D5_A0AE_00010323F649_.wvu.Cols" hidden="1">#REF!,#REF!,#REF!</definedName>
    <definedName name="Z_2A35EA00_019C_11D5_A0AE_00010323F649_.wvu.PrintTitles" hidden="1">#REF!,#REF!</definedName>
    <definedName name="Z_2A35EA00_019C_11D5_A0AE_00010323F649_.wvu.Rows" localSheetId="10" hidden="1">#REF!</definedName>
    <definedName name="Z_2A35EA00_019C_11D5_A0AE_00010323F649_.wvu.Rows" hidden="1">#REF!</definedName>
    <definedName name="Z_2DA61901_F1AB_11D2_8EBB_0008C77C0743_.wvu.PrintArea" localSheetId="1" hidden="1">#REF!</definedName>
    <definedName name="Z_2DA61901_F1AB_11D2_8EBB_0008C77C0743_.wvu.PrintArea" localSheetId="30" hidden="1">#REF!</definedName>
    <definedName name="Z_2DA61901_F1AB_11D2_8EBB_0008C77C0743_.wvu.PrintArea" localSheetId="31" hidden="1">#REF!</definedName>
    <definedName name="Z_2DA61901_F1AB_11D2_8EBB_0008C77C0743_.wvu.PrintArea" localSheetId="7" hidden="1">#REF!</definedName>
    <definedName name="Z_2DA61901_F1AB_11D2_8EBB_0008C77C0743_.wvu.PrintArea" localSheetId="9" hidden="1">#REF!</definedName>
    <definedName name="Z_2DA61901_F1AB_11D2_8EBB_0008C77C0743_.wvu.PrintArea" hidden="1">#REF!</definedName>
    <definedName name="Z_2DA61901_F1AB_11D2_8EBB_0008C77C0743_.wvu.PrintTitles" localSheetId="1" hidden="1">#REF!</definedName>
    <definedName name="Z_2DA61901_F1AB_11D2_8EBB_0008C77C0743_.wvu.PrintTitles" localSheetId="30" hidden="1">#REF!</definedName>
    <definedName name="Z_2DA61901_F1AB_11D2_8EBB_0008C77C0743_.wvu.PrintTitles" localSheetId="31" hidden="1">#REF!</definedName>
    <definedName name="Z_2DA61901_F1AB_11D2_8EBB_0008C77C0743_.wvu.PrintTitles" localSheetId="7" hidden="1">#REF!</definedName>
    <definedName name="Z_2DA61901_F1AB_11D2_8EBB_0008C77C0743_.wvu.PrintTitles" localSheetId="9" hidden="1">#REF!</definedName>
    <definedName name="Z_2DA61901_F1AB_11D2_8EBB_0008C77C0743_.wvu.PrintTitles" hidden="1">#REF!</definedName>
    <definedName name="Z_2DA61914_F1AB_11D2_8EBB_0008C77C0743_.wvu.PrintArea" localSheetId="31" hidden="1">#REF!</definedName>
    <definedName name="Z_2DA61914_F1AB_11D2_8EBB_0008C77C0743_.wvu.PrintArea" localSheetId="7" hidden="1">#REF!</definedName>
    <definedName name="Z_2DA61914_F1AB_11D2_8EBB_0008C77C0743_.wvu.PrintArea" hidden="1">#REF!</definedName>
    <definedName name="Z_2DA61914_F1AB_11D2_8EBB_0008C77C0743_.wvu.PrintTitles" localSheetId="31" hidden="1">#REF!</definedName>
    <definedName name="Z_2DA61914_F1AB_11D2_8EBB_0008C77C0743_.wvu.PrintTitles" localSheetId="7" hidden="1">#REF!</definedName>
    <definedName name="Z_2DA61914_F1AB_11D2_8EBB_0008C77C0743_.wvu.PrintTitles" hidden="1">#REF!</definedName>
    <definedName name="Z_2DA61924_F1AB_11D2_8EBB_0008C77C0743_.wvu.PrintArea" localSheetId="31" hidden="1">#REF!</definedName>
    <definedName name="Z_2DA61924_F1AB_11D2_8EBB_0008C77C0743_.wvu.PrintArea" localSheetId="7" hidden="1">#REF!</definedName>
    <definedName name="Z_2DA61924_F1AB_11D2_8EBB_0008C77C0743_.wvu.PrintArea" hidden="1">#REF!</definedName>
    <definedName name="Z_2DA61924_F1AB_11D2_8EBB_0008C77C0743_.wvu.PrintTitles" localSheetId="1" hidden="1">#REF!,#REF!</definedName>
    <definedName name="Z_2DA61924_F1AB_11D2_8EBB_0008C77C0743_.wvu.PrintTitles" localSheetId="17" hidden="1">#REF!,#REF!</definedName>
    <definedName name="Z_2DA61924_F1AB_11D2_8EBB_0008C77C0743_.wvu.PrintTitles" localSheetId="30" hidden="1">#REF!,#REF!</definedName>
    <definedName name="Z_2DA61924_F1AB_11D2_8EBB_0008C77C0743_.wvu.PrintTitles" localSheetId="31" hidden="1">#REF!,#REF!</definedName>
    <definedName name="Z_2DA61924_F1AB_11D2_8EBB_0008C77C0743_.wvu.PrintTitles" localSheetId="7" hidden="1">#REF!,#REF!</definedName>
    <definedName name="Z_2DA61924_F1AB_11D2_8EBB_0008C77C0743_.wvu.PrintTitles" localSheetId="12" hidden="1">#REF!,#REF!</definedName>
    <definedName name="Z_2DA61924_F1AB_11D2_8EBB_0008C77C0743_.wvu.PrintTitles" localSheetId="9" hidden="1">#REF!,#REF!</definedName>
    <definedName name="Z_2DA61924_F1AB_11D2_8EBB_0008C77C0743_.wvu.PrintTitles" hidden="1">#REF!,#REF!</definedName>
    <definedName name="Z_3FBA103C_5DE2_11D2_8EE8_0008C77CC149_.wvu.PrintArea" localSheetId="1" hidden="1">#REF!</definedName>
    <definedName name="Z_3FBA103C_5DE2_11D2_8EE8_0008C77CC149_.wvu.PrintArea" localSheetId="17" hidden="1">#REF!</definedName>
    <definedName name="Z_3FBA103C_5DE2_11D2_8EE8_0008C77CC149_.wvu.PrintArea" localSheetId="30" hidden="1">#REF!</definedName>
    <definedName name="Z_3FBA103C_5DE2_11D2_8EE8_0008C77CC149_.wvu.PrintArea" localSheetId="31" hidden="1">#REF!</definedName>
    <definedName name="Z_3FBA103C_5DE2_11D2_8EE8_0008C77CC149_.wvu.PrintArea" localSheetId="7" hidden="1">#REF!</definedName>
    <definedName name="Z_3FBA103C_5DE2_11D2_8EE8_0008C77CC149_.wvu.PrintArea" localSheetId="12" hidden="1">#REF!</definedName>
    <definedName name="Z_3FBA103C_5DE2_11D2_8EE8_0008C77CC149_.wvu.PrintArea" localSheetId="9" hidden="1">#REF!</definedName>
    <definedName name="Z_3FBA103C_5DE2_11D2_8EE8_0008C77CC149_.wvu.PrintArea" hidden="1">#REF!</definedName>
    <definedName name="Z_3FBA103C_5DE2_11D2_8EE8_0008C77CC149_.wvu.PrintTitles" localSheetId="1" hidden="1">#REF!</definedName>
    <definedName name="Z_3FBA103C_5DE2_11D2_8EE8_0008C77CC149_.wvu.PrintTitles" localSheetId="17" hidden="1">#REF!</definedName>
    <definedName name="Z_3FBA103C_5DE2_11D2_8EE8_0008C77CC149_.wvu.PrintTitles" localSheetId="31" hidden="1">#REF!</definedName>
    <definedName name="Z_3FBA103C_5DE2_11D2_8EE8_0008C77CC149_.wvu.PrintTitles" localSheetId="7" hidden="1">#REF!</definedName>
    <definedName name="Z_3FBA103C_5DE2_11D2_8EE8_0008C77CC149_.wvu.PrintTitles" localSheetId="9" hidden="1">#REF!</definedName>
    <definedName name="Z_3FBA103C_5DE2_11D2_8EE8_0008C77CC149_.wvu.PrintTitles" hidden="1">#REF!</definedName>
    <definedName name="Z_3FBA104B_5DE2_11D2_8EE8_0008C77CC149_.wvu.PrintArea" localSheetId="1" hidden="1">#REF!</definedName>
    <definedName name="Z_3FBA104B_5DE2_11D2_8EE8_0008C77CC149_.wvu.PrintArea" localSheetId="17" hidden="1">#REF!</definedName>
    <definedName name="Z_3FBA104B_5DE2_11D2_8EE8_0008C77CC149_.wvu.PrintArea" localSheetId="31" hidden="1">#REF!</definedName>
    <definedName name="Z_3FBA104B_5DE2_11D2_8EE8_0008C77CC149_.wvu.PrintArea" localSheetId="7" hidden="1">#REF!</definedName>
    <definedName name="Z_3FBA104B_5DE2_11D2_8EE8_0008C77CC149_.wvu.PrintArea" localSheetId="9" hidden="1">#REF!</definedName>
    <definedName name="Z_3FBA104B_5DE2_11D2_8EE8_0008C77CC149_.wvu.PrintArea" hidden="1">#REF!</definedName>
    <definedName name="Z_3FBA104B_5DE2_11D2_8EE8_0008C77CC149_.wvu.PrintTitles" localSheetId="31" hidden="1">#REF!</definedName>
    <definedName name="Z_3FBA104B_5DE2_11D2_8EE8_0008C77CC149_.wvu.PrintTitles" localSheetId="7" hidden="1">#REF!</definedName>
    <definedName name="Z_3FBA104B_5DE2_11D2_8EE8_0008C77CC149_.wvu.PrintTitles" hidden="1">#REF!</definedName>
    <definedName name="Z_3FBA1058_5DE2_11D2_8EE8_0008C77CC149_.wvu.PrintArea" localSheetId="31" hidden="1">#REF!</definedName>
    <definedName name="Z_3FBA1058_5DE2_11D2_8EE8_0008C77CC149_.wvu.PrintArea" localSheetId="7" hidden="1">#REF!</definedName>
    <definedName name="Z_3FBA1058_5DE2_11D2_8EE8_0008C77CC149_.wvu.PrintArea" hidden="1">#REF!</definedName>
    <definedName name="Z_3FBA1058_5DE2_11D2_8EE8_0008C77CC149_.wvu.PrintTitles" localSheetId="1" hidden="1">#REF!,#REF!</definedName>
    <definedName name="Z_3FBA1058_5DE2_11D2_8EE8_0008C77CC149_.wvu.PrintTitles" localSheetId="17" hidden="1">#REF!,#REF!</definedName>
    <definedName name="Z_3FBA1058_5DE2_11D2_8EE8_0008C77CC149_.wvu.PrintTitles" localSheetId="30" hidden="1">#REF!,#REF!</definedName>
    <definedName name="Z_3FBA1058_5DE2_11D2_8EE8_0008C77CC149_.wvu.PrintTitles" localSheetId="31" hidden="1">#REF!,#REF!</definedName>
    <definedName name="Z_3FBA1058_5DE2_11D2_8EE8_0008C77CC149_.wvu.PrintTitles" localSheetId="7" hidden="1">#REF!,#REF!</definedName>
    <definedName name="Z_3FBA1058_5DE2_11D2_8EE8_0008C77CC149_.wvu.PrintTitles" localSheetId="12" hidden="1">#REF!,#REF!</definedName>
    <definedName name="Z_3FBA1058_5DE2_11D2_8EE8_0008C77CC149_.wvu.PrintTitles" localSheetId="9" hidden="1">#REF!,#REF!</definedName>
    <definedName name="Z_3FBA1058_5DE2_11D2_8EE8_0008C77CC149_.wvu.PrintTitles" hidden="1">#REF!,#REF!</definedName>
    <definedName name="Z_3FE15DB3_17FC_11D2_8E97_0008C77CC149_.wvu.PrintArea" localSheetId="1" hidden="1">#REF!</definedName>
    <definedName name="Z_3FE15DB3_17FC_11D2_8E97_0008C77CC149_.wvu.PrintArea" localSheetId="17" hidden="1">#REF!</definedName>
    <definedName name="Z_3FE15DB3_17FC_11D2_8E97_0008C77CC149_.wvu.PrintArea" localSheetId="30" hidden="1">#REF!</definedName>
    <definedName name="Z_3FE15DB3_17FC_11D2_8E97_0008C77CC149_.wvu.PrintArea" localSheetId="31" hidden="1">#REF!</definedName>
    <definedName name="Z_3FE15DB3_17FC_11D2_8E97_0008C77CC149_.wvu.PrintArea" localSheetId="7" hidden="1">#REF!</definedName>
    <definedName name="Z_3FE15DB3_17FC_11D2_8E97_0008C77CC149_.wvu.PrintArea" localSheetId="12" hidden="1">#REF!</definedName>
    <definedName name="Z_3FE15DB3_17FC_11D2_8E97_0008C77CC149_.wvu.PrintArea" localSheetId="9" hidden="1">#REF!</definedName>
    <definedName name="Z_3FE15DB3_17FC_11D2_8E97_0008C77CC149_.wvu.PrintArea" hidden="1">#REF!</definedName>
    <definedName name="Z_3FE15DB3_17FC_11D2_8E97_0008C77CC149_.wvu.PrintTitles" localSheetId="17" hidden="1">#REF!</definedName>
    <definedName name="Z_3FE15DB3_17FC_11D2_8E97_0008C77CC149_.wvu.PrintTitles" localSheetId="31" hidden="1">#REF!</definedName>
    <definedName name="Z_3FE15DB3_17FC_11D2_8E97_0008C77CC149_.wvu.PrintTitles" localSheetId="7" hidden="1">#REF!</definedName>
    <definedName name="Z_3FE15DB3_17FC_11D2_8E97_0008C77CC149_.wvu.PrintTitles" localSheetId="9" hidden="1">#REF!</definedName>
    <definedName name="Z_3FE15DB3_17FC_11D2_8E97_0008C77CC149_.wvu.PrintTitles" hidden="1">#REF!</definedName>
    <definedName name="Z_3FE15DC2_17FC_11D2_8E97_0008C77CC149_.wvu.PrintArea" localSheetId="17" hidden="1">#REF!</definedName>
    <definedName name="Z_3FE15DC2_17FC_11D2_8E97_0008C77CC149_.wvu.PrintArea" localSheetId="31" hidden="1">#REF!</definedName>
    <definedName name="Z_3FE15DC2_17FC_11D2_8E97_0008C77CC149_.wvu.PrintArea" localSheetId="7" hidden="1">#REF!</definedName>
    <definedName name="Z_3FE15DC2_17FC_11D2_8E97_0008C77CC149_.wvu.PrintArea" localSheetId="9" hidden="1">#REF!</definedName>
    <definedName name="Z_3FE15DC2_17FC_11D2_8E97_0008C77CC149_.wvu.PrintArea" hidden="1">#REF!</definedName>
    <definedName name="Z_3FE15DC2_17FC_11D2_8E97_0008C77CC149_.wvu.PrintTitles" localSheetId="31" hidden="1">#REF!</definedName>
    <definedName name="Z_3FE15DC2_17FC_11D2_8E97_0008C77CC149_.wvu.PrintTitles" localSheetId="7" hidden="1">#REF!</definedName>
    <definedName name="Z_3FE15DC2_17FC_11D2_8E97_0008C77CC149_.wvu.PrintTitles" hidden="1">#REF!</definedName>
    <definedName name="Z_3FE15DCF_17FC_11D2_8E97_0008C77CC149_.wvu.PrintArea" localSheetId="31" hidden="1">#REF!</definedName>
    <definedName name="Z_3FE15DCF_17FC_11D2_8E97_0008C77CC149_.wvu.PrintArea" localSheetId="7" hidden="1">#REF!</definedName>
    <definedName name="Z_3FE15DCF_17FC_11D2_8E97_0008C77CC149_.wvu.PrintArea" hidden="1">#REF!</definedName>
    <definedName name="Z_3FE15DCF_17FC_11D2_8E97_0008C77CC149_.wvu.PrintTitles" localSheetId="1" hidden="1">#REF!,#REF!</definedName>
    <definedName name="Z_3FE15DCF_17FC_11D2_8E97_0008C77CC149_.wvu.PrintTitles" localSheetId="17" hidden="1">#REF!,#REF!</definedName>
    <definedName name="Z_3FE15DCF_17FC_11D2_8E97_0008C77CC149_.wvu.PrintTitles" localSheetId="30" hidden="1">#REF!,#REF!</definedName>
    <definedName name="Z_3FE15DCF_17FC_11D2_8E97_0008C77CC149_.wvu.PrintTitles" localSheetId="31" hidden="1">#REF!,#REF!</definedName>
    <definedName name="Z_3FE15DCF_17FC_11D2_8E97_0008C77CC149_.wvu.PrintTitles" localSheetId="7" hidden="1">#REF!,#REF!</definedName>
    <definedName name="Z_3FE15DCF_17FC_11D2_8E97_0008C77CC149_.wvu.PrintTitles" localSheetId="12" hidden="1">#REF!,#REF!</definedName>
    <definedName name="Z_3FE15DCF_17FC_11D2_8E97_0008C77CC149_.wvu.PrintTitles" localSheetId="9" hidden="1">#REF!,#REF!</definedName>
    <definedName name="Z_3FE15DCF_17FC_11D2_8E97_0008C77CC149_.wvu.PrintTitles" hidden="1">#REF!,#REF!</definedName>
    <definedName name="Z_4BFE5353_FBAD_11D1_B4C6_080009444397_.wvu.Cols" localSheetId="10" hidden="1">#REF!</definedName>
    <definedName name="Z_4BFE5353_FBAD_11D1_B4C6_080009444397_.wvu.Cols" hidden="1">#REF!</definedName>
    <definedName name="Z_4BFE5354_FBAD_11D1_B4C6_080009444397_.wvu.Cols" localSheetId="10" hidden="1">#REF!,#REF!</definedName>
    <definedName name="Z_4BFE5354_FBAD_11D1_B4C6_080009444397_.wvu.Cols" hidden="1">#REF!,#REF!</definedName>
    <definedName name="Z_4BFE5355_FBAD_11D1_B4C6_080009444397_.wvu.Cols" localSheetId="10" hidden="1">#REF!</definedName>
    <definedName name="Z_4BFE5355_FBAD_11D1_B4C6_080009444397_.wvu.Cols" hidden="1">#REF!</definedName>
    <definedName name="Z_4BFE5357_FBAD_11D1_B4C6_080009444397_.wvu.Cols" localSheetId="10" hidden="1">#REF!</definedName>
    <definedName name="Z_4BFE5357_FBAD_11D1_B4C6_080009444397_.wvu.Cols" hidden="1">#REF!</definedName>
    <definedName name="Z_4CC3570C_99A5_11D2_8E90_0008C7BCAF29_.wvu.PrintArea" localSheetId="1" hidden="1">#REF!</definedName>
    <definedName name="Z_4CC3570C_99A5_11D2_8E90_0008C7BCAF29_.wvu.PrintArea" localSheetId="17" hidden="1">#REF!</definedName>
    <definedName name="Z_4CC3570C_99A5_11D2_8E90_0008C7BCAF29_.wvu.PrintArea" localSheetId="30" hidden="1">#REF!</definedName>
    <definedName name="Z_4CC3570C_99A5_11D2_8E90_0008C7BCAF29_.wvu.PrintArea" localSheetId="31" hidden="1">#REF!</definedName>
    <definedName name="Z_4CC3570C_99A5_11D2_8E90_0008C7BCAF29_.wvu.PrintArea" localSheetId="7" hidden="1">#REF!</definedName>
    <definedName name="Z_4CC3570C_99A5_11D2_8E90_0008C7BCAF29_.wvu.PrintArea" localSheetId="9" hidden="1">#REF!</definedName>
    <definedName name="Z_4CC3570C_99A5_11D2_8E90_0008C7BCAF29_.wvu.PrintArea" hidden="1">#REF!</definedName>
    <definedName name="Z_4CC3570C_99A5_11D2_8E90_0008C7BCAF29_.wvu.PrintTitles" localSheetId="1" hidden="1">#REF!,#REF!</definedName>
    <definedName name="Z_4CC3570C_99A5_11D2_8E90_0008C7BCAF29_.wvu.PrintTitles" localSheetId="17" hidden="1">#REF!,#REF!</definedName>
    <definedName name="Z_4CC3570C_99A5_11D2_8E90_0008C7BCAF29_.wvu.PrintTitles" localSheetId="30" hidden="1">#REF!,#REF!</definedName>
    <definedName name="Z_4CC3570C_99A5_11D2_8E90_0008C7BCAF29_.wvu.PrintTitles" localSheetId="31" hidden="1">#REF!,#REF!</definedName>
    <definedName name="Z_4CC3570C_99A5_11D2_8E90_0008C7BCAF29_.wvu.PrintTitles" localSheetId="7" hidden="1">#REF!,#REF!</definedName>
    <definedName name="Z_4CC3570C_99A5_11D2_8E90_0008C7BCAF29_.wvu.PrintTitles" localSheetId="12" hidden="1">#REF!,#REF!</definedName>
    <definedName name="Z_4CC3570C_99A5_11D2_8E90_0008C7BCAF29_.wvu.PrintTitles" localSheetId="9" hidden="1">#REF!,#REF!</definedName>
    <definedName name="Z_4CC3570C_99A5_11D2_8E90_0008C7BCAF29_.wvu.PrintTitles" hidden="1">#REF!,#REF!</definedName>
    <definedName name="Z_4CC3570F_99A5_11D2_8E90_0008C7BCAF29_.wvu.PrintArea" localSheetId="17" hidden="1">#REF!</definedName>
    <definedName name="Z_4CC3570F_99A5_11D2_8E90_0008C7BCAF29_.wvu.PrintArea" localSheetId="30" hidden="1">#REF!</definedName>
    <definedName name="Z_4CC3570F_99A5_11D2_8E90_0008C7BCAF29_.wvu.PrintArea" localSheetId="31" hidden="1">#REF!</definedName>
    <definedName name="Z_4CC3570F_99A5_11D2_8E90_0008C7BCAF29_.wvu.PrintArea" localSheetId="7" hidden="1">#REF!</definedName>
    <definedName name="Z_4CC3570F_99A5_11D2_8E90_0008C7BCAF29_.wvu.PrintArea" localSheetId="12" hidden="1">#REF!</definedName>
    <definedName name="Z_4CC3570F_99A5_11D2_8E90_0008C7BCAF29_.wvu.PrintArea" localSheetId="9" hidden="1">#REF!</definedName>
    <definedName name="Z_4CC3570F_99A5_11D2_8E90_0008C7BCAF29_.wvu.PrintArea" hidden="1">#REF!</definedName>
    <definedName name="Z_4CC3570F_99A5_11D2_8E90_0008C7BCAF29_.wvu.PrintTitles" localSheetId="17" hidden="1">#REF!</definedName>
    <definedName name="Z_4CC3570F_99A5_11D2_8E90_0008C7BCAF29_.wvu.PrintTitles" localSheetId="31" hidden="1">#REF!</definedName>
    <definedName name="Z_4CC3570F_99A5_11D2_8E90_0008C7BCAF29_.wvu.PrintTitles" localSheetId="7" hidden="1">#REF!</definedName>
    <definedName name="Z_4CC3570F_99A5_11D2_8E90_0008C7BCAF29_.wvu.PrintTitles" localSheetId="9" hidden="1">#REF!</definedName>
    <definedName name="Z_4CC3570F_99A5_11D2_8E90_0008C7BCAF29_.wvu.PrintTitles" hidden="1">#REF!</definedName>
    <definedName name="Z_4CC35714_99A5_11D2_8E90_0008C7BCAF29_.wvu.PrintArea" localSheetId="17" hidden="1">#REF!</definedName>
    <definedName name="Z_4CC35714_99A5_11D2_8E90_0008C7BCAF29_.wvu.PrintArea" localSheetId="31" hidden="1">#REF!</definedName>
    <definedName name="Z_4CC35714_99A5_11D2_8E90_0008C7BCAF29_.wvu.PrintArea" localSheetId="7" hidden="1">#REF!</definedName>
    <definedName name="Z_4CC35714_99A5_11D2_8E90_0008C7BCAF29_.wvu.PrintArea" localSheetId="9" hidden="1">#REF!</definedName>
    <definedName name="Z_4CC35714_99A5_11D2_8E90_0008C7BCAF29_.wvu.PrintArea" hidden="1">#REF!</definedName>
    <definedName name="Z_4CC35714_99A5_11D2_8E90_0008C7BCAF29_.wvu.PrintTitles" localSheetId="1" hidden="1">#REF!,#REF!</definedName>
    <definedName name="Z_4CC35714_99A5_11D2_8E90_0008C7BCAF29_.wvu.PrintTitles" localSheetId="17" hidden="1">#REF!,#REF!</definedName>
    <definedName name="Z_4CC35714_99A5_11D2_8E90_0008C7BCAF29_.wvu.PrintTitles" localSheetId="30" hidden="1">#REF!,#REF!</definedName>
    <definedName name="Z_4CC35714_99A5_11D2_8E90_0008C7BCAF29_.wvu.PrintTitles" localSheetId="31" hidden="1">#REF!,#REF!</definedName>
    <definedName name="Z_4CC35714_99A5_11D2_8E90_0008C7BCAF29_.wvu.PrintTitles" localSheetId="7" hidden="1">#REF!,#REF!</definedName>
    <definedName name="Z_4CC35714_99A5_11D2_8E90_0008C7BCAF29_.wvu.PrintTitles" localSheetId="12" hidden="1">#REF!,#REF!</definedName>
    <definedName name="Z_4CC35714_99A5_11D2_8E90_0008C7BCAF29_.wvu.PrintTitles" localSheetId="9" hidden="1">#REF!,#REF!</definedName>
    <definedName name="Z_4CC35714_99A5_11D2_8E90_0008C7BCAF29_.wvu.PrintTitles" hidden="1">#REF!,#REF!</definedName>
    <definedName name="Z_4CC35716_99A5_11D2_8E90_0008C7BCAF29_.wvu.PrintArea" localSheetId="17" hidden="1">#REF!</definedName>
    <definedName name="Z_4CC35716_99A5_11D2_8E90_0008C7BCAF29_.wvu.PrintArea" localSheetId="30" hidden="1">#REF!</definedName>
    <definedName name="Z_4CC35716_99A5_11D2_8E90_0008C7BCAF29_.wvu.PrintArea" localSheetId="31" hidden="1">#REF!</definedName>
    <definedName name="Z_4CC35716_99A5_11D2_8E90_0008C7BCAF29_.wvu.PrintArea" localSheetId="7" hidden="1">#REF!</definedName>
    <definedName name="Z_4CC35716_99A5_11D2_8E90_0008C7BCAF29_.wvu.PrintArea" localSheetId="12" hidden="1">#REF!</definedName>
    <definedName name="Z_4CC35716_99A5_11D2_8E90_0008C7BCAF29_.wvu.PrintArea" localSheetId="9" hidden="1">#REF!</definedName>
    <definedName name="Z_4CC35716_99A5_11D2_8E90_0008C7BCAF29_.wvu.PrintArea" hidden="1">#REF!</definedName>
    <definedName name="Z_4CC35716_99A5_11D2_8E90_0008C7BCAF29_.wvu.PrintTitles" localSheetId="17" hidden="1">#REF!,#REF!</definedName>
    <definedName name="Z_4CC35716_99A5_11D2_8E90_0008C7BCAF29_.wvu.PrintTitles" localSheetId="30" hidden="1">#REF!,#REF!</definedName>
    <definedName name="Z_4CC35716_99A5_11D2_8E90_0008C7BCAF29_.wvu.PrintTitles" localSheetId="31" hidden="1">#REF!,#REF!</definedName>
    <definedName name="Z_4CC35716_99A5_11D2_8E90_0008C7BCAF29_.wvu.PrintTitles" localSheetId="7" hidden="1">#REF!,#REF!</definedName>
    <definedName name="Z_4CC35716_99A5_11D2_8E90_0008C7BCAF29_.wvu.PrintTitles" localSheetId="12" hidden="1">#REF!,#REF!</definedName>
    <definedName name="Z_4CC35716_99A5_11D2_8E90_0008C7BCAF29_.wvu.PrintTitles" localSheetId="9" hidden="1">#REF!,#REF!</definedName>
    <definedName name="Z_4CC35716_99A5_11D2_8E90_0008C7BCAF29_.wvu.PrintTitles" hidden="1">#REF!,#REF!</definedName>
    <definedName name="Z_4CC35719_99A5_11D2_8E90_0008C7BCAF29_.wvu.PrintArea" localSheetId="17" hidden="1">#REF!</definedName>
    <definedName name="Z_4CC35719_99A5_11D2_8E90_0008C7BCAF29_.wvu.PrintArea" localSheetId="30" hidden="1">#REF!</definedName>
    <definedName name="Z_4CC35719_99A5_11D2_8E90_0008C7BCAF29_.wvu.PrintArea" localSheetId="31" hidden="1">#REF!</definedName>
    <definedName name="Z_4CC35719_99A5_11D2_8E90_0008C7BCAF29_.wvu.PrintArea" localSheetId="7" hidden="1">#REF!</definedName>
    <definedName name="Z_4CC35719_99A5_11D2_8E90_0008C7BCAF29_.wvu.PrintArea" localSheetId="12" hidden="1">#REF!</definedName>
    <definedName name="Z_4CC35719_99A5_11D2_8E90_0008C7BCAF29_.wvu.PrintArea" localSheetId="9" hidden="1">#REF!</definedName>
    <definedName name="Z_4CC35719_99A5_11D2_8E90_0008C7BCAF29_.wvu.PrintArea" hidden="1">#REF!</definedName>
    <definedName name="Z_4CC35719_99A5_11D2_8E90_0008C7BCAF29_.wvu.PrintTitles" localSheetId="17" hidden="1">#REF!</definedName>
    <definedName name="Z_4CC35719_99A5_11D2_8E90_0008C7BCAF29_.wvu.PrintTitles" localSheetId="31" hidden="1">#REF!</definedName>
    <definedName name="Z_4CC35719_99A5_11D2_8E90_0008C7BCAF29_.wvu.PrintTitles" localSheetId="7" hidden="1">#REF!</definedName>
    <definedName name="Z_4CC35719_99A5_11D2_8E90_0008C7BCAF29_.wvu.PrintTitles" localSheetId="9" hidden="1">#REF!</definedName>
    <definedName name="Z_4CC35719_99A5_11D2_8E90_0008C7BCAF29_.wvu.PrintTitles" hidden="1">#REF!</definedName>
    <definedName name="Z_4CC3571E_99A5_11D2_8E90_0008C7BCAF29_.wvu.PrintArea" localSheetId="17" hidden="1">#REF!</definedName>
    <definedName name="Z_4CC3571E_99A5_11D2_8E90_0008C7BCAF29_.wvu.PrintArea" localSheetId="31" hidden="1">#REF!</definedName>
    <definedName name="Z_4CC3571E_99A5_11D2_8E90_0008C7BCAF29_.wvu.PrintArea" localSheetId="7" hidden="1">#REF!</definedName>
    <definedName name="Z_4CC3571E_99A5_11D2_8E90_0008C7BCAF29_.wvu.PrintArea" localSheetId="9" hidden="1">#REF!</definedName>
    <definedName name="Z_4CC3571E_99A5_11D2_8E90_0008C7BCAF29_.wvu.PrintArea" hidden="1">#REF!</definedName>
    <definedName name="Z_4CC3571E_99A5_11D2_8E90_0008C7BCAF29_.wvu.PrintTitles" localSheetId="17" hidden="1">#REF!,#REF!</definedName>
    <definedName name="Z_4CC3571E_99A5_11D2_8E90_0008C7BCAF29_.wvu.PrintTitles" localSheetId="30" hidden="1">#REF!,#REF!</definedName>
    <definedName name="Z_4CC3571E_99A5_11D2_8E90_0008C7BCAF29_.wvu.PrintTitles" localSheetId="31" hidden="1">#REF!,#REF!</definedName>
    <definedName name="Z_4CC3571E_99A5_11D2_8E90_0008C7BCAF29_.wvu.PrintTitles" localSheetId="7" hidden="1">#REF!,#REF!</definedName>
    <definedName name="Z_4CC3571E_99A5_11D2_8E90_0008C7BCAF29_.wvu.PrintTitles" localSheetId="12" hidden="1">#REF!,#REF!</definedName>
    <definedName name="Z_4CC3571E_99A5_11D2_8E90_0008C7BCAF29_.wvu.PrintTitles" localSheetId="9" hidden="1">#REF!,#REF!</definedName>
    <definedName name="Z_4CC3571E_99A5_11D2_8E90_0008C7BCAF29_.wvu.PrintTitles" hidden="1">#REF!,#REF!</definedName>
    <definedName name="Z_4CC35721_99A5_11D2_8E90_0008C7BCAF29_.wvu.PrintArea" localSheetId="17" hidden="1">#REF!</definedName>
    <definedName name="Z_4CC35721_99A5_11D2_8E90_0008C7BCAF29_.wvu.PrintArea" localSheetId="30" hidden="1">#REF!</definedName>
    <definedName name="Z_4CC35721_99A5_11D2_8E90_0008C7BCAF29_.wvu.PrintArea" localSheetId="31" hidden="1">#REF!</definedName>
    <definedName name="Z_4CC35721_99A5_11D2_8E90_0008C7BCAF29_.wvu.PrintArea" localSheetId="7" hidden="1">#REF!</definedName>
    <definedName name="Z_4CC35721_99A5_11D2_8E90_0008C7BCAF29_.wvu.PrintArea" localSheetId="12" hidden="1">#REF!</definedName>
    <definedName name="Z_4CC35721_99A5_11D2_8E90_0008C7BCAF29_.wvu.PrintArea" localSheetId="9" hidden="1">#REF!</definedName>
    <definedName name="Z_4CC35721_99A5_11D2_8E90_0008C7BCAF29_.wvu.PrintArea" hidden="1">#REF!</definedName>
    <definedName name="Z_4CC35721_99A5_11D2_8E90_0008C7BCAF29_.wvu.PrintTitles" localSheetId="17" hidden="1">#REF!,#REF!</definedName>
    <definedName name="Z_4CC35721_99A5_11D2_8E90_0008C7BCAF29_.wvu.PrintTitles" localSheetId="30" hidden="1">#REF!,#REF!</definedName>
    <definedName name="Z_4CC35721_99A5_11D2_8E90_0008C7BCAF29_.wvu.PrintTitles" localSheetId="31" hidden="1">#REF!,#REF!</definedName>
    <definedName name="Z_4CC35721_99A5_11D2_8E90_0008C7BCAF29_.wvu.PrintTitles" localSheetId="7" hidden="1">#REF!,#REF!</definedName>
    <definedName name="Z_4CC35721_99A5_11D2_8E90_0008C7BCAF29_.wvu.PrintTitles" localSheetId="12" hidden="1">#REF!,#REF!</definedName>
    <definedName name="Z_4CC35721_99A5_11D2_8E90_0008C7BCAF29_.wvu.PrintTitles" localSheetId="9" hidden="1">#REF!,#REF!</definedName>
    <definedName name="Z_4CC35721_99A5_11D2_8E90_0008C7BCAF29_.wvu.PrintTitles" hidden="1">#REF!,#REF!</definedName>
    <definedName name="Z_5D420C21_0476_11D2_A26F_08000939C87E_.wvu.Cols" localSheetId="10" hidden="1">#REF!</definedName>
    <definedName name="Z_5D420C21_0476_11D2_A26F_08000939C87E_.wvu.Cols" hidden="1">#REF!</definedName>
    <definedName name="Z_5D420C22_0476_11D2_A26F_08000939C87E_.wvu.Cols" localSheetId="7" hidden="1">#REF!,#REF!</definedName>
    <definedName name="Z_5D420C22_0476_11D2_A26F_08000939C87E_.wvu.Cols" localSheetId="10" hidden="1">#REF!,#REF!</definedName>
    <definedName name="Z_5D420C22_0476_11D2_A26F_08000939C87E_.wvu.Cols" hidden="1">#REF!,#REF!</definedName>
    <definedName name="Z_5D420C23_0476_11D2_A26F_08000939C87E_.wvu.Cols" localSheetId="10" hidden="1">#REF!</definedName>
    <definedName name="Z_5D420C23_0476_11D2_A26F_08000939C87E_.wvu.Cols" hidden="1">#REF!</definedName>
    <definedName name="Z_5D420C25_0476_11D2_A26F_08000939C87E_.wvu.Cols" localSheetId="10" hidden="1">#REF!</definedName>
    <definedName name="Z_5D420C25_0476_11D2_A26F_08000939C87E_.wvu.Cols" hidden="1">#REF!</definedName>
    <definedName name="Z_5F95E421_892A_11D2_8E7F_0008C7809E09_.wvu.PrintArea" localSheetId="17" hidden="1">#REF!</definedName>
    <definedName name="Z_5F95E421_892A_11D2_8E7F_0008C7809E09_.wvu.PrintArea" localSheetId="30" hidden="1">#REF!</definedName>
    <definedName name="Z_5F95E421_892A_11D2_8E7F_0008C7809E09_.wvu.PrintArea" localSheetId="31" hidden="1">#REF!</definedName>
    <definedName name="Z_5F95E421_892A_11D2_8E7F_0008C7809E09_.wvu.PrintArea" localSheetId="7" hidden="1">#REF!</definedName>
    <definedName name="Z_5F95E421_892A_11D2_8E7F_0008C7809E09_.wvu.PrintArea" localSheetId="9" hidden="1">#REF!</definedName>
    <definedName name="Z_5F95E421_892A_11D2_8E7F_0008C7809E09_.wvu.PrintArea" hidden="1">#REF!</definedName>
    <definedName name="Z_5F95E421_892A_11D2_8E7F_0008C7809E09_.wvu.PrintTitles" localSheetId="17" hidden="1">#REF!,#REF!</definedName>
    <definedName name="Z_5F95E421_892A_11D2_8E7F_0008C7809E09_.wvu.PrintTitles" localSheetId="30" hidden="1">#REF!,#REF!</definedName>
    <definedName name="Z_5F95E421_892A_11D2_8E7F_0008C7809E09_.wvu.PrintTitles" localSheetId="31" hidden="1">#REF!,#REF!</definedName>
    <definedName name="Z_5F95E421_892A_11D2_8E7F_0008C7809E09_.wvu.PrintTitles" localSheetId="7" hidden="1">#REF!,#REF!</definedName>
    <definedName name="Z_5F95E421_892A_11D2_8E7F_0008C7809E09_.wvu.PrintTitles" localSheetId="12" hidden="1">#REF!,#REF!</definedName>
    <definedName name="Z_5F95E421_892A_11D2_8E7F_0008C7809E09_.wvu.PrintTitles" localSheetId="9" hidden="1">#REF!,#REF!</definedName>
    <definedName name="Z_5F95E421_892A_11D2_8E7F_0008C7809E09_.wvu.PrintTitles" hidden="1">#REF!,#REF!</definedName>
    <definedName name="Z_5F95E424_892A_11D2_8E7F_0008C7809E09_.wvu.PrintArea" localSheetId="17" hidden="1">#REF!</definedName>
    <definedName name="Z_5F95E424_892A_11D2_8E7F_0008C7809E09_.wvu.PrintArea" localSheetId="30" hidden="1">#REF!</definedName>
    <definedName name="Z_5F95E424_892A_11D2_8E7F_0008C7809E09_.wvu.PrintArea" localSheetId="31" hidden="1">#REF!</definedName>
    <definedName name="Z_5F95E424_892A_11D2_8E7F_0008C7809E09_.wvu.PrintArea" localSheetId="7" hidden="1">#REF!</definedName>
    <definedName name="Z_5F95E424_892A_11D2_8E7F_0008C7809E09_.wvu.PrintArea" localSheetId="12" hidden="1">#REF!</definedName>
    <definedName name="Z_5F95E424_892A_11D2_8E7F_0008C7809E09_.wvu.PrintArea" localSheetId="9" hidden="1">#REF!</definedName>
    <definedName name="Z_5F95E424_892A_11D2_8E7F_0008C7809E09_.wvu.PrintArea" hidden="1">#REF!</definedName>
    <definedName name="Z_5F95E424_892A_11D2_8E7F_0008C7809E09_.wvu.PrintTitles" localSheetId="17" hidden="1">#REF!</definedName>
    <definedName name="Z_5F95E424_892A_11D2_8E7F_0008C7809E09_.wvu.PrintTitles" localSheetId="31" hidden="1">#REF!</definedName>
    <definedName name="Z_5F95E424_892A_11D2_8E7F_0008C7809E09_.wvu.PrintTitles" localSheetId="7" hidden="1">#REF!</definedName>
    <definedName name="Z_5F95E424_892A_11D2_8E7F_0008C7809E09_.wvu.PrintTitles" localSheetId="9" hidden="1">#REF!</definedName>
    <definedName name="Z_5F95E424_892A_11D2_8E7F_0008C7809E09_.wvu.PrintTitles" hidden="1">#REF!</definedName>
    <definedName name="Z_5F95E429_892A_11D2_8E7F_0008C7809E09_.wvu.PrintArea" localSheetId="17" hidden="1">#REF!</definedName>
    <definedName name="Z_5F95E429_892A_11D2_8E7F_0008C7809E09_.wvu.PrintArea" localSheetId="31" hidden="1">#REF!</definedName>
    <definedName name="Z_5F95E429_892A_11D2_8E7F_0008C7809E09_.wvu.PrintArea" localSheetId="7" hidden="1">#REF!</definedName>
    <definedName name="Z_5F95E429_892A_11D2_8E7F_0008C7809E09_.wvu.PrintArea" localSheetId="9" hidden="1">#REF!</definedName>
    <definedName name="Z_5F95E429_892A_11D2_8E7F_0008C7809E09_.wvu.PrintArea" hidden="1">#REF!</definedName>
    <definedName name="Z_5F95E429_892A_11D2_8E7F_0008C7809E09_.wvu.PrintTitles" localSheetId="17" hidden="1">#REF!,#REF!</definedName>
    <definedName name="Z_5F95E429_892A_11D2_8E7F_0008C7809E09_.wvu.PrintTitles" localSheetId="30" hidden="1">#REF!,#REF!</definedName>
    <definedName name="Z_5F95E429_892A_11D2_8E7F_0008C7809E09_.wvu.PrintTitles" localSheetId="31" hidden="1">#REF!,#REF!</definedName>
    <definedName name="Z_5F95E429_892A_11D2_8E7F_0008C7809E09_.wvu.PrintTitles" localSheetId="7" hidden="1">#REF!,#REF!</definedName>
    <definedName name="Z_5F95E429_892A_11D2_8E7F_0008C7809E09_.wvu.PrintTitles" localSheetId="12" hidden="1">#REF!,#REF!</definedName>
    <definedName name="Z_5F95E429_892A_11D2_8E7F_0008C7809E09_.wvu.PrintTitles" localSheetId="9" hidden="1">#REF!,#REF!</definedName>
    <definedName name="Z_5F95E429_892A_11D2_8E7F_0008C7809E09_.wvu.PrintTitles" hidden="1">#REF!,#REF!</definedName>
    <definedName name="Z_5F95E42B_892A_11D2_8E7F_0008C7809E09_.wvu.PrintArea" localSheetId="17" hidden="1">#REF!</definedName>
    <definedName name="Z_5F95E42B_892A_11D2_8E7F_0008C7809E09_.wvu.PrintArea" localSheetId="30" hidden="1">#REF!</definedName>
    <definedName name="Z_5F95E42B_892A_11D2_8E7F_0008C7809E09_.wvu.PrintArea" localSheetId="31" hidden="1">#REF!</definedName>
    <definedName name="Z_5F95E42B_892A_11D2_8E7F_0008C7809E09_.wvu.PrintArea" localSheetId="7" hidden="1">#REF!</definedName>
    <definedName name="Z_5F95E42B_892A_11D2_8E7F_0008C7809E09_.wvu.PrintArea" localSheetId="12" hidden="1">#REF!</definedName>
    <definedName name="Z_5F95E42B_892A_11D2_8E7F_0008C7809E09_.wvu.PrintArea" localSheetId="9" hidden="1">#REF!</definedName>
    <definedName name="Z_5F95E42B_892A_11D2_8E7F_0008C7809E09_.wvu.PrintArea" hidden="1">#REF!</definedName>
    <definedName name="Z_5F95E42B_892A_11D2_8E7F_0008C7809E09_.wvu.PrintTitles" localSheetId="17" hidden="1">#REF!,#REF!</definedName>
    <definedName name="Z_5F95E42B_892A_11D2_8E7F_0008C7809E09_.wvu.PrintTitles" localSheetId="30" hidden="1">#REF!,#REF!</definedName>
    <definedName name="Z_5F95E42B_892A_11D2_8E7F_0008C7809E09_.wvu.PrintTitles" localSheetId="31" hidden="1">#REF!,#REF!</definedName>
    <definedName name="Z_5F95E42B_892A_11D2_8E7F_0008C7809E09_.wvu.PrintTitles" localSheetId="7" hidden="1">#REF!,#REF!</definedName>
    <definedName name="Z_5F95E42B_892A_11D2_8E7F_0008C7809E09_.wvu.PrintTitles" localSheetId="12" hidden="1">#REF!,#REF!</definedName>
    <definedName name="Z_5F95E42B_892A_11D2_8E7F_0008C7809E09_.wvu.PrintTitles" localSheetId="9" hidden="1">#REF!,#REF!</definedName>
    <definedName name="Z_5F95E42B_892A_11D2_8E7F_0008C7809E09_.wvu.PrintTitles" hidden="1">#REF!,#REF!</definedName>
    <definedName name="Z_5F95E42E_892A_11D2_8E7F_0008C7809E09_.wvu.PrintArea" localSheetId="17" hidden="1">#REF!</definedName>
    <definedName name="Z_5F95E42E_892A_11D2_8E7F_0008C7809E09_.wvu.PrintArea" localSheetId="30" hidden="1">#REF!</definedName>
    <definedName name="Z_5F95E42E_892A_11D2_8E7F_0008C7809E09_.wvu.PrintArea" localSheetId="31" hidden="1">#REF!</definedName>
    <definedName name="Z_5F95E42E_892A_11D2_8E7F_0008C7809E09_.wvu.PrintArea" localSheetId="7" hidden="1">#REF!</definedName>
    <definedName name="Z_5F95E42E_892A_11D2_8E7F_0008C7809E09_.wvu.PrintArea" localSheetId="12" hidden="1">#REF!</definedName>
    <definedName name="Z_5F95E42E_892A_11D2_8E7F_0008C7809E09_.wvu.PrintArea" localSheetId="9" hidden="1">#REF!</definedName>
    <definedName name="Z_5F95E42E_892A_11D2_8E7F_0008C7809E09_.wvu.PrintArea" hidden="1">#REF!</definedName>
    <definedName name="Z_5F95E42E_892A_11D2_8E7F_0008C7809E09_.wvu.PrintTitles" localSheetId="17" hidden="1">#REF!</definedName>
    <definedName name="Z_5F95E42E_892A_11D2_8E7F_0008C7809E09_.wvu.PrintTitles" localSheetId="31" hidden="1">#REF!</definedName>
    <definedName name="Z_5F95E42E_892A_11D2_8E7F_0008C7809E09_.wvu.PrintTitles" localSheetId="7" hidden="1">#REF!</definedName>
    <definedName name="Z_5F95E42E_892A_11D2_8E7F_0008C7809E09_.wvu.PrintTitles" localSheetId="9" hidden="1">#REF!</definedName>
    <definedName name="Z_5F95E42E_892A_11D2_8E7F_0008C7809E09_.wvu.PrintTitles" hidden="1">#REF!</definedName>
    <definedName name="Z_5F95E433_892A_11D2_8E7F_0008C7809E09_.wvu.PrintArea" localSheetId="17" hidden="1">#REF!</definedName>
    <definedName name="Z_5F95E433_892A_11D2_8E7F_0008C7809E09_.wvu.PrintArea" localSheetId="31" hidden="1">#REF!</definedName>
    <definedName name="Z_5F95E433_892A_11D2_8E7F_0008C7809E09_.wvu.PrintArea" localSheetId="7" hidden="1">#REF!</definedName>
    <definedName name="Z_5F95E433_892A_11D2_8E7F_0008C7809E09_.wvu.PrintArea" localSheetId="9" hidden="1">#REF!</definedName>
    <definedName name="Z_5F95E433_892A_11D2_8E7F_0008C7809E09_.wvu.PrintArea" hidden="1">#REF!</definedName>
    <definedName name="Z_5F95E433_892A_11D2_8E7F_0008C7809E09_.wvu.PrintTitles" localSheetId="17" hidden="1">#REF!,#REF!</definedName>
    <definedName name="Z_5F95E433_892A_11D2_8E7F_0008C7809E09_.wvu.PrintTitles" localSheetId="30" hidden="1">#REF!,#REF!</definedName>
    <definedName name="Z_5F95E433_892A_11D2_8E7F_0008C7809E09_.wvu.PrintTitles" localSheetId="31" hidden="1">#REF!,#REF!</definedName>
    <definedName name="Z_5F95E433_892A_11D2_8E7F_0008C7809E09_.wvu.PrintTitles" localSheetId="7" hidden="1">#REF!,#REF!</definedName>
    <definedName name="Z_5F95E433_892A_11D2_8E7F_0008C7809E09_.wvu.PrintTitles" localSheetId="12" hidden="1">#REF!,#REF!</definedName>
    <definedName name="Z_5F95E433_892A_11D2_8E7F_0008C7809E09_.wvu.PrintTitles" localSheetId="9" hidden="1">#REF!,#REF!</definedName>
    <definedName name="Z_5F95E433_892A_11D2_8E7F_0008C7809E09_.wvu.PrintTitles" hidden="1">#REF!,#REF!</definedName>
    <definedName name="Z_5F95E436_892A_11D2_8E7F_0008C7809E09_.wvu.PrintArea" localSheetId="17" hidden="1">#REF!</definedName>
    <definedName name="Z_5F95E436_892A_11D2_8E7F_0008C7809E09_.wvu.PrintArea" localSheetId="30" hidden="1">#REF!</definedName>
    <definedName name="Z_5F95E436_892A_11D2_8E7F_0008C7809E09_.wvu.PrintArea" localSheetId="31" hidden="1">#REF!</definedName>
    <definedName name="Z_5F95E436_892A_11D2_8E7F_0008C7809E09_.wvu.PrintArea" localSheetId="7" hidden="1">#REF!</definedName>
    <definedName name="Z_5F95E436_892A_11D2_8E7F_0008C7809E09_.wvu.PrintArea" localSheetId="12" hidden="1">#REF!</definedName>
    <definedName name="Z_5F95E436_892A_11D2_8E7F_0008C7809E09_.wvu.PrintArea" localSheetId="9" hidden="1">#REF!</definedName>
    <definedName name="Z_5F95E436_892A_11D2_8E7F_0008C7809E09_.wvu.PrintArea" hidden="1">#REF!</definedName>
    <definedName name="Z_5F95E436_892A_11D2_8E7F_0008C7809E09_.wvu.PrintTitles" localSheetId="17" hidden="1">#REF!,#REF!</definedName>
    <definedName name="Z_5F95E436_892A_11D2_8E7F_0008C7809E09_.wvu.PrintTitles" localSheetId="30" hidden="1">#REF!,#REF!</definedName>
    <definedName name="Z_5F95E436_892A_11D2_8E7F_0008C7809E09_.wvu.PrintTitles" localSheetId="31" hidden="1">#REF!,#REF!</definedName>
    <definedName name="Z_5F95E436_892A_11D2_8E7F_0008C7809E09_.wvu.PrintTitles" localSheetId="7" hidden="1">#REF!,#REF!</definedName>
    <definedName name="Z_5F95E436_892A_11D2_8E7F_0008C7809E09_.wvu.PrintTitles" localSheetId="12" hidden="1">#REF!,#REF!</definedName>
    <definedName name="Z_5F95E436_892A_11D2_8E7F_0008C7809E09_.wvu.PrintTitles" localSheetId="9" hidden="1">#REF!,#REF!</definedName>
    <definedName name="Z_5F95E436_892A_11D2_8E7F_0008C7809E09_.wvu.PrintTitles" hidden="1">#REF!,#REF!</definedName>
    <definedName name="Z_61DB0F02_10ED_11D2_8E73_0008C77C0743_.wvu.PrintArea" localSheetId="17" hidden="1">#REF!</definedName>
    <definedName name="Z_61DB0F02_10ED_11D2_8E73_0008C77C0743_.wvu.PrintArea" localSheetId="30" hidden="1">#REF!</definedName>
    <definedName name="Z_61DB0F02_10ED_11D2_8E73_0008C77C0743_.wvu.PrintArea" localSheetId="31" hidden="1">#REF!</definedName>
    <definedName name="Z_61DB0F02_10ED_11D2_8E73_0008C77C0743_.wvu.PrintArea" localSheetId="7" hidden="1">#REF!</definedName>
    <definedName name="Z_61DB0F02_10ED_11D2_8E73_0008C77C0743_.wvu.PrintArea" localSheetId="12" hidden="1">#REF!</definedName>
    <definedName name="Z_61DB0F02_10ED_11D2_8E73_0008C77C0743_.wvu.PrintArea" localSheetId="9" hidden="1">#REF!</definedName>
    <definedName name="Z_61DB0F02_10ED_11D2_8E73_0008C77C0743_.wvu.PrintArea" hidden="1">#REF!</definedName>
    <definedName name="Z_61DB0F02_10ED_11D2_8E73_0008C77C0743_.wvu.PrintTitles" localSheetId="17" hidden="1">#REF!</definedName>
    <definedName name="Z_61DB0F02_10ED_11D2_8E73_0008C77C0743_.wvu.PrintTitles" localSheetId="31" hidden="1">#REF!</definedName>
    <definedName name="Z_61DB0F02_10ED_11D2_8E73_0008C77C0743_.wvu.PrintTitles" localSheetId="7" hidden="1">#REF!</definedName>
    <definedName name="Z_61DB0F02_10ED_11D2_8E73_0008C77C0743_.wvu.PrintTitles" localSheetId="9" hidden="1">#REF!</definedName>
    <definedName name="Z_61DB0F02_10ED_11D2_8E73_0008C77C0743_.wvu.PrintTitles" hidden="1">#REF!</definedName>
    <definedName name="Z_61DB0F11_10ED_11D2_8E73_0008C77C0743_.wvu.PrintArea" localSheetId="17" hidden="1">#REF!</definedName>
    <definedName name="Z_61DB0F11_10ED_11D2_8E73_0008C77C0743_.wvu.PrintArea" localSheetId="31" hidden="1">#REF!</definedName>
    <definedName name="Z_61DB0F11_10ED_11D2_8E73_0008C77C0743_.wvu.PrintArea" localSheetId="7" hidden="1">#REF!</definedName>
    <definedName name="Z_61DB0F11_10ED_11D2_8E73_0008C77C0743_.wvu.PrintArea" localSheetId="9" hidden="1">#REF!</definedName>
    <definedName name="Z_61DB0F11_10ED_11D2_8E73_0008C77C0743_.wvu.PrintArea" hidden="1">#REF!</definedName>
    <definedName name="Z_61DB0F11_10ED_11D2_8E73_0008C77C0743_.wvu.PrintTitles" localSheetId="31" hidden="1">#REF!</definedName>
    <definedName name="Z_61DB0F11_10ED_11D2_8E73_0008C77C0743_.wvu.PrintTitles" localSheetId="7" hidden="1">#REF!</definedName>
    <definedName name="Z_61DB0F11_10ED_11D2_8E73_0008C77C0743_.wvu.PrintTitles" hidden="1">#REF!</definedName>
    <definedName name="Z_61DB0F1E_10ED_11D2_8E73_0008C77C0743_.wvu.PrintArea" localSheetId="31" hidden="1">#REF!</definedName>
    <definedName name="Z_61DB0F1E_10ED_11D2_8E73_0008C77C0743_.wvu.PrintArea" localSheetId="7" hidden="1">#REF!</definedName>
    <definedName name="Z_61DB0F1E_10ED_11D2_8E73_0008C77C0743_.wvu.PrintArea" hidden="1">#REF!</definedName>
    <definedName name="Z_61DB0F1E_10ED_11D2_8E73_0008C77C0743_.wvu.PrintTitles" localSheetId="17" hidden="1">#REF!,#REF!</definedName>
    <definedName name="Z_61DB0F1E_10ED_11D2_8E73_0008C77C0743_.wvu.PrintTitles" localSheetId="30" hidden="1">#REF!,#REF!</definedName>
    <definedName name="Z_61DB0F1E_10ED_11D2_8E73_0008C77C0743_.wvu.PrintTitles" localSheetId="31" hidden="1">#REF!,#REF!</definedName>
    <definedName name="Z_61DB0F1E_10ED_11D2_8E73_0008C77C0743_.wvu.PrintTitles" localSheetId="7" hidden="1">#REF!,#REF!</definedName>
    <definedName name="Z_61DB0F1E_10ED_11D2_8E73_0008C77C0743_.wvu.PrintTitles" localSheetId="12" hidden="1">#REF!,#REF!</definedName>
    <definedName name="Z_61DB0F1E_10ED_11D2_8E73_0008C77C0743_.wvu.PrintTitles" localSheetId="9" hidden="1">#REF!,#REF!</definedName>
    <definedName name="Z_61DB0F1E_10ED_11D2_8E73_0008C77C0743_.wvu.PrintTitles" hidden="1">#REF!,#REF!</definedName>
    <definedName name="Z_63BC5971_0464_11D2_A26F_08000939C87E_.wvu.Cols" localSheetId="10" hidden="1">#REF!</definedName>
    <definedName name="Z_63BC5971_0464_11D2_A26F_08000939C87E_.wvu.Cols" hidden="1">#REF!</definedName>
    <definedName name="Z_63BC5972_0464_11D2_A26F_08000939C87E_.wvu.Cols" localSheetId="7" hidden="1">#REF!,#REF!</definedName>
    <definedName name="Z_63BC5972_0464_11D2_A26F_08000939C87E_.wvu.Cols" localSheetId="10" hidden="1">#REF!,#REF!</definedName>
    <definedName name="Z_63BC5972_0464_11D2_A26F_08000939C87E_.wvu.Cols" hidden="1">#REF!,#REF!</definedName>
    <definedName name="Z_63BC5973_0464_11D2_A26F_08000939C87E_.wvu.Cols" localSheetId="10" hidden="1">#REF!</definedName>
    <definedName name="Z_63BC5973_0464_11D2_A26F_08000939C87E_.wvu.Cols" hidden="1">#REF!</definedName>
    <definedName name="Z_63BC5975_0464_11D2_A26F_08000939C87E_.wvu.Cols" localSheetId="10" hidden="1">#REF!</definedName>
    <definedName name="Z_63BC5975_0464_11D2_A26F_08000939C87E_.wvu.Cols" hidden="1">#REF!</definedName>
    <definedName name="Z_6749F589_14FD_11D3_8EF9_0008C7BCAF29_.wvu.PrintArea" localSheetId="17" hidden="1">#REF!</definedName>
    <definedName name="Z_6749F589_14FD_11D3_8EF9_0008C7BCAF29_.wvu.PrintArea" localSheetId="30" hidden="1">#REF!</definedName>
    <definedName name="Z_6749F589_14FD_11D3_8EF9_0008C7BCAF29_.wvu.PrintArea" localSheetId="31" hidden="1">#REF!</definedName>
    <definedName name="Z_6749F589_14FD_11D3_8EF9_0008C7BCAF29_.wvu.PrintArea" localSheetId="7" hidden="1">#REF!</definedName>
    <definedName name="Z_6749F589_14FD_11D3_8EF9_0008C7BCAF29_.wvu.PrintArea" localSheetId="9" hidden="1">#REF!</definedName>
    <definedName name="Z_6749F589_14FD_11D3_8EF9_0008C7BCAF29_.wvu.PrintArea" hidden="1">#REF!</definedName>
    <definedName name="Z_6749F589_14FD_11D3_8EF9_0008C7BCAF29_.wvu.PrintTitles" localSheetId="17" hidden="1">#REF!</definedName>
    <definedName name="Z_6749F589_14FD_11D3_8EF9_0008C7BCAF29_.wvu.PrintTitles" localSheetId="31" hidden="1">#REF!</definedName>
    <definedName name="Z_6749F589_14FD_11D3_8EF9_0008C7BCAF29_.wvu.PrintTitles" localSheetId="7" hidden="1">#REF!</definedName>
    <definedName name="Z_6749F589_14FD_11D3_8EF9_0008C7BCAF29_.wvu.PrintTitles" localSheetId="9" hidden="1">#REF!</definedName>
    <definedName name="Z_6749F589_14FD_11D3_8EF9_0008C7BCAF29_.wvu.PrintTitles" hidden="1">#REF!</definedName>
    <definedName name="Z_6749F59C_14FD_11D3_8EF9_0008C7BCAF29_.wvu.PrintArea" localSheetId="17" hidden="1">#REF!</definedName>
    <definedName name="Z_6749F59C_14FD_11D3_8EF9_0008C7BCAF29_.wvu.PrintArea" localSheetId="31" hidden="1">#REF!</definedName>
    <definedName name="Z_6749F59C_14FD_11D3_8EF9_0008C7BCAF29_.wvu.PrintArea" localSheetId="7" hidden="1">#REF!</definedName>
    <definedName name="Z_6749F59C_14FD_11D3_8EF9_0008C7BCAF29_.wvu.PrintArea" localSheetId="9" hidden="1">#REF!</definedName>
    <definedName name="Z_6749F59C_14FD_11D3_8EF9_0008C7BCAF29_.wvu.PrintArea" hidden="1">#REF!</definedName>
    <definedName name="Z_6749F59C_14FD_11D3_8EF9_0008C7BCAF29_.wvu.PrintTitles" localSheetId="31" hidden="1">#REF!</definedName>
    <definedName name="Z_6749F59C_14FD_11D3_8EF9_0008C7BCAF29_.wvu.PrintTitles" localSheetId="7" hidden="1">#REF!</definedName>
    <definedName name="Z_6749F59C_14FD_11D3_8EF9_0008C7BCAF29_.wvu.PrintTitles" hidden="1">#REF!</definedName>
    <definedName name="Z_6749F5AC_14FD_11D3_8EF9_0008C7BCAF29_.wvu.PrintArea" localSheetId="31" hidden="1">#REF!</definedName>
    <definedName name="Z_6749F5AC_14FD_11D3_8EF9_0008C7BCAF29_.wvu.PrintArea" localSheetId="7" hidden="1">#REF!</definedName>
    <definedName name="Z_6749F5AC_14FD_11D3_8EF9_0008C7BCAF29_.wvu.PrintArea" hidden="1">#REF!</definedName>
    <definedName name="Z_6749F5AC_14FD_11D3_8EF9_0008C7BCAF29_.wvu.PrintTitles" localSheetId="17" hidden="1">#REF!,#REF!</definedName>
    <definedName name="Z_6749F5AC_14FD_11D3_8EF9_0008C7BCAF29_.wvu.PrintTitles" localSheetId="30" hidden="1">#REF!,#REF!</definedName>
    <definedName name="Z_6749F5AC_14FD_11D3_8EF9_0008C7BCAF29_.wvu.PrintTitles" localSheetId="31" hidden="1">#REF!,#REF!</definedName>
    <definedName name="Z_6749F5AC_14FD_11D3_8EF9_0008C7BCAF29_.wvu.PrintTitles" localSheetId="7" hidden="1">#REF!,#REF!</definedName>
    <definedName name="Z_6749F5AC_14FD_11D3_8EF9_0008C7BCAF29_.wvu.PrintTitles" localSheetId="12" hidden="1">#REF!,#REF!</definedName>
    <definedName name="Z_6749F5AC_14FD_11D3_8EF9_0008C7BCAF29_.wvu.PrintTitles" localSheetId="9" hidden="1">#REF!,#REF!</definedName>
    <definedName name="Z_6749F5AC_14FD_11D3_8EF9_0008C7BCAF29_.wvu.PrintTitles" hidden="1">#REF!,#REF!</definedName>
    <definedName name="Z_68F84A93_5E0B_11D2_8EEE_0008C7BCAF29_.wvu.PrintArea" localSheetId="17" hidden="1">#REF!</definedName>
    <definedName name="Z_68F84A93_5E0B_11D2_8EEE_0008C7BCAF29_.wvu.PrintArea" localSheetId="30" hidden="1">#REF!</definedName>
    <definedName name="Z_68F84A93_5E0B_11D2_8EEE_0008C7BCAF29_.wvu.PrintArea" localSheetId="31" hidden="1">#REF!</definedName>
    <definedName name="Z_68F84A93_5E0B_11D2_8EEE_0008C7BCAF29_.wvu.PrintArea" localSheetId="7" hidden="1">#REF!</definedName>
    <definedName name="Z_68F84A93_5E0B_11D2_8EEE_0008C7BCAF29_.wvu.PrintArea" localSheetId="12" hidden="1">#REF!</definedName>
    <definedName name="Z_68F84A93_5E0B_11D2_8EEE_0008C7BCAF29_.wvu.PrintArea" localSheetId="9" hidden="1">#REF!</definedName>
    <definedName name="Z_68F84A93_5E0B_11D2_8EEE_0008C7BCAF29_.wvu.PrintArea" hidden="1">#REF!</definedName>
    <definedName name="Z_68F84A93_5E0B_11D2_8EEE_0008C7BCAF29_.wvu.PrintTitles" localSheetId="17" hidden="1">#REF!</definedName>
    <definedName name="Z_68F84A93_5E0B_11D2_8EEE_0008C7BCAF29_.wvu.PrintTitles" localSheetId="31" hidden="1">#REF!</definedName>
    <definedName name="Z_68F84A93_5E0B_11D2_8EEE_0008C7BCAF29_.wvu.PrintTitles" localSheetId="7" hidden="1">#REF!</definedName>
    <definedName name="Z_68F84A93_5E0B_11D2_8EEE_0008C7BCAF29_.wvu.PrintTitles" localSheetId="9" hidden="1">#REF!</definedName>
    <definedName name="Z_68F84A93_5E0B_11D2_8EEE_0008C7BCAF29_.wvu.PrintTitles" hidden="1">#REF!</definedName>
    <definedName name="Z_68F84AA2_5E0B_11D2_8EEE_0008C7BCAF29_.wvu.PrintArea" localSheetId="17" hidden="1">#REF!</definedName>
    <definedName name="Z_68F84AA2_5E0B_11D2_8EEE_0008C7BCAF29_.wvu.PrintArea" localSheetId="31" hidden="1">#REF!</definedName>
    <definedName name="Z_68F84AA2_5E0B_11D2_8EEE_0008C7BCAF29_.wvu.PrintArea" localSheetId="7" hidden="1">#REF!</definedName>
    <definedName name="Z_68F84AA2_5E0B_11D2_8EEE_0008C7BCAF29_.wvu.PrintArea" localSheetId="9" hidden="1">#REF!</definedName>
    <definedName name="Z_68F84AA2_5E0B_11D2_8EEE_0008C7BCAF29_.wvu.PrintArea" hidden="1">#REF!</definedName>
    <definedName name="Z_68F84AA2_5E0B_11D2_8EEE_0008C7BCAF29_.wvu.PrintTitles" localSheetId="31" hidden="1">#REF!</definedName>
    <definedName name="Z_68F84AA2_5E0B_11D2_8EEE_0008C7BCAF29_.wvu.PrintTitles" localSheetId="7" hidden="1">#REF!</definedName>
    <definedName name="Z_68F84AA2_5E0B_11D2_8EEE_0008C7BCAF29_.wvu.PrintTitles" hidden="1">#REF!</definedName>
    <definedName name="Z_68F84AAF_5E0B_11D2_8EEE_0008C7BCAF29_.wvu.PrintArea" localSheetId="31" hidden="1">#REF!</definedName>
    <definedName name="Z_68F84AAF_5E0B_11D2_8EEE_0008C7BCAF29_.wvu.PrintArea" localSheetId="7" hidden="1">#REF!</definedName>
    <definedName name="Z_68F84AAF_5E0B_11D2_8EEE_0008C7BCAF29_.wvu.PrintArea" hidden="1">#REF!</definedName>
    <definedName name="Z_68F84AAF_5E0B_11D2_8EEE_0008C7BCAF29_.wvu.PrintTitles" localSheetId="17" hidden="1">#REF!,#REF!</definedName>
    <definedName name="Z_68F84AAF_5E0B_11D2_8EEE_0008C7BCAF29_.wvu.PrintTitles" localSheetId="30" hidden="1">#REF!,#REF!</definedName>
    <definedName name="Z_68F84AAF_5E0B_11D2_8EEE_0008C7BCAF29_.wvu.PrintTitles" localSheetId="31" hidden="1">#REF!,#REF!</definedName>
    <definedName name="Z_68F84AAF_5E0B_11D2_8EEE_0008C7BCAF29_.wvu.PrintTitles" localSheetId="7" hidden="1">#REF!,#REF!</definedName>
    <definedName name="Z_68F84AAF_5E0B_11D2_8EEE_0008C7BCAF29_.wvu.PrintTitles" localSheetId="12" hidden="1">#REF!,#REF!</definedName>
    <definedName name="Z_68F84AAF_5E0B_11D2_8EEE_0008C7BCAF29_.wvu.PrintTitles" localSheetId="9" hidden="1">#REF!,#REF!</definedName>
    <definedName name="Z_68F84AAF_5E0B_11D2_8EEE_0008C7BCAF29_.wvu.PrintTitles" hidden="1">#REF!,#REF!</definedName>
    <definedName name="Z_68F84ABA_5E0B_11D2_8EEE_0008C7BCAF29_.wvu.PrintArea" localSheetId="17" hidden="1">#REF!</definedName>
    <definedName name="Z_68F84ABA_5E0B_11D2_8EEE_0008C7BCAF29_.wvu.PrintArea" localSheetId="30" hidden="1">#REF!</definedName>
    <definedName name="Z_68F84ABA_5E0B_11D2_8EEE_0008C7BCAF29_.wvu.PrintArea" localSheetId="31" hidden="1">#REF!</definedName>
    <definedName name="Z_68F84ABA_5E0B_11D2_8EEE_0008C7BCAF29_.wvu.PrintArea" localSheetId="7" hidden="1">#REF!</definedName>
    <definedName name="Z_68F84ABA_5E0B_11D2_8EEE_0008C7BCAF29_.wvu.PrintArea" localSheetId="12" hidden="1">#REF!</definedName>
    <definedName name="Z_68F84ABA_5E0B_11D2_8EEE_0008C7BCAF29_.wvu.PrintArea" localSheetId="9" hidden="1">#REF!</definedName>
    <definedName name="Z_68F84ABA_5E0B_11D2_8EEE_0008C7BCAF29_.wvu.PrintArea" hidden="1">#REF!</definedName>
    <definedName name="Z_68F84ABA_5E0B_11D2_8EEE_0008C7BCAF29_.wvu.PrintTitles" localSheetId="17" hidden="1">#REF!,#REF!</definedName>
    <definedName name="Z_68F84ABA_5E0B_11D2_8EEE_0008C7BCAF29_.wvu.PrintTitles" localSheetId="30" hidden="1">#REF!,#REF!</definedName>
    <definedName name="Z_68F84ABA_5E0B_11D2_8EEE_0008C7BCAF29_.wvu.PrintTitles" localSheetId="31" hidden="1">#REF!,#REF!</definedName>
    <definedName name="Z_68F84ABA_5E0B_11D2_8EEE_0008C7BCAF29_.wvu.PrintTitles" localSheetId="7" hidden="1">#REF!,#REF!</definedName>
    <definedName name="Z_68F84ABA_5E0B_11D2_8EEE_0008C7BCAF29_.wvu.PrintTitles" localSheetId="12" hidden="1">#REF!,#REF!</definedName>
    <definedName name="Z_68F84ABA_5E0B_11D2_8EEE_0008C7BCAF29_.wvu.PrintTitles" localSheetId="9" hidden="1">#REF!,#REF!</definedName>
    <definedName name="Z_68F84ABA_5E0B_11D2_8EEE_0008C7BCAF29_.wvu.PrintTitles" hidden="1">#REF!,#REF!</definedName>
    <definedName name="Z_68F84ABC_5E0B_11D2_8EEE_0008C7BCAF29_.wvu.PrintArea" localSheetId="17" hidden="1">#REF!</definedName>
    <definedName name="Z_68F84ABC_5E0B_11D2_8EEE_0008C7BCAF29_.wvu.PrintArea" localSheetId="30" hidden="1">#REF!</definedName>
    <definedName name="Z_68F84ABC_5E0B_11D2_8EEE_0008C7BCAF29_.wvu.PrintArea" localSheetId="31" hidden="1">#REF!</definedName>
    <definedName name="Z_68F84ABC_5E0B_11D2_8EEE_0008C7BCAF29_.wvu.PrintArea" localSheetId="7" hidden="1">#REF!</definedName>
    <definedName name="Z_68F84ABC_5E0B_11D2_8EEE_0008C7BCAF29_.wvu.PrintArea" localSheetId="12" hidden="1">#REF!</definedName>
    <definedName name="Z_68F84ABC_5E0B_11D2_8EEE_0008C7BCAF29_.wvu.PrintArea" localSheetId="9" hidden="1">#REF!</definedName>
    <definedName name="Z_68F84ABC_5E0B_11D2_8EEE_0008C7BCAF29_.wvu.PrintArea" hidden="1">#REF!</definedName>
    <definedName name="Z_68F84ABC_5E0B_11D2_8EEE_0008C7BCAF29_.wvu.PrintTitles" localSheetId="17" hidden="1">#REF!</definedName>
    <definedName name="Z_68F84ABC_5E0B_11D2_8EEE_0008C7BCAF29_.wvu.PrintTitles" localSheetId="31" hidden="1">#REF!</definedName>
    <definedName name="Z_68F84ABC_5E0B_11D2_8EEE_0008C7BCAF29_.wvu.PrintTitles" localSheetId="7" hidden="1">#REF!</definedName>
    <definedName name="Z_68F84ABC_5E0B_11D2_8EEE_0008C7BCAF29_.wvu.PrintTitles" localSheetId="9" hidden="1">#REF!</definedName>
    <definedName name="Z_68F84ABC_5E0B_11D2_8EEE_0008C7BCAF29_.wvu.PrintTitles" hidden="1">#REF!</definedName>
    <definedName name="Z_68F84ABF_5E0B_11D2_8EEE_0008C7BCAF29_.wvu.PrintArea" localSheetId="17" hidden="1">#REF!</definedName>
    <definedName name="Z_68F84ABF_5E0B_11D2_8EEE_0008C7BCAF29_.wvu.PrintArea" localSheetId="31" hidden="1">#REF!</definedName>
    <definedName name="Z_68F84ABF_5E0B_11D2_8EEE_0008C7BCAF29_.wvu.PrintArea" localSheetId="7" hidden="1">#REF!</definedName>
    <definedName name="Z_68F84ABF_5E0B_11D2_8EEE_0008C7BCAF29_.wvu.PrintArea" localSheetId="9" hidden="1">#REF!</definedName>
    <definedName name="Z_68F84ABF_5E0B_11D2_8EEE_0008C7BCAF29_.wvu.PrintArea" hidden="1">#REF!</definedName>
    <definedName name="Z_68F84ABF_5E0B_11D2_8EEE_0008C7BCAF29_.wvu.PrintTitles" localSheetId="17" hidden="1">#REF!,#REF!</definedName>
    <definedName name="Z_68F84ABF_5E0B_11D2_8EEE_0008C7BCAF29_.wvu.PrintTitles" localSheetId="30" hidden="1">#REF!,#REF!</definedName>
    <definedName name="Z_68F84ABF_5E0B_11D2_8EEE_0008C7BCAF29_.wvu.PrintTitles" localSheetId="31" hidden="1">#REF!,#REF!</definedName>
    <definedName name="Z_68F84ABF_5E0B_11D2_8EEE_0008C7BCAF29_.wvu.PrintTitles" localSheetId="7" hidden="1">#REF!,#REF!</definedName>
    <definedName name="Z_68F84ABF_5E0B_11D2_8EEE_0008C7BCAF29_.wvu.PrintTitles" localSheetId="12" hidden="1">#REF!,#REF!</definedName>
    <definedName name="Z_68F84ABF_5E0B_11D2_8EEE_0008C7BCAF29_.wvu.PrintTitles" localSheetId="9" hidden="1">#REF!,#REF!</definedName>
    <definedName name="Z_68F84ABF_5E0B_11D2_8EEE_0008C7BCAF29_.wvu.PrintTitles" hidden="1">#REF!,#REF!</definedName>
    <definedName name="Z_68F84AC1_5E0B_11D2_8EEE_0008C7BCAF29_.wvu.PrintArea" localSheetId="17" hidden="1">#REF!</definedName>
    <definedName name="Z_68F84AC1_5E0B_11D2_8EEE_0008C7BCAF29_.wvu.PrintArea" localSheetId="30" hidden="1">#REF!</definedName>
    <definedName name="Z_68F84AC1_5E0B_11D2_8EEE_0008C7BCAF29_.wvu.PrintArea" localSheetId="31" hidden="1">#REF!</definedName>
    <definedName name="Z_68F84AC1_5E0B_11D2_8EEE_0008C7BCAF29_.wvu.PrintArea" localSheetId="7" hidden="1">#REF!</definedName>
    <definedName name="Z_68F84AC1_5E0B_11D2_8EEE_0008C7BCAF29_.wvu.PrintArea" localSheetId="12" hidden="1">#REF!</definedName>
    <definedName name="Z_68F84AC1_5E0B_11D2_8EEE_0008C7BCAF29_.wvu.PrintArea" localSheetId="9" hidden="1">#REF!</definedName>
    <definedName name="Z_68F84AC1_5E0B_11D2_8EEE_0008C7BCAF29_.wvu.PrintArea" hidden="1">#REF!</definedName>
    <definedName name="Z_68F84AC1_5E0B_11D2_8EEE_0008C7BCAF29_.wvu.PrintTitles" localSheetId="17" hidden="1">#REF!,#REF!</definedName>
    <definedName name="Z_68F84AC1_5E0B_11D2_8EEE_0008C7BCAF29_.wvu.PrintTitles" localSheetId="30" hidden="1">#REF!,#REF!</definedName>
    <definedName name="Z_68F84AC1_5E0B_11D2_8EEE_0008C7BCAF29_.wvu.PrintTitles" localSheetId="31" hidden="1">#REF!,#REF!</definedName>
    <definedName name="Z_68F84AC1_5E0B_11D2_8EEE_0008C7BCAF29_.wvu.PrintTitles" localSheetId="7" hidden="1">#REF!,#REF!</definedName>
    <definedName name="Z_68F84AC1_5E0B_11D2_8EEE_0008C7BCAF29_.wvu.PrintTitles" localSheetId="12" hidden="1">#REF!,#REF!</definedName>
    <definedName name="Z_68F84AC1_5E0B_11D2_8EEE_0008C7BCAF29_.wvu.PrintTitles" localSheetId="9" hidden="1">#REF!,#REF!</definedName>
    <definedName name="Z_68F84AC1_5E0B_11D2_8EEE_0008C7BCAF29_.wvu.PrintTitles" hidden="1">#REF!,#REF!</definedName>
    <definedName name="Z_68F84AC3_5E0B_11D2_8EEE_0008C7BCAF29_.wvu.PrintArea" localSheetId="17" hidden="1">#REF!</definedName>
    <definedName name="Z_68F84AC3_5E0B_11D2_8EEE_0008C7BCAF29_.wvu.PrintArea" localSheetId="30" hidden="1">#REF!</definedName>
    <definedName name="Z_68F84AC3_5E0B_11D2_8EEE_0008C7BCAF29_.wvu.PrintArea" localSheetId="31" hidden="1">#REF!</definedName>
    <definedName name="Z_68F84AC3_5E0B_11D2_8EEE_0008C7BCAF29_.wvu.PrintArea" localSheetId="7" hidden="1">#REF!</definedName>
    <definedName name="Z_68F84AC3_5E0B_11D2_8EEE_0008C7BCAF29_.wvu.PrintArea" localSheetId="12" hidden="1">#REF!</definedName>
    <definedName name="Z_68F84AC3_5E0B_11D2_8EEE_0008C7BCAF29_.wvu.PrintArea" localSheetId="9" hidden="1">#REF!</definedName>
    <definedName name="Z_68F84AC3_5E0B_11D2_8EEE_0008C7BCAF29_.wvu.PrintArea" hidden="1">#REF!</definedName>
    <definedName name="Z_68F84AC3_5E0B_11D2_8EEE_0008C7BCAF29_.wvu.PrintTitles" localSheetId="17" hidden="1">#REF!</definedName>
    <definedName name="Z_68F84AC3_5E0B_11D2_8EEE_0008C7BCAF29_.wvu.PrintTitles" localSheetId="31" hidden="1">#REF!</definedName>
    <definedName name="Z_68F84AC3_5E0B_11D2_8EEE_0008C7BCAF29_.wvu.PrintTitles" localSheetId="7" hidden="1">#REF!</definedName>
    <definedName name="Z_68F84AC3_5E0B_11D2_8EEE_0008C7BCAF29_.wvu.PrintTitles" localSheetId="9" hidden="1">#REF!</definedName>
    <definedName name="Z_68F84AC3_5E0B_11D2_8EEE_0008C7BCAF29_.wvu.PrintTitles" hidden="1">#REF!</definedName>
    <definedName name="Z_68F84AC6_5E0B_11D2_8EEE_0008C7BCAF29_.wvu.PrintArea" localSheetId="17" hidden="1">#REF!</definedName>
    <definedName name="Z_68F84AC6_5E0B_11D2_8EEE_0008C7BCAF29_.wvu.PrintArea" localSheetId="31" hidden="1">#REF!</definedName>
    <definedName name="Z_68F84AC6_5E0B_11D2_8EEE_0008C7BCAF29_.wvu.PrintArea" localSheetId="7" hidden="1">#REF!</definedName>
    <definedName name="Z_68F84AC6_5E0B_11D2_8EEE_0008C7BCAF29_.wvu.PrintArea" localSheetId="9" hidden="1">#REF!</definedName>
    <definedName name="Z_68F84AC6_5E0B_11D2_8EEE_0008C7BCAF29_.wvu.PrintArea" hidden="1">#REF!</definedName>
    <definedName name="Z_68F84AC6_5E0B_11D2_8EEE_0008C7BCAF29_.wvu.PrintTitles" localSheetId="17" hidden="1">#REF!,#REF!</definedName>
    <definedName name="Z_68F84AC6_5E0B_11D2_8EEE_0008C7BCAF29_.wvu.PrintTitles" localSheetId="30" hidden="1">#REF!,#REF!</definedName>
    <definedName name="Z_68F84AC6_5E0B_11D2_8EEE_0008C7BCAF29_.wvu.PrintTitles" localSheetId="31" hidden="1">#REF!,#REF!</definedName>
    <definedName name="Z_68F84AC6_5E0B_11D2_8EEE_0008C7BCAF29_.wvu.PrintTitles" localSheetId="7" hidden="1">#REF!,#REF!</definedName>
    <definedName name="Z_68F84AC6_5E0B_11D2_8EEE_0008C7BCAF29_.wvu.PrintTitles" localSheetId="12" hidden="1">#REF!,#REF!</definedName>
    <definedName name="Z_68F84AC6_5E0B_11D2_8EEE_0008C7BCAF29_.wvu.PrintTitles" localSheetId="9" hidden="1">#REF!,#REF!</definedName>
    <definedName name="Z_68F84AC6_5E0B_11D2_8EEE_0008C7BCAF29_.wvu.PrintTitles" hidden="1">#REF!,#REF!</definedName>
    <definedName name="Z_68F84AC8_5E0B_11D2_8EEE_0008C7BCAF29_.wvu.PrintArea" localSheetId="17" hidden="1">#REF!</definedName>
    <definedName name="Z_68F84AC8_5E0B_11D2_8EEE_0008C7BCAF29_.wvu.PrintArea" localSheetId="30" hidden="1">#REF!</definedName>
    <definedName name="Z_68F84AC8_5E0B_11D2_8EEE_0008C7BCAF29_.wvu.PrintArea" localSheetId="31" hidden="1">#REF!</definedName>
    <definedName name="Z_68F84AC8_5E0B_11D2_8EEE_0008C7BCAF29_.wvu.PrintArea" localSheetId="7" hidden="1">#REF!</definedName>
    <definedName name="Z_68F84AC8_5E0B_11D2_8EEE_0008C7BCAF29_.wvu.PrintArea" localSheetId="12" hidden="1">#REF!</definedName>
    <definedName name="Z_68F84AC8_5E0B_11D2_8EEE_0008C7BCAF29_.wvu.PrintArea" localSheetId="9" hidden="1">#REF!</definedName>
    <definedName name="Z_68F84AC8_5E0B_11D2_8EEE_0008C7BCAF29_.wvu.PrintArea" hidden="1">#REF!</definedName>
    <definedName name="Z_68F84AC8_5E0B_11D2_8EEE_0008C7BCAF29_.wvu.PrintTitles" localSheetId="17" hidden="1">#REF!,#REF!</definedName>
    <definedName name="Z_68F84AC8_5E0B_11D2_8EEE_0008C7BCAF29_.wvu.PrintTitles" localSheetId="30" hidden="1">#REF!,#REF!</definedName>
    <definedName name="Z_68F84AC8_5E0B_11D2_8EEE_0008C7BCAF29_.wvu.PrintTitles" localSheetId="31" hidden="1">#REF!,#REF!</definedName>
    <definedName name="Z_68F84AC8_5E0B_11D2_8EEE_0008C7BCAF29_.wvu.PrintTitles" localSheetId="7" hidden="1">#REF!,#REF!</definedName>
    <definedName name="Z_68F84AC8_5E0B_11D2_8EEE_0008C7BCAF29_.wvu.PrintTitles" localSheetId="12" hidden="1">#REF!,#REF!</definedName>
    <definedName name="Z_68F84AC8_5E0B_11D2_8EEE_0008C7BCAF29_.wvu.PrintTitles" localSheetId="9" hidden="1">#REF!,#REF!</definedName>
    <definedName name="Z_68F84AC8_5E0B_11D2_8EEE_0008C7BCAF29_.wvu.PrintTitles" hidden="1">#REF!,#REF!</definedName>
    <definedName name="Z_68F84ACE_5E0B_11D2_8EEE_0008C7BCAF29_.wvu.PrintArea" localSheetId="17" hidden="1">#REF!</definedName>
    <definedName name="Z_68F84ACE_5E0B_11D2_8EEE_0008C7BCAF29_.wvu.PrintArea" localSheetId="30" hidden="1">#REF!</definedName>
    <definedName name="Z_68F84ACE_5E0B_11D2_8EEE_0008C7BCAF29_.wvu.PrintArea" localSheetId="31" hidden="1">#REF!</definedName>
    <definedName name="Z_68F84ACE_5E0B_11D2_8EEE_0008C7BCAF29_.wvu.PrintArea" localSheetId="7" hidden="1">#REF!</definedName>
    <definedName name="Z_68F84ACE_5E0B_11D2_8EEE_0008C7BCAF29_.wvu.PrintArea" localSheetId="12" hidden="1">#REF!</definedName>
    <definedName name="Z_68F84ACE_5E0B_11D2_8EEE_0008C7BCAF29_.wvu.PrintArea" localSheetId="9" hidden="1">#REF!</definedName>
    <definedName name="Z_68F84ACE_5E0B_11D2_8EEE_0008C7BCAF29_.wvu.PrintArea" hidden="1">#REF!</definedName>
    <definedName name="Z_68F84ACE_5E0B_11D2_8EEE_0008C7BCAF29_.wvu.PrintTitles" localSheetId="17" hidden="1">#REF!</definedName>
    <definedName name="Z_68F84ACE_5E0B_11D2_8EEE_0008C7BCAF29_.wvu.PrintTitles" localSheetId="31" hidden="1">#REF!</definedName>
    <definedName name="Z_68F84ACE_5E0B_11D2_8EEE_0008C7BCAF29_.wvu.PrintTitles" localSheetId="7" hidden="1">#REF!</definedName>
    <definedName name="Z_68F84ACE_5E0B_11D2_8EEE_0008C7BCAF29_.wvu.PrintTitles" localSheetId="9" hidden="1">#REF!</definedName>
    <definedName name="Z_68F84ACE_5E0B_11D2_8EEE_0008C7BCAF29_.wvu.PrintTitles" hidden="1">#REF!</definedName>
    <definedName name="Z_68F84ADD_5E0B_11D2_8EEE_0008C7BCAF29_.wvu.PrintArea" localSheetId="17" hidden="1">#REF!</definedName>
    <definedName name="Z_68F84ADD_5E0B_11D2_8EEE_0008C7BCAF29_.wvu.PrintArea" localSheetId="31" hidden="1">#REF!</definedName>
    <definedName name="Z_68F84ADD_5E0B_11D2_8EEE_0008C7BCAF29_.wvu.PrintArea" localSheetId="7" hidden="1">#REF!</definedName>
    <definedName name="Z_68F84ADD_5E0B_11D2_8EEE_0008C7BCAF29_.wvu.PrintArea" localSheetId="9" hidden="1">#REF!</definedName>
    <definedName name="Z_68F84ADD_5E0B_11D2_8EEE_0008C7BCAF29_.wvu.PrintArea" hidden="1">#REF!</definedName>
    <definedName name="Z_68F84ADD_5E0B_11D2_8EEE_0008C7BCAF29_.wvu.PrintTitles" localSheetId="31" hidden="1">#REF!</definedName>
    <definedName name="Z_68F84ADD_5E0B_11D2_8EEE_0008C7BCAF29_.wvu.PrintTitles" localSheetId="7" hidden="1">#REF!</definedName>
    <definedName name="Z_68F84ADD_5E0B_11D2_8EEE_0008C7BCAF29_.wvu.PrintTitles" hidden="1">#REF!</definedName>
    <definedName name="Z_68F84AEA_5E0B_11D2_8EEE_0008C7BCAF29_.wvu.PrintArea" localSheetId="31" hidden="1">#REF!</definedName>
    <definedName name="Z_68F84AEA_5E0B_11D2_8EEE_0008C7BCAF29_.wvu.PrintArea" localSheetId="7" hidden="1">#REF!</definedName>
    <definedName name="Z_68F84AEA_5E0B_11D2_8EEE_0008C7BCAF29_.wvu.PrintArea" hidden="1">#REF!</definedName>
    <definedName name="Z_68F84AEA_5E0B_11D2_8EEE_0008C7BCAF29_.wvu.PrintTitles" localSheetId="17" hidden="1">#REF!,#REF!</definedName>
    <definedName name="Z_68F84AEA_5E0B_11D2_8EEE_0008C7BCAF29_.wvu.PrintTitles" localSheetId="30" hidden="1">#REF!,#REF!</definedName>
    <definedName name="Z_68F84AEA_5E0B_11D2_8EEE_0008C7BCAF29_.wvu.PrintTitles" localSheetId="31" hidden="1">#REF!,#REF!</definedName>
    <definedName name="Z_68F84AEA_5E0B_11D2_8EEE_0008C7BCAF29_.wvu.PrintTitles" localSheetId="7" hidden="1">#REF!,#REF!</definedName>
    <definedName name="Z_68F84AEA_5E0B_11D2_8EEE_0008C7BCAF29_.wvu.PrintTitles" localSheetId="12" hidden="1">#REF!,#REF!</definedName>
    <definedName name="Z_68F84AEA_5E0B_11D2_8EEE_0008C7BCAF29_.wvu.PrintTitles" localSheetId="9" hidden="1">#REF!,#REF!</definedName>
    <definedName name="Z_68F84AEA_5E0B_11D2_8EEE_0008C7BCAF29_.wvu.PrintTitles" hidden="1">#REF!,#REF!</definedName>
    <definedName name="Z_68F84AF6_5E0B_11D2_8EEE_0008C7BCAF29_.wvu.PrintArea" localSheetId="17" hidden="1">#REF!</definedName>
    <definedName name="Z_68F84AF6_5E0B_11D2_8EEE_0008C7BCAF29_.wvu.PrintArea" localSheetId="30" hidden="1">#REF!</definedName>
    <definedName name="Z_68F84AF6_5E0B_11D2_8EEE_0008C7BCAF29_.wvu.PrintArea" localSheetId="31" hidden="1">#REF!</definedName>
    <definedName name="Z_68F84AF6_5E0B_11D2_8EEE_0008C7BCAF29_.wvu.PrintArea" localSheetId="7" hidden="1">#REF!</definedName>
    <definedName name="Z_68F84AF6_5E0B_11D2_8EEE_0008C7BCAF29_.wvu.PrintArea" localSheetId="12" hidden="1">#REF!</definedName>
    <definedName name="Z_68F84AF6_5E0B_11D2_8EEE_0008C7BCAF29_.wvu.PrintArea" localSheetId="9" hidden="1">#REF!</definedName>
    <definedName name="Z_68F84AF6_5E0B_11D2_8EEE_0008C7BCAF29_.wvu.PrintArea" hidden="1">#REF!</definedName>
    <definedName name="Z_68F84AF6_5E0B_11D2_8EEE_0008C7BCAF29_.wvu.PrintTitles" localSheetId="17" hidden="1">#REF!,#REF!</definedName>
    <definedName name="Z_68F84AF6_5E0B_11D2_8EEE_0008C7BCAF29_.wvu.PrintTitles" localSheetId="30" hidden="1">#REF!,#REF!</definedName>
    <definedName name="Z_68F84AF6_5E0B_11D2_8EEE_0008C7BCAF29_.wvu.PrintTitles" localSheetId="31" hidden="1">#REF!,#REF!</definedName>
    <definedName name="Z_68F84AF6_5E0B_11D2_8EEE_0008C7BCAF29_.wvu.PrintTitles" localSheetId="7" hidden="1">#REF!,#REF!</definedName>
    <definedName name="Z_68F84AF6_5E0B_11D2_8EEE_0008C7BCAF29_.wvu.PrintTitles" localSheetId="12" hidden="1">#REF!,#REF!</definedName>
    <definedName name="Z_68F84AF6_5E0B_11D2_8EEE_0008C7BCAF29_.wvu.PrintTitles" localSheetId="9" hidden="1">#REF!,#REF!</definedName>
    <definedName name="Z_68F84AF6_5E0B_11D2_8EEE_0008C7BCAF29_.wvu.PrintTitles" hidden="1">#REF!,#REF!</definedName>
    <definedName name="Z_68F84AF9_5E0B_11D2_8EEE_0008C7BCAF29_.wvu.PrintArea" localSheetId="17" hidden="1">#REF!</definedName>
    <definedName name="Z_68F84AF9_5E0B_11D2_8EEE_0008C7BCAF29_.wvu.PrintArea" localSheetId="30" hidden="1">#REF!</definedName>
    <definedName name="Z_68F84AF9_5E0B_11D2_8EEE_0008C7BCAF29_.wvu.PrintArea" localSheetId="31" hidden="1">#REF!</definedName>
    <definedName name="Z_68F84AF9_5E0B_11D2_8EEE_0008C7BCAF29_.wvu.PrintArea" localSheetId="7" hidden="1">#REF!</definedName>
    <definedName name="Z_68F84AF9_5E0B_11D2_8EEE_0008C7BCAF29_.wvu.PrintArea" localSheetId="12" hidden="1">#REF!</definedName>
    <definedName name="Z_68F84AF9_5E0B_11D2_8EEE_0008C7BCAF29_.wvu.PrintArea" localSheetId="9" hidden="1">#REF!</definedName>
    <definedName name="Z_68F84AF9_5E0B_11D2_8EEE_0008C7BCAF29_.wvu.PrintArea" hidden="1">#REF!</definedName>
    <definedName name="Z_68F84AF9_5E0B_11D2_8EEE_0008C7BCAF29_.wvu.PrintTitles" localSheetId="17" hidden="1">#REF!</definedName>
    <definedName name="Z_68F84AF9_5E0B_11D2_8EEE_0008C7BCAF29_.wvu.PrintTitles" localSheetId="31" hidden="1">#REF!</definedName>
    <definedName name="Z_68F84AF9_5E0B_11D2_8EEE_0008C7BCAF29_.wvu.PrintTitles" localSheetId="7" hidden="1">#REF!</definedName>
    <definedName name="Z_68F84AF9_5E0B_11D2_8EEE_0008C7BCAF29_.wvu.PrintTitles" localSheetId="9" hidden="1">#REF!</definedName>
    <definedName name="Z_68F84AF9_5E0B_11D2_8EEE_0008C7BCAF29_.wvu.PrintTitles" hidden="1">#REF!</definedName>
    <definedName name="Z_68F84AFE_5E0B_11D2_8EEE_0008C7BCAF29_.wvu.PrintArea" localSheetId="17" hidden="1">#REF!</definedName>
    <definedName name="Z_68F84AFE_5E0B_11D2_8EEE_0008C7BCAF29_.wvu.PrintArea" localSheetId="31" hidden="1">#REF!</definedName>
    <definedName name="Z_68F84AFE_5E0B_11D2_8EEE_0008C7BCAF29_.wvu.PrintArea" localSheetId="7" hidden="1">#REF!</definedName>
    <definedName name="Z_68F84AFE_5E0B_11D2_8EEE_0008C7BCAF29_.wvu.PrintArea" localSheetId="9" hidden="1">#REF!</definedName>
    <definedName name="Z_68F84AFE_5E0B_11D2_8EEE_0008C7BCAF29_.wvu.PrintArea" hidden="1">#REF!</definedName>
    <definedName name="Z_68F84AFE_5E0B_11D2_8EEE_0008C7BCAF29_.wvu.PrintTitles" localSheetId="17" hidden="1">#REF!,#REF!</definedName>
    <definedName name="Z_68F84AFE_5E0B_11D2_8EEE_0008C7BCAF29_.wvu.PrintTitles" localSheetId="30" hidden="1">#REF!,#REF!</definedName>
    <definedName name="Z_68F84AFE_5E0B_11D2_8EEE_0008C7BCAF29_.wvu.PrintTitles" localSheetId="31" hidden="1">#REF!,#REF!</definedName>
    <definedName name="Z_68F84AFE_5E0B_11D2_8EEE_0008C7BCAF29_.wvu.PrintTitles" localSheetId="7" hidden="1">#REF!,#REF!</definedName>
    <definedName name="Z_68F84AFE_5E0B_11D2_8EEE_0008C7BCAF29_.wvu.PrintTitles" localSheetId="12" hidden="1">#REF!,#REF!</definedName>
    <definedName name="Z_68F84AFE_5E0B_11D2_8EEE_0008C7BCAF29_.wvu.PrintTitles" localSheetId="9" hidden="1">#REF!,#REF!</definedName>
    <definedName name="Z_68F84AFE_5E0B_11D2_8EEE_0008C7BCAF29_.wvu.PrintTitles" hidden="1">#REF!,#REF!</definedName>
    <definedName name="Z_68F84B00_5E0B_11D2_8EEE_0008C7BCAF29_.wvu.PrintArea" localSheetId="17" hidden="1">#REF!</definedName>
    <definedName name="Z_68F84B00_5E0B_11D2_8EEE_0008C7BCAF29_.wvu.PrintArea" localSheetId="30" hidden="1">#REF!</definedName>
    <definedName name="Z_68F84B00_5E0B_11D2_8EEE_0008C7BCAF29_.wvu.PrintArea" localSheetId="31" hidden="1">#REF!</definedName>
    <definedName name="Z_68F84B00_5E0B_11D2_8EEE_0008C7BCAF29_.wvu.PrintArea" localSheetId="7" hidden="1">#REF!</definedName>
    <definedName name="Z_68F84B00_5E0B_11D2_8EEE_0008C7BCAF29_.wvu.PrintArea" localSheetId="12" hidden="1">#REF!</definedName>
    <definedName name="Z_68F84B00_5E0B_11D2_8EEE_0008C7BCAF29_.wvu.PrintArea" localSheetId="9" hidden="1">#REF!</definedName>
    <definedName name="Z_68F84B00_5E0B_11D2_8EEE_0008C7BCAF29_.wvu.PrintArea" hidden="1">#REF!</definedName>
    <definedName name="Z_68F84B00_5E0B_11D2_8EEE_0008C7BCAF29_.wvu.PrintTitles" localSheetId="17" hidden="1">#REF!,#REF!</definedName>
    <definedName name="Z_68F84B00_5E0B_11D2_8EEE_0008C7BCAF29_.wvu.PrintTitles" localSheetId="30" hidden="1">#REF!,#REF!</definedName>
    <definedName name="Z_68F84B00_5E0B_11D2_8EEE_0008C7BCAF29_.wvu.PrintTitles" localSheetId="31" hidden="1">#REF!,#REF!</definedName>
    <definedName name="Z_68F84B00_5E0B_11D2_8EEE_0008C7BCAF29_.wvu.PrintTitles" localSheetId="7" hidden="1">#REF!,#REF!</definedName>
    <definedName name="Z_68F84B00_5E0B_11D2_8EEE_0008C7BCAF29_.wvu.PrintTitles" localSheetId="12" hidden="1">#REF!,#REF!</definedName>
    <definedName name="Z_68F84B00_5E0B_11D2_8EEE_0008C7BCAF29_.wvu.PrintTitles" localSheetId="9" hidden="1">#REF!,#REF!</definedName>
    <definedName name="Z_68F84B00_5E0B_11D2_8EEE_0008C7BCAF29_.wvu.PrintTitles" hidden="1">#REF!,#REF!</definedName>
    <definedName name="Z_68F84B03_5E0B_11D2_8EEE_0008C7BCAF29_.wvu.PrintArea" localSheetId="17" hidden="1">#REF!</definedName>
    <definedName name="Z_68F84B03_5E0B_11D2_8EEE_0008C7BCAF29_.wvu.PrintArea" localSheetId="30" hidden="1">#REF!</definedName>
    <definedName name="Z_68F84B03_5E0B_11D2_8EEE_0008C7BCAF29_.wvu.PrintArea" localSheetId="31" hidden="1">#REF!</definedName>
    <definedName name="Z_68F84B03_5E0B_11D2_8EEE_0008C7BCAF29_.wvu.PrintArea" localSheetId="7" hidden="1">#REF!</definedName>
    <definedName name="Z_68F84B03_5E0B_11D2_8EEE_0008C7BCAF29_.wvu.PrintArea" localSheetId="12" hidden="1">#REF!</definedName>
    <definedName name="Z_68F84B03_5E0B_11D2_8EEE_0008C7BCAF29_.wvu.PrintArea" localSheetId="9" hidden="1">#REF!</definedName>
    <definedName name="Z_68F84B03_5E0B_11D2_8EEE_0008C7BCAF29_.wvu.PrintArea" hidden="1">#REF!</definedName>
    <definedName name="Z_68F84B03_5E0B_11D2_8EEE_0008C7BCAF29_.wvu.PrintTitles" localSheetId="17" hidden="1">#REF!</definedName>
    <definedName name="Z_68F84B03_5E0B_11D2_8EEE_0008C7BCAF29_.wvu.PrintTitles" localSheetId="31" hidden="1">#REF!</definedName>
    <definedName name="Z_68F84B03_5E0B_11D2_8EEE_0008C7BCAF29_.wvu.PrintTitles" localSheetId="7" hidden="1">#REF!</definedName>
    <definedName name="Z_68F84B03_5E0B_11D2_8EEE_0008C7BCAF29_.wvu.PrintTitles" localSheetId="9" hidden="1">#REF!</definedName>
    <definedName name="Z_68F84B03_5E0B_11D2_8EEE_0008C7BCAF29_.wvu.PrintTitles" hidden="1">#REF!</definedName>
    <definedName name="Z_68F84B08_5E0B_11D2_8EEE_0008C7BCAF29_.wvu.PrintArea" localSheetId="17" hidden="1">#REF!</definedName>
    <definedName name="Z_68F84B08_5E0B_11D2_8EEE_0008C7BCAF29_.wvu.PrintArea" localSheetId="31" hidden="1">#REF!</definedName>
    <definedName name="Z_68F84B08_5E0B_11D2_8EEE_0008C7BCAF29_.wvu.PrintArea" localSheetId="7" hidden="1">#REF!</definedName>
    <definedName name="Z_68F84B08_5E0B_11D2_8EEE_0008C7BCAF29_.wvu.PrintArea" localSheetId="9" hidden="1">#REF!</definedName>
    <definedName name="Z_68F84B08_5E0B_11D2_8EEE_0008C7BCAF29_.wvu.PrintArea" hidden="1">#REF!</definedName>
    <definedName name="Z_68F84B08_5E0B_11D2_8EEE_0008C7BCAF29_.wvu.PrintTitles" localSheetId="17" hidden="1">#REF!,#REF!</definedName>
    <definedName name="Z_68F84B08_5E0B_11D2_8EEE_0008C7BCAF29_.wvu.PrintTitles" localSheetId="30" hidden="1">#REF!,#REF!</definedName>
    <definedName name="Z_68F84B08_5E0B_11D2_8EEE_0008C7BCAF29_.wvu.PrintTitles" localSheetId="31" hidden="1">#REF!,#REF!</definedName>
    <definedName name="Z_68F84B08_5E0B_11D2_8EEE_0008C7BCAF29_.wvu.PrintTitles" localSheetId="7" hidden="1">#REF!,#REF!</definedName>
    <definedName name="Z_68F84B08_5E0B_11D2_8EEE_0008C7BCAF29_.wvu.PrintTitles" localSheetId="12" hidden="1">#REF!,#REF!</definedName>
    <definedName name="Z_68F84B08_5E0B_11D2_8EEE_0008C7BCAF29_.wvu.PrintTitles" localSheetId="9" hidden="1">#REF!,#REF!</definedName>
    <definedName name="Z_68F84B08_5E0B_11D2_8EEE_0008C7BCAF29_.wvu.PrintTitles" hidden="1">#REF!,#REF!</definedName>
    <definedName name="Z_68F84B0B_5E0B_11D2_8EEE_0008C7BCAF29_.wvu.PrintArea" localSheetId="17" hidden="1">#REF!</definedName>
    <definedName name="Z_68F84B0B_5E0B_11D2_8EEE_0008C7BCAF29_.wvu.PrintArea" localSheetId="30" hidden="1">#REF!</definedName>
    <definedName name="Z_68F84B0B_5E0B_11D2_8EEE_0008C7BCAF29_.wvu.PrintArea" localSheetId="31" hidden="1">#REF!</definedName>
    <definedName name="Z_68F84B0B_5E0B_11D2_8EEE_0008C7BCAF29_.wvu.PrintArea" localSheetId="7" hidden="1">#REF!</definedName>
    <definedName name="Z_68F84B0B_5E0B_11D2_8EEE_0008C7BCAF29_.wvu.PrintArea" localSheetId="12" hidden="1">#REF!</definedName>
    <definedName name="Z_68F84B0B_5E0B_11D2_8EEE_0008C7BCAF29_.wvu.PrintArea" localSheetId="9" hidden="1">#REF!</definedName>
    <definedName name="Z_68F84B0B_5E0B_11D2_8EEE_0008C7BCAF29_.wvu.PrintArea" hidden="1">#REF!</definedName>
    <definedName name="Z_68F84B0B_5E0B_11D2_8EEE_0008C7BCAF29_.wvu.PrintTitles" localSheetId="17" hidden="1">#REF!,#REF!</definedName>
    <definedName name="Z_68F84B0B_5E0B_11D2_8EEE_0008C7BCAF29_.wvu.PrintTitles" localSheetId="30" hidden="1">#REF!,#REF!</definedName>
    <definedName name="Z_68F84B0B_5E0B_11D2_8EEE_0008C7BCAF29_.wvu.PrintTitles" localSheetId="31" hidden="1">#REF!,#REF!</definedName>
    <definedName name="Z_68F84B0B_5E0B_11D2_8EEE_0008C7BCAF29_.wvu.PrintTitles" localSheetId="7" hidden="1">#REF!,#REF!</definedName>
    <definedName name="Z_68F84B0B_5E0B_11D2_8EEE_0008C7BCAF29_.wvu.PrintTitles" localSheetId="12" hidden="1">#REF!,#REF!</definedName>
    <definedName name="Z_68F84B0B_5E0B_11D2_8EEE_0008C7BCAF29_.wvu.PrintTitles" localSheetId="9" hidden="1">#REF!,#REF!</definedName>
    <definedName name="Z_68F84B0B_5E0B_11D2_8EEE_0008C7BCAF29_.wvu.PrintTitles" hidden="1">#REF!,#REF!</definedName>
    <definedName name="Z_68F84B11_5E0B_11D2_8EEE_0008C7BCAF29_.wvu.PrintArea" localSheetId="17" hidden="1">#REF!</definedName>
    <definedName name="Z_68F84B11_5E0B_11D2_8EEE_0008C7BCAF29_.wvu.PrintArea" localSheetId="30" hidden="1">#REF!</definedName>
    <definedName name="Z_68F84B11_5E0B_11D2_8EEE_0008C7BCAF29_.wvu.PrintArea" localSheetId="31" hidden="1">#REF!</definedName>
    <definedName name="Z_68F84B11_5E0B_11D2_8EEE_0008C7BCAF29_.wvu.PrintArea" localSheetId="7" hidden="1">#REF!</definedName>
    <definedName name="Z_68F84B11_5E0B_11D2_8EEE_0008C7BCAF29_.wvu.PrintArea" localSheetId="12" hidden="1">#REF!</definedName>
    <definedName name="Z_68F84B11_5E0B_11D2_8EEE_0008C7BCAF29_.wvu.PrintArea" localSheetId="9" hidden="1">#REF!</definedName>
    <definedName name="Z_68F84B11_5E0B_11D2_8EEE_0008C7BCAF29_.wvu.PrintArea" hidden="1">#REF!</definedName>
    <definedName name="Z_68F84B11_5E0B_11D2_8EEE_0008C7BCAF29_.wvu.PrintTitles" localSheetId="17" hidden="1">#REF!,#REF!</definedName>
    <definedName name="Z_68F84B11_5E0B_11D2_8EEE_0008C7BCAF29_.wvu.PrintTitles" localSheetId="30" hidden="1">#REF!,#REF!</definedName>
    <definedName name="Z_68F84B11_5E0B_11D2_8EEE_0008C7BCAF29_.wvu.PrintTitles" localSheetId="31" hidden="1">#REF!,#REF!</definedName>
    <definedName name="Z_68F84B11_5E0B_11D2_8EEE_0008C7BCAF29_.wvu.PrintTitles" localSheetId="7" hidden="1">#REF!,#REF!</definedName>
    <definedName name="Z_68F84B11_5E0B_11D2_8EEE_0008C7BCAF29_.wvu.PrintTitles" localSheetId="12" hidden="1">#REF!,#REF!</definedName>
    <definedName name="Z_68F84B11_5E0B_11D2_8EEE_0008C7BCAF29_.wvu.PrintTitles" localSheetId="9" hidden="1">#REF!,#REF!</definedName>
    <definedName name="Z_68F84B11_5E0B_11D2_8EEE_0008C7BCAF29_.wvu.PrintTitles" hidden="1">#REF!,#REF!</definedName>
    <definedName name="Z_68F84B14_5E0B_11D2_8EEE_0008C7BCAF29_.wvu.PrintArea" localSheetId="17" hidden="1">#REF!</definedName>
    <definedName name="Z_68F84B14_5E0B_11D2_8EEE_0008C7BCAF29_.wvu.PrintArea" localSheetId="30" hidden="1">#REF!</definedName>
    <definedName name="Z_68F84B14_5E0B_11D2_8EEE_0008C7BCAF29_.wvu.PrintArea" localSheetId="31" hidden="1">#REF!</definedName>
    <definedName name="Z_68F84B14_5E0B_11D2_8EEE_0008C7BCAF29_.wvu.PrintArea" localSheetId="7" hidden="1">#REF!</definedName>
    <definedName name="Z_68F84B14_5E0B_11D2_8EEE_0008C7BCAF29_.wvu.PrintArea" localSheetId="12" hidden="1">#REF!</definedName>
    <definedName name="Z_68F84B14_5E0B_11D2_8EEE_0008C7BCAF29_.wvu.PrintArea" localSheetId="9" hidden="1">#REF!</definedName>
    <definedName name="Z_68F84B14_5E0B_11D2_8EEE_0008C7BCAF29_.wvu.PrintArea" hidden="1">#REF!</definedName>
    <definedName name="Z_68F84B14_5E0B_11D2_8EEE_0008C7BCAF29_.wvu.PrintTitles" localSheetId="17" hidden="1">#REF!</definedName>
    <definedName name="Z_68F84B14_5E0B_11D2_8EEE_0008C7BCAF29_.wvu.PrintTitles" localSheetId="31" hidden="1">#REF!</definedName>
    <definedName name="Z_68F84B14_5E0B_11D2_8EEE_0008C7BCAF29_.wvu.PrintTitles" localSheetId="7" hidden="1">#REF!</definedName>
    <definedName name="Z_68F84B14_5E0B_11D2_8EEE_0008C7BCAF29_.wvu.PrintTitles" localSheetId="9" hidden="1">#REF!</definedName>
    <definedName name="Z_68F84B14_5E0B_11D2_8EEE_0008C7BCAF29_.wvu.PrintTitles" hidden="1">#REF!</definedName>
    <definedName name="Z_68F84B19_5E0B_11D2_8EEE_0008C7BCAF29_.wvu.PrintArea" localSheetId="17" hidden="1">#REF!</definedName>
    <definedName name="Z_68F84B19_5E0B_11D2_8EEE_0008C7BCAF29_.wvu.PrintArea" localSheetId="31" hidden="1">#REF!</definedName>
    <definedName name="Z_68F84B19_5E0B_11D2_8EEE_0008C7BCAF29_.wvu.PrintArea" localSheetId="7" hidden="1">#REF!</definedName>
    <definedName name="Z_68F84B19_5E0B_11D2_8EEE_0008C7BCAF29_.wvu.PrintArea" localSheetId="9" hidden="1">#REF!</definedName>
    <definedName name="Z_68F84B19_5E0B_11D2_8EEE_0008C7BCAF29_.wvu.PrintArea" hidden="1">#REF!</definedName>
    <definedName name="Z_68F84B19_5E0B_11D2_8EEE_0008C7BCAF29_.wvu.PrintTitles" localSheetId="17" hidden="1">#REF!,#REF!</definedName>
    <definedName name="Z_68F84B19_5E0B_11D2_8EEE_0008C7BCAF29_.wvu.PrintTitles" localSheetId="30" hidden="1">#REF!,#REF!</definedName>
    <definedName name="Z_68F84B19_5E0B_11D2_8EEE_0008C7BCAF29_.wvu.PrintTitles" localSheetId="31" hidden="1">#REF!,#REF!</definedName>
    <definedName name="Z_68F84B19_5E0B_11D2_8EEE_0008C7BCAF29_.wvu.PrintTitles" localSheetId="7" hidden="1">#REF!,#REF!</definedName>
    <definedName name="Z_68F84B19_5E0B_11D2_8EEE_0008C7BCAF29_.wvu.PrintTitles" localSheetId="12" hidden="1">#REF!,#REF!</definedName>
    <definedName name="Z_68F84B19_5E0B_11D2_8EEE_0008C7BCAF29_.wvu.PrintTitles" localSheetId="9" hidden="1">#REF!,#REF!</definedName>
    <definedName name="Z_68F84B19_5E0B_11D2_8EEE_0008C7BCAF29_.wvu.PrintTitles" hidden="1">#REF!,#REF!</definedName>
    <definedName name="Z_68F84B1B_5E0B_11D2_8EEE_0008C7BCAF29_.wvu.PrintArea" localSheetId="17" hidden="1">#REF!</definedName>
    <definedName name="Z_68F84B1B_5E0B_11D2_8EEE_0008C7BCAF29_.wvu.PrintArea" localSheetId="30" hidden="1">#REF!</definedName>
    <definedName name="Z_68F84B1B_5E0B_11D2_8EEE_0008C7BCAF29_.wvu.PrintArea" localSheetId="31" hidden="1">#REF!</definedName>
    <definedName name="Z_68F84B1B_5E0B_11D2_8EEE_0008C7BCAF29_.wvu.PrintArea" localSheetId="7" hidden="1">#REF!</definedName>
    <definedName name="Z_68F84B1B_5E0B_11D2_8EEE_0008C7BCAF29_.wvu.PrintArea" localSheetId="12" hidden="1">#REF!</definedName>
    <definedName name="Z_68F84B1B_5E0B_11D2_8EEE_0008C7BCAF29_.wvu.PrintArea" localSheetId="9" hidden="1">#REF!</definedName>
    <definedName name="Z_68F84B1B_5E0B_11D2_8EEE_0008C7BCAF29_.wvu.PrintArea" hidden="1">#REF!</definedName>
    <definedName name="Z_68F84B1B_5E0B_11D2_8EEE_0008C7BCAF29_.wvu.PrintTitles" localSheetId="17" hidden="1">#REF!,#REF!</definedName>
    <definedName name="Z_68F84B1B_5E0B_11D2_8EEE_0008C7BCAF29_.wvu.PrintTitles" localSheetId="30" hidden="1">#REF!,#REF!</definedName>
    <definedName name="Z_68F84B1B_5E0B_11D2_8EEE_0008C7BCAF29_.wvu.PrintTitles" localSheetId="31" hidden="1">#REF!,#REF!</definedName>
    <definedName name="Z_68F84B1B_5E0B_11D2_8EEE_0008C7BCAF29_.wvu.PrintTitles" localSheetId="7" hidden="1">#REF!,#REF!</definedName>
    <definedName name="Z_68F84B1B_5E0B_11D2_8EEE_0008C7BCAF29_.wvu.PrintTitles" localSheetId="12" hidden="1">#REF!,#REF!</definedName>
    <definedName name="Z_68F84B1B_5E0B_11D2_8EEE_0008C7BCAF29_.wvu.PrintTitles" localSheetId="9" hidden="1">#REF!,#REF!</definedName>
    <definedName name="Z_68F84B1B_5E0B_11D2_8EEE_0008C7BCAF29_.wvu.PrintTitles" hidden="1">#REF!,#REF!</definedName>
    <definedName name="Z_68F84B1E_5E0B_11D2_8EEE_0008C7BCAF29_.wvu.PrintArea" localSheetId="17" hidden="1">#REF!</definedName>
    <definedName name="Z_68F84B1E_5E0B_11D2_8EEE_0008C7BCAF29_.wvu.PrintArea" localSheetId="30" hidden="1">#REF!</definedName>
    <definedName name="Z_68F84B1E_5E0B_11D2_8EEE_0008C7BCAF29_.wvu.PrintArea" localSheetId="31" hidden="1">#REF!</definedName>
    <definedName name="Z_68F84B1E_5E0B_11D2_8EEE_0008C7BCAF29_.wvu.PrintArea" localSheetId="7" hidden="1">#REF!</definedName>
    <definedName name="Z_68F84B1E_5E0B_11D2_8EEE_0008C7BCAF29_.wvu.PrintArea" localSheetId="12" hidden="1">#REF!</definedName>
    <definedName name="Z_68F84B1E_5E0B_11D2_8EEE_0008C7BCAF29_.wvu.PrintArea" localSheetId="9" hidden="1">#REF!</definedName>
    <definedName name="Z_68F84B1E_5E0B_11D2_8EEE_0008C7BCAF29_.wvu.PrintArea" hidden="1">#REF!</definedName>
    <definedName name="Z_68F84B1E_5E0B_11D2_8EEE_0008C7BCAF29_.wvu.PrintTitles" localSheetId="17" hidden="1">#REF!</definedName>
    <definedName name="Z_68F84B1E_5E0B_11D2_8EEE_0008C7BCAF29_.wvu.PrintTitles" localSheetId="31" hidden="1">#REF!</definedName>
    <definedName name="Z_68F84B1E_5E0B_11D2_8EEE_0008C7BCAF29_.wvu.PrintTitles" localSheetId="7" hidden="1">#REF!</definedName>
    <definedName name="Z_68F84B1E_5E0B_11D2_8EEE_0008C7BCAF29_.wvu.PrintTitles" localSheetId="9" hidden="1">#REF!</definedName>
    <definedName name="Z_68F84B1E_5E0B_11D2_8EEE_0008C7BCAF29_.wvu.PrintTitles" hidden="1">#REF!</definedName>
    <definedName name="Z_68F84B23_5E0B_11D2_8EEE_0008C7BCAF29_.wvu.PrintArea" localSheetId="17" hidden="1">#REF!</definedName>
    <definedName name="Z_68F84B23_5E0B_11D2_8EEE_0008C7BCAF29_.wvu.PrintArea" localSheetId="31" hidden="1">#REF!</definedName>
    <definedName name="Z_68F84B23_5E0B_11D2_8EEE_0008C7BCAF29_.wvu.PrintArea" localSheetId="7" hidden="1">#REF!</definedName>
    <definedName name="Z_68F84B23_5E0B_11D2_8EEE_0008C7BCAF29_.wvu.PrintArea" localSheetId="9" hidden="1">#REF!</definedName>
    <definedName name="Z_68F84B23_5E0B_11D2_8EEE_0008C7BCAF29_.wvu.PrintArea" hidden="1">#REF!</definedName>
    <definedName name="Z_68F84B23_5E0B_11D2_8EEE_0008C7BCAF29_.wvu.PrintTitles" localSheetId="17" hidden="1">#REF!,#REF!</definedName>
    <definedName name="Z_68F84B23_5E0B_11D2_8EEE_0008C7BCAF29_.wvu.PrintTitles" localSheetId="30" hidden="1">#REF!,#REF!</definedName>
    <definedName name="Z_68F84B23_5E0B_11D2_8EEE_0008C7BCAF29_.wvu.PrintTitles" localSheetId="31" hidden="1">#REF!,#REF!</definedName>
    <definedName name="Z_68F84B23_5E0B_11D2_8EEE_0008C7BCAF29_.wvu.PrintTitles" localSheetId="7" hidden="1">#REF!,#REF!</definedName>
    <definedName name="Z_68F84B23_5E0B_11D2_8EEE_0008C7BCAF29_.wvu.PrintTitles" localSheetId="12" hidden="1">#REF!,#REF!</definedName>
    <definedName name="Z_68F84B23_5E0B_11D2_8EEE_0008C7BCAF29_.wvu.PrintTitles" localSheetId="9" hidden="1">#REF!,#REF!</definedName>
    <definedName name="Z_68F84B23_5E0B_11D2_8EEE_0008C7BCAF29_.wvu.PrintTitles" hidden="1">#REF!,#REF!</definedName>
    <definedName name="Z_68F84B26_5E0B_11D2_8EEE_0008C7BCAF29_.wvu.PrintArea" localSheetId="17" hidden="1">#REF!</definedName>
    <definedName name="Z_68F84B26_5E0B_11D2_8EEE_0008C7BCAF29_.wvu.PrintArea" localSheetId="30" hidden="1">#REF!</definedName>
    <definedName name="Z_68F84B26_5E0B_11D2_8EEE_0008C7BCAF29_.wvu.PrintArea" localSheetId="31" hidden="1">#REF!</definedName>
    <definedName name="Z_68F84B26_5E0B_11D2_8EEE_0008C7BCAF29_.wvu.PrintArea" localSheetId="7" hidden="1">#REF!</definedName>
    <definedName name="Z_68F84B26_5E0B_11D2_8EEE_0008C7BCAF29_.wvu.PrintArea" localSheetId="12" hidden="1">#REF!</definedName>
    <definedName name="Z_68F84B26_5E0B_11D2_8EEE_0008C7BCAF29_.wvu.PrintArea" localSheetId="9" hidden="1">#REF!</definedName>
    <definedName name="Z_68F84B26_5E0B_11D2_8EEE_0008C7BCAF29_.wvu.PrintArea" hidden="1">#REF!</definedName>
    <definedName name="Z_68F84B26_5E0B_11D2_8EEE_0008C7BCAF29_.wvu.PrintTitles" localSheetId="17" hidden="1">#REF!,#REF!</definedName>
    <definedName name="Z_68F84B26_5E0B_11D2_8EEE_0008C7BCAF29_.wvu.PrintTitles" localSheetId="30" hidden="1">#REF!,#REF!</definedName>
    <definedName name="Z_68F84B26_5E0B_11D2_8EEE_0008C7BCAF29_.wvu.PrintTitles" localSheetId="31" hidden="1">#REF!,#REF!</definedName>
    <definedName name="Z_68F84B26_5E0B_11D2_8EEE_0008C7BCAF29_.wvu.PrintTitles" localSheetId="7" hidden="1">#REF!,#REF!</definedName>
    <definedName name="Z_68F84B26_5E0B_11D2_8EEE_0008C7BCAF29_.wvu.PrintTitles" localSheetId="12" hidden="1">#REF!,#REF!</definedName>
    <definedName name="Z_68F84B26_5E0B_11D2_8EEE_0008C7BCAF29_.wvu.PrintTitles" localSheetId="9" hidden="1">#REF!,#REF!</definedName>
    <definedName name="Z_68F84B26_5E0B_11D2_8EEE_0008C7BCAF29_.wvu.PrintTitles" hidden="1">#REF!,#REF!</definedName>
    <definedName name="Z_6A332BE0_F116_11D4_A40F_0000865805A8_.wvu.Cols" localSheetId="7" hidden="1">#REF!,#REF!,#REF!</definedName>
    <definedName name="Z_6A332BE0_F116_11D4_A40F_0000865805A8_.wvu.Cols" localSheetId="10" hidden="1">#REF!,#REF!,#REF!</definedName>
    <definedName name="Z_6A332BE0_F116_11D4_A40F_0000865805A8_.wvu.Cols" hidden="1">#REF!,#REF!,#REF!</definedName>
    <definedName name="Z_76ADF601_0D2C_11D2_A26F_08000939C87E_.wvu.Cols" localSheetId="7" hidden="1">#REF!</definedName>
    <definedName name="Z_76ADF601_0D2C_11D2_A26F_08000939C87E_.wvu.Cols" localSheetId="10" hidden="1">#REF!</definedName>
    <definedName name="Z_76ADF601_0D2C_11D2_A26F_08000939C87E_.wvu.Cols" hidden="1">#REF!</definedName>
    <definedName name="Z_76ADF602_0D2C_11D2_A26F_08000939C87E_.wvu.Cols" localSheetId="7" hidden="1">#REF!,#REF!</definedName>
    <definedName name="Z_76ADF602_0D2C_11D2_A26F_08000939C87E_.wvu.Cols" localSheetId="10" hidden="1">#REF!,#REF!</definedName>
    <definedName name="Z_76ADF602_0D2C_11D2_A26F_08000939C87E_.wvu.Cols" hidden="1">#REF!,#REF!</definedName>
    <definedName name="Z_76ADF603_0D2C_11D2_A26F_08000939C87E_.wvu.Cols" localSheetId="10" hidden="1">#REF!</definedName>
    <definedName name="Z_76ADF603_0D2C_11D2_A26F_08000939C87E_.wvu.Cols" hidden="1">#REF!</definedName>
    <definedName name="Z_76ADF605_0D2C_11D2_A26F_08000939C87E_.wvu.Cols" localSheetId="10" hidden="1">#REF!</definedName>
    <definedName name="Z_76ADF605_0D2C_11D2_A26F_08000939C87E_.wvu.Cols" hidden="1">#REF!</definedName>
    <definedName name="Z_76ADF629_0D2C_11D2_A26F_08000939C87E_.wvu.Cols" localSheetId="10" hidden="1">#REF!</definedName>
    <definedName name="Z_76ADF629_0D2C_11D2_A26F_08000939C87E_.wvu.Cols" hidden="1">#REF!</definedName>
    <definedName name="Z_76ADF62A_0D2C_11D2_A26F_08000939C87E_.wvu.Cols" localSheetId="10" hidden="1">#REF!,#REF!</definedName>
    <definedName name="Z_76ADF62A_0D2C_11D2_A26F_08000939C87E_.wvu.Cols" hidden="1">#REF!,#REF!</definedName>
    <definedName name="Z_76ADF62B_0D2C_11D2_A26F_08000939C87E_.wvu.Cols" localSheetId="10" hidden="1">#REF!</definedName>
    <definedName name="Z_76ADF62B_0D2C_11D2_A26F_08000939C87E_.wvu.Cols" hidden="1">#REF!</definedName>
    <definedName name="Z_76ADF62D_0D2C_11D2_A26F_08000939C87E_.wvu.Cols" localSheetId="10" hidden="1">#REF!</definedName>
    <definedName name="Z_76ADF62D_0D2C_11D2_A26F_08000939C87E_.wvu.Cols" hidden="1">#REF!</definedName>
    <definedName name="Z_76FBE7D5_5EAD_11D2_8EEF_0008C7BCAF29_.wvu.PrintArea" localSheetId="17" hidden="1">#REF!</definedName>
    <definedName name="Z_76FBE7D5_5EAD_11D2_8EEF_0008C7BCAF29_.wvu.PrintArea" localSheetId="30" hidden="1">#REF!</definedName>
    <definedName name="Z_76FBE7D5_5EAD_11D2_8EEF_0008C7BCAF29_.wvu.PrintArea" localSheetId="31" hidden="1">#REF!</definedName>
    <definedName name="Z_76FBE7D5_5EAD_11D2_8EEF_0008C7BCAF29_.wvu.PrintArea" localSheetId="7" hidden="1">#REF!</definedName>
    <definedName name="Z_76FBE7D5_5EAD_11D2_8EEF_0008C7BCAF29_.wvu.PrintArea" localSheetId="9" hidden="1">#REF!</definedName>
    <definedName name="Z_76FBE7D5_5EAD_11D2_8EEF_0008C7BCAF29_.wvu.PrintArea" hidden="1">#REF!</definedName>
    <definedName name="Z_76FBE7D5_5EAD_11D2_8EEF_0008C7BCAF29_.wvu.PrintTitles" localSheetId="17" hidden="1">#REF!,#REF!</definedName>
    <definedName name="Z_76FBE7D5_5EAD_11D2_8EEF_0008C7BCAF29_.wvu.PrintTitles" localSheetId="30" hidden="1">#REF!,#REF!</definedName>
    <definedName name="Z_76FBE7D5_5EAD_11D2_8EEF_0008C7BCAF29_.wvu.PrintTitles" localSheetId="31" hidden="1">#REF!,#REF!</definedName>
    <definedName name="Z_76FBE7D5_5EAD_11D2_8EEF_0008C7BCAF29_.wvu.PrintTitles" localSheetId="7" hidden="1">#REF!,#REF!</definedName>
    <definedName name="Z_76FBE7D5_5EAD_11D2_8EEF_0008C7BCAF29_.wvu.PrintTitles" localSheetId="12" hidden="1">#REF!,#REF!</definedName>
    <definedName name="Z_76FBE7D5_5EAD_11D2_8EEF_0008C7BCAF29_.wvu.PrintTitles" localSheetId="9" hidden="1">#REF!,#REF!</definedName>
    <definedName name="Z_76FBE7D5_5EAD_11D2_8EEF_0008C7BCAF29_.wvu.PrintTitles" hidden="1">#REF!,#REF!</definedName>
    <definedName name="Z_76FBE7D7_5EAD_11D2_8EEF_0008C7BCAF29_.wvu.PrintArea" localSheetId="17" hidden="1">#REF!</definedName>
    <definedName name="Z_76FBE7D7_5EAD_11D2_8EEF_0008C7BCAF29_.wvu.PrintArea" localSheetId="30" hidden="1">#REF!</definedName>
    <definedName name="Z_76FBE7D7_5EAD_11D2_8EEF_0008C7BCAF29_.wvu.PrintArea" localSheetId="31" hidden="1">#REF!</definedName>
    <definedName name="Z_76FBE7D7_5EAD_11D2_8EEF_0008C7BCAF29_.wvu.PrintArea" localSheetId="7" hidden="1">#REF!</definedName>
    <definedName name="Z_76FBE7D7_5EAD_11D2_8EEF_0008C7BCAF29_.wvu.PrintArea" localSheetId="12" hidden="1">#REF!</definedName>
    <definedName name="Z_76FBE7D7_5EAD_11D2_8EEF_0008C7BCAF29_.wvu.PrintArea" localSheetId="9" hidden="1">#REF!</definedName>
    <definedName name="Z_76FBE7D7_5EAD_11D2_8EEF_0008C7BCAF29_.wvu.PrintArea" hidden="1">#REF!</definedName>
    <definedName name="Z_76FBE7D7_5EAD_11D2_8EEF_0008C7BCAF29_.wvu.PrintTitles" localSheetId="17" hidden="1">#REF!</definedName>
    <definedName name="Z_76FBE7D7_5EAD_11D2_8EEF_0008C7BCAF29_.wvu.PrintTitles" localSheetId="31" hidden="1">#REF!</definedName>
    <definedName name="Z_76FBE7D7_5EAD_11D2_8EEF_0008C7BCAF29_.wvu.PrintTitles" localSheetId="7" hidden="1">#REF!</definedName>
    <definedName name="Z_76FBE7D7_5EAD_11D2_8EEF_0008C7BCAF29_.wvu.PrintTitles" localSheetId="9" hidden="1">#REF!</definedName>
    <definedName name="Z_76FBE7D7_5EAD_11D2_8EEF_0008C7BCAF29_.wvu.PrintTitles" hidden="1">#REF!</definedName>
    <definedName name="Z_76FBE7DA_5EAD_11D2_8EEF_0008C7BCAF29_.wvu.PrintArea" localSheetId="17" hidden="1">#REF!</definedName>
    <definedName name="Z_76FBE7DA_5EAD_11D2_8EEF_0008C7BCAF29_.wvu.PrintArea" localSheetId="31" hidden="1">#REF!</definedName>
    <definedName name="Z_76FBE7DA_5EAD_11D2_8EEF_0008C7BCAF29_.wvu.PrintArea" localSheetId="7" hidden="1">#REF!</definedName>
    <definedName name="Z_76FBE7DA_5EAD_11D2_8EEF_0008C7BCAF29_.wvu.PrintArea" localSheetId="9" hidden="1">#REF!</definedName>
    <definedName name="Z_76FBE7DA_5EAD_11D2_8EEF_0008C7BCAF29_.wvu.PrintArea" hidden="1">#REF!</definedName>
    <definedName name="Z_76FBE7DA_5EAD_11D2_8EEF_0008C7BCAF29_.wvu.PrintTitles" localSheetId="17" hidden="1">#REF!,#REF!</definedName>
    <definedName name="Z_76FBE7DA_5EAD_11D2_8EEF_0008C7BCAF29_.wvu.PrintTitles" localSheetId="30" hidden="1">#REF!,#REF!</definedName>
    <definedName name="Z_76FBE7DA_5EAD_11D2_8EEF_0008C7BCAF29_.wvu.PrintTitles" localSheetId="31" hidden="1">#REF!,#REF!</definedName>
    <definedName name="Z_76FBE7DA_5EAD_11D2_8EEF_0008C7BCAF29_.wvu.PrintTitles" localSheetId="7" hidden="1">#REF!,#REF!</definedName>
    <definedName name="Z_76FBE7DA_5EAD_11D2_8EEF_0008C7BCAF29_.wvu.PrintTitles" localSheetId="12" hidden="1">#REF!,#REF!</definedName>
    <definedName name="Z_76FBE7DA_5EAD_11D2_8EEF_0008C7BCAF29_.wvu.PrintTitles" localSheetId="9" hidden="1">#REF!,#REF!</definedName>
    <definedName name="Z_76FBE7DA_5EAD_11D2_8EEF_0008C7BCAF29_.wvu.PrintTitles" hidden="1">#REF!,#REF!</definedName>
    <definedName name="Z_76FBE7DC_5EAD_11D2_8EEF_0008C7BCAF29_.wvu.PrintArea" localSheetId="17" hidden="1">#REF!</definedName>
    <definedName name="Z_76FBE7DC_5EAD_11D2_8EEF_0008C7BCAF29_.wvu.PrintArea" localSheetId="30" hidden="1">#REF!</definedName>
    <definedName name="Z_76FBE7DC_5EAD_11D2_8EEF_0008C7BCAF29_.wvu.PrintArea" localSheetId="31" hidden="1">#REF!</definedName>
    <definedName name="Z_76FBE7DC_5EAD_11D2_8EEF_0008C7BCAF29_.wvu.PrintArea" localSheetId="7" hidden="1">#REF!</definedName>
    <definedName name="Z_76FBE7DC_5EAD_11D2_8EEF_0008C7BCAF29_.wvu.PrintArea" localSheetId="12" hidden="1">#REF!</definedName>
    <definedName name="Z_76FBE7DC_5EAD_11D2_8EEF_0008C7BCAF29_.wvu.PrintArea" localSheetId="9" hidden="1">#REF!</definedName>
    <definedName name="Z_76FBE7DC_5EAD_11D2_8EEF_0008C7BCAF29_.wvu.PrintArea" hidden="1">#REF!</definedName>
    <definedName name="Z_76FBE7DC_5EAD_11D2_8EEF_0008C7BCAF29_.wvu.PrintTitles" localSheetId="17" hidden="1">#REF!,#REF!</definedName>
    <definedName name="Z_76FBE7DC_5EAD_11D2_8EEF_0008C7BCAF29_.wvu.PrintTitles" localSheetId="30" hidden="1">#REF!,#REF!</definedName>
    <definedName name="Z_76FBE7DC_5EAD_11D2_8EEF_0008C7BCAF29_.wvu.PrintTitles" localSheetId="31" hidden="1">#REF!,#REF!</definedName>
    <definedName name="Z_76FBE7DC_5EAD_11D2_8EEF_0008C7BCAF29_.wvu.PrintTitles" localSheetId="7" hidden="1">#REF!,#REF!</definedName>
    <definedName name="Z_76FBE7DC_5EAD_11D2_8EEF_0008C7BCAF29_.wvu.PrintTitles" localSheetId="12" hidden="1">#REF!,#REF!</definedName>
    <definedName name="Z_76FBE7DC_5EAD_11D2_8EEF_0008C7BCAF29_.wvu.PrintTitles" localSheetId="9" hidden="1">#REF!,#REF!</definedName>
    <definedName name="Z_76FBE7DC_5EAD_11D2_8EEF_0008C7BCAF29_.wvu.PrintTitles" hidden="1">#REF!,#REF!</definedName>
    <definedName name="Z_76FBE7DE_5EAD_11D2_8EEF_0008C7BCAF29_.wvu.PrintArea" localSheetId="17" hidden="1">#REF!</definedName>
    <definedName name="Z_76FBE7DE_5EAD_11D2_8EEF_0008C7BCAF29_.wvu.PrintArea" localSheetId="30" hidden="1">#REF!</definedName>
    <definedName name="Z_76FBE7DE_5EAD_11D2_8EEF_0008C7BCAF29_.wvu.PrintArea" localSheetId="31" hidden="1">#REF!</definedName>
    <definedName name="Z_76FBE7DE_5EAD_11D2_8EEF_0008C7BCAF29_.wvu.PrintArea" localSheetId="7" hidden="1">#REF!</definedName>
    <definedName name="Z_76FBE7DE_5EAD_11D2_8EEF_0008C7BCAF29_.wvu.PrintArea" localSheetId="12" hidden="1">#REF!</definedName>
    <definedName name="Z_76FBE7DE_5EAD_11D2_8EEF_0008C7BCAF29_.wvu.PrintArea" localSheetId="9" hidden="1">#REF!</definedName>
    <definedName name="Z_76FBE7DE_5EAD_11D2_8EEF_0008C7BCAF29_.wvu.PrintArea" hidden="1">#REF!</definedName>
    <definedName name="Z_76FBE7DE_5EAD_11D2_8EEF_0008C7BCAF29_.wvu.PrintTitles" localSheetId="17" hidden="1">#REF!</definedName>
    <definedName name="Z_76FBE7DE_5EAD_11D2_8EEF_0008C7BCAF29_.wvu.PrintTitles" localSheetId="31" hidden="1">#REF!</definedName>
    <definedName name="Z_76FBE7DE_5EAD_11D2_8EEF_0008C7BCAF29_.wvu.PrintTitles" localSheetId="7" hidden="1">#REF!</definedName>
    <definedName name="Z_76FBE7DE_5EAD_11D2_8EEF_0008C7BCAF29_.wvu.PrintTitles" localSheetId="9" hidden="1">#REF!</definedName>
    <definedName name="Z_76FBE7DE_5EAD_11D2_8EEF_0008C7BCAF29_.wvu.PrintTitles" hidden="1">#REF!</definedName>
    <definedName name="Z_76FBE7E1_5EAD_11D2_8EEF_0008C7BCAF29_.wvu.PrintArea" localSheetId="17" hidden="1">#REF!</definedName>
    <definedName name="Z_76FBE7E1_5EAD_11D2_8EEF_0008C7BCAF29_.wvu.PrintArea" localSheetId="31" hidden="1">#REF!</definedName>
    <definedName name="Z_76FBE7E1_5EAD_11D2_8EEF_0008C7BCAF29_.wvu.PrintArea" localSheetId="7" hidden="1">#REF!</definedName>
    <definedName name="Z_76FBE7E1_5EAD_11D2_8EEF_0008C7BCAF29_.wvu.PrintArea" localSheetId="9" hidden="1">#REF!</definedName>
    <definedName name="Z_76FBE7E1_5EAD_11D2_8EEF_0008C7BCAF29_.wvu.PrintArea" hidden="1">#REF!</definedName>
    <definedName name="Z_76FBE7E1_5EAD_11D2_8EEF_0008C7BCAF29_.wvu.PrintTitles" localSheetId="17" hidden="1">#REF!,#REF!</definedName>
    <definedName name="Z_76FBE7E1_5EAD_11D2_8EEF_0008C7BCAF29_.wvu.PrintTitles" localSheetId="30" hidden="1">#REF!,#REF!</definedName>
    <definedName name="Z_76FBE7E1_5EAD_11D2_8EEF_0008C7BCAF29_.wvu.PrintTitles" localSheetId="31" hidden="1">#REF!,#REF!</definedName>
    <definedName name="Z_76FBE7E1_5EAD_11D2_8EEF_0008C7BCAF29_.wvu.PrintTitles" localSheetId="7" hidden="1">#REF!,#REF!</definedName>
    <definedName name="Z_76FBE7E1_5EAD_11D2_8EEF_0008C7BCAF29_.wvu.PrintTitles" localSheetId="12" hidden="1">#REF!,#REF!</definedName>
    <definedName name="Z_76FBE7E1_5EAD_11D2_8EEF_0008C7BCAF29_.wvu.PrintTitles" localSheetId="9" hidden="1">#REF!,#REF!</definedName>
    <definedName name="Z_76FBE7E1_5EAD_11D2_8EEF_0008C7BCAF29_.wvu.PrintTitles" hidden="1">#REF!,#REF!</definedName>
    <definedName name="Z_76FBE7E3_5EAD_11D2_8EEF_0008C7BCAF29_.wvu.PrintArea" localSheetId="17" hidden="1">#REF!</definedName>
    <definedName name="Z_76FBE7E3_5EAD_11D2_8EEF_0008C7BCAF29_.wvu.PrintArea" localSheetId="30" hidden="1">#REF!</definedName>
    <definedName name="Z_76FBE7E3_5EAD_11D2_8EEF_0008C7BCAF29_.wvu.PrintArea" localSheetId="31" hidden="1">#REF!</definedName>
    <definedName name="Z_76FBE7E3_5EAD_11D2_8EEF_0008C7BCAF29_.wvu.PrintArea" localSheetId="7" hidden="1">#REF!</definedName>
    <definedName name="Z_76FBE7E3_5EAD_11D2_8EEF_0008C7BCAF29_.wvu.PrintArea" localSheetId="12" hidden="1">#REF!</definedName>
    <definedName name="Z_76FBE7E3_5EAD_11D2_8EEF_0008C7BCAF29_.wvu.PrintArea" localSheetId="9" hidden="1">#REF!</definedName>
    <definedName name="Z_76FBE7E3_5EAD_11D2_8EEF_0008C7BCAF29_.wvu.PrintArea" hidden="1">#REF!</definedName>
    <definedName name="Z_76FBE7E3_5EAD_11D2_8EEF_0008C7BCAF29_.wvu.PrintTitles" localSheetId="17" hidden="1">#REF!,#REF!</definedName>
    <definedName name="Z_76FBE7E3_5EAD_11D2_8EEF_0008C7BCAF29_.wvu.PrintTitles" localSheetId="30" hidden="1">#REF!,#REF!</definedName>
    <definedName name="Z_76FBE7E3_5EAD_11D2_8EEF_0008C7BCAF29_.wvu.PrintTitles" localSheetId="31" hidden="1">#REF!,#REF!</definedName>
    <definedName name="Z_76FBE7E3_5EAD_11D2_8EEF_0008C7BCAF29_.wvu.PrintTitles" localSheetId="7" hidden="1">#REF!,#REF!</definedName>
    <definedName name="Z_76FBE7E3_5EAD_11D2_8EEF_0008C7BCAF29_.wvu.PrintTitles" localSheetId="12" hidden="1">#REF!,#REF!</definedName>
    <definedName name="Z_76FBE7E3_5EAD_11D2_8EEF_0008C7BCAF29_.wvu.PrintTitles" localSheetId="9" hidden="1">#REF!,#REF!</definedName>
    <definedName name="Z_76FBE7E3_5EAD_11D2_8EEF_0008C7BCAF29_.wvu.PrintTitles" hidden="1">#REF!,#REF!</definedName>
    <definedName name="Z_8046B824_005E_11D2_B4C6_080009444397_.wvu.Cols" localSheetId="10" hidden="1">#REF!</definedName>
    <definedName name="Z_8046B824_005E_11D2_B4C6_080009444397_.wvu.Cols" hidden="1">#REF!</definedName>
    <definedName name="Z_8046B825_005E_11D2_B4C6_080009444397_.wvu.Cols" localSheetId="7" hidden="1">#REF!,#REF!</definedName>
    <definedName name="Z_8046B825_005E_11D2_B4C6_080009444397_.wvu.Cols" localSheetId="10" hidden="1">#REF!,#REF!</definedName>
    <definedName name="Z_8046B825_005E_11D2_B4C6_080009444397_.wvu.Cols" hidden="1">#REF!,#REF!</definedName>
    <definedName name="Z_8046B826_005E_11D2_B4C6_080009444397_.wvu.Cols" localSheetId="10" hidden="1">#REF!</definedName>
    <definedName name="Z_8046B826_005E_11D2_B4C6_080009444397_.wvu.Cols" hidden="1">#REF!</definedName>
    <definedName name="Z_8046B828_005E_11D2_B4C6_080009444397_.wvu.Cols" localSheetId="10" hidden="1">#REF!</definedName>
    <definedName name="Z_8046B828_005E_11D2_B4C6_080009444397_.wvu.Cols" hidden="1">#REF!</definedName>
    <definedName name="Z_974EFDB0_1051_11D2_8E71_0008C77C0743_.wvu.PrintArea" localSheetId="17" hidden="1">#REF!</definedName>
    <definedName name="Z_974EFDB0_1051_11D2_8E71_0008C77C0743_.wvu.PrintArea" localSheetId="30" hidden="1">#REF!</definedName>
    <definedName name="Z_974EFDB0_1051_11D2_8E71_0008C77C0743_.wvu.PrintArea" localSheetId="31" hidden="1">#REF!</definedName>
    <definedName name="Z_974EFDB0_1051_11D2_8E71_0008C77C0743_.wvu.PrintArea" localSheetId="7" hidden="1">#REF!</definedName>
    <definedName name="Z_974EFDB0_1051_11D2_8E71_0008C77C0743_.wvu.PrintArea" localSheetId="9" hidden="1">#REF!</definedName>
    <definedName name="Z_974EFDB0_1051_11D2_8E71_0008C77C0743_.wvu.PrintArea" hidden="1">#REF!</definedName>
    <definedName name="Z_974EFDB0_1051_11D2_8E71_0008C77C0743_.wvu.PrintTitles" localSheetId="17" hidden="1">#REF!,#REF!</definedName>
    <definedName name="Z_974EFDB0_1051_11D2_8E71_0008C77C0743_.wvu.PrintTitles" localSheetId="30" hidden="1">#REF!,#REF!</definedName>
    <definedName name="Z_974EFDB0_1051_11D2_8E71_0008C77C0743_.wvu.PrintTitles" localSheetId="31" hidden="1">#REF!,#REF!</definedName>
    <definedName name="Z_974EFDB0_1051_11D2_8E71_0008C77C0743_.wvu.PrintTitles" localSheetId="7" hidden="1">#REF!,#REF!</definedName>
    <definedName name="Z_974EFDB0_1051_11D2_8E71_0008C77C0743_.wvu.PrintTitles" localSheetId="12" hidden="1">#REF!,#REF!</definedName>
    <definedName name="Z_974EFDB0_1051_11D2_8E71_0008C77C0743_.wvu.PrintTitles" localSheetId="9" hidden="1">#REF!,#REF!</definedName>
    <definedName name="Z_974EFDB0_1051_11D2_8E71_0008C77C0743_.wvu.PrintTitles" hidden="1">#REF!,#REF!</definedName>
    <definedName name="Z_974EFDB2_1051_11D2_8E71_0008C77C0743_.wvu.PrintArea" localSheetId="17" hidden="1">#REF!</definedName>
    <definedName name="Z_974EFDB2_1051_11D2_8E71_0008C77C0743_.wvu.PrintArea" localSheetId="30" hidden="1">#REF!</definedName>
    <definedName name="Z_974EFDB2_1051_11D2_8E71_0008C77C0743_.wvu.PrintArea" localSheetId="31" hidden="1">#REF!</definedName>
    <definedName name="Z_974EFDB2_1051_11D2_8E71_0008C77C0743_.wvu.PrintArea" localSheetId="7" hidden="1">#REF!</definedName>
    <definedName name="Z_974EFDB2_1051_11D2_8E71_0008C77C0743_.wvu.PrintArea" localSheetId="12" hidden="1">#REF!</definedName>
    <definedName name="Z_974EFDB2_1051_11D2_8E71_0008C77C0743_.wvu.PrintArea" localSheetId="9" hidden="1">#REF!</definedName>
    <definedName name="Z_974EFDB2_1051_11D2_8E71_0008C77C0743_.wvu.PrintArea" hidden="1">#REF!</definedName>
    <definedName name="Z_974EFDB2_1051_11D2_8E71_0008C77C0743_.wvu.PrintTitles" localSheetId="17" hidden="1">#REF!</definedName>
    <definedName name="Z_974EFDB2_1051_11D2_8E71_0008C77C0743_.wvu.PrintTitles" localSheetId="31" hidden="1">#REF!</definedName>
    <definedName name="Z_974EFDB2_1051_11D2_8E71_0008C77C0743_.wvu.PrintTitles" localSheetId="7" hidden="1">#REF!</definedName>
    <definedName name="Z_974EFDB2_1051_11D2_8E71_0008C77C0743_.wvu.PrintTitles" localSheetId="9" hidden="1">#REF!</definedName>
    <definedName name="Z_974EFDB2_1051_11D2_8E71_0008C77C0743_.wvu.PrintTitles" hidden="1">#REF!</definedName>
    <definedName name="Z_974EFDB5_1051_11D2_8E71_0008C77C0743_.wvu.PrintArea" localSheetId="17" hidden="1">#REF!</definedName>
    <definedName name="Z_974EFDB5_1051_11D2_8E71_0008C77C0743_.wvu.PrintArea" localSheetId="31" hidden="1">#REF!</definedName>
    <definedName name="Z_974EFDB5_1051_11D2_8E71_0008C77C0743_.wvu.PrintArea" localSheetId="7" hidden="1">#REF!</definedName>
    <definedName name="Z_974EFDB5_1051_11D2_8E71_0008C77C0743_.wvu.PrintArea" localSheetId="9" hidden="1">#REF!</definedName>
    <definedName name="Z_974EFDB5_1051_11D2_8E71_0008C77C0743_.wvu.PrintArea" hidden="1">#REF!</definedName>
    <definedName name="Z_974EFDB5_1051_11D2_8E71_0008C77C0743_.wvu.PrintTitles" localSheetId="17" hidden="1">#REF!,#REF!</definedName>
    <definedName name="Z_974EFDB5_1051_11D2_8E71_0008C77C0743_.wvu.PrintTitles" localSheetId="30" hidden="1">#REF!,#REF!</definedName>
    <definedName name="Z_974EFDB5_1051_11D2_8E71_0008C77C0743_.wvu.PrintTitles" localSheetId="31" hidden="1">#REF!,#REF!</definedName>
    <definedName name="Z_974EFDB5_1051_11D2_8E71_0008C77C0743_.wvu.PrintTitles" localSheetId="7" hidden="1">#REF!,#REF!</definedName>
    <definedName name="Z_974EFDB5_1051_11D2_8E71_0008C77C0743_.wvu.PrintTitles" localSheetId="12" hidden="1">#REF!,#REF!</definedName>
    <definedName name="Z_974EFDB5_1051_11D2_8E71_0008C77C0743_.wvu.PrintTitles" localSheetId="9" hidden="1">#REF!,#REF!</definedName>
    <definedName name="Z_974EFDB5_1051_11D2_8E71_0008C77C0743_.wvu.PrintTitles" hidden="1">#REF!,#REF!</definedName>
    <definedName name="Z_974EFDB7_1051_11D2_8E71_0008C77C0743_.wvu.PrintArea" localSheetId="17" hidden="1">#REF!</definedName>
    <definedName name="Z_974EFDB7_1051_11D2_8E71_0008C77C0743_.wvu.PrintArea" localSheetId="30" hidden="1">#REF!</definedName>
    <definedName name="Z_974EFDB7_1051_11D2_8E71_0008C77C0743_.wvu.PrintArea" localSheetId="31" hidden="1">#REF!</definedName>
    <definedName name="Z_974EFDB7_1051_11D2_8E71_0008C77C0743_.wvu.PrintArea" localSheetId="7" hidden="1">#REF!</definedName>
    <definedName name="Z_974EFDB7_1051_11D2_8E71_0008C77C0743_.wvu.PrintArea" localSheetId="12" hidden="1">#REF!</definedName>
    <definedName name="Z_974EFDB7_1051_11D2_8E71_0008C77C0743_.wvu.PrintArea" localSheetId="9" hidden="1">#REF!</definedName>
    <definedName name="Z_974EFDB7_1051_11D2_8E71_0008C77C0743_.wvu.PrintArea" hidden="1">#REF!</definedName>
    <definedName name="Z_974EFDB7_1051_11D2_8E71_0008C77C0743_.wvu.PrintTitles" localSheetId="17" hidden="1">#REF!,#REF!</definedName>
    <definedName name="Z_974EFDB7_1051_11D2_8E71_0008C77C0743_.wvu.PrintTitles" localSheetId="30" hidden="1">#REF!,#REF!</definedName>
    <definedName name="Z_974EFDB7_1051_11D2_8E71_0008C77C0743_.wvu.PrintTitles" localSheetId="31" hidden="1">#REF!,#REF!</definedName>
    <definedName name="Z_974EFDB7_1051_11D2_8E71_0008C77C0743_.wvu.PrintTitles" localSheetId="7" hidden="1">#REF!,#REF!</definedName>
    <definedName name="Z_974EFDB7_1051_11D2_8E71_0008C77C0743_.wvu.PrintTitles" localSheetId="12" hidden="1">#REF!,#REF!</definedName>
    <definedName name="Z_974EFDB7_1051_11D2_8E71_0008C77C0743_.wvu.PrintTitles" localSheetId="9" hidden="1">#REF!,#REF!</definedName>
    <definedName name="Z_974EFDB7_1051_11D2_8E71_0008C77C0743_.wvu.PrintTitles" hidden="1">#REF!,#REF!</definedName>
    <definedName name="Z_974EFDB9_1051_11D2_8E71_0008C77C0743_.wvu.PrintArea" localSheetId="17" hidden="1">#REF!</definedName>
    <definedName name="Z_974EFDB9_1051_11D2_8E71_0008C77C0743_.wvu.PrintArea" localSheetId="30" hidden="1">#REF!</definedName>
    <definedName name="Z_974EFDB9_1051_11D2_8E71_0008C77C0743_.wvu.PrintArea" localSheetId="31" hidden="1">#REF!</definedName>
    <definedName name="Z_974EFDB9_1051_11D2_8E71_0008C77C0743_.wvu.PrintArea" localSheetId="7" hidden="1">#REF!</definedName>
    <definedName name="Z_974EFDB9_1051_11D2_8E71_0008C77C0743_.wvu.PrintArea" localSheetId="12" hidden="1">#REF!</definedName>
    <definedName name="Z_974EFDB9_1051_11D2_8E71_0008C77C0743_.wvu.PrintArea" localSheetId="9" hidden="1">#REF!</definedName>
    <definedName name="Z_974EFDB9_1051_11D2_8E71_0008C77C0743_.wvu.PrintArea" hidden="1">#REF!</definedName>
    <definedName name="Z_974EFDB9_1051_11D2_8E71_0008C77C0743_.wvu.PrintTitles" localSheetId="17" hidden="1">#REF!</definedName>
    <definedName name="Z_974EFDB9_1051_11D2_8E71_0008C77C0743_.wvu.PrintTitles" localSheetId="31" hidden="1">#REF!</definedName>
    <definedName name="Z_974EFDB9_1051_11D2_8E71_0008C77C0743_.wvu.PrintTitles" localSheetId="7" hidden="1">#REF!</definedName>
    <definedName name="Z_974EFDB9_1051_11D2_8E71_0008C77C0743_.wvu.PrintTitles" localSheetId="9" hidden="1">#REF!</definedName>
    <definedName name="Z_974EFDB9_1051_11D2_8E71_0008C77C0743_.wvu.PrintTitles" hidden="1">#REF!</definedName>
    <definedName name="Z_974EFDBC_1051_11D2_8E71_0008C77C0743_.wvu.PrintArea" localSheetId="17" hidden="1">#REF!</definedName>
    <definedName name="Z_974EFDBC_1051_11D2_8E71_0008C77C0743_.wvu.PrintArea" localSheetId="31" hidden="1">#REF!</definedName>
    <definedName name="Z_974EFDBC_1051_11D2_8E71_0008C77C0743_.wvu.PrintArea" localSheetId="7" hidden="1">#REF!</definedName>
    <definedName name="Z_974EFDBC_1051_11D2_8E71_0008C77C0743_.wvu.PrintArea" localSheetId="9" hidden="1">#REF!</definedName>
    <definedName name="Z_974EFDBC_1051_11D2_8E71_0008C77C0743_.wvu.PrintArea" hidden="1">#REF!</definedName>
    <definedName name="Z_974EFDBC_1051_11D2_8E71_0008C77C0743_.wvu.PrintTitles" localSheetId="17" hidden="1">#REF!,#REF!</definedName>
    <definedName name="Z_974EFDBC_1051_11D2_8E71_0008C77C0743_.wvu.PrintTitles" localSheetId="30" hidden="1">#REF!,#REF!</definedName>
    <definedName name="Z_974EFDBC_1051_11D2_8E71_0008C77C0743_.wvu.PrintTitles" localSheetId="31" hidden="1">#REF!,#REF!</definedName>
    <definedName name="Z_974EFDBC_1051_11D2_8E71_0008C77C0743_.wvu.PrintTitles" localSheetId="7" hidden="1">#REF!,#REF!</definedName>
    <definedName name="Z_974EFDBC_1051_11D2_8E71_0008C77C0743_.wvu.PrintTitles" localSheetId="12" hidden="1">#REF!,#REF!</definedName>
    <definedName name="Z_974EFDBC_1051_11D2_8E71_0008C77C0743_.wvu.PrintTitles" localSheetId="9" hidden="1">#REF!,#REF!</definedName>
    <definedName name="Z_974EFDBC_1051_11D2_8E71_0008C77C0743_.wvu.PrintTitles" hidden="1">#REF!,#REF!</definedName>
    <definedName name="Z_974EFDBE_1051_11D2_8E71_0008C77C0743_.wvu.PrintArea" localSheetId="17" hidden="1">#REF!</definedName>
    <definedName name="Z_974EFDBE_1051_11D2_8E71_0008C77C0743_.wvu.PrintArea" localSheetId="30" hidden="1">#REF!</definedName>
    <definedName name="Z_974EFDBE_1051_11D2_8E71_0008C77C0743_.wvu.PrintArea" localSheetId="31" hidden="1">#REF!</definedName>
    <definedName name="Z_974EFDBE_1051_11D2_8E71_0008C77C0743_.wvu.PrintArea" localSheetId="7" hidden="1">#REF!</definedName>
    <definedName name="Z_974EFDBE_1051_11D2_8E71_0008C77C0743_.wvu.PrintArea" localSheetId="12" hidden="1">#REF!</definedName>
    <definedName name="Z_974EFDBE_1051_11D2_8E71_0008C77C0743_.wvu.PrintArea" localSheetId="9" hidden="1">#REF!</definedName>
    <definedName name="Z_974EFDBE_1051_11D2_8E71_0008C77C0743_.wvu.PrintArea" hidden="1">#REF!</definedName>
    <definedName name="Z_974EFDBE_1051_11D2_8E71_0008C77C0743_.wvu.PrintTitles" localSheetId="17" hidden="1">#REF!,#REF!</definedName>
    <definedName name="Z_974EFDBE_1051_11D2_8E71_0008C77C0743_.wvu.PrintTitles" localSheetId="30" hidden="1">#REF!,#REF!</definedName>
    <definedName name="Z_974EFDBE_1051_11D2_8E71_0008C77C0743_.wvu.PrintTitles" localSheetId="31" hidden="1">#REF!,#REF!</definedName>
    <definedName name="Z_974EFDBE_1051_11D2_8E71_0008C77C0743_.wvu.PrintTitles" localSheetId="7" hidden="1">#REF!,#REF!</definedName>
    <definedName name="Z_974EFDBE_1051_11D2_8E71_0008C77C0743_.wvu.PrintTitles" localSheetId="12" hidden="1">#REF!,#REF!</definedName>
    <definedName name="Z_974EFDBE_1051_11D2_8E71_0008C77C0743_.wvu.PrintTitles" localSheetId="9" hidden="1">#REF!,#REF!</definedName>
    <definedName name="Z_974EFDBE_1051_11D2_8E71_0008C77C0743_.wvu.PrintTitles" hidden="1">#REF!,#REF!</definedName>
    <definedName name="Z_A1DB4122_5E0E_11D2_8EC3_0008C77C0743_.wvu.PrintArea" localSheetId="17" hidden="1">#REF!</definedName>
    <definedName name="Z_A1DB4122_5E0E_11D2_8EC3_0008C77C0743_.wvu.PrintArea" localSheetId="30" hidden="1">#REF!</definedName>
    <definedName name="Z_A1DB4122_5E0E_11D2_8EC3_0008C77C0743_.wvu.PrintArea" localSheetId="31" hidden="1">#REF!</definedName>
    <definedName name="Z_A1DB4122_5E0E_11D2_8EC3_0008C77C0743_.wvu.PrintArea" localSheetId="7" hidden="1">#REF!</definedName>
    <definedName name="Z_A1DB4122_5E0E_11D2_8EC3_0008C77C0743_.wvu.PrintArea" localSheetId="12" hidden="1">#REF!</definedName>
    <definedName name="Z_A1DB4122_5E0E_11D2_8EC3_0008C77C0743_.wvu.PrintArea" localSheetId="9" hidden="1">#REF!</definedName>
    <definedName name="Z_A1DB4122_5E0E_11D2_8EC3_0008C77C0743_.wvu.PrintArea" hidden="1">#REF!</definedName>
    <definedName name="Z_A1DB4122_5E0E_11D2_8EC3_0008C77C0743_.wvu.PrintTitles" localSheetId="17" hidden="1">#REF!</definedName>
    <definedName name="Z_A1DB4122_5E0E_11D2_8EC3_0008C77C0743_.wvu.PrintTitles" localSheetId="31" hidden="1">#REF!</definedName>
    <definedName name="Z_A1DB4122_5E0E_11D2_8EC3_0008C77C0743_.wvu.PrintTitles" localSheetId="7" hidden="1">#REF!</definedName>
    <definedName name="Z_A1DB4122_5E0E_11D2_8EC3_0008C77C0743_.wvu.PrintTitles" localSheetId="9" hidden="1">#REF!</definedName>
    <definedName name="Z_A1DB4122_5E0E_11D2_8EC3_0008C77C0743_.wvu.PrintTitles" hidden="1">#REF!</definedName>
    <definedName name="Z_A1DB4131_5E0E_11D2_8EC3_0008C77C0743_.wvu.PrintArea" localSheetId="17" hidden="1">#REF!</definedName>
    <definedName name="Z_A1DB4131_5E0E_11D2_8EC3_0008C77C0743_.wvu.PrintArea" localSheetId="31" hidden="1">#REF!</definedName>
    <definedName name="Z_A1DB4131_5E0E_11D2_8EC3_0008C77C0743_.wvu.PrintArea" localSheetId="7" hidden="1">#REF!</definedName>
    <definedName name="Z_A1DB4131_5E0E_11D2_8EC3_0008C77C0743_.wvu.PrintArea" localSheetId="9" hidden="1">#REF!</definedName>
    <definedName name="Z_A1DB4131_5E0E_11D2_8EC3_0008C77C0743_.wvu.PrintArea" hidden="1">#REF!</definedName>
    <definedName name="Z_A1DB4131_5E0E_11D2_8EC3_0008C77C0743_.wvu.PrintTitles" localSheetId="31" hidden="1">#REF!</definedName>
    <definedName name="Z_A1DB4131_5E0E_11D2_8EC3_0008C77C0743_.wvu.PrintTitles" localSheetId="7" hidden="1">#REF!</definedName>
    <definedName name="Z_A1DB4131_5E0E_11D2_8EC3_0008C77C0743_.wvu.PrintTitles" hidden="1">#REF!</definedName>
    <definedName name="Z_A1DB413E_5E0E_11D2_8EC3_0008C77C0743_.wvu.PrintArea" localSheetId="31" hidden="1">#REF!</definedName>
    <definedName name="Z_A1DB413E_5E0E_11D2_8EC3_0008C77C0743_.wvu.PrintArea" localSheetId="7" hidden="1">#REF!</definedName>
    <definedName name="Z_A1DB413E_5E0E_11D2_8EC3_0008C77C0743_.wvu.PrintArea" hidden="1">#REF!</definedName>
    <definedName name="Z_A1DB413E_5E0E_11D2_8EC3_0008C77C0743_.wvu.PrintTitles" localSheetId="17" hidden="1">#REF!,#REF!</definedName>
    <definedName name="Z_A1DB413E_5E0E_11D2_8EC3_0008C77C0743_.wvu.PrintTitles" localSheetId="30" hidden="1">#REF!,#REF!</definedName>
    <definedName name="Z_A1DB413E_5E0E_11D2_8EC3_0008C77C0743_.wvu.PrintTitles" localSheetId="31" hidden="1">#REF!,#REF!</definedName>
    <definedName name="Z_A1DB413E_5E0E_11D2_8EC3_0008C77C0743_.wvu.PrintTitles" localSheetId="7" hidden="1">#REF!,#REF!</definedName>
    <definedName name="Z_A1DB413E_5E0E_11D2_8EC3_0008C77C0743_.wvu.PrintTitles" localSheetId="12" hidden="1">#REF!,#REF!</definedName>
    <definedName name="Z_A1DB413E_5E0E_11D2_8EC3_0008C77C0743_.wvu.PrintTitles" localSheetId="9" hidden="1">#REF!,#REF!</definedName>
    <definedName name="Z_A1DB413E_5E0E_11D2_8EC3_0008C77C0743_.wvu.PrintTitles" hidden="1">#REF!,#REF!</definedName>
    <definedName name="Z_A1DB414B_5E0E_11D2_8EC3_0008C77C0743_.wvu.PrintArea" localSheetId="17" hidden="1">#REF!</definedName>
    <definedName name="Z_A1DB414B_5E0E_11D2_8EC3_0008C77C0743_.wvu.PrintArea" localSheetId="30" hidden="1">#REF!</definedName>
    <definedName name="Z_A1DB414B_5E0E_11D2_8EC3_0008C77C0743_.wvu.PrintArea" localSheetId="31" hidden="1">#REF!</definedName>
    <definedName name="Z_A1DB414B_5E0E_11D2_8EC3_0008C77C0743_.wvu.PrintArea" localSheetId="7" hidden="1">#REF!</definedName>
    <definedName name="Z_A1DB414B_5E0E_11D2_8EC3_0008C77C0743_.wvu.PrintArea" localSheetId="12" hidden="1">#REF!</definedName>
    <definedName name="Z_A1DB414B_5E0E_11D2_8EC3_0008C77C0743_.wvu.PrintArea" localSheetId="9" hidden="1">#REF!</definedName>
    <definedName name="Z_A1DB414B_5E0E_11D2_8EC3_0008C77C0743_.wvu.PrintArea" hidden="1">#REF!</definedName>
    <definedName name="Z_A1DB414B_5E0E_11D2_8EC3_0008C77C0743_.wvu.PrintTitles" localSheetId="17" hidden="1">#REF!</definedName>
    <definedName name="Z_A1DB414B_5E0E_11D2_8EC3_0008C77C0743_.wvu.PrintTitles" localSheetId="31" hidden="1">#REF!</definedName>
    <definedName name="Z_A1DB414B_5E0E_11D2_8EC3_0008C77C0743_.wvu.PrintTitles" localSheetId="7" hidden="1">#REF!</definedName>
    <definedName name="Z_A1DB414B_5E0E_11D2_8EC3_0008C77C0743_.wvu.PrintTitles" localSheetId="9" hidden="1">#REF!</definedName>
    <definedName name="Z_A1DB414B_5E0E_11D2_8EC3_0008C77C0743_.wvu.PrintTitles" hidden="1">#REF!</definedName>
    <definedName name="Z_A1DB415A_5E0E_11D2_8EC3_0008C77C0743_.wvu.PrintArea" localSheetId="17" hidden="1">#REF!</definedName>
    <definedName name="Z_A1DB415A_5E0E_11D2_8EC3_0008C77C0743_.wvu.PrintArea" localSheetId="31" hidden="1">#REF!</definedName>
    <definedName name="Z_A1DB415A_5E0E_11D2_8EC3_0008C77C0743_.wvu.PrintArea" localSheetId="7" hidden="1">#REF!</definedName>
    <definedName name="Z_A1DB415A_5E0E_11D2_8EC3_0008C77C0743_.wvu.PrintArea" localSheetId="9" hidden="1">#REF!</definedName>
    <definedName name="Z_A1DB415A_5E0E_11D2_8EC3_0008C77C0743_.wvu.PrintArea" hidden="1">#REF!</definedName>
    <definedName name="Z_A1DB415A_5E0E_11D2_8EC3_0008C77C0743_.wvu.PrintTitles" localSheetId="31" hidden="1">#REF!</definedName>
    <definedName name="Z_A1DB415A_5E0E_11D2_8EC3_0008C77C0743_.wvu.PrintTitles" localSheetId="7" hidden="1">#REF!</definedName>
    <definedName name="Z_A1DB415A_5E0E_11D2_8EC3_0008C77C0743_.wvu.PrintTitles" hidden="1">#REF!</definedName>
    <definedName name="Z_A1DB4167_5E0E_11D2_8EC3_0008C77C0743_.wvu.PrintArea" localSheetId="31" hidden="1">#REF!</definedName>
    <definedName name="Z_A1DB4167_5E0E_11D2_8EC3_0008C77C0743_.wvu.PrintArea" localSheetId="7" hidden="1">#REF!</definedName>
    <definedName name="Z_A1DB4167_5E0E_11D2_8EC3_0008C77C0743_.wvu.PrintArea" hidden="1">#REF!</definedName>
    <definedName name="Z_A1DB4167_5E0E_11D2_8EC3_0008C77C0743_.wvu.PrintTitles" localSheetId="17" hidden="1">#REF!,#REF!</definedName>
    <definedName name="Z_A1DB4167_5E0E_11D2_8EC3_0008C77C0743_.wvu.PrintTitles" localSheetId="30" hidden="1">#REF!,#REF!</definedName>
    <definedName name="Z_A1DB4167_5E0E_11D2_8EC3_0008C77C0743_.wvu.PrintTitles" localSheetId="31" hidden="1">#REF!,#REF!</definedName>
    <definedName name="Z_A1DB4167_5E0E_11D2_8EC3_0008C77C0743_.wvu.PrintTitles" localSheetId="7" hidden="1">#REF!,#REF!</definedName>
    <definedName name="Z_A1DB4167_5E0E_11D2_8EC3_0008C77C0743_.wvu.PrintTitles" localSheetId="12" hidden="1">#REF!,#REF!</definedName>
    <definedName name="Z_A1DB4167_5E0E_11D2_8EC3_0008C77C0743_.wvu.PrintTitles" localSheetId="9" hidden="1">#REF!,#REF!</definedName>
    <definedName name="Z_A1DB4167_5E0E_11D2_8EC3_0008C77C0743_.wvu.PrintTitles" hidden="1">#REF!,#REF!</definedName>
    <definedName name="Z_A1DB4176_5E0E_11D2_8EC3_0008C77C0743_.wvu.PrintArea" localSheetId="17" hidden="1">#REF!</definedName>
    <definedName name="Z_A1DB4176_5E0E_11D2_8EC3_0008C77C0743_.wvu.PrintArea" localSheetId="30" hidden="1">#REF!</definedName>
    <definedName name="Z_A1DB4176_5E0E_11D2_8EC3_0008C77C0743_.wvu.PrintArea" localSheetId="31" hidden="1">#REF!</definedName>
    <definedName name="Z_A1DB4176_5E0E_11D2_8EC3_0008C77C0743_.wvu.PrintArea" localSheetId="7" hidden="1">#REF!</definedName>
    <definedName name="Z_A1DB4176_5E0E_11D2_8EC3_0008C77C0743_.wvu.PrintArea" localSheetId="12" hidden="1">#REF!</definedName>
    <definedName name="Z_A1DB4176_5E0E_11D2_8EC3_0008C77C0743_.wvu.PrintArea" localSheetId="9" hidden="1">#REF!</definedName>
    <definedName name="Z_A1DB4176_5E0E_11D2_8EC3_0008C77C0743_.wvu.PrintArea" hidden="1">#REF!</definedName>
    <definedName name="Z_A1DB4176_5E0E_11D2_8EC3_0008C77C0743_.wvu.PrintTitles" localSheetId="17" hidden="1">#REF!</definedName>
    <definedName name="Z_A1DB4176_5E0E_11D2_8EC3_0008C77C0743_.wvu.PrintTitles" localSheetId="31" hidden="1">#REF!</definedName>
    <definedName name="Z_A1DB4176_5E0E_11D2_8EC3_0008C77C0743_.wvu.PrintTitles" localSheetId="7" hidden="1">#REF!</definedName>
    <definedName name="Z_A1DB4176_5E0E_11D2_8EC3_0008C77C0743_.wvu.PrintTitles" localSheetId="9" hidden="1">#REF!</definedName>
    <definedName name="Z_A1DB4176_5E0E_11D2_8EC3_0008C77C0743_.wvu.PrintTitles" hidden="1">#REF!</definedName>
    <definedName name="Z_A1DB4185_5E0E_11D2_8EC3_0008C77C0743_.wvu.PrintArea" localSheetId="17" hidden="1">#REF!</definedName>
    <definedName name="Z_A1DB4185_5E0E_11D2_8EC3_0008C77C0743_.wvu.PrintArea" localSheetId="31" hidden="1">#REF!</definedName>
    <definedName name="Z_A1DB4185_5E0E_11D2_8EC3_0008C77C0743_.wvu.PrintArea" localSheetId="7" hidden="1">#REF!</definedName>
    <definedName name="Z_A1DB4185_5E0E_11D2_8EC3_0008C77C0743_.wvu.PrintArea" localSheetId="9" hidden="1">#REF!</definedName>
    <definedName name="Z_A1DB4185_5E0E_11D2_8EC3_0008C77C0743_.wvu.PrintArea" hidden="1">#REF!</definedName>
    <definedName name="Z_A1DB4185_5E0E_11D2_8EC3_0008C77C0743_.wvu.PrintTitles" localSheetId="31" hidden="1">#REF!</definedName>
    <definedName name="Z_A1DB4185_5E0E_11D2_8EC3_0008C77C0743_.wvu.PrintTitles" localSheetId="7" hidden="1">#REF!</definedName>
    <definedName name="Z_A1DB4185_5E0E_11D2_8EC3_0008C77C0743_.wvu.PrintTitles" hidden="1">#REF!</definedName>
    <definedName name="Z_A1DB4192_5E0E_11D2_8EC3_0008C77C0743_.wvu.PrintArea" localSheetId="31" hidden="1">#REF!</definedName>
    <definedName name="Z_A1DB4192_5E0E_11D2_8EC3_0008C77C0743_.wvu.PrintArea" localSheetId="7" hidden="1">#REF!</definedName>
    <definedName name="Z_A1DB4192_5E0E_11D2_8EC3_0008C77C0743_.wvu.PrintArea" hidden="1">#REF!</definedName>
    <definedName name="Z_A1DB4192_5E0E_11D2_8EC3_0008C77C0743_.wvu.PrintTitles" localSheetId="17" hidden="1">#REF!,#REF!</definedName>
    <definedName name="Z_A1DB4192_5E0E_11D2_8EC3_0008C77C0743_.wvu.PrintTitles" localSheetId="30" hidden="1">#REF!,#REF!</definedName>
    <definedName name="Z_A1DB4192_5E0E_11D2_8EC3_0008C77C0743_.wvu.PrintTitles" localSheetId="31" hidden="1">#REF!,#REF!</definedName>
    <definedName name="Z_A1DB4192_5E0E_11D2_8EC3_0008C77C0743_.wvu.PrintTitles" localSheetId="7" hidden="1">#REF!,#REF!</definedName>
    <definedName name="Z_A1DB4192_5E0E_11D2_8EC3_0008C77C0743_.wvu.PrintTitles" localSheetId="12" hidden="1">#REF!,#REF!</definedName>
    <definedName name="Z_A1DB4192_5E0E_11D2_8EC3_0008C77C0743_.wvu.PrintTitles" localSheetId="9" hidden="1">#REF!,#REF!</definedName>
    <definedName name="Z_A1DB4192_5E0E_11D2_8EC3_0008C77C0743_.wvu.PrintTitles" hidden="1">#REF!,#REF!</definedName>
    <definedName name="Z_A1DB41A0_5E0E_11D2_8EC3_0008C77C0743_.wvu.PrintArea" localSheetId="17" hidden="1">#REF!</definedName>
    <definedName name="Z_A1DB41A0_5E0E_11D2_8EC3_0008C77C0743_.wvu.PrintArea" localSheetId="30" hidden="1">#REF!</definedName>
    <definedName name="Z_A1DB41A0_5E0E_11D2_8EC3_0008C77C0743_.wvu.PrintArea" localSheetId="31" hidden="1">#REF!</definedName>
    <definedName name="Z_A1DB41A0_5E0E_11D2_8EC3_0008C77C0743_.wvu.PrintArea" localSheetId="7" hidden="1">#REF!</definedName>
    <definedName name="Z_A1DB41A0_5E0E_11D2_8EC3_0008C77C0743_.wvu.PrintArea" localSheetId="12" hidden="1">#REF!</definedName>
    <definedName name="Z_A1DB41A0_5E0E_11D2_8EC3_0008C77C0743_.wvu.PrintArea" localSheetId="9" hidden="1">#REF!</definedName>
    <definedName name="Z_A1DB41A0_5E0E_11D2_8EC3_0008C77C0743_.wvu.PrintArea" hidden="1">#REF!</definedName>
    <definedName name="Z_A1DB41A0_5E0E_11D2_8EC3_0008C77C0743_.wvu.PrintTitles" localSheetId="17" hidden="1">#REF!</definedName>
    <definedName name="Z_A1DB41A0_5E0E_11D2_8EC3_0008C77C0743_.wvu.PrintTitles" localSheetId="31" hidden="1">#REF!</definedName>
    <definedName name="Z_A1DB41A0_5E0E_11D2_8EC3_0008C77C0743_.wvu.PrintTitles" localSheetId="7" hidden="1">#REF!</definedName>
    <definedName name="Z_A1DB41A0_5E0E_11D2_8EC3_0008C77C0743_.wvu.PrintTitles" localSheetId="9" hidden="1">#REF!</definedName>
    <definedName name="Z_A1DB41A0_5E0E_11D2_8EC3_0008C77C0743_.wvu.PrintTitles" hidden="1">#REF!</definedName>
    <definedName name="Z_A1DB41AF_5E0E_11D2_8EC3_0008C77C0743_.wvu.PrintArea" localSheetId="17" hidden="1">#REF!</definedName>
    <definedName name="Z_A1DB41AF_5E0E_11D2_8EC3_0008C77C0743_.wvu.PrintArea" localSheetId="31" hidden="1">#REF!</definedName>
    <definedName name="Z_A1DB41AF_5E0E_11D2_8EC3_0008C77C0743_.wvu.PrintArea" localSheetId="7" hidden="1">#REF!</definedName>
    <definedName name="Z_A1DB41AF_5E0E_11D2_8EC3_0008C77C0743_.wvu.PrintArea" localSheetId="9" hidden="1">#REF!</definedName>
    <definedName name="Z_A1DB41AF_5E0E_11D2_8EC3_0008C77C0743_.wvu.PrintArea" hidden="1">#REF!</definedName>
    <definedName name="Z_A1DB41AF_5E0E_11D2_8EC3_0008C77C0743_.wvu.PrintTitles" localSheetId="31" hidden="1">#REF!</definedName>
    <definedName name="Z_A1DB41AF_5E0E_11D2_8EC3_0008C77C0743_.wvu.PrintTitles" localSheetId="7" hidden="1">#REF!</definedName>
    <definedName name="Z_A1DB41AF_5E0E_11D2_8EC3_0008C77C0743_.wvu.PrintTitles" hidden="1">#REF!</definedName>
    <definedName name="Z_A1DB41BC_5E0E_11D2_8EC3_0008C77C0743_.wvu.PrintArea" localSheetId="31" hidden="1">#REF!</definedName>
    <definedName name="Z_A1DB41BC_5E0E_11D2_8EC3_0008C77C0743_.wvu.PrintArea" localSheetId="7" hidden="1">#REF!</definedName>
    <definedName name="Z_A1DB41BC_5E0E_11D2_8EC3_0008C77C0743_.wvu.PrintArea" hidden="1">#REF!</definedName>
    <definedName name="Z_A1DB41BC_5E0E_11D2_8EC3_0008C77C0743_.wvu.PrintTitles" localSheetId="17" hidden="1">#REF!,#REF!</definedName>
    <definedName name="Z_A1DB41BC_5E0E_11D2_8EC3_0008C77C0743_.wvu.PrintTitles" localSheetId="30" hidden="1">#REF!,#REF!</definedName>
    <definedName name="Z_A1DB41BC_5E0E_11D2_8EC3_0008C77C0743_.wvu.PrintTitles" localSheetId="31" hidden="1">#REF!,#REF!</definedName>
    <definedName name="Z_A1DB41BC_5E0E_11D2_8EC3_0008C77C0743_.wvu.PrintTitles" localSheetId="7" hidden="1">#REF!,#REF!</definedName>
    <definedName name="Z_A1DB41BC_5E0E_11D2_8EC3_0008C77C0743_.wvu.PrintTitles" localSheetId="12" hidden="1">#REF!,#REF!</definedName>
    <definedName name="Z_A1DB41BC_5E0E_11D2_8EC3_0008C77C0743_.wvu.PrintTitles" localSheetId="9" hidden="1">#REF!,#REF!</definedName>
    <definedName name="Z_A1DB41BC_5E0E_11D2_8EC3_0008C77C0743_.wvu.PrintTitles" hidden="1">#REF!,#REF!</definedName>
    <definedName name="Z_AB95D681_165A_11D2_A26F_08000939C87E_.wvu.Cols" localSheetId="10" hidden="1">#REF!</definedName>
    <definedName name="Z_AB95D681_165A_11D2_A26F_08000939C87E_.wvu.Cols" hidden="1">#REF!</definedName>
    <definedName name="Z_AB95D682_165A_11D2_A26F_08000939C87E_.wvu.Cols" localSheetId="7" hidden="1">#REF!,#REF!</definedName>
    <definedName name="Z_AB95D682_165A_11D2_A26F_08000939C87E_.wvu.Cols" localSheetId="10" hidden="1">#REF!,#REF!</definedName>
    <definedName name="Z_AB95D682_165A_11D2_A26F_08000939C87E_.wvu.Cols" hidden="1">#REF!,#REF!</definedName>
    <definedName name="Z_AB95D683_165A_11D2_A26F_08000939C87E_.wvu.Cols" localSheetId="10" hidden="1">#REF!</definedName>
    <definedName name="Z_AB95D683_165A_11D2_A26F_08000939C87E_.wvu.Cols" hidden="1">#REF!</definedName>
    <definedName name="Z_AB95D685_165A_11D2_A26F_08000939C87E_.wvu.Cols" localSheetId="10" hidden="1">#REF!</definedName>
    <definedName name="Z_AB95D685_165A_11D2_A26F_08000939C87E_.wvu.Cols" hidden="1">#REF!</definedName>
    <definedName name="Z_B1CF3279_F94D_11D1_B4C5_080009444397_.wvu.Cols" localSheetId="10" hidden="1">#REF!</definedName>
    <definedName name="Z_B1CF3279_F94D_11D1_B4C5_080009444397_.wvu.Cols" hidden="1">#REF!</definedName>
    <definedName name="Z_B1CF327A_F94D_11D1_B4C5_080009444397_.wvu.Cols" localSheetId="10" hidden="1">#REF!,#REF!</definedName>
    <definedName name="Z_B1CF327A_F94D_11D1_B4C5_080009444397_.wvu.Cols" hidden="1">#REF!,#REF!</definedName>
    <definedName name="Z_B1CF327B_F94D_11D1_B4C5_080009444397_.wvu.Cols" localSheetId="10" hidden="1">#REF!</definedName>
    <definedName name="Z_B1CF327B_F94D_11D1_B4C5_080009444397_.wvu.Cols" hidden="1">#REF!</definedName>
    <definedName name="Z_B1CF327D_F94D_11D1_B4C5_080009444397_.wvu.Cols" localSheetId="10" hidden="1">#REF!</definedName>
    <definedName name="Z_B1CF327D_F94D_11D1_B4C5_080009444397_.wvu.Cols" hidden="1">#REF!</definedName>
    <definedName name="Z_B1CF328D_F94D_11D1_B4C5_080009444397_.wvu.Cols" localSheetId="10" hidden="1">#REF!</definedName>
    <definedName name="Z_B1CF328D_F94D_11D1_B4C5_080009444397_.wvu.Cols" hidden="1">#REF!</definedName>
    <definedName name="Z_B1CF328E_F94D_11D1_B4C5_080009444397_.wvu.Cols" localSheetId="10" hidden="1">#REF!,#REF!</definedName>
    <definedName name="Z_B1CF328E_F94D_11D1_B4C5_080009444397_.wvu.Cols" hidden="1">#REF!,#REF!</definedName>
    <definedName name="Z_B1CF328F_F94D_11D1_B4C5_080009444397_.wvu.Cols" localSheetId="10" hidden="1">#REF!</definedName>
    <definedName name="Z_B1CF328F_F94D_11D1_B4C5_080009444397_.wvu.Cols" hidden="1">#REF!</definedName>
    <definedName name="Z_B1CF3291_F94D_11D1_B4C5_080009444397_.wvu.Cols" localSheetId="10" hidden="1">#REF!</definedName>
    <definedName name="Z_B1CF3291_F94D_11D1_B4C5_080009444397_.wvu.Cols" hidden="1">#REF!</definedName>
    <definedName name="Z_B6FCCF30_1696_11D2_8E91_0008C77C21AF_.wvu.PrintArea" localSheetId="17" hidden="1">#REF!</definedName>
    <definedName name="Z_B6FCCF30_1696_11D2_8E91_0008C77C21AF_.wvu.PrintArea" localSheetId="30" hidden="1">#REF!</definedName>
    <definedName name="Z_B6FCCF30_1696_11D2_8E91_0008C77C21AF_.wvu.PrintArea" localSheetId="31" hidden="1">#REF!</definedName>
    <definedName name="Z_B6FCCF30_1696_11D2_8E91_0008C77C21AF_.wvu.PrintArea" localSheetId="7" hidden="1">#REF!</definedName>
    <definedName name="Z_B6FCCF30_1696_11D2_8E91_0008C77C21AF_.wvu.PrintArea" localSheetId="9" hidden="1">#REF!</definedName>
    <definedName name="Z_B6FCCF30_1696_11D2_8E91_0008C77C21AF_.wvu.PrintArea" hidden="1">#REF!</definedName>
    <definedName name="Z_B6FCCF30_1696_11D2_8E91_0008C77C21AF_.wvu.PrintTitles" localSheetId="17" hidden="1">#REF!,#REF!</definedName>
    <definedName name="Z_B6FCCF30_1696_11D2_8E91_0008C77C21AF_.wvu.PrintTitles" localSheetId="30" hidden="1">#REF!,#REF!</definedName>
    <definedName name="Z_B6FCCF30_1696_11D2_8E91_0008C77C21AF_.wvu.PrintTitles" localSheetId="31" hidden="1">#REF!,#REF!</definedName>
    <definedName name="Z_B6FCCF30_1696_11D2_8E91_0008C77C21AF_.wvu.PrintTitles" localSheetId="7" hidden="1">#REF!,#REF!</definedName>
    <definedName name="Z_B6FCCF30_1696_11D2_8E91_0008C77C21AF_.wvu.PrintTitles" localSheetId="12" hidden="1">#REF!,#REF!</definedName>
    <definedName name="Z_B6FCCF30_1696_11D2_8E91_0008C77C21AF_.wvu.PrintTitles" localSheetId="9" hidden="1">#REF!,#REF!</definedName>
    <definedName name="Z_B6FCCF30_1696_11D2_8E91_0008C77C21AF_.wvu.PrintTitles" hidden="1">#REF!,#REF!</definedName>
    <definedName name="Z_B6FCCF32_1696_11D2_8E91_0008C77C21AF_.wvu.PrintArea" localSheetId="17" hidden="1">#REF!</definedName>
    <definedName name="Z_B6FCCF32_1696_11D2_8E91_0008C77C21AF_.wvu.PrintArea" localSheetId="30" hidden="1">#REF!</definedName>
    <definedName name="Z_B6FCCF32_1696_11D2_8E91_0008C77C21AF_.wvu.PrintArea" localSheetId="31" hidden="1">#REF!</definedName>
    <definedName name="Z_B6FCCF32_1696_11D2_8E91_0008C77C21AF_.wvu.PrintArea" localSheetId="7" hidden="1">#REF!</definedName>
    <definedName name="Z_B6FCCF32_1696_11D2_8E91_0008C77C21AF_.wvu.PrintArea" localSheetId="12" hidden="1">#REF!</definedName>
    <definedName name="Z_B6FCCF32_1696_11D2_8E91_0008C77C21AF_.wvu.PrintArea" localSheetId="9" hidden="1">#REF!</definedName>
    <definedName name="Z_B6FCCF32_1696_11D2_8E91_0008C77C21AF_.wvu.PrintArea" hidden="1">#REF!</definedName>
    <definedName name="Z_B6FCCF32_1696_11D2_8E91_0008C77C21AF_.wvu.PrintTitles" localSheetId="17" hidden="1">#REF!</definedName>
    <definedName name="Z_B6FCCF32_1696_11D2_8E91_0008C77C21AF_.wvu.PrintTitles" localSheetId="31" hidden="1">#REF!</definedName>
    <definedName name="Z_B6FCCF32_1696_11D2_8E91_0008C77C21AF_.wvu.PrintTitles" localSheetId="7" hidden="1">#REF!</definedName>
    <definedName name="Z_B6FCCF32_1696_11D2_8E91_0008C77C21AF_.wvu.PrintTitles" localSheetId="9" hidden="1">#REF!</definedName>
    <definedName name="Z_B6FCCF32_1696_11D2_8E91_0008C77C21AF_.wvu.PrintTitles" hidden="1">#REF!</definedName>
    <definedName name="Z_B6FCCF35_1696_11D2_8E91_0008C77C21AF_.wvu.PrintArea" localSheetId="17" hidden="1">#REF!</definedName>
    <definedName name="Z_B6FCCF35_1696_11D2_8E91_0008C77C21AF_.wvu.PrintArea" localSheetId="31" hidden="1">#REF!</definedName>
    <definedName name="Z_B6FCCF35_1696_11D2_8E91_0008C77C21AF_.wvu.PrintArea" localSheetId="7" hidden="1">#REF!</definedName>
    <definedName name="Z_B6FCCF35_1696_11D2_8E91_0008C77C21AF_.wvu.PrintArea" localSheetId="9" hidden="1">#REF!</definedName>
    <definedName name="Z_B6FCCF35_1696_11D2_8E91_0008C77C21AF_.wvu.PrintArea" hidden="1">#REF!</definedName>
    <definedName name="Z_B6FCCF35_1696_11D2_8E91_0008C77C21AF_.wvu.PrintTitles" localSheetId="17" hidden="1">#REF!,#REF!</definedName>
    <definedName name="Z_B6FCCF35_1696_11D2_8E91_0008C77C21AF_.wvu.PrintTitles" localSheetId="30" hidden="1">#REF!,#REF!</definedName>
    <definedName name="Z_B6FCCF35_1696_11D2_8E91_0008C77C21AF_.wvu.PrintTitles" localSheetId="31" hidden="1">#REF!,#REF!</definedName>
    <definedName name="Z_B6FCCF35_1696_11D2_8E91_0008C77C21AF_.wvu.PrintTitles" localSheetId="7" hidden="1">#REF!,#REF!</definedName>
    <definedName name="Z_B6FCCF35_1696_11D2_8E91_0008C77C21AF_.wvu.PrintTitles" localSheetId="12" hidden="1">#REF!,#REF!</definedName>
    <definedName name="Z_B6FCCF35_1696_11D2_8E91_0008C77C21AF_.wvu.PrintTitles" localSheetId="9" hidden="1">#REF!,#REF!</definedName>
    <definedName name="Z_B6FCCF35_1696_11D2_8E91_0008C77C21AF_.wvu.PrintTitles" hidden="1">#REF!,#REF!</definedName>
    <definedName name="Z_B6FCCF37_1696_11D2_8E91_0008C77C21AF_.wvu.PrintArea" localSheetId="17" hidden="1">#REF!</definedName>
    <definedName name="Z_B6FCCF37_1696_11D2_8E91_0008C77C21AF_.wvu.PrintArea" localSheetId="30" hidden="1">#REF!</definedName>
    <definedName name="Z_B6FCCF37_1696_11D2_8E91_0008C77C21AF_.wvu.PrintArea" localSheetId="31" hidden="1">#REF!</definedName>
    <definedName name="Z_B6FCCF37_1696_11D2_8E91_0008C77C21AF_.wvu.PrintArea" localSheetId="7" hidden="1">#REF!</definedName>
    <definedName name="Z_B6FCCF37_1696_11D2_8E91_0008C77C21AF_.wvu.PrintArea" localSheetId="12" hidden="1">#REF!</definedName>
    <definedName name="Z_B6FCCF37_1696_11D2_8E91_0008C77C21AF_.wvu.PrintArea" localSheetId="9" hidden="1">#REF!</definedName>
    <definedName name="Z_B6FCCF37_1696_11D2_8E91_0008C77C21AF_.wvu.PrintArea" hidden="1">#REF!</definedName>
    <definedName name="Z_B6FCCF37_1696_11D2_8E91_0008C77C21AF_.wvu.PrintTitles" localSheetId="17" hidden="1">#REF!,#REF!</definedName>
    <definedName name="Z_B6FCCF37_1696_11D2_8E91_0008C77C21AF_.wvu.PrintTitles" localSheetId="30" hidden="1">#REF!,#REF!</definedName>
    <definedName name="Z_B6FCCF37_1696_11D2_8E91_0008C77C21AF_.wvu.PrintTitles" localSheetId="31" hidden="1">#REF!,#REF!</definedName>
    <definedName name="Z_B6FCCF37_1696_11D2_8E91_0008C77C21AF_.wvu.PrintTitles" localSheetId="7" hidden="1">#REF!,#REF!</definedName>
    <definedName name="Z_B6FCCF37_1696_11D2_8E91_0008C77C21AF_.wvu.PrintTitles" localSheetId="12" hidden="1">#REF!,#REF!</definedName>
    <definedName name="Z_B6FCCF37_1696_11D2_8E91_0008C77C21AF_.wvu.PrintTitles" localSheetId="9" hidden="1">#REF!,#REF!</definedName>
    <definedName name="Z_B6FCCF37_1696_11D2_8E91_0008C77C21AF_.wvu.PrintTitles" hidden="1">#REF!,#REF!</definedName>
    <definedName name="Z_B6FCCF39_1696_11D2_8E91_0008C77C21AF_.wvu.PrintArea" localSheetId="17" hidden="1">#REF!</definedName>
    <definedName name="Z_B6FCCF39_1696_11D2_8E91_0008C77C21AF_.wvu.PrintArea" localSheetId="30" hidden="1">#REF!</definedName>
    <definedName name="Z_B6FCCF39_1696_11D2_8E91_0008C77C21AF_.wvu.PrintArea" localSheetId="31" hidden="1">#REF!</definedName>
    <definedName name="Z_B6FCCF39_1696_11D2_8E91_0008C77C21AF_.wvu.PrintArea" localSheetId="7" hidden="1">#REF!</definedName>
    <definedName name="Z_B6FCCF39_1696_11D2_8E91_0008C77C21AF_.wvu.PrintArea" localSheetId="12" hidden="1">#REF!</definedName>
    <definedName name="Z_B6FCCF39_1696_11D2_8E91_0008C77C21AF_.wvu.PrintArea" localSheetId="9" hidden="1">#REF!</definedName>
    <definedName name="Z_B6FCCF39_1696_11D2_8E91_0008C77C21AF_.wvu.PrintArea" hidden="1">#REF!</definedName>
    <definedName name="Z_B6FCCF39_1696_11D2_8E91_0008C77C21AF_.wvu.PrintTitles" localSheetId="17" hidden="1">#REF!</definedName>
    <definedName name="Z_B6FCCF39_1696_11D2_8E91_0008C77C21AF_.wvu.PrintTitles" localSheetId="31" hidden="1">#REF!</definedName>
    <definedName name="Z_B6FCCF39_1696_11D2_8E91_0008C77C21AF_.wvu.PrintTitles" localSheetId="7" hidden="1">#REF!</definedName>
    <definedName name="Z_B6FCCF39_1696_11D2_8E91_0008C77C21AF_.wvu.PrintTitles" localSheetId="9" hidden="1">#REF!</definedName>
    <definedName name="Z_B6FCCF39_1696_11D2_8E91_0008C77C21AF_.wvu.PrintTitles" hidden="1">#REF!</definedName>
    <definedName name="Z_B6FCCF3C_1696_11D2_8E91_0008C77C21AF_.wvu.PrintArea" localSheetId="17" hidden="1">#REF!</definedName>
    <definedName name="Z_B6FCCF3C_1696_11D2_8E91_0008C77C21AF_.wvu.PrintArea" localSheetId="31" hidden="1">#REF!</definedName>
    <definedName name="Z_B6FCCF3C_1696_11D2_8E91_0008C77C21AF_.wvu.PrintArea" localSheetId="7" hidden="1">#REF!</definedName>
    <definedName name="Z_B6FCCF3C_1696_11D2_8E91_0008C77C21AF_.wvu.PrintArea" localSheetId="9" hidden="1">#REF!</definedName>
    <definedName name="Z_B6FCCF3C_1696_11D2_8E91_0008C77C21AF_.wvu.PrintArea" hidden="1">#REF!</definedName>
    <definedName name="Z_B6FCCF3C_1696_11D2_8E91_0008C77C21AF_.wvu.PrintTitles" localSheetId="17" hidden="1">#REF!,#REF!</definedName>
    <definedName name="Z_B6FCCF3C_1696_11D2_8E91_0008C77C21AF_.wvu.PrintTitles" localSheetId="30" hidden="1">#REF!,#REF!</definedName>
    <definedName name="Z_B6FCCF3C_1696_11D2_8E91_0008C77C21AF_.wvu.PrintTitles" localSheetId="31" hidden="1">#REF!,#REF!</definedName>
    <definedName name="Z_B6FCCF3C_1696_11D2_8E91_0008C77C21AF_.wvu.PrintTitles" localSheetId="7" hidden="1">#REF!,#REF!</definedName>
    <definedName name="Z_B6FCCF3C_1696_11D2_8E91_0008C77C21AF_.wvu.PrintTitles" localSheetId="12" hidden="1">#REF!,#REF!</definedName>
    <definedName name="Z_B6FCCF3C_1696_11D2_8E91_0008C77C21AF_.wvu.PrintTitles" localSheetId="9" hidden="1">#REF!,#REF!</definedName>
    <definedName name="Z_B6FCCF3C_1696_11D2_8E91_0008C77C21AF_.wvu.PrintTitles" hidden="1">#REF!,#REF!</definedName>
    <definedName name="Z_B6FCCF3E_1696_11D2_8E91_0008C77C21AF_.wvu.PrintArea" localSheetId="17" hidden="1">#REF!</definedName>
    <definedName name="Z_B6FCCF3E_1696_11D2_8E91_0008C77C21AF_.wvu.PrintArea" localSheetId="30" hidden="1">#REF!</definedName>
    <definedName name="Z_B6FCCF3E_1696_11D2_8E91_0008C77C21AF_.wvu.PrintArea" localSheetId="31" hidden="1">#REF!</definedName>
    <definedName name="Z_B6FCCF3E_1696_11D2_8E91_0008C77C21AF_.wvu.PrintArea" localSheetId="7" hidden="1">#REF!</definedName>
    <definedName name="Z_B6FCCF3E_1696_11D2_8E91_0008C77C21AF_.wvu.PrintArea" localSheetId="12" hidden="1">#REF!</definedName>
    <definedName name="Z_B6FCCF3E_1696_11D2_8E91_0008C77C21AF_.wvu.PrintArea" localSheetId="9" hidden="1">#REF!</definedName>
    <definedName name="Z_B6FCCF3E_1696_11D2_8E91_0008C77C21AF_.wvu.PrintArea" hidden="1">#REF!</definedName>
    <definedName name="Z_B6FCCF3E_1696_11D2_8E91_0008C77C21AF_.wvu.PrintTitles" localSheetId="17" hidden="1">#REF!,#REF!</definedName>
    <definedName name="Z_B6FCCF3E_1696_11D2_8E91_0008C77C21AF_.wvu.PrintTitles" localSheetId="30" hidden="1">#REF!,#REF!</definedName>
    <definedName name="Z_B6FCCF3E_1696_11D2_8E91_0008C77C21AF_.wvu.PrintTitles" localSheetId="31" hidden="1">#REF!,#REF!</definedName>
    <definedName name="Z_B6FCCF3E_1696_11D2_8E91_0008C77C21AF_.wvu.PrintTitles" localSheetId="7" hidden="1">#REF!,#REF!</definedName>
    <definedName name="Z_B6FCCF3E_1696_11D2_8E91_0008C77C21AF_.wvu.PrintTitles" localSheetId="12" hidden="1">#REF!,#REF!</definedName>
    <definedName name="Z_B6FCCF3E_1696_11D2_8E91_0008C77C21AF_.wvu.PrintTitles" localSheetId="9" hidden="1">#REF!,#REF!</definedName>
    <definedName name="Z_B6FCCF3E_1696_11D2_8E91_0008C77C21AF_.wvu.PrintTitles" hidden="1">#REF!,#REF!</definedName>
    <definedName name="Z_BDFEE6B6_734C_11D2_8E68_0008C77C0743_.wvu.PrintArea" localSheetId="17" hidden="1">#REF!</definedName>
    <definedName name="Z_BDFEE6B6_734C_11D2_8E68_0008C77C0743_.wvu.PrintArea" localSheetId="30" hidden="1">#REF!</definedName>
    <definedName name="Z_BDFEE6B6_734C_11D2_8E68_0008C77C0743_.wvu.PrintArea" localSheetId="31" hidden="1">#REF!</definedName>
    <definedName name="Z_BDFEE6B6_734C_11D2_8E68_0008C77C0743_.wvu.PrintArea" localSheetId="7" hidden="1">#REF!</definedName>
    <definedName name="Z_BDFEE6B6_734C_11D2_8E68_0008C77C0743_.wvu.PrintArea" localSheetId="12" hidden="1">#REF!</definedName>
    <definedName name="Z_BDFEE6B6_734C_11D2_8E68_0008C77C0743_.wvu.PrintArea" localSheetId="9" hidden="1">#REF!</definedName>
    <definedName name="Z_BDFEE6B6_734C_11D2_8E68_0008C77C0743_.wvu.PrintArea" hidden="1">#REF!</definedName>
    <definedName name="Z_BDFEE6B6_734C_11D2_8E68_0008C77C0743_.wvu.PrintTitles" localSheetId="17" hidden="1">#REF!,#REF!</definedName>
    <definedName name="Z_BDFEE6B6_734C_11D2_8E68_0008C77C0743_.wvu.PrintTitles" localSheetId="30" hidden="1">#REF!,#REF!</definedName>
    <definedName name="Z_BDFEE6B6_734C_11D2_8E68_0008C77C0743_.wvu.PrintTitles" localSheetId="31" hidden="1">#REF!,#REF!</definedName>
    <definedName name="Z_BDFEE6B6_734C_11D2_8E68_0008C77C0743_.wvu.PrintTitles" localSheetId="7" hidden="1">#REF!,#REF!</definedName>
    <definedName name="Z_BDFEE6B6_734C_11D2_8E68_0008C77C0743_.wvu.PrintTitles" localSheetId="12" hidden="1">#REF!,#REF!</definedName>
    <definedName name="Z_BDFEE6B6_734C_11D2_8E68_0008C77C0743_.wvu.PrintTitles" localSheetId="9" hidden="1">#REF!,#REF!</definedName>
    <definedName name="Z_BDFEE6B6_734C_11D2_8E68_0008C77C0743_.wvu.PrintTitles" hidden="1">#REF!,#REF!</definedName>
    <definedName name="Z_BDFEE6B9_734C_11D2_8E68_0008C77C0743_.wvu.PrintArea" localSheetId="17" hidden="1">#REF!</definedName>
    <definedName name="Z_BDFEE6B9_734C_11D2_8E68_0008C77C0743_.wvu.PrintArea" localSheetId="30" hidden="1">#REF!</definedName>
    <definedName name="Z_BDFEE6B9_734C_11D2_8E68_0008C77C0743_.wvu.PrintArea" localSheetId="31" hidden="1">#REF!</definedName>
    <definedName name="Z_BDFEE6B9_734C_11D2_8E68_0008C77C0743_.wvu.PrintArea" localSheetId="7" hidden="1">#REF!</definedName>
    <definedName name="Z_BDFEE6B9_734C_11D2_8E68_0008C77C0743_.wvu.PrintArea" localSheetId="12" hidden="1">#REF!</definedName>
    <definedName name="Z_BDFEE6B9_734C_11D2_8E68_0008C77C0743_.wvu.PrintArea" localSheetId="9" hidden="1">#REF!</definedName>
    <definedName name="Z_BDFEE6B9_734C_11D2_8E68_0008C77C0743_.wvu.PrintArea" hidden="1">#REF!</definedName>
    <definedName name="Z_BDFEE6B9_734C_11D2_8E68_0008C77C0743_.wvu.PrintTitles" localSheetId="17" hidden="1">#REF!,#REF!</definedName>
    <definedName name="Z_BDFEE6B9_734C_11D2_8E68_0008C77C0743_.wvu.PrintTitles" localSheetId="30" hidden="1">#REF!,#REF!</definedName>
    <definedName name="Z_BDFEE6B9_734C_11D2_8E68_0008C77C0743_.wvu.PrintTitles" localSheetId="31" hidden="1">#REF!,#REF!</definedName>
    <definedName name="Z_BDFEE6B9_734C_11D2_8E68_0008C77C0743_.wvu.PrintTitles" localSheetId="7" hidden="1">#REF!,#REF!</definedName>
    <definedName name="Z_BDFEE6B9_734C_11D2_8E68_0008C77C0743_.wvu.PrintTitles" localSheetId="12" hidden="1">#REF!,#REF!</definedName>
    <definedName name="Z_BDFEE6B9_734C_11D2_8E68_0008C77C0743_.wvu.PrintTitles" localSheetId="9" hidden="1">#REF!,#REF!</definedName>
    <definedName name="Z_BDFEE6B9_734C_11D2_8E68_0008C77C0743_.wvu.PrintTitles" hidden="1">#REF!,#REF!</definedName>
    <definedName name="Z_BDFEE6BB_734C_11D2_8E68_0008C77C0743_.wvu.PrintArea" localSheetId="17" hidden="1">#REF!</definedName>
    <definedName name="Z_BDFEE6BB_734C_11D2_8E68_0008C77C0743_.wvu.PrintArea" localSheetId="30" hidden="1">#REF!</definedName>
    <definedName name="Z_BDFEE6BB_734C_11D2_8E68_0008C77C0743_.wvu.PrintArea" localSheetId="31" hidden="1">#REF!</definedName>
    <definedName name="Z_BDFEE6BB_734C_11D2_8E68_0008C77C0743_.wvu.PrintArea" localSheetId="7" hidden="1">#REF!</definedName>
    <definedName name="Z_BDFEE6BB_734C_11D2_8E68_0008C77C0743_.wvu.PrintArea" localSheetId="12" hidden="1">#REF!</definedName>
    <definedName name="Z_BDFEE6BB_734C_11D2_8E68_0008C77C0743_.wvu.PrintArea" localSheetId="9" hidden="1">#REF!</definedName>
    <definedName name="Z_BDFEE6BB_734C_11D2_8E68_0008C77C0743_.wvu.PrintArea" hidden="1">#REF!</definedName>
    <definedName name="Z_BDFEE6BB_734C_11D2_8E68_0008C77C0743_.wvu.PrintTitles" localSheetId="17" hidden="1">#REF!,#REF!</definedName>
    <definedName name="Z_BDFEE6BB_734C_11D2_8E68_0008C77C0743_.wvu.PrintTitles" localSheetId="30" hidden="1">#REF!,#REF!</definedName>
    <definedName name="Z_BDFEE6BB_734C_11D2_8E68_0008C77C0743_.wvu.PrintTitles" localSheetId="31" hidden="1">#REF!,#REF!</definedName>
    <definedName name="Z_BDFEE6BB_734C_11D2_8E68_0008C77C0743_.wvu.PrintTitles" localSheetId="7" hidden="1">#REF!,#REF!</definedName>
    <definedName name="Z_BDFEE6BB_734C_11D2_8E68_0008C77C0743_.wvu.PrintTitles" localSheetId="12" hidden="1">#REF!,#REF!</definedName>
    <definedName name="Z_BDFEE6BB_734C_11D2_8E68_0008C77C0743_.wvu.PrintTitles" localSheetId="9" hidden="1">#REF!,#REF!</definedName>
    <definedName name="Z_BDFEE6BB_734C_11D2_8E68_0008C77C0743_.wvu.PrintTitles" hidden="1">#REF!,#REF!</definedName>
    <definedName name="Z_BDFEE6C1_734C_11D2_8E68_0008C77C0743_.wvu.PrintArea" localSheetId="17" hidden="1">#REF!</definedName>
    <definedName name="Z_BDFEE6C1_734C_11D2_8E68_0008C77C0743_.wvu.PrintArea" localSheetId="30" hidden="1">#REF!</definedName>
    <definedName name="Z_BDFEE6C1_734C_11D2_8E68_0008C77C0743_.wvu.PrintArea" localSheetId="31" hidden="1">#REF!</definedName>
    <definedName name="Z_BDFEE6C1_734C_11D2_8E68_0008C77C0743_.wvu.PrintArea" localSheetId="7" hidden="1">#REF!</definedName>
    <definedName name="Z_BDFEE6C1_734C_11D2_8E68_0008C77C0743_.wvu.PrintArea" localSheetId="12" hidden="1">#REF!</definedName>
    <definedName name="Z_BDFEE6C1_734C_11D2_8E68_0008C77C0743_.wvu.PrintArea" localSheetId="9" hidden="1">#REF!</definedName>
    <definedName name="Z_BDFEE6C1_734C_11D2_8E68_0008C77C0743_.wvu.PrintArea" hidden="1">#REF!</definedName>
    <definedName name="Z_BDFEE6C1_734C_11D2_8E68_0008C77C0743_.wvu.PrintTitles" localSheetId="17" hidden="1">#REF!</definedName>
    <definedName name="Z_BDFEE6C1_734C_11D2_8E68_0008C77C0743_.wvu.PrintTitles" localSheetId="31" hidden="1">#REF!</definedName>
    <definedName name="Z_BDFEE6C1_734C_11D2_8E68_0008C77C0743_.wvu.PrintTitles" localSheetId="7" hidden="1">#REF!</definedName>
    <definedName name="Z_BDFEE6C1_734C_11D2_8E68_0008C77C0743_.wvu.PrintTitles" localSheetId="9" hidden="1">#REF!</definedName>
    <definedName name="Z_BDFEE6C1_734C_11D2_8E68_0008C77C0743_.wvu.PrintTitles" hidden="1">#REF!</definedName>
    <definedName name="Z_BDFEE6C3_734C_11D2_8E68_0008C77C0743_.wvu.PrintArea" localSheetId="17" hidden="1">#REF!</definedName>
    <definedName name="Z_BDFEE6C3_734C_11D2_8E68_0008C77C0743_.wvu.PrintArea" localSheetId="31" hidden="1">#REF!</definedName>
    <definedName name="Z_BDFEE6C3_734C_11D2_8E68_0008C77C0743_.wvu.PrintArea" localSheetId="7" hidden="1">#REF!</definedName>
    <definedName name="Z_BDFEE6C3_734C_11D2_8E68_0008C77C0743_.wvu.PrintArea" localSheetId="9" hidden="1">#REF!</definedName>
    <definedName name="Z_BDFEE6C3_734C_11D2_8E68_0008C77C0743_.wvu.PrintArea" hidden="1">#REF!</definedName>
    <definedName name="Z_BDFEE6C3_734C_11D2_8E68_0008C77C0743_.wvu.PrintTitles" localSheetId="31" hidden="1">#REF!</definedName>
    <definedName name="Z_BDFEE6C3_734C_11D2_8E68_0008C77C0743_.wvu.PrintTitles" localSheetId="7" hidden="1">#REF!</definedName>
    <definedName name="Z_BDFEE6C3_734C_11D2_8E68_0008C77C0743_.wvu.PrintTitles" hidden="1">#REF!</definedName>
    <definedName name="Z_BDFEE6C5_734C_11D2_8E68_0008C77C0743_.wvu.PrintArea" localSheetId="31" hidden="1">#REF!</definedName>
    <definedName name="Z_BDFEE6C5_734C_11D2_8E68_0008C77C0743_.wvu.PrintArea" localSheetId="7" hidden="1">#REF!</definedName>
    <definedName name="Z_BDFEE6C5_734C_11D2_8E68_0008C77C0743_.wvu.PrintArea" hidden="1">#REF!</definedName>
    <definedName name="Z_BDFEE6C5_734C_11D2_8E68_0008C77C0743_.wvu.PrintTitles" localSheetId="31" hidden="1">#REF!</definedName>
    <definedName name="Z_BDFEE6C5_734C_11D2_8E68_0008C77C0743_.wvu.PrintTitles" localSheetId="7" hidden="1">#REF!</definedName>
    <definedName name="Z_BDFEE6C5_734C_11D2_8E68_0008C77C0743_.wvu.PrintTitles" hidden="1">#REF!</definedName>
    <definedName name="Z_BDFEE6CE_734C_11D2_8E68_0008C77C0743_.wvu.PrintArea" localSheetId="31" hidden="1">#REF!</definedName>
    <definedName name="Z_BDFEE6CE_734C_11D2_8E68_0008C77C0743_.wvu.PrintArea" localSheetId="7" hidden="1">#REF!</definedName>
    <definedName name="Z_BDFEE6CE_734C_11D2_8E68_0008C77C0743_.wvu.PrintArea" hidden="1">#REF!</definedName>
    <definedName name="Z_BDFEE6CE_734C_11D2_8E68_0008C77C0743_.wvu.PrintTitles" localSheetId="17" hidden="1">#REF!,#REF!</definedName>
    <definedName name="Z_BDFEE6CE_734C_11D2_8E68_0008C77C0743_.wvu.PrintTitles" localSheetId="30" hidden="1">#REF!,#REF!</definedName>
    <definedName name="Z_BDFEE6CE_734C_11D2_8E68_0008C77C0743_.wvu.PrintTitles" localSheetId="31" hidden="1">#REF!,#REF!</definedName>
    <definedName name="Z_BDFEE6CE_734C_11D2_8E68_0008C77C0743_.wvu.PrintTitles" localSheetId="7" hidden="1">#REF!,#REF!</definedName>
    <definedName name="Z_BDFEE6CE_734C_11D2_8E68_0008C77C0743_.wvu.PrintTitles" localSheetId="12" hidden="1">#REF!,#REF!</definedName>
    <definedName name="Z_BDFEE6CE_734C_11D2_8E68_0008C77C0743_.wvu.PrintTitles" localSheetId="9" hidden="1">#REF!,#REF!</definedName>
    <definedName name="Z_BDFEE6CE_734C_11D2_8E68_0008C77C0743_.wvu.PrintTitles" hidden="1">#REF!,#REF!</definedName>
    <definedName name="Z_BDFEE6D1_734C_11D2_8E68_0008C77C0743_.wvu.PrintArea" localSheetId="17" hidden="1">#REF!</definedName>
    <definedName name="Z_BDFEE6D1_734C_11D2_8E68_0008C77C0743_.wvu.PrintArea" localSheetId="30" hidden="1">#REF!</definedName>
    <definedName name="Z_BDFEE6D1_734C_11D2_8E68_0008C77C0743_.wvu.PrintArea" localSheetId="31" hidden="1">#REF!</definedName>
    <definedName name="Z_BDFEE6D1_734C_11D2_8E68_0008C77C0743_.wvu.PrintArea" localSheetId="7" hidden="1">#REF!</definedName>
    <definedName name="Z_BDFEE6D1_734C_11D2_8E68_0008C77C0743_.wvu.PrintArea" localSheetId="12" hidden="1">#REF!</definedName>
    <definedName name="Z_BDFEE6D1_734C_11D2_8E68_0008C77C0743_.wvu.PrintArea" localSheetId="9" hidden="1">#REF!</definedName>
    <definedName name="Z_BDFEE6D1_734C_11D2_8E68_0008C77C0743_.wvu.PrintArea" hidden="1">#REF!</definedName>
    <definedName name="Z_BDFEE6D1_734C_11D2_8E68_0008C77C0743_.wvu.PrintTitles" localSheetId="17" hidden="1">#REF!,#REF!</definedName>
    <definedName name="Z_BDFEE6D1_734C_11D2_8E68_0008C77C0743_.wvu.PrintTitles" localSheetId="30" hidden="1">#REF!,#REF!</definedName>
    <definedName name="Z_BDFEE6D1_734C_11D2_8E68_0008C77C0743_.wvu.PrintTitles" localSheetId="31" hidden="1">#REF!,#REF!</definedName>
    <definedName name="Z_BDFEE6D1_734C_11D2_8E68_0008C77C0743_.wvu.PrintTitles" localSheetId="7" hidden="1">#REF!,#REF!</definedName>
    <definedName name="Z_BDFEE6D1_734C_11D2_8E68_0008C77C0743_.wvu.PrintTitles" localSheetId="12" hidden="1">#REF!,#REF!</definedName>
    <definedName name="Z_BDFEE6D1_734C_11D2_8E68_0008C77C0743_.wvu.PrintTitles" localSheetId="9" hidden="1">#REF!,#REF!</definedName>
    <definedName name="Z_BDFEE6D1_734C_11D2_8E68_0008C77C0743_.wvu.PrintTitles" hidden="1">#REF!,#REF!</definedName>
    <definedName name="Z_BDFEE6D3_734C_11D2_8E68_0008C77C0743_.wvu.PrintArea" localSheetId="17" hidden="1">#REF!</definedName>
    <definedName name="Z_BDFEE6D3_734C_11D2_8E68_0008C77C0743_.wvu.PrintArea" localSheetId="30" hidden="1">#REF!</definedName>
    <definedName name="Z_BDFEE6D3_734C_11D2_8E68_0008C77C0743_.wvu.PrintArea" localSheetId="31" hidden="1">#REF!</definedName>
    <definedName name="Z_BDFEE6D3_734C_11D2_8E68_0008C77C0743_.wvu.PrintArea" localSheetId="7" hidden="1">#REF!</definedName>
    <definedName name="Z_BDFEE6D3_734C_11D2_8E68_0008C77C0743_.wvu.PrintArea" localSheetId="12" hidden="1">#REF!</definedName>
    <definedName name="Z_BDFEE6D3_734C_11D2_8E68_0008C77C0743_.wvu.PrintArea" localSheetId="9" hidden="1">#REF!</definedName>
    <definedName name="Z_BDFEE6D3_734C_11D2_8E68_0008C77C0743_.wvu.PrintArea" hidden="1">#REF!</definedName>
    <definedName name="Z_BDFEE6D3_734C_11D2_8E68_0008C77C0743_.wvu.PrintTitles" localSheetId="17" hidden="1">#REF!,#REF!</definedName>
    <definedName name="Z_BDFEE6D3_734C_11D2_8E68_0008C77C0743_.wvu.PrintTitles" localSheetId="30" hidden="1">#REF!,#REF!</definedName>
    <definedName name="Z_BDFEE6D3_734C_11D2_8E68_0008C77C0743_.wvu.PrintTitles" localSheetId="31" hidden="1">#REF!,#REF!</definedName>
    <definedName name="Z_BDFEE6D3_734C_11D2_8E68_0008C77C0743_.wvu.PrintTitles" localSheetId="7" hidden="1">#REF!,#REF!</definedName>
    <definedName name="Z_BDFEE6D3_734C_11D2_8E68_0008C77C0743_.wvu.PrintTitles" localSheetId="12" hidden="1">#REF!,#REF!</definedName>
    <definedName name="Z_BDFEE6D3_734C_11D2_8E68_0008C77C0743_.wvu.PrintTitles" localSheetId="9" hidden="1">#REF!,#REF!</definedName>
    <definedName name="Z_BDFEE6D3_734C_11D2_8E68_0008C77C0743_.wvu.PrintTitles" hidden="1">#REF!,#REF!</definedName>
    <definedName name="Z_BDFEE6D7_734C_11D2_8E68_0008C77C0743_.wvu.PrintArea" localSheetId="17" hidden="1">#REF!</definedName>
    <definedName name="Z_BDFEE6D7_734C_11D2_8E68_0008C77C0743_.wvu.PrintArea" localSheetId="30" hidden="1">#REF!</definedName>
    <definedName name="Z_BDFEE6D7_734C_11D2_8E68_0008C77C0743_.wvu.PrintArea" localSheetId="31" hidden="1">#REF!</definedName>
    <definedName name="Z_BDFEE6D7_734C_11D2_8E68_0008C77C0743_.wvu.PrintArea" localSheetId="7" hidden="1">#REF!</definedName>
    <definedName name="Z_BDFEE6D7_734C_11D2_8E68_0008C77C0743_.wvu.PrintArea" localSheetId="12" hidden="1">#REF!</definedName>
    <definedName name="Z_BDFEE6D7_734C_11D2_8E68_0008C77C0743_.wvu.PrintArea" localSheetId="9" hidden="1">#REF!</definedName>
    <definedName name="Z_BDFEE6D7_734C_11D2_8E68_0008C77C0743_.wvu.PrintArea" hidden="1">#REF!</definedName>
    <definedName name="Z_BDFEE6D7_734C_11D2_8E68_0008C77C0743_.wvu.PrintTitles" localSheetId="17" hidden="1">#REF!,#REF!</definedName>
    <definedName name="Z_BDFEE6D7_734C_11D2_8E68_0008C77C0743_.wvu.PrintTitles" localSheetId="30" hidden="1">#REF!,#REF!</definedName>
    <definedName name="Z_BDFEE6D7_734C_11D2_8E68_0008C77C0743_.wvu.PrintTitles" localSheetId="31" hidden="1">#REF!,#REF!</definedName>
    <definedName name="Z_BDFEE6D7_734C_11D2_8E68_0008C77C0743_.wvu.PrintTitles" localSheetId="7" hidden="1">#REF!,#REF!</definedName>
    <definedName name="Z_BDFEE6D7_734C_11D2_8E68_0008C77C0743_.wvu.PrintTitles" localSheetId="12" hidden="1">#REF!,#REF!</definedName>
    <definedName name="Z_BDFEE6D7_734C_11D2_8E68_0008C77C0743_.wvu.PrintTitles" localSheetId="9" hidden="1">#REF!,#REF!</definedName>
    <definedName name="Z_BDFEE6D7_734C_11D2_8E68_0008C77C0743_.wvu.PrintTitles" hidden="1">#REF!,#REF!</definedName>
    <definedName name="Z_BDFEE6DA_734C_11D2_8E68_0008C77C0743_.wvu.PrintArea" localSheetId="17" hidden="1">#REF!</definedName>
    <definedName name="Z_BDFEE6DA_734C_11D2_8E68_0008C77C0743_.wvu.PrintArea" localSheetId="30" hidden="1">#REF!</definedName>
    <definedName name="Z_BDFEE6DA_734C_11D2_8E68_0008C77C0743_.wvu.PrintArea" localSheetId="31" hidden="1">#REF!</definedName>
    <definedName name="Z_BDFEE6DA_734C_11D2_8E68_0008C77C0743_.wvu.PrintArea" localSheetId="7" hidden="1">#REF!</definedName>
    <definedName name="Z_BDFEE6DA_734C_11D2_8E68_0008C77C0743_.wvu.PrintArea" localSheetId="12" hidden="1">#REF!</definedName>
    <definedName name="Z_BDFEE6DA_734C_11D2_8E68_0008C77C0743_.wvu.PrintArea" localSheetId="9" hidden="1">#REF!</definedName>
    <definedName name="Z_BDFEE6DA_734C_11D2_8E68_0008C77C0743_.wvu.PrintArea" hidden="1">#REF!</definedName>
    <definedName name="Z_BDFEE6DA_734C_11D2_8E68_0008C77C0743_.wvu.PrintTitles" localSheetId="17" hidden="1">#REF!,#REF!</definedName>
    <definedName name="Z_BDFEE6DA_734C_11D2_8E68_0008C77C0743_.wvu.PrintTitles" localSheetId="30" hidden="1">#REF!,#REF!</definedName>
    <definedName name="Z_BDFEE6DA_734C_11D2_8E68_0008C77C0743_.wvu.PrintTitles" localSheetId="31" hidden="1">#REF!,#REF!</definedName>
    <definedName name="Z_BDFEE6DA_734C_11D2_8E68_0008C77C0743_.wvu.PrintTitles" localSheetId="7" hidden="1">#REF!,#REF!</definedName>
    <definedName name="Z_BDFEE6DA_734C_11D2_8E68_0008C77C0743_.wvu.PrintTitles" localSheetId="12" hidden="1">#REF!,#REF!</definedName>
    <definedName name="Z_BDFEE6DA_734C_11D2_8E68_0008C77C0743_.wvu.PrintTitles" localSheetId="9" hidden="1">#REF!,#REF!</definedName>
    <definedName name="Z_BDFEE6DA_734C_11D2_8E68_0008C77C0743_.wvu.PrintTitles" hidden="1">#REF!,#REF!</definedName>
    <definedName name="Z_BDFEE6DC_734C_11D2_8E68_0008C77C0743_.wvu.PrintArea" localSheetId="17" hidden="1">#REF!</definedName>
    <definedName name="Z_BDFEE6DC_734C_11D2_8E68_0008C77C0743_.wvu.PrintArea" localSheetId="30" hidden="1">#REF!</definedName>
    <definedName name="Z_BDFEE6DC_734C_11D2_8E68_0008C77C0743_.wvu.PrintArea" localSheetId="31" hidden="1">#REF!</definedName>
    <definedName name="Z_BDFEE6DC_734C_11D2_8E68_0008C77C0743_.wvu.PrintArea" localSheetId="7" hidden="1">#REF!</definedName>
    <definedName name="Z_BDFEE6DC_734C_11D2_8E68_0008C77C0743_.wvu.PrintArea" localSheetId="12" hidden="1">#REF!</definedName>
    <definedName name="Z_BDFEE6DC_734C_11D2_8E68_0008C77C0743_.wvu.PrintArea" localSheetId="9" hidden="1">#REF!</definedName>
    <definedName name="Z_BDFEE6DC_734C_11D2_8E68_0008C77C0743_.wvu.PrintArea" hidden="1">#REF!</definedName>
    <definedName name="Z_BDFEE6DC_734C_11D2_8E68_0008C77C0743_.wvu.PrintTitles" localSheetId="17" hidden="1">#REF!,#REF!</definedName>
    <definedName name="Z_BDFEE6DC_734C_11D2_8E68_0008C77C0743_.wvu.PrintTitles" localSheetId="30" hidden="1">#REF!,#REF!</definedName>
    <definedName name="Z_BDFEE6DC_734C_11D2_8E68_0008C77C0743_.wvu.PrintTitles" localSheetId="31" hidden="1">#REF!,#REF!</definedName>
    <definedName name="Z_BDFEE6DC_734C_11D2_8E68_0008C77C0743_.wvu.PrintTitles" localSheetId="7" hidden="1">#REF!,#REF!</definedName>
    <definedName name="Z_BDFEE6DC_734C_11D2_8E68_0008C77C0743_.wvu.PrintTitles" localSheetId="12" hidden="1">#REF!,#REF!</definedName>
    <definedName name="Z_BDFEE6DC_734C_11D2_8E68_0008C77C0743_.wvu.PrintTitles" localSheetId="9" hidden="1">#REF!,#REF!</definedName>
    <definedName name="Z_BDFEE6DC_734C_11D2_8E68_0008C77C0743_.wvu.PrintTitles" hidden="1">#REF!,#REF!</definedName>
    <definedName name="Z_BDFEE6E2_734C_11D2_8E68_0008C77C0743_.wvu.PrintArea" localSheetId="17" hidden="1">#REF!</definedName>
    <definedName name="Z_BDFEE6E2_734C_11D2_8E68_0008C77C0743_.wvu.PrintArea" localSheetId="30" hidden="1">#REF!</definedName>
    <definedName name="Z_BDFEE6E2_734C_11D2_8E68_0008C77C0743_.wvu.PrintArea" localSheetId="31" hidden="1">#REF!</definedName>
    <definedName name="Z_BDFEE6E2_734C_11D2_8E68_0008C77C0743_.wvu.PrintArea" localSheetId="7" hidden="1">#REF!</definedName>
    <definedName name="Z_BDFEE6E2_734C_11D2_8E68_0008C77C0743_.wvu.PrintArea" localSheetId="12" hidden="1">#REF!</definedName>
    <definedName name="Z_BDFEE6E2_734C_11D2_8E68_0008C77C0743_.wvu.PrintArea" localSheetId="9" hidden="1">#REF!</definedName>
    <definedName name="Z_BDFEE6E2_734C_11D2_8E68_0008C77C0743_.wvu.PrintArea" hidden="1">#REF!</definedName>
    <definedName name="Z_BDFEE6E2_734C_11D2_8E68_0008C77C0743_.wvu.PrintTitles" localSheetId="17" hidden="1">#REF!</definedName>
    <definedName name="Z_BDFEE6E2_734C_11D2_8E68_0008C77C0743_.wvu.PrintTitles" localSheetId="31" hidden="1">#REF!</definedName>
    <definedName name="Z_BDFEE6E2_734C_11D2_8E68_0008C77C0743_.wvu.PrintTitles" localSheetId="7" hidden="1">#REF!</definedName>
    <definedName name="Z_BDFEE6E2_734C_11D2_8E68_0008C77C0743_.wvu.PrintTitles" localSheetId="9" hidden="1">#REF!</definedName>
    <definedName name="Z_BDFEE6E2_734C_11D2_8E68_0008C77C0743_.wvu.PrintTitles" hidden="1">#REF!</definedName>
    <definedName name="Z_BDFEE6E4_734C_11D2_8E68_0008C77C0743_.wvu.PrintArea" localSheetId="17" hidden="1">#REF!</definedName>
    <definedName name="Z_BDFEE6E4_734C_11D2_8E68_0008C77C0743_.wvu.PrintArea" localSheetId="31" hidden="1">#REF!</definedName>
    <definedName name="Z_BDFEE6E4_734C_11D2_8E68_0008C77C0743_.wvu.PrintArea" localSheetId="7" hidden="1">#REF!</definedName>
    <definedName name="Z_BDFEE6E4_734C_11D2_8E68_0008C77C0743_.wvu.PrintArea" localSheetId="9" hidden="1">#REF!</definedName>
    <definedName name="Z_BDFEE6E4_734C_11D2_8E68_0008C77C0743_.wvu.PrintArea" hidden="1">#REF!</definedName>
    <definedName name="Z_BDFEE6E4_734C_11D2_8E68_0008C77C0743_.wvu.PrintTitles" localSheetId="31" hidden="1">#REF!</definedName>
    <definedName name="Z_BDFEE6E4_734C_11D2_8E68_0008C77C0743_.wvu.PrintTitles" localSheetId="7" hidden="1">#REF!</definedName>
    <definedName name="Z_BDFEE6E4_734C_11D2_8E68_0008C77C0743_.wvu.PrintTitles" hidden="1">#REF!</definedName>
    <definedName name="Z_BDFEE6E6_734C_11D2_8E68_0008C77C0743_.wvu.PrintArea" localSheetId="31" hidden="1">#REF!</definedName>
    <definedName name="Z_BDFEE6E6_734C_11D2_8E68_0008C77C0743_.wvu.PrintArea" localSheetId="7" hidden="1">#REF!</definedName>
    <definedName name="Z_BDFEE6E6_734C_11D2_8E68_0008C77C0743_.wvu.PrintArea" hidden="1">#REF!</definedName>
    <definedName name="Z_BDFEE6E6_734C_11D2_8E68_0008C77C0743_.wvu.PrintTitles" localSheetId="31" hidden="1">#REF!</definedName>
    <definedName name="Z_BDFEE6E6_734C_11D2_8E68_0008C77C0743_.wvu.PrintTitles" localSheetId="7" hidden="1">#REF!</definedName>
    <definedName name="Z_BDFEE6E6_734C_11D2_8E68_0008C77C0743_.wvu.PrintTitles" hidden="1">#REF!</definedName>
    <definedName name="Z_BDFEE6EF_734C_11D2_8E68_0008C77C0743_.wvu.PrintArea" localSheetId="31" hidden="1">#REF!</definedName>
    <definedName name="Z_BDFEE6EF_734C_11D2_8E68_0008C77C0743_.wvu.PrintArea" localSheetId="7" hidden="1">#REF!</definedName>
    <definedName name="Z_BDFEE6EF_734C_11D2_8E68_0008C77C0743_.wvu.PrintArea" hidden="1">#REF!</definedName>
    <definedName name="Z_BDFEE6EF_734C_11D2_8E68_0008C77C0743_.wvu.PrintTitles" localSheetId="17" hidden="1">#REF!,#REF!</definedName>
    <definedName name="Z_BDFEE6EF_734C_11D2_8E68_0008C77C0743_.wvu.PrintTitles" localSheetId="30" hidden="1">#REF!,#REF!</definedName>
    <definedName name="Z_BDFEE6EF_734C_11D2_8E68_0008C77C0743_.wvu.PrintTitles" localSheetId="31" hidden="1">#REF!,#REF!</definedName>
    <definedName name="Z_BDFEE6EF_734C_11D2_8E68_0008C77C0743_.wvu.PrintTitles" localSheetId="7" hidden="1">#REF!,#REF!</definedName>
    <definedName name="Z_BDFEE6EF_734C_11D2_8E68_0008C77C0743_.wvu.PrintTitles" localSheetId="12" hidden="1">#REF!,#REF!</definedName>
    <definedName name="Z_BDFEE6EF_734C_11D2_8E68_0008C77C0743_.wvu.PrintTitles" localSheetId="9" hidden="1">#REF!,#REF!</definedName>
    <definedName name="Z_BDFEE6EF_734C_11D2_8E68_0008C77C0743_.wvu.PrintTitles" hidden="1">#REF!,#REF!</definedName>
    <definedName name="Z_BDFEE6F2_734C_11D2_8E68_0008C77C0743_.wvu.PrintArea" localSheetId="17" hidden="1">#REF!</definedName>
    <definedName name="Z_BDFEE6F2_734C_11D2_8E68_0008C77C0743_.wvu.PrintArea" localSheetId="30" hidden="1">#REF!</definedName>
    <definedName name="Z_BDFEE6F2_734C_11D2_8E68_0008C77C0743_.wvu.PrintArea" localSheetId="31" hidden="1">#REF!</definedName>
    <definedName name="Z_BDFEE6F2_734C_11D2_8E68_0008C77C0743_.wvu.PrintArea" localSheetId="7" hidden="1">#REF!</definedName>
    <definedName name="Z_BDFEE6F2_734C_11D2_8E68_0008C77C0743_.wvu.PrintArea" localSheetId="12" hidden="1">#REF!</definedName>
    <definedName name="Z_BDFEE6F2_734C_11D2_8E68_0008C77C0743_.wvu.PrintArea" localSheetId="9" hidden="1">#REF!</definedName>
    <definedName name="Z_BDFEE6F2_734C_11D2_8E68_0008C77C0743_.wvu.PrintArea" hidden="1">#REF!</definedName>
    <definedName name="Z_BDFEE6F2_734C_11D2_8E68_0008C77C0743_.wvu.PrintTitles" localSheetId="17" hidden="1">#REF!,#REF!</definedName>
    <definedName name="Z_BDFEE6F2_734C_11D2_8E68_0008C77C0743_.wvu.PrintTitles" localSheetId="30" hidden="1">#REF!,#REF!</definedName>
    <definedName name="Z_BDFEE6F2_734C_11D2_8E68_0008C77C0743_.wvu.PrintTitles" localSheetId="31" hidden="1">#REF!,#REF!</definedName>
    <definedName name="Z_BDFEE6F2_734C_11D2_8E68_0008C77C0743_.wvu.PrintTitles" localSheetId="7" hidden="1">#REF!,#REF!</definedName>
    <definedName name="Z_BDFEE6F2_734C_11D2_8E68_0008C77C0743_.wvu.PrintTitles" localSheetId="12" hidden="1">#REF!,#REF!</definedName>
    <definedName name="Z_BDFEE6F2_734C_11D2_8E68_0008C77C0743_.wvu.PrintTitles" localSheetId="9" hidden="1">#REF!,#REF!</definedName>
    <definedName name="Z_BDFEE6F2_734C_11D2_8E68_0008C77C0743_.wvu.PrintTitles" hidden="1">#REF!,#REF!</definedName>
    <definedName name="Z_BDFEE6F4_734C_11D2_8E68_0008C77C0743_.wvu.PrintArea" localSheetId="17" hidden="1">#REF!</definedName>
    <definedName name="Z_BDFEE6F4_734C_11D2_8E68_0008C77C0743_.wvu.PrintArea" localSheetId="30" hidden="1">#REF!</definedName>
    <definedName name="Z_BDFEE6F4_734C_11D2_8E68_0008C77C0743_.wvu.PrintArea" localSheetId="31" hidden="1">#REF!</definedName>
    <definedName name="Z_BDFEE6F4_734C_11D2_8E68_0008C77C0743_.wvu.PrintArea" localSheetId="7" hidden="1">#REF!</definedName>
    <definedName name="Z_BDFEE6F4_734C_11D2_8E68_0008C77C0743_.wvu.PrintArea" localSheetId="12" hidden="1">#REF!</definedName>
    <definedName name="Z_BDFEE6F4_734C_11D2_8E68_0008C77C0743_.wvu.PrintArea" localSheetId="9" hidden="1">#REF!</definedName>
    <definedName name="Z_BDFEE6F4_734C_11D2_8E68_0008C77C0743_.wvu.PrintArea" hidden="1">#REF!</definedName>
    <definedName name="Z_BDFEE6F4_734C_11D2_8E68_0008C77C0743_.wvu.PrintTitles" localSheetId="17" hidden="1">#REF!,#REF!</definedName>
    <definedName name="Z_BDFEE6F4_734C_11D2_8E68_0008C77C0743_.wvu.PrintTitles" localSheetId="30" hidden="1">#REF!,#REF!</definedName>
    <definedName name="Z_BDFEE6F4_734C_11D2_8E68_0008C77C0743_.wvu.PrintTitles" localSheetId="31" hidden="1">#REF!,#REF!</definedName>
    <definedName name="Z_BDFEE6F4_734C_11D2_8E68_0008C77C0743_.wvu.PrintTitles" localSheetId="7" hidden="1">#REF!,#REF!</definedName>
    <definedName name="Z_BDFEE6F4_734C_11D2_8E68_0008C77C0743_.wvu.PrintTitles" localSheetId="12" hidden="1">#REF!,#REF!</definedName>
    <definedName name="Z_BDFEE6F4_734C_11D2_8E68_0008C77C0743_.wvu.PrintTitles" localSheetId="9" hidden="1">#REF!,#REF!</definedName>
    <definedName name="Z_BDFEE6F4_734C_11D2_8E68_0008C77C0743_.wvu.PrintTitles" hidden="1">#REF!,#REF!</definedName>
    <definedName name="Z_BDFEE6FA_734C_11D2_8E68_0008C77C0743_.wvu.PrintArea" localSheetId="17" hidden="1">#REF!</definedName>
    <definedName name="Z_BDFEE6FA_734C_11D2_8E68_0008C77C0743_.wvu.PrintArea" localSheetId="30" hidden="1">#REF!</definedName>
    <definedName name="Z_BDFEE6FA_734C_11D2_8E68_0008C77C0743_.wvu.PrintArea" localSheetId="31" hidden="1">#REF!</definedName>
    <definedName name="Z_BDFEE6FA_734C_11D2_8E68_0008C77C0743_.wvu.PrintArea" localSheetId="7" hidden="1">#REF!</definedName>
    <definedName name="Z_BDFEE6FA_734C_11D2_8E68_0008C77C0743_.wvu.PrintArea" localSheetId="12" hidden="1">#REF!</definedName>
    <definedName name="Z_BDFEE6FA_734C_11D2_8E68_0008C77C0743_.wvu.PrintArea" localSheetId="9" hidden="1">#REF!</definedName>
    <definedName name="Z_BDFEE6FA_734C_11D2_8E68_0008C77C0743_.wvu.PrintArea" hidden="1">#REF!</definedName>
    <definedName name="Z_BDFEE6FA_734C_11D2_8E68_0008C77C0743_.wvu.PrintTitles" localSheetId="17" hidden="1">#REF!,#REF!</definedName>
    <definedName name="Z_BDFEE6FA_734C_11D2_8E68_0008C77C0743_.wvu.PrintTitles" localSheetId="30" hidden="1">#REF!,#REF!</definedName>
    <definedName name="Z_BDFEE6FA_734C_11D2_8E68_0008C77C0743_.wvu.PrintTitles" localSheetId="31" hidden="1">#REF!,#REF!</definedName>
    <definedName name="Z_BDFEE6FA_734C_11D2_8E68_0008C77C0743_.wvu.PrintTitles" localSheetId="7" hidden="1">#REF!,#REF!</definedName>
    <definedName name="Z_BDFEE6FA_734C_11D2_8E68_0008C77C0743_.wvu.PrintTitles" localSheetId="12" hidden="1">#REF!,#REF!</definedName>
    <definedName name="Z_BDFEE6FA_734C_11D2_8E68_0008C77C0743_.wvu.PrintTitles" localSheetId="9" hidden="1">#REF!,#REF!</definedName>
    <definedName name="Z_BDFEE6FA_734C_11D2_8E68_0008C77C0743_.wvu.PrintTitles" hidden="1">#REF!,#REF!</definedName>
    <definedName name="Z_BDFEE6FC_734C_11D2_8E68_0008C77C0743_.wvu.PrintArea" localSheetId="17" hidden="1">#REF!</definedName>
    <definedName name="Z_BDFEE6FC_734C_11D2_8E68_0008C77C0743_.wvu.PrintArea" localSheetId="30" hidden="1">#REF!</definedName>
    <definedName name="Z_BDFEE6FC_734C_11D2_8E68_0008C77C0743_.wvu.PrintArea" localSheetId="31" hidden="1">#REF!</definedName>
    <definedName name="Z_BDFEE6FC_734C_11D2_8E68_0008C77C0743_.wvu.PrintArea" localSheetId="7" hidden="1">#REF!</definedName>
    <definedName name="Z_BDFEE6FC_734C_11D2_8E68_0008C77C0743_.wvu.PrintArea" localSheetId="12" hidden="1">#REF!</definedName>
    <definedName name="Z_BDFEE6FC_734C_11D2_8E68_0008C77C0743_.wvu.PrintArea" localSheetId="9" hidden="1">#REF!</definedName>
    <definedName name="Z_BDFEE6FC_734C_11D2_8E68_0008C77C0743_.wvu.PrintArea" hidden="1">#REF!</definedName>
    <definedName name="Z_BDFEE6FC_734C_11D2_8E68_0008C77C0743_.wvu.PrintTitles" localSheetId="17" hidden="1">#REF!,#REF!</definedName>
    <definedName name="Z_BDFEE6FC_734C_11D2_8E68_0008C77C0743_.wvu.PrintTitles" localSheetId="30" hidden="1">#REF!,#REF!</definedName>
    <definedName name="Z_BDFEE6FC_734C_11D2_8E68_0008C77C0743_.wvu.PrintTitles" localSheetId="31" hidden="1">#REF!,#REF!</definedName>
    <definedName name="Z_BDFEE6FC_734C_11D2_8E68_0008C77C0743_.wvu.PrintTitles" localSheetId="7" hidden="1">#REF!,#REF!</definedName>
    <definedName name="Z_BDFEE6FC_734C_11D2_8E68_0008C77C0743_.wvu.PrintTitles" localSheetId="12" hidden="1">#REF!,#REF!</definedName>
    <definedName name="Z_BDFEE6FC_734C_11D2_8E68_0008C77C0743_.wvu.PrintTitles" localSheetId="9" hidden="1">#REF!,#REF!</definedName>
    <definedName name="Z_BDFEE6FC_734C_11D2_8E68_0008C77C0743_.wvu.PrintTitles" hidden="1">#REF!,#REF!</definedName>
    <definedName name="Z_BDFEE6FE_734C_11D2_8E68_0008C77C0743_.wvu.PrintArea" localSheetId="17" hidden="1">#REF!</definedName>
    <definedName name="Z_BDFEE6FE_734C_11D2_8E68_0008C77C0743_.wvu.PrintArea" localSheetId="30" hidden="1">#REF!</definedName>
    <definedName name="Z_BDFEE6FE_734C_11D2_8E68_0008C77C0743_.wvu.PrintArea" localSheetId="31" hidden="1">#REF!</definedName>
    <definedName name="Z_BDFEE6FE_734C_11D2_8E68_0008C77C0743_.wvu.PrintArea" localSheetId="7" hidden="1">#REF!</definedName>
    <definedName name="Z_BDFEE6FE_734C_11D2_8E68_0008C77C0743_.wvu.PrintArea" localSheetId="12" hidden="1">#REF!</definedName>
    <definedName name="Z_BDFEE6FE_734C_11D2_8E68_0008C77C0743_.wvu.PrintArea" localSheetId="9" hidden="1">#REF!</definedName>
    <definedName name="Z_BDFEE6FE_734C_11D2_8E68_0008C77C0743_.wvu.PrintArea" hidden="1">#REF!</definedName>
    <definedName name="Z_BDFEE6FE_734C_11D2_8E68_0008C77C0743_.wvu.PrintTitles" localSheetId="17" hidden="1">#REF!,#REF!</definedName>
    <definedName name="Z_BDFEE6FE_734C_11D2_8E68_0008C77C0743_.wvu.PrintTitles" localSheetId="30" hidden="1">#REF!,#REF!</definedName>
    <definedName name="Z_BDFEE6FE_734C_11D2_8E68_0008C77C0743_.wvu.PrintTitles" localSheetId="31" hidden="1">#REF!,#REF!</definedName>
    <definedName name="Z_BDFEE6FE_734C_11D2_8E68_0008C77C0743_.wvu.PrintTitles" localSheetId="7" hidden="1">#REF!,#REF!</definedName>
    <definedName name="Z_BDFEE6FE_734C_11D2_8E68_0008C77C0743_.wvu.PrintTitles" localSheetId="12" hidden="1">#REF!,#REF!</definedName>
    <definedName name="Z_BDFEE6FE_734C_11D2_8E68_0008C77C0743_.wvu.PrintTitles" localSheetId="9" hidden="1">#REF!,#REF!</definedName>
    <definedName name="Z_BDFEE6FE_734C_11D2_8E68_0008C77C0743_.wvu.PrintTitles" hidden="1">#REF!,#REF!</definedName>
    <definedName name="Z_BE4AA1C5_ECFE_11D2_8EB8_0008C77C0743_.wvu.PrintArea" localSheetId="17" hidden="1">#REF!</definedName>
    <definedName name="Z_BE4AA1C5_ECFE_11D2_8EB8_0008C77C0743_.wvu.PrintArea" localSheetId="30" hidden="1">#REF!</definedName>
    <definedName name="Z_BE4AA1C5_ECFE_11D2_8EB8_0008C77C0743_.wvu.PrintArea" localSheetId="31" hidden="1">#REF!</definedName>
    <definedName name="Z_BE4AA1C5_ECFE_11D2_8EB8_0008C77C0743_.wvu.PrintArea" localSheetId="7" hidden="1">#REF!</definedName>
    <definedName name="Z_BE4AA1C5_ECFE_11D2_8EB8_0008C77C0743_.wvu.PrintArea" localSheetId="12" hidden="1">#REF!</definedName>
    <definedName name="Z_BE4AA1C5_ECFE_11D2_8EB8_0008C77C0743_.wvu.PrintArea" localSheetId="9" hidden="1">#REF!</definedName>
    <definedName name="Z_BE4AA1C5_ECFE_11D2_8EB8_0008C77C0743_.wvu.PrintArea" hidden="1">#REF!</definedName>
    <definedName name="Z_BE4AA1C5_ECFE_11D2_8EB8_0008C77C0743_.wvu.PrintTitles" localSheetId="17" hidden="1">#REF!</definedName>
    <definedName name="Z_BE4AA1C5_ECFE_11D2_8EB8_0008C77C0743_.wvu.PrintTitles" localSheetId="31" hidden="1">#REF!</definedName>
    <definedName name="Z_BE4AA1C5_ECFE_11D2_8EB8_0008C77C0743_.wvu.PrintTitles" localSheetId="7" hidden="1">#REF!</definedName>
    <definedName name="Z_BE4AA1C5_ECFE_11D2_8EB8_0008C77C0743_.wvu.PrintTitles" localSheetId="9" hidden="1">#REF!</definedName>
    <definedName name="Z_BE4AA1C5_ECFE_11D2_8EB8_0008C77C0743_.wvu.PrintTitles" hidden="1">#REF!</definedName>
    <definedName name="Z_BE4AA1D8_ECFE_11D2_8EB8_0008C77C0743_.wvu.PrintArea" localSheetId="17" hidden="1">#REF!</definedName>
    <definedName name="Z_BE4AA1D8_ECFE_11D2_8EB8_0008C77C0743_.wvu.PrintArea" localSheetId="31" hidden="1">#REF!</definedName>
    <definedName name="Z_BE4AA1D8_ECFE_11D2_8EB8_0008C77C0743_.wvu.PrintArea" localSheetId="7" hidden="1">#REF!</definedName>
    <definedName name="Z_BE4AA1D8_ECFE_11D2_8EB8_0008C77C0743_.wvu.PrintArea" localSheetId="9" hidden="1">#REF!</definedName>
    <definedName name="Z_BE4AA1D8_ECFE_11D2_8EB8_0008C77C0743_.wvu.PrintArea" hidden="1">#REF!</definedName>
    <definedName name="Z_BE4AA1D8_ECFE_11D2_8EB8_0008C77C0743_.wvu.PrintTitles" localSheetId="31" hidden="1">#REF!</definedName>
    <definedName name="Z_BE4AA1D8_ECFE_11D2_8EB8_0008C77C0743_.wvu.PrintTitles" localSheetId="7" hidden="1">#REF!</definedName>
    <definedName name="Z_BE4AA1D8_ECFE_11D2_8EB8_0008C77C0743_.wvu.PrintTitles" hidden="1">#REF!</definedName>
    <definedName name="Z_BE4AA1E8_ECFE_11D2_8EB8_0008C77C0743_.wvu.PrintArea" localSheetId="31" hidden="1">#REF!</definedName>
    <definedName name="Z_BE4AA1E8_ECFE_11D2_8EB8_0008C77C0743_.wvu.PrintArea" localSheetId="7" hidden="1">#REF!</definedName>
    <definedName name="Z_BE4AA1E8_ECFE_11D2_8EB8_0008C77C0743_.wvu.PrintArea" hidden="1">#REF!</definedName>
    <definedName name="Z_BE4AA1E8_ECFE_11D2_8EB8_0008C77C0743_.wvu.PrintTitles" localSheetId="17" hidden="1">#REF!,#REF!</definedName>
    <definedName name="Z_BE4AA1E8_ECFE_11D2_8EB8_0008C77C0743_.wvu.PrintTitles" localSheetId="30" hidden="1">#REF!,#REF!</definedName>
    <definedName name="Z_BE4AA1E8_ECFE_11D2_8EB8_0008C77C0743_.wvu.PrintTitles" localSheetId="31" hidden="1">#REF!,#REF!</definedName>
    <definedName name="Z_BE4AA1E8_ECFE_11D2_8EB8_0008C77C0743_.wvu.PrintTitles" localSheetId="7" hidden="1">#REF!,#REF!</definedName>
    <definedName name="Z_BE4AA1E8_ECFE_11D2_8EB8_0008C77C0743_.wvu.PrintTitles" localSheetId="12" hidden="1">#REF!,#REF!</definedName>
    <definedName name="Z_BE4AA1E8_ECFE_11D2_8EB8_0008C77C0743_.wvu.PrintTitles" localSheetId="9" hidden="1">#REF!,#REF!</definedName>
    <definedName name="Z_BE4AA1E8_ECFE_11D2_8EB8_0008C77C0743_.wvu.PrintTitles" hidden="1">#REF!,#REF!</definedName>
    <definedName name="Z_BF2C0042_0093_11D2_A26D_08000939C87E_.wvu.Cols" localSheetId="10" hidden="1">#REF!</definedName>
    <definedName name="Z_BF2C0042_0093_11D2_A26D_08000939C87E_.wvu.Cols" hidden="1">#REF!</definedName>
    <definedName name="Z_BF2C0043_0093_11D2_A26D_08000939C87E_.wvu.Cols" localSheetId="7" hidden="1">#REF!,#REF!</definedName>
    <definedName name="Z_BF2C0043_0093_11D2_A26D_08000939C87E_.wvu.Cols" localSheetId="10" hidden="1">#REF!,#REF!</definedName>
    <definedName name="Z_BF2C0043_0093_11D2_A26D_08000939C87E_.wvu.Cols" hidden="1">#REF!,#REF!</definedName>
    <definedName name="Z_BF2C0044_0093_11D2_A26D_08000939C87E_.wvu.Cols" localSheetId="10" hidden="1">#REF!</definedName>
    <definedName name="Z_BF2C0044_0093_11D2_A26D_08000939C87E_.wvu.Cols" hidden="1">#REF!</definedName>
    <definedName name="Z_BF2C0046_0093_11D2_A26D_08000939C87E_.wvu.Cols" localSheetId="10" hidden="1">#REF!</definedName>
    <definedName name="Z_BF2C0046_0093_11D2_A26D_08000939C87E_.wvu.Cols" hidden="1">#REF!</definedName>
    <definedName name="Z_BFEBD6B7_EDBB_11D2_8EB9_0008C77C0743_.wvu.PrintArea" localSheetId="17" hidden="1">#REF!</definedName>
    <definedName name="Z_BFEBD6B7_EDBB_11D2_8EB9_0008C77C0743_.wvu.PrintArea" localSheetId="30" hidden="1">#REF!</definedName>
    <definedName name="Z_BFEBD6B7_EDBB_11D2_8EB9_0008C77C0743_.wvu.PrintArea" localSheetId="31" hidden="1">#REF!</definedName>
    <definedName name="Z_BFEBD6B7_EDBB_11D2_8EB9_0008C77C0743_.wvu.PrintArea" localSheetId="7" hidden="1">#REF!</definedName>
    <definedName name="Z_BFEBD6B7_EDBB_11D2_8EB9_0008C77C0743_.wvu.PrintArea" localSheetId="9" hidden="1">#REF!</definedName>
    <definedName name="Z_BFEBD6B7_EDBB_11D2_8EB9_0008C77C0743_.wvu.PrintArea" hidden="1">#REF!</definedName>
    <definedName name="Z_BFEBD6B7_EDBB_11D2_8EB9_0008C77C0743_.wvu.PrintTitles" localSheetId="17" hidden="1">#REF!</definedName>
    <definedName name="Z_BFEBD6B7_EDBB_11D2_8EB9_0008C77C0743_.wvu.PrintTitles" localSheetId="31" hidden="1">#REF!</definedName>
    <definedName name="Z_BFEBD6B7_EDBB_11D2_8EB9_0008C77C0743_.wvu.PrintTitles" localSheetId="7" hidden="1">#REF!</definedName>
    <definedName name="Z_BFEBD6B7_EDBB_11D2_8EB9_0008C77C0743_.wvu.PrintTitles" localSheetId="9" hidden="1">#REF!</definedName>
    <definedName name="Z_BFEBD6B7_EDBB_11D2_8EB9_0008C77C0743_.wvu.PrintTitles" hidden="1">#REF!</definedName>
    <definedName name="Z_BFEBD6CA_EDBB_11D2_8EB9_0008C77C0743_.wvu.PrintArea" localSheetId="17" hidden="1">#REF!</definedName>
    <definedName name="Z_BFEBD6CA_EDBB_11D2_8EB9_0008C77C0743_.wvu.PrintArea" localSheetId="31" hidden="1">#REF!</definedName>
    <definedName name="Z_BFEBD6CA_EDBB_11D2_8EB9_0008C77C0743_.wvu.PrintArea" localSheetId="7" hidden="1">#REF!</definedName>
    <definedName name="Z_BFEBD6CA_EDBB_11D2_8EB9_0008C77C0743_.wvu.PrintArea" localSheetId="9" hidden="1">#REF!</definedName>
    <definedName name="Z_BFEBD6CA_EDBB_11D2_8EB9_0008C77C0743_.wvu.PrintArea" hidden="1">#REF!</definedName>
    <definedName name="Z_BFEBD6CA_EDBB_11D2_8EB9_0008C77C0743_.wvu.PrintTitles" localSheetId="31" hidden="1">#REF!</definedName>
    <definedName name="Z_BFEBD6CA_EDBB_11D2_8EB9_0008C77C0743_.wvu.PrintTitles" localSheetId="7" hidden="1">#REF!</definedName>
    <definedName name="Z_BFEBD6CA_EDBB_11D2_8EB9_0008C77C0743_.wvu.PrintTitles" hidden="1">#REF!</definedName>
    <definedName name="Z_BFEBD6DA_EDBB_11D2_8EB9_0008C77C0743_.wvu.PrintArea" localSheetId="31" hidden="1">#REF!</definedName>
    <definedName name="Z_BFEBD6DA_EDBB_11D2_8EB9_0008C77C0743_.wvu.PrintArea" localSheetId="7" hidden="1">#REF!</definedName>
    <definedName name="Z_BFEBD6DA_EDBB_11D2_8EB9_0008C77C0743_.wvu.PrintArea" hidden="1">#REF!</definedName>
    <definedName name="Z_BFEBD6DA_EDBB_11D2_8EB9_0008C77C0743_.wvu.PrintTitles" localSheetId="17" hidden="1">#REF!,#REF!</definedName>
    <definedName name="Z_BFEBD6DA_EDBB_11D2_8EB9_0008C77C0743_.wvu.PrintTitles" localSheetId="30" hidden="1">#REF!,#REF!</definedName>
    <definedName name="Z_BFEBD6DA_EDBB_11D2_8EB9_0008C77C0743_.wvu.PrintTitles" localSheetId="31" hidden="1">#REF!,#REF!</definedName>
    <definedName name="Z_BFEBD6DA_EDBB_11D2_8EB9_0008C77C0743_.wvu.PrintTitles" localSheetId="7" hidden="1">#REF!,#REF!</definedName>
    <definedName name="Z_BFEBD6DA_EDBB_11D2_8EB9_0008C77C0743_.wvu.PrintTitles" localSheetId="12" hidden="1">#REF!,#REF!</definedName>
    <definedName name="Z_BFEBD6DA_EDBB_11D2_8EB9_0008C77C0743_.wvu.PrintTitles" localSheetId="9" hidden="1">#REF!,#REF!</definedName>
    <definedName name="Z_BFEBD6DA_EDBB_11D2_8EB9_0008C77C0743_.wvu.PrintTitles" hidden="1">#REF!,#REF!</definedName>
    <definedName name="Z_CD050555_ECE8_11D2_8EB7_0008C77C0743_.wvu.PrintArea" localSheetId="17" hidden="1">#REF!</definedName>
    <definedName name="Z_CD050555_ECE8_11D2_8EB7_0008C77C0743_.wvu.PrintArea" localSheetId="30" hidden="1">#REF!</definedName>
    <definedName name="Z_CD050555_ECE8_11D2_8EB7_0008C77C0743_.wvu.PrintArea" localSheetId="31" hidden="1">#REF!</definedName>
    <definedName name="Z_CD050555_ECE8_11D2_8EB7_0008C77C0743_.wvu.PrintArea" localSheetId="7" hidden="1">#REF!</definedName>
    <definedName name="Z_CD050555_ECE8_11D2_8EB7_0008C77C0743_.wvu.PrintArea" localSheetId="12" hidden="1">#REF!</definedName>
    <definedName name="Z_CD050555_ECE8_11D2_8EB7_0008C77C0743_.wvu.PrintArea" localSheetId="9" hidden="1">#REF!</definedName>
    <definedName name="Z_CD050555_ECE8_11D2_8EB7_0008C77C0743_.wvu.PrintArea" hidden="1">#REF!</definedName>
    <definedName name="Z_CD050555_ECE8_11D2_8EB7_0008C77C0743_.wvu.PrintTitles" localSheetId="17" hidden="1">#REF!</definedName>
    <definedName name="Z_CD050555_ECE8_11D2_8EB7_0008C77C0743_.wvu.PrintTitles" localSheetId="31" hidden="1">#REF!</definedName>
    <definedName name="Z_CD050555_ECE8_11D2_8EB7_0008C77C0743_.wvu.PrintTitles" localSheetId="7" hidden="1">#REF!</definedName>
    <definedName name="Z_CD050555_ECE8_11D2_8EB7_0008C77C0743_.wvu.PrintTitles" localSheetId="9" hidden="1">#REF!</definedName>
    <definedName name="Z_CD050555_ECE8_11D2_8EB7_0008C77C0743_.wvu.PrintTitles" hidden="1">#REF!</definedName>
    <definedName name="Z_CD050568_ECE8_11D2_8EB7_0008C77C0743_.wvu.PrintArea" localSheetId="17" hidden="1">#REF!</definedName>
    <definedName name="Z_CD050568_ECE8_11D2_8EB7_0008C77C0743_.wvu.PrintArea" localSheetId="31" hidden="1">#REF!</definedName>
    <definedName name="Z_CD050568_ECE8_11D2_8EB7_0008C77C0743_.wvu.PrintArea" localSheetId="7" hidden="1">#REF!</definedName>
    <definedName name="Z_CD050568_ECE8_11D2_8EB7_0008C77C0743_.wvu.PrintArea" localSheetId="9" hidden="1">#REF!</definedName>
    <definedName name="Z_CD050568_ECE8_11D2_8EB7_0008C77C0743_.wvu.PrintArea" hidden="1">#REF!</definedName>
    <definedName name="Z_CD050568_ECE8_11D2_8EB7_0008C77C0743_.wvu.PrintTitles" localSheetId="31" hidden="1">#REF!</definedName>
    <definedName name="Z_CD050568_ECE8_11D2_8EB7_0008C77C0743_.wvu.PrintTitles" localSheetId="7" hidden="1">#REF!</definedName>
    <definedName name="Z_CD050568_ECE8_11D2_8EB7_0008C77C0743_.wvu.PrintTitles" hidden="1">#REF!</definedName>
    <definedName name="Z_CD050578_ECE8_11D2_8EB7_0008C77C0743_.wvu.PrintArea" localSheetId="31" hidden="1">#REF!</definedName>
    <definedName name="Z_CD050578_ECE8_11D2_8EB7_0008C77C0743_.wvu.PrintArea" localSheetId="7" hidden="1">#REF!</definedName>
    <definedName name="Z_CD050578_ECE8_11D2_8EB7_0008C77C0743_.wvu.PrintArea" hidden="1">#REF!</definedName>
    <definedName name="Z_CD050578_ECE8_11D2_8EB7_0008C77C0743_.wvu.PrintTitles" localSheetId="17" hidden="1">#REF!,#REF!</definedName>
    <definedName name="Z_CD050578_ECE8_11D2_8EB7_0008C77C0743_.wvu.PrintTitles" localSheetId="30" hidden="1">#REF!,#REF!</definedName>
    <definedName name="Z_CD050578_ECE8_11D2_8EB7_0008C77C0743_.wvu.PrintTitles" localSheetId="31" hidden="1">#REF!,#REF!</definedName>
    <definedName name="Z_CD050578_ECE8_11D2_8EB7_0008C77C0743_.wvu.PrintTitles" localSheetId="7" hidden="1">#REF!,#REF!</definedName>
    <definedName name="Z_CD050578_ECE8_11D2_8EB7_0008C77C0743_.wvu.PrintTitles" localSheetId="12" hidden="1">#REF!,#REF!</definedName>
    <definedName name="Z_CD050578_ECE8_11D2_8EB7_0008C77C0743_.wvu.PrintTitles" localSheetId="9" hidden="1">#REF!,#REF!</definedName>
    <definedName name="Z_CD050578_ECE8_11D2_8EB7_0008C77C0743_.wvu.PrintTitles" hidden="1">#REF!,#REF!</definedName>
    <definedName name="Z_CF4A68D4_EB6D_11D2_8EB5_0008C77C0743_.wvu.PrintArea" localSheetId="17" hidden="1">#REF!</definedName>
    <definedName name="Z_CF4A68D4_EB6D_11D2_8EB5_0008C77C0743_.wvu.PrintArea" localSheetId="30" hidden="1">#REF!</definedName>
    <definedName name="Z_CF4A68D4_EB6D_11D2_8EB5_0008C77C0743_.wvu.PrintArea" localSheetId="31" hidden="1">#REF!</definedName>
    <definedName name="Z_CF4A68D4_EB6D_11D2_8EB5_0008C77C0743_.wvu.PrintArea" localSheetId="7" hidden="1">#REF!</definedName>
    <definedName name="Z_CF4A68D4_EB6D_11D2_8EB5_0008C77C0743_.wvu.PrintArea" localSheetId="12" hidden="1">#REF!</definedName>
    <definedName name="Z_CF4A68D4_EB6D_11D2_8EB5_0008C77C0743_.wvu.PrintArea" localSheetId="9" hidden="1">#REF!</definedName>
    <definedName name="Z_CF4A68D4_EB6D_11D2_8EB5_0008C77C0743_.wvu.PrintArea" hidden="1">#REF!</definedName>
    <definedName name="Z_CF4A68D4_EB6D_11D2_8EB5_0008C77C0743_.wvu.PrintTitles" localSheetId="17" hidden="1">#REF!</definedName>
    <definedName name="Z_CF4A68D4_EB6D_11D2_8EB5_0008C77C0743_.wvu.PrintTitles" localSheetId="31" hidden="1">#REF!</definedName>
    <definedName name="Z_CF4A68D4_EB6D_11D2_8EB5_0008C77C0743_.wvu.PrintTitles" localSheetId="7" hidden="1">#REF!</definedName>
    <definedName name="Z_CF4A68D4_EB6D_11D2_8EB5_0008C77C0743_.wvu.PrintTitles" localSheetId="9" hidden="1">#REF!</definedName>
    <definedName name="Z_CF4A68D4_EB6D_11D2_8EB5_0008C77C0743_.wvu.PrintTitles" hidden="1">#REF!</definedName>
    <definedName name="Z_CF4A68E7_EB6D_11D2_8EB5_0008C77C0743_.wvu.PrintArea" localSheetId="17" hidden="1">#REF!</definedName>
    <definedName name="Z_CF4A68E7_EB6D_11D2_8EB5_0008C77C0743_.wvu.PrintArea" localSheetId="31" hidden="1">#REF!</definedName>
    <definedName name="Z_CF4A68E7_EB6D_11D2_8EB5_0008C77C0743_.wvu.PrintArea" localSheetId="7" hidden="1">#REF!</definedName>
    <definedName name="Z_CF4A68E7_EB6D_11D2_8EB5_0008C77C0743_.wvu.PrintArea" localSheetId="9" hidden="1">#REF!</definedName>
    <definedName name="Z_CF4A68E7_EB6D_11D2_8EB5_0008C77C0743_.wvu.PrintArea" hidden="1">#REF!</definedName>
    <definedName name="Z_CF4A68E7_EB6D_11D2_8EB5_0008C77C0743_.wvu.PrintTitles" localSheetId="31" hidden="1">#REF!</definedName>
    <definedName name="Z_CF4A68E7_EB6D_11D2_8EB5_0008C77C0743_.wvu.PrintTitles" localSheetId="7" hidden="1">#REF!</definedName>
    <definedName name="Z_CF4A68E7_EB6D_11D2_8EB5_0008C77C0743_.wvu.PrintTitles" hidden="1">#REF!</definedName>
    <definedName name="Z_CF4A68F7_EB6D_11D2_8EB5_0008C77C0743_.wvu.PrintArea" localSheetId="31" hidden="1">#REF!</definedName>
    <definedName name="Z_CF4A68F7_EB6D_11D2_8EB5_0008C77C0743_.wvu.PrintArea" localSheetId="7" hidden="1">#REF!</definedName>
    <definedName name="Z_CF4A68F7_EB6D_11D2_8EB5_0008C77C0743_.wvu.PrintArea" hidden="1">#REF!</definedName>
    <definedName name="Z_CF4A68F7_EB6D_11D2_8EB5_0008C77C0743_.wvu.PrintTitles" localSheetId="17" hidden="1">#REF!,#REF!</definedName>
    <definedName name="Z_CF4A68F7_EB6D_11D2_8EB5_0008C77C0743_.wvu.PrintTitles" localSheetId="30" hidden="1">#REF!,#REF!</definedName>
    <definedName name="Z_CF4A68F7_EB6D_11D2_8EB5_0008C77C0743_.wvu.PrintTitles" localSheetId="31" hidden="1">#REF!,#REF!</definedName>
    <definedName name="Z_CF4A68F7_EB6D_11D2_8EB5_0008C77C0743_.wvu.PrintTitles" localSheetId="7" hidden="1">#REF!,#REF!</definedName>
    <definedName name="Z_CF4A68F7_EB6D_11D2_8EB5_0008C77C0743_.wvu.PrintTitles" localSheetId="12" hidden="1">#REF!,#REF!</definedName>
    <definedName name="Z_CF4A68F7_EB6D_11D2_8EB5_0008C77C0743_.wvu.PrintTitles" localSheetId="9" hidden="1">#REF!,#REF!</definedName>
    <definedName name="Z_CF4A68F7_EB6D_11D2_8EB5_0008C77C0743_.wvu.PrintTitles" hidden="1">#REF!,#REF!</definedName>
    <definedName name="Z_F0C6DC45_FF98_11D1_B4C6_080009444397_.wvu.Cols" localSheetId="10" hidden="1">#REF!</definedName>
    <definedName name="Z_F0C6DC45_FF98_11D1_B4C6_080009444397_.wvu.Cols" hidden="1">#REF!</definedName>
    <definedName name="Z_F0C6DC46_FF98_11D1_B4C6_080009444397_.wvu.Cols" localSheetId="7" hidden="1">#REF!,#REF!</definedName>
    <definedName name="Z_F0C6DC46_FF98_11D1_B4C6_080009444397_.wvu.Cols" localSheetId="10" hidden="1">#REF!,#REF!</definedName>
    <definedName name="Z_F0C6DC46_FF98_11D1_B4C6_080009444397_.wvu.Cols" hidden="1">#REF!,#REF!</definedName>
    <definedName name="Z_F0C6DC47_FF98_11D1_B4C6_080009444397_.wvu.Cols" localSheetId="10" hidden="1">#REF!</definedName>
    <definedName name="Z_F0C6DC47_FF98_11D1_B4C6_080009444397_.wvu.Cols" hidden="1">#REF!</definedName>
    <definedName name="Z_F0C6DC49_FF98_11D1_B4C6_080009444397_.wvu.Cols" localSheetId="10" hidden="1">#REF!</definedName>
    <definedName name="Z_F0C6DC49_FF98_11D1_B4C6_080009444397_.wvu.Cols" hidden="1">#REF!</definedName>
    <definedName name="Z_F3D6017D_338E_11D2_8E9B_0008C77C0743_.wvu.PrintArea" localSheetId="17" hidden="1">#REF!</definedName>
    <definedName name="Z_F3D6017D_338E_11D2_8E9B_0008C77C0743_.wvu.PrintArea" localSheetId="30" hidden="1">#REF!</definedName>
    <definedName name="Z_F3D6017D_338E_11D2_8E9B_0008C77C0743_.wvu.PrintArea" localSheetId="31" hidden="1">#REF!</definedName>
    <definedName name="Z_F3D6017D_338E_11D2_8E9B_0008C77C0743_.wvu.PrintArea" localSheetId="7" hidden="1">#REF!</definedName>
    <definedName name="Z_F3D6017D_338E_11D2_8E9B_0008C77C0743_.wvu.PrintArea" localSheetId="9" hidden="1">#REF!</definedName>
    <definedName name="Z_F3D6017D_338E_11D2_8E9B_0008C77C0743_.wvu.PrintArea" hidden="1">#REF!</definedName>
    <definedName name="Z_F3D6017D_338E_11D2_8E9B_0008C77C0743_.wvu.PrintTitles" localSheetId="17" hidden="1">#REF!</definedName>
    <definedName name="Z_F3D6017D_338E_11D2_8E9B_0008C77C0743_.wvu.PrintTitles" localSheetId="31" hidden="1">#REF!</definedName>
    <definedName name="Z_F3D6017D_338E_11D2_8E9B_0008C77C0743_.wvu.PrintTitles" localSheetId="7" hidden="1">#REF!</definedName>
    <definedName name="Z_F3D6017D_338E_11D2_8E9B_0008C77C0743_.wvu.PrintTitles" localSheetId="9" hidden="1">#REF!</definedName>
    <definedName name="Z_F3D6017D_338E_11D2_8E9B_0008C77C0743_.wvu.PrintTitles" hidden="1">#REF!</definedName>
    <definedName name="Z_F3D6018C_338E_11D2_8E9B_0008C77C0743_.wvu.PrintArea" localSheetId="17" hidden="1">#REF!</definedName>
    <definedName name="Z_F3D6018C_338E_11D2_8E9B_0008C77C0743_.wvu.PrintArea" localSheetId="31" hidden="1">#REF!</definedName>
    <definedName name="Z_F3D6018C_338E_11D2_8E9B_0008C77C0743_.wvu.PrintArea" localSheetId="7" hidden="1">#REF!</definedName>
    <definedName name="Z_F3D6018C_338E_11D2_8E9B_0008C77C0743_.wvu.PrintArea" localSheetId="9" hidden="1">#REF!</definedName>
    <definedName name="Z_F3D6018C_338E_11D2_8E9B_0008C77C0743_.wvu.PrintArea" hidden="1">#REF!</definedName>
    <definedName name="Z_F3D6018C_338E_11D2_8E9B_0008C77C0743_.wvu.PrintTitles" localSheetId="31" hidden="1">#REF!</definedName>
    <definedName name="Z_F3D6018C_338E_11D2_8E9B_0008C77C0743_.wvu.PrintTitles" localSheetId="7" hidden="1">#REF!</definedName>
    <definedName name="Z_F3D6018C_338E_11D2_8E9B_0008C77C0743_.wvu.PrintTitles" hidden="1">#REF!</definedName>
    <definedName name="Z_F3D60199_338E_11D2_8E9B_0008C77C0743_.wvu.PrintArea" localSheetId="31" hidden="1">#REF!</definedName>
    <definedName name="Z_F3D60199_338E_11D2_8E9B_0008C77C0743_.wvu.PrintArea" localSheetId="7" hidden="1">#REF!</definedName>
    <definedName name="Z_F3D60199_338E_11D2_8E9B_0008C77C0743_.wvu.PrintArea" hidden="1">#REF!</definedName>
    <definedName name="Z_F3D60199_338E_11D2_8E9B_0008C77C0743_.wvu.PrintTitles" localSheetId="17" hidden="1">#REF!,#REF!</definedName>
    <definedName name="Z_F3D60199_338E_11D2_8E9B_0008C77C0743_.wvu.PrintTitles" localSheetId="30" hidden="1">#REF!,#REF!</definedName>
    <definedName name="Z_F3D60199_338E_11D2_8E9B_0008C77C0743_.wvu.PrintTitles" localSheetId="31" hidden="1">#REF!,#REF!</definedName>
    <definedName name="Z_F3D60199_338E_11D2_8E9B_0008C77C0743_.wvu.PrintTitles" localSheetId="7" hidden="1">#REF!,#REF!</definedName>
    <definedName name="Z_F3D60199_338E_11D2_8E9B_0008C77C0743_.wvu.PrintTitles" localSheetId="12" hidden="1">#REF!,#REF!</definedName>
    <definedName name="Z_F3D60199_338E_11D2_8E9B_0008C77C0743_.wvu.PrintTitles" localSheetId="9" hidden="1">#REF!,#REF!</definedName>
    <definedName name="Z_F3D60199_338E_11D2_8E9B_0008C77C0743_.wvu.PrintTitles" hidden="1">#REF!,#REF!</definedName>
    <definedName name="Z_FECB26A0_0F29_11D5_A5DE_0000863EE717_.wvu.Cols" localSheetId="7" hidden="1">#REF!,#REF!,#REF!</definedName>
    <definedName name="Z_FECB26A0_0F29_11D5_A5DE_0000863EE717_.wvu.Cols" localSheetId="10" hidden="1">#REF!,#REF!,#REF!</definedName>
    <definedName name="Z_FECB26A0_0F29_11D5_A5DE_0000863EE717_.wvu.Cols" hidden="1">#REF!,#REF!,#REF!</definedName>
    <definedName name="Z_FECB26A0_0F29_11D5_A5DE_0000863EE717_.wvu.PrintTitles" hidden="1">#REF!,#REF!</definedName>
    <definedName name="Z_FECB26A0_0F29_11D5_A5DE_0000863EE717_.wvu.Rows" localSheetId="10" hidden="1">#REF!</definedName>
    <definedName name="Z_FECB26A0_0F29_11D5_A5DE_0000863EE717_.wvu.Rows" hidden="1">#REF!</definedName>
    <definedName name="ZACKSGROWTH" localSheetId="7">#REF!</definedName>
    <definedName name="ZACKSGROWTH">#REF!</definedName>
    <definedName name="zdcw" localSheetId="1" hidden="1">#REF!</definedName>
    <definedName name="zdcw" localSheetId="17" hidden="1">#REF!</definedName>
    <definedName name="zdcw" localSheetId="31" hidden="1">#REF!</definedName>
    <definedName name="zdcw" localSheetId="7" hidden="1">#REF!</definedName>
    <definedName name="zdcw" localSheetId="9" hidden="1">#REF!</definedName>
    <definedName name="zdcw" hidden="1">#REF!</definedName>
    <definedName name="zj" localSheetId="1" hidden="1">#REF!</definedName>
    <definedName name="zj" localSheetId="31" hidden="1">#REF!</definedName>
    <definedName name="zj" localSheetId="7" hidden="1">#REF!</definedName>
    <definedName name="zj" localSheetId="9" hidden="1">#REF!</definedName>
    <definedName name="zj" hidden="1">#REF!</definedName>
    <definedName name="znh" localSheetId="31" hidden="1">#REF!</definedName>
    <definedName name="znh" localSheetId="7" hidden="1">#REF!</definedName>
    <definedName name="znh" hidden="1">#REF!</definedName>
    <definedName name="zx" localSheetId="30" hidden="1">{#N/A,#N/A,TRUE,"1990";#N/A,#N/A,TRUE,"1991";#N/A,#N/A,TRUE,"1992";#N/A,#N/A,TRUE,"1993"}</definedName>
    <definedName name="zx" localSheetId="31" hidden="1">{#N/A,#N/A,TRUE,"1990";#N/A,#N/A,TRUE,"1991";#N/A,#N/A,TRUE,"1992";#N/A,#N/A,TRUE,"1993"}</definedName>
    <definedName name="zx" localSheetId="19" hidden="1">{#N/A,#N/A,TRUE,"1990";#N/A,#N/A,TRUE,"1991";#N/A,#N/A,TRUE,"1992";#N/A,#N/A,TRUE,"1993"}</definedName>
    <definedName name="zx" hidden="1">{#N/A,#N/A,TRUE,"1990";#N/A,#N/A,TRUE,"1991";#N/A,#N/A,TRUE,"1992";#N/A,#N/A,TRUE,"1993"}</definedName>
    <definedName name="zxcvb" localSheetId="30" hidden="1">#REF!</definedName>
    <definedName name="zxcvb" localSheetId="31" hidden="1">#REF!</definedName>
    <definedName name="zxcvb" localSheetId="7" hidden="1">#REF!</definedName>
    <definedName name="zxcvb" hidden="1">#REF!</definedName>
    <definedName name="zxd" localSheetId="30" hidden="1">#REF!</definedName>
    <definedName name="zxd" localSheetId="31" hidden="1">#REF!</definedName>
    <definedName name="zxd" localSheetId="7" hidden="1">#REF!</definedName>
    <definedName name="zxd" hidden="1">#REF!</definedName>
    <definedName name="zxx" localSheetId="30" hidden="1">{"summary",#N/A,TRUE,"E93ADJ";"detail",#N/A,TRUE,"E93ADJ"}</definedName>
    <definedName name="zxx" localSheetId="31" hidden="1">{"summary",#N/A,TRUE,"E93ADJ";"detail",#N/A,TRUE,"E93ADJ"}</definedName>
    <definedName name="zxx" localSheetId="19" hidden="1">{"summary",#N/A,TRUE,"E93ADJ";"detail",#N/A,TRUE,"E93ADJ"}</definedName>
    <definedName name="zxx" hidden="1">{"summary",#N/A,TRUE,"E93ADJ";"detail",#N/A,TRUE,"E93ADJ"}</definedName>
    <definedName name="zxz" localSheetId="30" hidden="1">{#N/A,#N/A,TRUE,"1990";#N/A,#N/A,TRUE,"1991";#N/A,#N/A,TRUE,"1992";#N/A,#N/A,TRUE,"1993"}</definedName>
    <definedName name="zxz" localSheetId="31" hidden="1">{#N/A,#N/A,TRUE,"1990";#N/A,#N/A,TRUE,"1991";#N/A,#N/A,TRUE,"1992";#N/A,#N/A,TRUE,"1993"}</definedName>
    <definedName name="zxz" localSheetId="19" hidden="1">{#N/A,#N/A,TRUE,"1990";#N/A,#N/A,TRUE,"1991";#N/A,#N/A,TRUE,"1992";#N/A,#N/A,TRUE,"1993"}</definedName>
    <definedName name="zxz" hidden="1">{#N/A,#N/A,TRUE,"1990";#N/A,#N/A,TRUE,"1991";#N/A,#N/A,TRUE,"1992";#N/A,#N/A,TRUE,"1993"}</definedName>
    <definedName name="zxzx" localSheetId="30" hidden="1">{"summary",#N/A,TRUE,"E93ADJ";"detail",#N/A,TRUE,"E93ADJ"}</definedName>
    <definedName name="zxzx" localSheetId="31" hidden="1">{"summary",#N/A,TRUE,"E93ADJ";"detail",#N/A,TRUE,"E93ADJ"}</definedName>
    <definedName name="zxzx" localSheetId="19" hidden="1">{"summary",#N/A,TRUE,"E93ADJ";"detail",#N/A,TRUE,"E93ADJ"}</definedName>
    <definedName name="zxzx" hidden="1">{"summary",#N/A,TRUE,"E93ADJ";"detail",#N/A,TRUE,"E93ADJ"}</definedName>
    <definedName name="zxzxx" localSheetId="30" hidden="1">{"summary",#N/A,TRUE,"E93ADJ";"detail",#N/A,TRUE,"E93ADJ"}</definedName>
    <definedName name="zxzxx" localSheetId="31" hidden="1">{"summary",#N/A,TRUE,"E93ADJ";"detail",#N/A,TRUE,"E93ADJ"}</definedName>
    <definedName name="zxzxx" localSheetId="19" hidden="1">{"summary",#N/A,TRUE,"E93ADJ";"detail",#N/A,TRUE,"E93ADJ"}</definedName>
    <definedName name="zxzxx" hidden="1">{"summary",#N/A,TRUE,"E93ADJ";"detail",#N/A,TRUE,"E93ADJ"}</definedName>
    <definedName name="zxzxxz" localSheetId="30" hidden="1">{#N/A,#N/A,TRUE,"1990";#N/A,#N/A,TRUE,"1991";#N/A,#N/A,TRUE,"1992";#N/A,#N/A,TRUE,"1993"}</definedName>
    <definedName name="zxzxxz" localSheetId="31" hidden="1">{#N/A,#N/A,TRUE,"1990";#N/A,#N/A,TRUE,"1991";#N/A,#N/A,TRUE,"1992";#N/A,#N/A,TRUE,"1993"}</definedName>
    <definedName name="zxzxxz" localSheetId="19" hidden="1">{#N/A,#N/A,TRUE,"1990";#N/A,#N/A,TRUE,"1991";#N/A,#N/A,TRUE,"1992";#N/A,#N/A,TRUE,"1993"}</definedName>
    <definedName name="zxzxxz" hidden="1">{#N/A,#N/A,TRUE,"1990";#N/A,#N/A,TRUE,"1991";#N/A,#N/A,TRUE,"1992";#N/A,#N/A,TRUE,"1993"}</definedName>
    <definedName name="zxzxz" localSheetId="30" hidden="1">{#N/A,#N/A,TRUE,"1990";#N/A,#N/A,TRUE,"1991";#N/A,#N/A,TRUE,"1992";#N/A,#N/A,TRUE,"1993"}</definedName>
    <definedName name="zxzxz" localSheetId="31" hidden="1">{#N/A,#N/A,TRUE,"1990";#N/A,#N/A,TRUE,"1991";#N/A,#N/A,TRUE,"1992";#N/A,#N/A,TRUE,"1993"}</definedName>
    <definedName name="zxzxz" localSheetId="19" hidden="1">{#N/A,#N/A,TRUE,"1990";#N/A,#N/A,TRUE,"1991";#N/A,#N/A,TRUE,"1992";#N/A,#N/A,TRUE,"1993"}</definedName>
    <definedName name="zxzxz" hidden="1">{#N/A,#N/A,TRUE,"1990";#N/A,#N/A,TRUE,"1991";#N/A,#N/A,TRUE,"1992";#N/A,#N/A,TRUE,"1993"}</definedName>
    <definedName name="zxzxzx" localSheetId="30" hidden="1">{#N/A,#N/A,TRUE,"1990";#N/A,#N/A,TRUE,"1991";#N/A,#N/A,TRUE,"1992";#N/A,#N/A,TRUE,"1993"}</definedName>
    <definedName name="zxzxzx" localSheetId="31" hidden="1">{#N/A,#N/A,TRUE,"1990";#N/A,#N/A,TRUE,"1991";#N/A,#N/A,TRUE,"1992";#N/A,#N/A,TRUE,"1993"}</definedName>
    <definedName name="zxzxzx" localSheetId="19" hidden="1">{#N/A,#N/A,TRUE,"1990";#N/A,#N/A,TRUE,"1991";#N/A,#N/A,TRUE,"1992";#N/A,#N/A,TRUE,"1993"}</definedName>
    <definedName name="zxzxzx" hidden="1">{#N/A,#N/A,TRUE,"1990";#N/A,#N/A,TRUE,"1991";#N/A,#N/A,TRUE,"1992";#N/A,#N/A,TRUE,"1993"}</definedName>
    <definedName name="zxzz" localSheetId="30" hidden="1">{"summary",#N/A,TRUE,"E93ADJ";"detail",#N/A,TRUE,"E93ADJ"}</definedName>
    <definedName name="zxzz" localSheetId="31" hidden="1">{"summary",#N/A,TRUE,"E93ADJ";"detail",#N/A,TRUE,"E93ADJ"}</definedName>
    <definedName name="zxzz" localSheetId="19" hidden="1">{"summary",#N/A,TRUE,"E93ADJ";"detail",#N/A,TRUE,"E93ADJ"}</definedName>
    <definedName name="zxzz" hidden="1">{"summary",#N/A,TRUE,"E93ADJ";"detail",#N/A,TRUE,"E93ADJ"}</definedName>
    <definedName name="zxzzz" localSheetId="30" hidden="1">{"summary",#N/A,TRUE,"E93ADJ";"detail",#N/A,TRUE,"E93ADJ"}</definedName>
    <definedName name="zxzzz" localSheetId="31" hidden="1">{"summary",#N/A,TRUE,"E93ADJ";"detail",#N/A,TRUE,"E93ADJ"}</definedName>
    <definedName name="zxzzz" localSheetId="19" hidden="1">{"summary",#N/A,TRUE,"E93ADJ";"detail",#N/A,TRUE,"E93ADJ"}</definedName>
    <definedName name="zxzzz" hidden="1">{"summary",#N/A,TRUE,"E93ADJ";"detail",#N/A,TRUE,"E93ADJ"}</definedName>
    <definedName name="zz" localSheetId="30" hidden="1">{#N/A,#N/A,TRUE,"1990";#N/A,#N/A,TRUE,"1991";#N/A,#N/A,TRUE,"1992";#N/A,#N/A,TRUE,"1993"}</definedName>
    <definedName name="zz" localSheetId="31" hidden="1">{#N/A,#N/A,TRUE,"1990";#N/A,#N/A,TRUE,"1991";#N/A,#N/A,TRUE,"1992";#N/A,#N/A,TRUE,"1993"}</definedName>
    <definedName name="zz" localSheetId="19" hidden="1">{#N/A,#N/A,TRUE,"1990";#N/A,#N/A,TRUE,"1991";#N/A,#N/A,TRUE,"1992";#N/A,#N/A,TRUE,"1993"}</definedName>
    <definedName name="zz" hidden="1">{#N/A,#N/A,TRUE,"1990";#N/A,#N/A,TRUE,"1991";#N/A,#N/A,TRUE,"1992";#N/A,#N/A,TRUE,"1993"}</definedName>
    <definedName name="ZZ_EVCOMOPTS" hidden="1">10</definedName>
    <definedName name="zzz" localSheetId="1" hidden="1">{"'Sheet1'!$A$1:$O$40"}</definedName>
    <definedName name="zzz" localSheetId="17" hidden="1">{"'Sheet1'!$A$1:$O$40"}</definedName>
    <definedName name="zzz" localSheetId="30" hidden="1">{"'Sheet1'!$A$1:$O$40"}</definedName>
    <definedName name="zzz" localSheetId="31" hidden="1">{"'Sheet1'!$A$1:$O$40"}</definedName>
    <definedName name="zzz" localSheetId="19" hidden="1">{"'Sheet1'!$A$1:$O$40"}</definedName>
    <definedName name="zzz" localSheetId="7" hidden="1">{"'Sheet1'!$A$1:$O$40"}</definedName>
    <definedName name="zzz" localSheetId="0" hidden="1">{"'Sheet1'!$A$1:$O$40"}</definedName>
    <definedName name="zzz" localSheetId="10"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9" hidden="1">{"'Sheet1'!$A$1:$O$40"}</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localSheetId="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1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3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1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1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z" localSheetId="30" hidden="1">{"summary",#N/A,TRUE,"E93ADJ";"detail",#N/A,TRUE,"E93ADJ"}</definedName>
    <definedName name="zzzz" localSheetId="31" hidden="1">{"summary",#N/A,TRUE,"E93ADJ";"detail",#N/A,TRUE,"E93ADJ"}</definedName>
    <definedName name="zzzz" localSheetId="19" hidden="1">{"summary",#N/A,TRUE,"E93ADJ";"detail",#N/A,TRUE,"E93ADJ"}</definedName>
    <definedName name="zzzz" hidden="1">{"summary",#N/A,TRUE,"E93ADJ";"detail",#N/A,TRUE,"E93ADJ"}</definedName>
    <definedName name="zzzzzz" localSheetId="30" hidden="1">{#N/A,#N/A,TRUE,"1990";#N/A,#N/A,TRUE,"1991";#N/A,#N/A,TRUE,"1992";#N/A,#N/A,TRUE,"1993"}</definedName>
    <definedName name="zzzzzz" localSheetId="31" hidden="1">{#N/A,#N/A,TRUE,"1990";#N/A,#N/A,TRUE,"1991";#N/A,#N/A,TRUE,"1992";#N/A,#N/A,TRUE,"1993"}</definedName>
    <definedName name="zzzzzz" localSheetId="19" hidden="1">{#N/A,#N/A,TRUE,"1990";#N/A,#N/A,TRUE,"1991";#N/A,#N/A,TRUE,"1992";#N/A,#N/A,TRUE,"1993"}</definedName>
    <definedName name="zzzzzz" hidden="1">{#N/A,#N/A,TRUE,"1990";#N/A,#N/A,TRUE,"1991";#N/A,#N/A,TRUE,"1992";#N/A,#N/A,TRUE,"1993"}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47" i="13" l="1"/>
  <c r="A156" i="13"/>
  <c r="H172" i="13"/>
  <c r="H176" i="13"/>
  <c r="M32" i="14" l="1"/>
  <c r="F38" i="71"/>
  <c r="I38" i="71" s="1"/>
  <c r="K38" i="71" s="1"/>
  <c r="F37" i="71"/>
  <c r="I37" i="71" s="1"/>
  <c r="K37" i="71" s="1"/>
  <c r="I36" i="71"/>
  <c r="K36" i="71" s="1"/>
  <c r="F36" i="71"/>
  <c r="F35" i="71"/>
  <c r="I35" i="71" s="1"/>
  <c r="K35" i="71" s="1"/>
  <c r="F34" i="71"/>
  <c r="I34" i="71" s="1"/>
  <c r="K34" i="71" s="1"/>
  <c r="F33" i="71"/>
  <c r="I33" i="71" s="1"/>
  <c r="K33" i="71" s="1"/>
  <c r="F32" i="71"/>
  <c r="I32" i="71" s="1"/>
  <c r="K32" i="71" s="1"/>
  <c r="F31" i="71"/>
  <c r="I31" i="71" s="1"/>
  <c r="K31" i="71" s="1"/>
  <c r="F30" i="71"/>
  <c r="I30" i="71" s="1"/>
  <c r="K30" i="71" s="1"/>
  <c r="I29" i="71"/>
  <c r="K29" i="71" s="1"/>
  <c r="F28" i="71"/>
  <c r="I28" i="71" s="1"/>
  <c r="K28" i="71" s="1"/>
  <c r="F27" i="71"/>
  <c r="I27" i="71" s="1"/>
  <c r="K27" i="71" s="1"/>
  <c r="F26" i="71"/>
  <c r="I26" i="71" s="1"/>
  <c r="K26" i="71" s="1"/>
  <c r="I25" i="71"/>
  <c r="K25" i="71" s="1"/>
  <c r="F25" i="71"/>
  <c r="F24" i="71"/>
  <c r="I24" i="71" s="1"/>
  <c r="K24" i="71" s="1"/>
  <c r="F23" i="71"/>
  <c r="I23" i="71" s="1"/>
  <c r="K23" i="71" s="1"/>
  <c r="K22" i="71"/>
  <c r="I22" i="71"/>
  <c r="F22" i="71"/>
  <c r="F21" i="71"/>
  <c r="I21" i="71" s="1"/>
  <c r="K21" i="71" s="1"/>
  <c r="F20" i="71"/>
  <c r="I20" i="71" s="1"/>
  <c r="K20" i="71" s="1"/>
  <c r="F19" i="71"/>
  <c r="I19" i="71" s="1"/>
  <c r="K19" i="71" s="1"/>
  <c r="F18" i="71"/>
  <c r="I18" i="71" s="1"/>
  <c r="K18" i="71" s="1"/>
  <c r="I17" i="71"/>
  <c r="K17" i="71" s="1"/>
  <c r="F17" i="71"/>
  <c r="F16" i="71"/>
  <c r="I16" i="71" s="1"/>
  <c r="K16" i="71" s="1"/>
  <c r="F15" i="71"/>
  <c r="I15" i="71" s="1"/>
  <c r="K15" i="71" s="1"/>
  <c r="K14" i="71"/>
  <c r="I14" i="71"/>
  <c r="F14" i="71"/>
  <c r="F13" i="71"/>
  <c r="I13" i="71" s="1"/>
  <c r="K13" i="71" s="1"/>
  <c r="F12" i="71"/>
  <c r="I12" i="71" s="1"/>
  <c r="K12" i="71" s="1"/>
  <c r="F11" i="71"/>
  <c r="I11" i="71" s="1"/>
  <c r="K11" i="71" s="1"/>
  <c r="F10" i="71"/>
  <c r="I10" i="71" s="1"/>
  <c r="K10" i="71" s="1"/>
  <c r="I9" i="71"/>
  <c r="K9" i="71" s="1"/>
  <c r="F9" i="71"/>
  <c r="F8" i="71"/>
  <c r="I8" i="71" s="1"/>
  <c r="K8" i="71" s="1"/>
  <c r="F7" i="71"/>
  <c r="I7" i="71" s="1"/>
  <c r="K7" i="71" s="1"/>
  <c r="K6" i="71"/>
  <c r="I6" i="71"/>
  <c r="F6" i="71"/>
  <c r="F5" i="71"/>
  <c r="I5" i="71" s="1"/>
  <c r="K5" i="71" s="1"/>
  <c r="G144" i="13"/>
  <c r="F171" i="13"/>
  <c r="G176" i="13" l="1"/>
  <c r="F176" i="13" s="1"/>
  <c r="F172" i="13"/>
  <c r="F173" i="13" s="1"/>
  <c r="E15" i="40"/>
  <c r="G143" i="13"/>
  <c r="G142" i="13"/>
  <c r="F177" i="13" l="1"/>
  <c r="F180" i="13" s="1"/>
  <c r="E153" i="13" s="1"/>
  <c r="A1" i="37"/>
  <c r="M62" i="70"/>
  <c r="K62" i="70"/>
  <c r="I62" i="70"/>
  <c r="G62" i="70"/>
  <c r="E62" i="70"/>
  <c r="C62" i="70"/>
  <c r="M60" i="70"/>
  <c r="K60" i="70"/>
  <c r="I60" i="70"/>
  <c r="G60" i="70"/>
  <c r="E60" i="70"/>
  <c r="C60" i="70"/>
  <c r="M58" i="70"/>
  <c r="K58" i="70"/>
  <c r="I58" i="70"/>
  <c r="G58" i="70"/>
  <c r="E58" i="70"/>
  <c r="C58" i="70"/>
  <c r="I56" i="70"/>
  <c r="G56" i="70"/>
  <c r="E56" i="70"/>
  <c r="R35" i="70" s="1"/>
  <c r="C56" i="70"/>
  <c r="P35" i="70" s="1"/>
  <c r="M54" i="70"/>
  <c r="K54" i="70"/>
  <c r="I54" i="70"/>
  <c r="G54" i="70"/>
  <c r="E54" i="70"/>
  <c r="R52" i="70" s="1"/>
  <c r="C54" i="70"/>
  <c r="X52" i="70"/>
  <c r="V52" i="70"/>
  <c r="T52" i="70"/>
  <c r="P52" i="70"/>
  <c r="M52" i="70"/>
  <c r="K52" i="70"/>
  <c r="I52" i="70"/>
  <c r="G52" i="70"/>
  <c r="E52" i="70"/>
  <c r="C52" i="70"/>
  <c r="V50" i="70"/>
  <c r="T50" i="70"/>
  <c r="R50" i="70"/>
  <c r="P50" i="70"/>
  <c r="M50" i="70"/>
  <c r="M56" i="70" s="1"/>
  <c r="K50" i="70"/>
  <c r="I50" i="70"/>
  <c r="G50" i="70"/>
  <c r="E50" i="70"/>
  <c r="C50" i="70"/>
  <c r="X48" i="70"/>
  <c r="V48" i="70"/>
  <c r="T48" i="70"/>
  <c r="Z48" i="70" s="1"/>
  <c r="R48" i="70"/>
  <c r="P48" i="70"/>
  <c r="M48" i="70"/>
  <c r="K48" i="70"/>
  <c r="I48" i="70"/>
  <c r="G48" i="70"/>
  <c r="E48" i="70"/>
  <c r="C48" i="70"/>
  <c r="X46" i="70"/>
  <c r="V46" i="70"/>
  <c r="T46" i="70"/>
  <c r="R46" i="70"/>
  <c r="Z46" i="70" s="1"/>
  <c r="P46" i="70"/>
  <c r="X45" i="70"/>
  <c r="V45" i="70"/>
  <c r="T45" i="70"/>
  <c r="X44" i="70"/>
  <c r="V44" i="70"/>
  <c r="T44" i="70"/>
  <c r="X43" i="70"/>
  <c r="V43" i="70"/>
  <c r="T43" i="70"/>
  <c r="M42" i="70"/>
  <c r="K42" i="70"/>
  <c r="I42" i="70"/>
  <c r="G42" i="70"/>
  <c r="E42" i="70"/>
  <c r="C42" i="70"/>
  <c r="V35" i="70"/>
  <c r="T35" i="70"/>
  <c r="V34" i="70"/>
  <c r="T34" i="70"/>
  <c r="E34" i="70"/>
  <c r="C34" i="70"/>
  <c r="V33" i="70"/>
  <c r="V36" i="70" s="1"/>
  <c r="T33" i="70"/>
  <c r="P30" i="70"/>
  <c r="X29" i="70"/>
  <c r="Z29" i="70" s="1"/>
  <c r="V29" i="70"/>
  <c r="T29" i="70"/>
  <c r="R29" i="70"/>
  <c r="P29" i="70"/>
  <c r="V28" i="70"/>
  <c r="V30" i="70" s="1"/>
  <c r="T28" i="70"/>
  <c r="R28" i="70"/>
  <c r="P28" i="70"/>
  <c r="V27" i="70"/>
  <c r="T27" i="70"/>
  <c r="T30" i="70" s="1"/>
  <c r="R27" i="70"/>
  <c r="R30" i="70" s="1"/>
  <c r="P27" i="70"/>
  <c r="T22" i="70"/>
  <c r="R22" i="70"/>
  <c r="P22" i="70"/>
  <c r="V19" i="70"/>
  <c r="T19" i="70"/>
  <c r="X18" i="70"/>
  <c r="V18" i="70"/>
  <c r="T18" i="70"/>
  <c r="R18" i="70"/>
  <c r="P18" i="70"/>
  <c r="P19" i="70" s="1"/>
  <c r="X17" i="70"/>
  <c r="X19" i="70" s="1"/>
  <c r="V17" i="70"/>
  <c r="T17" i="70"/>
  <c r="R17" i="70"/>
  <c r="R19" i="70" s="1"/>
  <c r="P17" i="70"/>
  <c r="X12" i="70"/>
  <c r="V12" i="70"/>
  <c r="T12" i="70"/>
  <c r="R12" i="70"/>
  <c r="P12" i="70"/>
  <c r="G12" i="70"/>
  <c r="E12" i="70"/>
  <c r="C12" i="70"/>
  <c r="O8" i="70"/>
  <c r="O7" i="70"/>
  <c r="O6" i="70"/>
  <c r="M62" i="69"/>
  <c r="K62" i="69"/>
  <c r="I62" i="69"/>
  <c r="G62" i="69"/>
  <c r="E62" i="69"/>
  <c r="K60" i="69"/>
  <c r="I60" i="69"/>
  <c r="V52" i="69" s="1"/>
  <c r="G60" i="69"/>
  <c r="E60" i="69"/>
  <c r="C60" i="69"/>
  <c r="M58" i="69"/>
  <c r="K58" i="69"/>
  <c r="I58" i="69"/>
  <c r="G58" i="69"/>
  <c r="T23" i="69" s="1"/>
  <c r="E58" i="69"/>
  <c r="C58" i="69"/>
  <c r="G56" i="69"/>
  <c r="E56" i="69"/>
  <c r="R35" i="69" s="1"/>
  <c r="C56" i="69"/>
  <c r="M54" i="69"/>
  <c r="I54" i="69"/>
  <c r="V50" i="69" s="1"/>
  <c r="G54" i="69"/>
  <c r="E54" i="69"/>
  <c r="C54" i="69"/>
  <c r="T52" i="69"/>
  <c r="R52" i="69"/>
  <c r="P52" i="69"/>
  <c r="M52" i="69"/>
  <c r="K52" i="69"/>
  <c r="I52" i="69"/>
  <c r="G52" i="69"/>
  <c r="E52" i="69"/>
  <c r="C52" i="69"/>
  <c r="T50" i="69"/>
  <c r="R50" i="69"/>
  <c r="M50" i="69"/>
  <c r="M56" i="69" s="1"/>
  <c r="K50" i="69"/>
  <c r="I50" i="69"/>
  <c r="G50" i="69"/>
  <c r="E50" i="69"/>
  <c r="C50" i="69"/>
  <c r="X48" i="69"/>
  <c r="V48" i="69"/>
  <c r="T48" i="69"/>
  <c r="R48" i="69"/>
  <c r="P48" i="69"/>
  <c r="M48" i="69"/>
  <c r="K48" i="69"/>
  <c r="I48" i="69"/>
  <c r="G48" i="69"/>
  <c r="E48" i="69"/>
  <c r="C48" i="69"/>
  <c r="Z46" i="69"/>
  <c r="X46" i="69"/>
  <c r="V46" i="69"/>
  <c r="T46" i="69"/>
  <c r="R46" i="69"/>
  <c r="P46" i="69"/>
  <c r="X45" i="69"/>
  <c r="V45" i="69"/>
  <c r="T45" i="69"/>
  <c r="R45" i="69"/>
  <c r="X44" i="69"/>
  <c r="V44" i="69"/>
  <c r="T44" i="69"/>
  <c r="R44" i="69"/>
  <c r="X43" i="69"/>
  <c r="V43" i="69"/>
  <c r="T43" i="69"/>
  <c r="R43" i="69"/>
  <c r="P43" i="69"/>
  <c r="Z43" i="69" s="1"/>
  <c r="M42" i="69"/>
  <c r="M60" i="69" s="1"/>
  <c r="K42" i="69"/>
  <c r="I42" i="69"/>
  <c r="G42" i="69"/>
  <c r="E42" i="69"/>
  <c r="C42" i="69"/>
  <c r="E40" i="69"/>
  <c r="C40" i="69"/>
  <c r="C62" i="69" s="1"/>
  <c r="P50" i="69" s="1"/>
  <c r="T35" i="69"/>
  <c r="T34" i="69"/>
  <c r="T33" i="69"/>
  <c r="T54" i="69" s="1"/>
  <c r="P33" i="69"/>
  <c r="X29" i="69"/>
  <c r="T29" i="69"/>
  <c r="R29" i="69"/>
  <c r="P29" i="69"/>
  <c r="V28" i="69"/>
  <c r="T28" i="69"/>
  <c r="R28" i="69"/>
  <c r="P28" i="69"/>
  <c r="T27" i="69"/>
  <c r="R27" i="69"/>
  <c r="P27" i="69"/>
  <c r="X23" i="69"/>
  <c r="V23" i="69"/>
  <c r="R22" i="69"/>
  <c r="P22" i="69"/>
  <c r="X18" i="69"/>
  <c r="V18" i="69"/>
  <c r="T18" i="69"/>
  <c r="R18" i="69"/>
  <c r="P18" i="69"/>
  <c r="T17" i="69"/>
  <c r="T19" i="69" s="1"/>
  <c r="R17" i="69"/>
  <c r="R19" i="69" s="1"/>
  <c r="P17" i="69"/>
  <c r="P19" i="69" s="1"/>
  <c r="X12" i="69"/>
  <c r="V12" i="69"/>
  <c r="T12" i="69"/>
  <c r="R12" i="69"/>
  <c r="P12" i="69"/>
  <c r="M12" i="69"/>
  <c r="K12" i="69"/>
  <c r="K54" i="69" s="1"/>
  <c r="I12" i="69"/>
  <c r="G12" i="69"/>
  <c r="E12" i="69"/>
  <c r="C12" i="69"/>
  <c r="O8" i="69"/>
  <c r="O7" i="69"/>
  <c r="O6" i="69"/>
  <c r="M62" i="68"/>
  <c r="G62" i="68"/>
  <c r="E62" i="68"/>
  <c r="C62" i="68"/>
  <c r="M60" i="68"/>
  <c r="K60" i="68"/>
  <c r="I60" i="68"/>
  <c r="C60" i="68"/>
  <c r="M58" i="68"/>
  <c r="K58" i="68"/>
  <c r="I58" i="68"/>
  <c r="G58" i="68"/>
  <c r="E58" i="68"/>
  <c r="C58" i="68"/>
  <c r="C56" i="68"/>
  <c r="M54" i="68"/>
  <c r="I54" i="68"/>
  <c r="G54" i="68"/>
  <c r="E54" i="68"/>
  <c r="C54" i="68"/>
  <c r="P52" i="68"/>
  <c r="M52" i="68"/>
  <c r="K52" i="68"/>
  <c r="I52" i="68"/>
  <c r="G52" i="68"/>
  <c r="E52" i="68"/>
  <c r="C52" i="68"/>
  <c r="R50" i="68"/>
  <c r="P50" i="68"/>
  <c r="M50" i="68"/>
  <c r="M56" i="68" s="1"/>
  <c r="G50" i="68"/>
  <c r="E50" i="68"/>
  <c r="E56" i="68" s="1"/>
  <c r="C50" i="68"/>
  <c r="X48" i="68"/>
  <c r="V48" i="68"/>
  <c r="T48" i="68"/>
  <c r="R48" i="68"/>
  <c r="P48" i="68"/>
  <c r="M48" i="68"/>
  <c r="K48" i="68"/>
  <c r="I48" i="68"/>
  <c r="G48" i="68"/>
  <c r="C48" i="68"/>
  <c r="X46" i="68"/>
  <c r="Z46" i="68" s="1"/>
  <c r="V46" i="68"/>
  <c r="T46" i="68"/>
  <c r="R46" i="68"/>
  <c r="P46" i="68"/>
  <c r="X45" i="68"/>
  <c r="V45" i="68"/>
  <c r="T45" i="68"/>
  <c r="R45" i="68"/>
  <c r="P45" i="68"/>
  <c r="X44" i="68"/>
  <c r="V44" i="68"/>
  <c r="T44" i="68"/>
  <c r="R44" i="68"/>
  <c r="P44" i="68"/>
  <c r="Z44" i="68" s="1"/>
  <c r="Z43" i="68"/>
  <c r="X43" i="68"/>
  <c r="V43" i="68"/>
  <c r="T43" i="68"/>
  <c r="R43" i="68"/>
  <c r="P43" i="68"/>
  <c r="K43" i="68"/>
  <c r="K62" i="68" s="1"/>
  <c r="I43" i="68"/>
  <c r="I62" i="68" s="1"/>
  <c r="G43" i="68"/>
  <c r="E43" i="68"/>
  <c r="C43" i="68"/>
  <c r="M42" i="68"/>
  <c r="K42" i="68"/>
  <c r="I42" i="68"/>
  <c r="G42" i="68"/>
  <c r="G60" i="68" s="1"/>
  <c r="T52" i="68" s="1"/>
  <c r="E42" i="68"/>
  <c r="E60" i="68" s="1"/>
  <c r="R52" i="68" s="1"/>
  <c r="C42" i="68"/>
  <c r="E34" i="68"/>
  <c r="C34" i="68"/>
  <c r="R30" i="68"/>
  <c r="I30" i="68"/>
  <c r="G30" i="68"/>
  <c r="E30" i="68"/>
  <c r="T29" i="68"/>
  <c r="R29" i="68"/>
  <c r="P29" i="68"/>
  <c r="T28" i="68"/>
  <c r="R28" i="68"/>
  <c r="P28" i="68"/>
  <c r="R27" i="68"/>
  <c r="P27" i="68"/>
  <c r="P22" i="68"/>
  <c r="T19" i="68"/>
  <c r="R19" i="68"/>
  <c r="P19" i="68"/>
  <c r="X18" i="68"/>
  <c r="V18" i="68"/>
  <c r="T18" i="68"/>
  <c r="R18" i="68"/>
  <c r="P18" i="68"/>
  <c r="T17" i="68"/>
  <c r="R17" i="68"/>
  <c r="P17" i="68"/>
  <c r="M15" i="68"/>
  <c r="K15" i="68"/>
  <c r="I15" i="68"/>
  <c r="G15" i="68"/>
  <c r="E15" i="68"/>
  <c r="E48" i="68" s="1"/>
  <c r="C15" i="68"/>
  <c r="X12" i="68"/>
  <c r="V12" i="68"/>
  <c r="T12" i="68"/>
  <c r="R12" i="68"/>
  <c r="P12" i="68"/>
  <c r="M12" i="68"/>
  <c r="K12" i="68"/>
  <c r="K50" i="68" s="1"/>
  <c r="I12" i="68"/>
  <c r="G12" i="68"/>
  <c r="E12" i="68"/>
  <c r="C12" i="68"/>
  <c r="O8" i="68"/>
  <c r="O7" i="68"/>
  <c r="O6" i="68"/>
  <c r="M62" i="67"/>
  <c r="K62" i="67"/>
  <c r="I62" i="67"/>
  <c r="G62" i="67"/>
  <c r="E62" i="67"/>
  <c r="C62" i="67"/>
  <c r="M60" i="67"/>
  <c r="K60" i="67"/>
  <c r="X52" i="67" s="1"/>
  <c r="I60" i="67"/>
  <c r="G60" i="67"/>
  <c r="T52" i="67" s="1"/>
  <c r="E60" i="67"/>
  <c r="C60" i="67"/>
  <c r="M58" i="67"/>
  <c r="K58" i="67"/>
  <c r="I58" i="67"/>
  <c r="G58" i="67"/>
  <c r="E58" i="67"/>
  <c r="C58" i="67"/>
  <c r="C56" i="67"/>
  <c r="M54" i="67"/>
  <c r="K54" i="67"/>
  <c r="X22" i="67" s="1"/>
  <c r="I54" i="67"/>
  <c r="G54" i="67"/>
  <c r="C54" i="67"/>
  <c r="P52" i="67"/>
  <c r="M52" i="67"/>
  <c r="K52" i="67"/>
  <c r="I52" i="67"/>
  <c r="G52" i="67"/>
  <c r="E52" i="67"/>
  <c r="C52" i="67"/>
  <c r="P50" i="67"/>
  <c r="M50" i="67"/>
  <c r="M56" i="67" s="1"/>
  <c r="K50" i="67"/>
  <c r="X27" i="67" s="1"/>
  <c r="I50" i="67"/>
  <c r="G50" i="67"/>
  <c r="C50" i="67"/>
  <c r="X48" i="67"/>
  <c r="V48" i="67"/>
  <c r="T48" i="67"/>
  <c r="R48" i="67"/>
  <c r="P48" i="67"/>
  <c r="Z48" i="67" s="1"/>
  <c r="M48" i="67"/>
  <c r="K48" i="67"/>
  <c r="I48" i="67"/>
  <c r="G48" i="67"/>
  <c r="E48" i="67"/>
  <c r="C48" i="67"/>
  <c r="X46" i="67"/>
  <c r="Z46" i="67" s="1"/>
  <c r="V46" i="67"/>
  <c r="T46" i="67"/>
  <c r="R46" i="67"/>
  <c r="P46" i="67"/>
  <c r="X45" i="67"/>
  <c r="V45" i="67"/>
  <c r="T45" i="67"/>
  <c r="Z45" i="67" s="1"/>
  <c r="R45" i="67"/>
  <c r="P45" i="67"/>
  <c r="X44" i="67"/>
  <c r="V44" i="67"/>
  <c r="T44" i="67"/>
  <c r="R44" i="67"/>
  <c r="P44" i="67"/>
  <c r="M44" i="67"/>
  <c r="K44" i="67"/>
  <c r="I44" i="67"/>
  <c r="G44" i="67"/>
  <c r="E44" i="67"/>
  <c r="C44" i="67"/>
  <c r="X43" i="67"/>
  <c r="Z43" i="67" s="1"/>
  <c r="V43" i="67"/>
  <c r="T43" i="67"/>
  <c r="R43" i="67"/>
  <c r="P43" i="67"/>
  <c r="M42" i="67"/>
  <c r="K42" i="67"/>
  <c r="I42" i="67"/>
  <c r="G42" i="67"/>
  <c r="E42" i="67"/>
  <c r="C42" i="67"/>
  <c r="P35" i="67"/>
  <c r="P29" i="67"/>
  <c r="P28" i="67"/>
  <c r="V27" i="67"/>
  <c r="P27" i="67"/>
  <c r="X18" i="67"/>
  <c r="V18" i="67"/>
  <c r="T18" i="67"/>
  <c r="R18" i="67"/>
  <c r="P18" i="67"/>
  <c r="P17" i="67"/>
  <c r="P19" i="67" s="1"/>
  <c r="X12" i="67"/>
  <c r="V12" i="67"/>
  <c r="T12" i="67"/>
  <c r="R12" i="67"/>
  <c r="P12" i="67"/>
  <c r="M12" i="67"/>
  <c r="K12" i="67"/>
  <c r="I12" i="67"/>
  <c r="G12" i="67"/>
  <c r="T27" i="67" s="1"/>
  <c r="E12" i="67"/>
  <c r="C12" i="67"/>
  <c r="O8" i="67"/>
  <c r="O7" i="67"/>
  <c r="O6" i="67"/>
  <c r="M62" i="66"/>
  <c r="K62" i="66"/>
  <c r="I62" i="66"/>
  <c r="G62" i="66"/>
  <c r="E62" i="66"/>
  <c r="M60" i="66"/>
  <c r="K60" i="66"/>
  <c r="E60" i="66"/>
  <c r="C60" i="66"/>
  <c r="M58" i="66"/>
  <c r="K58" i="66"/>
  <c r="I58" i="66"/>
  <c r="G58" i="66"/>
  <c r="E58" i="66"/>
  <c r="C58" i="66"/>
  <c r="M56" i="66"/>
  <c r="K56" i="66"/>
  <c r="M54" i="66"/>
  <c r="K54" i="66"/>
  <c r="X52" i="66" s="1"/>
  <c r="I54" i="66"/>
  <c r="G54" i="66"/>
  <c r="M52" i="66"/>
  <c r="K52" i="66"/>
  <c r="I52" i="66"/>
  <c r="G52" i="66"/>
  <c r="E52" i="66"/>
  <c r="C52" i="66"/>
  <c r="X50" i="66"/>
  <c r="V50" i="66"/>
  <c r="T50" i="66"/>
  <c r="M50" i="66"/>
  <c r="K50" i="66"/>
  <c r="I50" i="66"/>
  <c r="I56" i="66" s="1"/>
  <c r="G50" i="66"/>
  <c r="X48" i="66"/>
  <c r="V48" i="66"/>
  <c r="T48" i="66"/>
  <c r="R48" i="66"/>
  <c r="M48" i="66"/>
  <c r="K48" i="66"/>
  <c r="V44" i="66" s="1"/>
  <c r="I48" i="66"/>
  <c r="G48" i="66"/>
  <c r="E48" i="66"/>
  <c r="C48" i="66"/>
  <c r="X46" i="66"/>
  <c r="V46" i="66"/>
  <c r="T46" i="66"/>
  <c r="R46" i="66"/>
  <c r="V45" i="66"/>
  <c r="T45" i="66"/>
  <c r="R45" i="66"/>
  <c r="P45" i="66"/>
  <c r="T44" i="66"/>
  <c r="R44" i="66"/>
  <c r="P44" i="66"/>
  <c r="V43" i="66"/>
  <c r="T43" i="66"/>
  <c r="R43" i="66"/>
  <c r="P43" i="66"/>
  <c r="M42" i="66"/>
  <c r="K42" i="66"/>
  <c r="I42" i="66"/>
  <c r="I60" i="66" s="1"/>
  <c r="V52" i="66" s="1"/>
  <c r="G42" i="66"/>
  <c r="G60" i="66" s="1"/>
  <c r="T52" i="66" s="1"/>
  <c r="E42" i="66"/>
  <c r="C42" i="66"/>
  <c r="E34" i="66"/>
  <c r="C34" i="66"/>
  <c r="C30" i="66"/>
  <c r="X29" i="66"/>
  <c r="V29" i="66"/>
  <c r="V30" i="66" s="1"/>
  <c r="T29" i="66"/>
  <c r="X28" i="66"/>
  <c r="V28" i="66"/>
  <c r="T28" i="66"/>
  <c r="M28" i="66"/>
  <c r="K28" i="66"/>
  <c r="I28" i="66"/>
  <c r="G28" i="66"/>
  <c r="E28" i="66"/>
  <c r="C28" i="66"/>
  <c r="X27" i="66"/>
  <c r="X30" i="66" s="1"/>
  <c r="V27" i="66"/>
  <c r="X22" i="66"/>
  <c r="V22" i="66"/>
  <c r="T22" i="66"/>
  <c r="X18" i="66"/>
  <c r="V18" i="66"/>
  <c r="T18" i="66"/>
  <c r="R18" i="66"/>
  <c r="P18" i="66"/>
  <c r="X17" i="66"/>
  <c r="V17" i="66"/>
  <c r="T17" i="66"/>
  <c r="T19" i="66" s="1"/>
  <c r="M15" i="66"/>
  <c r="K15" i="66"/>
  <c r="I15" i="66"/>
  <c r="G15" i="66"/>
  <c r="E15" i="66"/>
  <c r="X12" i="66"/>
  <c r="V12" i="66"/>
  <c r="T12" i="66"/>
  <c r="R12" i="66"/>
  <c r="P12" i="66"/>
  <c r="M12" i="66"/>
  <c r="K12" i="66"/>
  <c r="I12" i="66"/>
  <c r="G12" i="66"/>
  <c r="E12" i="66"/>
  <c r="E54" i="66" s="1"/>
  <c r="C12" i="66"/>
  <c r="C54" i="66" s="1"/>
  <c r="O8" i="66"/>
  <c r="O7" i="66"/>
  <c r="O6" i="66"/>
  <c r="M62" i="65"/>
  <c r="K62" i="65"/>
  <c r="I62" i="65"/>
  <c r="G62" i="65"/>
  <c r="E62" i="65"/>
  <c r="C62" i="65"/>
  <c r="C60" i="65"/>
  <c r="P52" i="65" s="1"/>
  <c r="M58" i="65"/>
  <c r="K58" i="65"/>
  <c r="I58" i="65"/>
  <c r="G58" i="65"/>
  <c r="E58" i="65"/>
  <c r="C58" i="65"/>
  <c r="E54" i="65"/>
  <c r="C54" i="65"/>
  <c r="P50" i="65" s="1"/>
  <c r="M52" i="65"/>
  <c r="K52" i="65"/>
  <c r="I52" i="65"/>
  <c r="G52" i="65"/>
  <c r="E52" i="65"/>
  <c r="C52" i="65"/>
  <c r="R50" i="65"/>
  <c r="E50" i="65"/>
  <c r="C50" i="65"/>
  <c r="X48" i="65"/>
  <c r="V48" i="65"/>
  <c r="T48" i="65"/>
  <c r="M48" i="65"/>
  <c r="K48" i="65"/>
  <c r="I48" i="65"/>
  <c r="T44" i="65" s="1"/>
  <c r="G48" i="65"/>
  <c r="E48" i="65"/>
  <c r="C48" i="65"/>
  <c r="X46" i="65"/>
  <c r="V46" i="65"/>
  <c r="T46" i="65"/>
  <c r="R46" i="65"/>
  <c r="T45" i="65"/>
  <c r="R45" i="65"/>
  <c r="P45" i="65"/>
  <c r="R44" i="65"/>
  <c r="P44" i="65"/>
  <c r="X43" i="65"/>
  <c r="Z43" i="65" s="1"/>
  <c r="V43" i="65"/>
  <c r="T43" i="65"/>
  <c r="R43" i="65"/>
  <c r="P43" i="65"/>
  <c r="M42" i="65"/>
  <c r="M60" i="65" s="1"/>
  <c r="K42" i="65"/>
  <c r="K60" i="65" s="1"/>
  <c r="I42" i="65"/>
  <c r="I60" i="65" s="1"/>
  <c r="G42" i="65"/>
  <c r="G60" i="65" s="1"/>
  <c r="E42" i="65"/>
  <c r="E60" i="65" s="1"/>
  <c r="R52" i="65" s="1"/>
  <c r="C42" i="65"/>
  <c r="E34" i="65"/>
  <c r="R48" i="65" s="1"/>
  <c r="C34" i="65"/>
  <c r="P46" i="65" s="1"/>
  <c r="R29" i="65"/>
  <c r="P29" i="65"/>
  <c r="P22" i="65"/>
  <c r="X18" i="65"/>
  <c r="V18" i="65"/>
  <c r="T18" i="65"/>
  <c r="R18" i="65"/>
  <c r="P18" i="65"/>
  <c r="R17" i="65"/>
  <c r="R19" i="65" s="1"/>
  <c r="P17" i="65"/>
  <c r="P19" i="65" s="1"/>
  <c r="X12" i="65"/>
  <c r="V12" i="65"/>
  <c r="T12" i="65"/>
  <c r="R12" i="65"/>
  <c r="P12" i="65"/>
  <c r="M12" i="65"/>
  <c r="M54" i="65" s="1"/>
  <c r="K12" i="65"/>
  <c r="I12" i="65"/>
  <c r="G12" i="65"/>
  <c r="E12" i="65"/>
  <c r="C12" i="65"/>
  <c r="O8" i="65"/>
  <c r="O7" i="65"/>
  <c r="O6" i="65"/>
  <c r="S1168" i="64"/>
  <c r="T1168" i="64" s="1"/>
  <c r="R1168" i="64"/>
  <c r="O1168" i="64"/>
  <c r="N1168" i="64"/>
  <c r="M1168" i="64"/>
  <c r="Q1168" i="64" s="1"/>
  <c r="L1168" i="64"/>
  <c r="K1168" i="64"/>
  <c r="J1168" i="64"/>
  <c r="H1168" i="64"/>
  <c r="A1168" i="64"/>
  <c r="S1167" i="64"/>
  <c r="R1167" i="64"/>
  <c r="T1167" i="64" s="1"/>
  <c r="P1167" i="64"/>
  <c r="N1167" i="64"/>
  <c r="M1167" i="64"/>
  <c r="L1167" i="64"/>
  <c r="J1167" i="64"/>
  <c r="H1167" i="64"/>
  <c r="K1167" i="64" s="1"/>
  <c r="A1167" i="64"/>
  <c r="T1166" i="64"/>
  <c r="S1166" i="64"/>
  <c r="R1166" i="64"/>
  <c r="O1166" i="64"/>
  <c r="N1166" i="64"/>
  <c r="M1166" i="64"/>
  <c r="L1166" i="64"/>
  <c r="J1166" i="64"/>
  <c r="H1166" i="64"/>
  <c r="K1166" i="64" s="1"/>
  <c r="A1166" i="64"/>
  <c r="S1165" i="64"/>
  <c r="R1165" i="64"/>
  <c r="T1165" i="64" s="1"/>
  <c r="N1165" i="64"/>
  <c r="M1165" i="64"/>
  <c r="P1165" i="64" s="1"/>
  <c r="L1165" i="64"/>
  <c r="J1165" i="64"/>
  <c r="H1165" i="64"/>
  <c r="O1165" i="64" s="1"/>
  <c r="Q1165" i="64" s="1"/>
  <c r="A1165" i="64"/>
  <c r="T1164" i="64"/>
  <c r="S1164" i="64"/>
  <c r="R1164" i="64"/>
  <c r="P1164" i="64"/>
  <c r="O1164" i="64"/>
  <c r="N1164" i="64"/>
  <c r="M1164" i="64"/>
  <c r="Q1164" i="64" s="1"/>
  <c r="L1164" i="64"/>
  <c r="J1164" i="64"/>
  <c r="H1164" i="64"/>
  <c r="K1164" i="64" s="1"/>
  <c r="A1164" i="64"/>
  <c r="T1163" i="64"/>
  <c r="S1163" i="64"/>
  <c r="R1163" i="64"/>
  <c r="N1163" i="64"/>
  <c r="M1163" i="64"/>
  <c r="L1163" i="64"/>
  <c r="K1163" i="64"/>
  <c r="J1163" i="64"/>
  <c r="H1163" i="64"/>
  <c r="O1163" i="64" s="1"/>
  <c r="A1163" i="64"/>
  <c r="S1162" i="64"/>
  <c r="R1162" i="64"/>
  <c r="T1162" i="64" s="1"/>
  <c r="P1162" i="64"/>
  <c r="N1162" i="64"/>
  <c r="M1162" i="64"/>
  <c r="L1162" i="64"/>
  <c r="J1162" i="64"/>
  <c r="H1162" i="64"/>
  <c r="A1162" i="64"/>
  <c r="S1161" i="64"/>
  <c r="R1161" i="64"/>
  <c r="T1161" i="64" s="1"/>
  <c r="O1161" i="64"/>
  <c r="N1161" i="64"/>
  <c r="M1161" i="64"/>
  <c r="L1161" i="64"/>
  <c r="K1161" i="64"/>
  <c r="J1161" i="64"/>
  <c r="H1161" i="64"/>
  <c r="A1161" i="64"/>
  <c r="S1160" i="64"/>
  <c r="R1160" i="64"/>
  <c r="T1160" i="64" s="1"/>
  <c r="P1160" i="64"/>
  <c r="O1160" i="64"/>
  <c r="N1160" i="64"/>
  <c r="M1160" i="64"/>
  <c r="Q1160" i="64" s="1"/>
  <c r="L1160" i="64"/>
  <c r="K1160" i="64"/>
  <c r="J1160" i="64"/>
  <c r="H1160" i="64"/>
  <c r="A1160" i="64"/>
  <c r="S1159" i="64"/>
  <c r="R1159" i="64"/>
  <c r="T1159" i="64" s="1"/>
  <c r="P1159" i="64"/>
  <c r="N1159" i="64"/>
  <c r="M1159" i="64"/>
  <c r="L1159" i="64"/>
  <c r="J1159" i="64"/>
  <c r="H1159" i="64"/>
  <c r="K1159" i="64" s="1"/>
  <c r="A1159" i="64"/>
  <c r="T1158" i="64"/>
  <c r="S1158" i="64"/>
  <c r="R1158" i="64"/>
  <c r="N1158" i="64"/>
  <c r="M1158" i="64"/>
  <c r="L1158" i="64"/>
  <c r="J1158" i="64"/>
  <c r="H1158" i="64"/>
  <c r="K1158" i="64" s="1"/>
  <c r="A1158" i="64"/>
  <c r="S1157" i="64"/>
  <c r="R1157" i="64"/>
  <c r="T1157" i="64" s="1"/>
  <c r="Q1157" i="64"/>
  <c r="N1157" i="64"/>
  <c r="M1157" i="64"/>
  <c r="P1157" i="64" s="1"/>
  <c r="L1157" i="64"/>
  <c r="K1157" i="64"/>
  <c r="J1157" i="64"/>
  <c r="H1157" i="64"/>
  <c r="O1157" i="64" s="1"/>
  <c r="A1157" i="64"/>
  <c r="T1156" i="64"/>
  <c r="S1156" i="64"/>
  <c r="R1156" i="64"/>
  <c r="P1156" i="64"/>
  <c r="O1156" i="64"/>
  <c r="N1156" i="64"/>
  <c r="M1156" i="64"/>
  <c r="L1156" i="64"/>
  <c r="J1156" i="64"/>
  <c r="H1156" i="64"/>
  <c r="K1156" i="64" s="1"/>
  <c r="A1156" i="64"/>
  <c r="S1155" i="64"/>
  <c r="T1155" i="64" s="1"/>
  <c r="R1155" i="64"/>
  <c r="N1155" i="64"/>
  <c r="M1155" i="64"/>
  <c r="L1155" i="64"/>
  <c r="K1155" i="64"/>
  <c r="J1155" i="64"/>
  <c r="H1155" i="64"/>
  <c r="O1155" i="64" s="1"/>
  <c r="A1155" i="64"/>
  <c r="S1154" i="64"/>
  <c r="R1154" i="64"/>
  <c r="T1154" i="64" s="1"/>
  <c r="P1154" i="64"/>
  <c r="N1154" i="64"/>
  <c r="M1154" i="64"/>
  <c r="L1154" i="64"/>
  <c r="J1154" i="64"/>
  <c r="H1154" i="64"/>
  <c r="A1154" i="64"/>
  <c r="S1153" i="64"/>
  <c r="R1153" i="64"/>
  <c r="T1153" i="64" s="1"/>
  <c r="O1153" i="64"/>
  <c r="N1153" i="64"/>
  <c r="M1153" i="64"/>
  <c r="L1153" i="64"/>
  <c r="K1153" i="64"/>
  <c r="J1153" i="64"/>
  <c r="H1153" i="64"/>
  <c r="A1153" i="64"/>
  <c r="S1152" i="64"/>
  <c r="R1152" i="64"/>
  <c r="T1152" i="64" s="1"/>
  <c r="P1152" i="64"/>
  <c r="O1152" i="64"/>
  <c r="N1152" i="64"/>
  <c r="M1152" i="64"/>
  <c r="Q1152" i="64" s="1"/>
  <c r="L1152" i="64"/>
  <c r="K1152" i="64"/>
  <c r="J1152" i="64"/>
  <c r="H1152" i="64"/>
  <c r="A1152" i="64"/>
  <c r="S1151" i="64"/>
  <c r="R1151" i="64"/>
  <c r="T1151" i="64" s="1"/>
  <c r="P1151" i="64"/>
  <c r="N1151" i="64"/>
  <c r="M1151" i="64"/>
  <c r="L1151" i="64"/>
  <c r="J1151" i="64"/>
  <c r="H1151" i="64"/>
  <c r="K1151" i="64" s="1"/>
  <c r="A1151" i="64"/>
  <c r="T1150" i="64"/>
  <c r="S1150" i="64"/>
  <c r="R1150" i="64"/>
  <c r="N1150" i="64"/>
  <c r="M1150" i="64"/>
  <c r="L1150" i="64"/>
  <c r="J1150" i="64"/>
  <c r="H1150" i="64"/>
  <c r="K1150" i="64" s="1"/>
  <c r="A1150" i="64"/>
  <c r="S1149" i="64"/>
  <c r="R1149" i="64"/>
  <c r="T1149" i="64" s="1"/>
  <c r="Q1149" i="64"/>
  <c r="N1149" i="64"/>
  <c r="M1149" i="64"/>
  <c r="P1149" i="64" s="1"/>
  <c r="L1149" i="64"/>
  <c r="K1149" i="64"/>
  <c r="J1149" i="64"/>
  <c r="H1149" i="64"/>
  <c r="O1149" i="64" s="1"/>
  <c r="A1149" i="64"/>
  <c r="T1148" i="64"/>
  <c r="S1148" i="64"/>
  <c r="R1148" i="64"/>
  <c r="O1148" i="64"/>
  <c r="N1148" i="64"/>
  <c r="P1148" i="64" s="1"/>
  <c r="M1148" i="64"/>
  <c r="L1148" i="64"/>
  <c r="J1148" i="64"/>
  <c r="H1148" i="64"/>
  <c r="K1148" i="64" s="1"/>
  <c r="A1148" i="64"/>
  <c r="S1147" i="64"/>
  <c r="T1147" i="64" s="1"/>
  <c r="R1147" i="64"/>
  <c r="N1147" i="64"/>
  <c r="M1147" i="64"/>
  <c r="L1147" i="64"/>
  <c r="K1147" i="64"/>
  <c r="J1147" i="64"/>
  <c r="H1147" i="64"/>
  <c r="O1147" i="64" s="1"/>
  <c r="A1147" i="64"/>
  <c r="S1146" i="64"/>
  <c r="R1146" i="64"/>
  <c r="T1146" i="64" s="1"/>
  <c r="P1146" i="64"/>
  <c r="N1146" i="64"/>
  <c r="M1146" i="64"/>
  <c r="L1146" i="64"/>
  <c r="J1146" i="64"/>
  <c r="H1146" i="64"/>
  <c r="A1146" i="64"/>
  <c r="S1145" i="64"/>
  <c r="R1145" i="64"/>
  <c r="T1145" i="64" s="1"/>
  <c r="O1145" i="64"/>
  <c r="N1145" i="64"/>
  <c r="M1145" i="64"/>
  <c r="L1145" i="64"/>
  <c r="K1145" i="64"/>
  <c r="J1145" i="64"/>
  <c r="H1145" i="64"/>
  <c r="A1145" i="64"/>
  <c r="T1144" i="64"/>
  <c r="S1144" i="64"/>
  <c r="R1144" i="64"/>
  <c r="P1144" i="64"/>
  <c r="O1144" i="64"/>
  <c r="N1144" i="64"/>
  <c r="M1144" i="64"/>
  <c r="Q1144" i="64" s="1"/>
  <c r="L1144" i="64"/>
  <c r="K1144" i="64"/>
  <c r="J1144" i="64"/>
  <c r="H1144" i="64"/>
  <c r="A1144" i="64"/>
  <c r="T1143" i="64"/>
  <c r="S1143" i="64"/>
  <c r="R1143" i="64"/>
  <c r="P1143" i="64"/>
  <c r="N1143" i="64"/>
  <c r="M1143" i="64"/>
  <c r="L1143" i="64"/>
  <c r="J1143" i="64"/>
  <c r="H1143" i="64"/>
  <c r="K1143" i="64" s="1"/>
  <c r="A1143" i="64"/>
  <c r="T1142" i="64"/>
  <c r="S1142" i="64"/>
  <c r="R1142" i="64"/>
  <c r="Q1142" i="64"/>
  <c r="O1142" i="64"/>
  <c r="N1142" i="64"/>
  <c r="M1142" i="64"/>
  <c r="P1142" i="64" s="1"/>
  <c r="L1142" i="64"/>
  <c r="J1142" i="64"/>
  <c r="H1142" i="64"/>
  <c r="K1142" i="64" s="1"/>
  <c r="A1142" i="64"/>
  <c r="T1141" i="64"/>
  <c r="S1141" i="64"/>
  <c r="R1141" i="64"/>
  <c r="O1141" i="64"/>
  <c r="N1141" i="64"/>
  <c r="M1141" i="64"/>
  <c r="Q1141" i="64" s="1"/>
  <c r="L1141" i="64"/>
  <c r="K1141" i="64"/>
  <c r="J1141" i="64"/>
  <c r="H1141" i="64"/>
  <c r="A1141" i="64"/>
  <c r="T1140" i="64"/>
  <c r="S1140" i="64"/>
  <c r="R1140" i="64"/>
  <c r="N1140" i="64"/>
  <c r="M1140" i="64"/>
  <c r="L1140" i="64"/>
  <c r="J1140" i="64"/>
  <c r="H1140" i="64"/>
  <c r="O1140" i="64" s="1"/>
  <c r="A1140" i="64"/>
  <c r="S1139" i="64"/>
  <c r="R1139" i="64"/>
  <c r="T1139" i="64" s="1"/>
  <c r="N1139" i="64"/>
  <c r="M1139" i="64"/>
  <c r="P1139" i="64" s="1"/>
  <c r="L1139" i="64"/>
  <c r="J1139" i="64"/>
  <c r="H1139" i="64"/>
  <c r="K1139" i="64" s="1"/>
  <c r="A1139" i="64"/>
  <c r="S1138" i="64"/>
  <c r="R1138" i="64"/>
  <c r="T1138" i="64" s="1"/>
  <c r="O1138" i="64"/>
  <c r="Q1138" i="64" s="1"/>
  <c r="N1138" i="64"/>
  <c r="P1138" i="64" s="1"/>
  <c r="M1138" i="64"/>
  <c r="L1138" i="64"/>
  <c r="K1138" i="64"/>
  <c r="J1138" i="64"/>
  <c r="H1138" i="64"/>
  <c r="A1138" i="64"/>
  <c r="S1137" i="64"/>
  <c r="T1137" i="64" s="1"/>
  <c r="R1137" i="64"/>
  <c r="O1137" i="64"/>
  <c r="N1137" i="64"/>
  <c r="M1137" i="64"/>
  <c r="P1137" i="64" s="1"/>
  <c r="L1137" i="64"/>
  <c r="K1137" i="64"/>
  <c r="J1137" i="64"/>
  <c r="H1137" i="64"/>
  <c r="A1137" i="64"/>
  <c r="T1136" i="64"/>
  <c r="S1136" i="64"/>
  <c r="R1136" i="64"/>
  <c r="P1136" i="64"/>
  <c r="N1136" i="64"/>
  <c r="M1136" i="64"/>
  <c r="L1136" i="64"/>
  <c r="J1136" i="64"/>
  <c r="H1136" i="64"/>
  <c r="K1136" i="64" s="1"/>
  <c r="A1136" i="64"/>
  <c r="S1135" i="64"/>
  <c r="R1135" i="64"/>
  <c r="T1135" i="64" s="1"/>
  <c r="N1135" i="64"/>
  <c r="M1135" i="64"/>
  <c r="L1135" i="64"/>
  <c r="J1135" i="64"/>
  <c r="H1135" i="64"/>
  <c r="O1135" i="64" s="1"/>
  <c r="A1135" i="64"/>
  <c r="S1134" i="64"/>
  <c r="R1134" i="64"/>
  <c r="T1134" i="64" s="1"/>
  <c r="O1134" i="64"/>
  <c r="N1134" i="64"/>
  <c r="P1134" i="64" s="1"/>
  <c r="M1134" i="64"/>
  <c r="Q1134" i="64" s="1"/>
  <c r="L1134" i="64"/>
  <c r="K1134" i="64"/>
  <c r="J1134" i="64"/>
  <c r="H1134" i="64"/>
  <c r="A1134" i="64"/>
  <c r="T1133" i="64"/>
  <c r="S1133" i="64"/>
  <c r="R1133" i="64"/>
  <c r="O1133" i="64"/>
  <c r="N1133" i="64"/>
  <c r="M1133" i="64"/>
  <c r="Q1133" i="64" s="1"/>
  <c r="L1133" i="64"/>
  <c r="K1133" i="64"/>
  <c r="J1133" i="64"/>
  <c r="H1133" i="64"/>
  <c r="A1133" i="64"/>
  <c r="T1132" i="64"/>
  <c r="S1132" i="64"/>
  <c r="R1132" i="64"/>
  <c r="N1132" i="64"/>
  <c r="M1132" i="64"/>
  <c r="Q1132" i="64" s="1"/>
  <c r="L1132" i="64"/>
  <c r="J1132" i="64"/>
  <c r="H1132" i="64"/>
  <c r="O1132" i="64" s="1"/>
  <c r="A1132" i="64"/>
  <c r="S1131" i="64"/>
  <c r="R1131" i="64"/>
  <c r="T1131" i="64" s="1"/>
  <c r="N1131" i="64"/>
  <c r="M1131" i="64"/>
  <c r="P1131" i="64" s="1"/>
  <c r="L1131" i="64"/>
  <c r="J1131" i="64"/>
  <c r="H1131" i="64"/>
  <c r="K1131" i="64" s="1"/>
  <c r="A1131" i="64"/>
  <c r="S1130" i="64"/>
  <c r="R1130" i="64"/>
  <c r="T1130" i="64" s="1"/>
  <c r="O1130" i="64"/>
  <c r="Q1130" i="64" s="1"/>
  <c r="N1130" i="64"/>
  <c r="P1130" i="64" s="1"/>
  <c r="M1130" i="64"/>
  <c r="L1130" i="64"/>
  <c r="K1130" i="64"/>
  <c r="J1130" i="64"/>
  <c r="H1130" i="64"/>
  <c r="A1130" i="64"/>
  <c r="S1129" i="64"/>
  <c r="T1129" i="64" s="1"/>
  <c r="R1129" i="64"/>
  <c r="P1129" i="64"/>
  <c r="O1129" i="64"/>
  <c r="Q1129" i="64" s="1"/>
  <c r="N1129" i="64"/>
  <c r="M1129" i="64"/>
  <c r="L1129" i="64"/>
  <c r="K1129" i="64"/>
  <c r="J1129" i="64"/>
  <c r="H1129" i="64"/>
  <c r="A1129" i="64"/>
  <c r="T1128" i="64"/>
  <c r="S1128" i="64"/>
  <c r="R1128" i="64"/>
  <c r="P1128" i="64"/>
  <c r="N1128" i="64"/>
  <c r="M1128" i="64"/>
  <c r="L1128" i="64"/>
  <c r="J1128" i="64"/>
  <c r="H1128" i="64"/>
  <c r="K1128" i="64" s="1"/>
  <c r="A1128" i="64"/>
  <c r="S1127" i="64"/>
  <c r="R1127" i="64"/>
  <c r="T1127" i="64" s="1"/>
  <c r="N1127" i="64"/>
  <c r="M1127" i="64"/>
  <c r="L1127" i="64"/>
  <c r="J1127" i="64"/>
  <c r="H1127" i="64"/>
  <c r="O1127" i="64" s="1"/>
  <c r="A1127" i="64"/>
  <c r="S1126" i="64"/>
  <c r="R1126" i="64"/>
  <c r="T1126" i="64" s="1"/>
  <c r="O1126" i="64"/>
  <c r="N1126" i="64"/>
  <c r="P1126" i="64" s="1"/>
  <c r="M1126" i="64"/>
  <c r="Q1126" i="64" s="1"/>
  <c r="L1126" i="64"/>
  <c r="K1126" i="64"/>
  <c r="J1126" i="64"/>
  <c r="H1126" i="64"/>
  <c r="A1126" i="64"/>
  <c r="T1125" i="64"/>
  <c r="S1125" i="64"/>
  <c r="R1125" i="64"/>
  <c r="P1125" i="64"/>
  <c r="O1125" i="64"/>
  <c r="N1125" i="64"/>
  <c r="M1125" i="64"/>
  <c r="Q1125" i="64" s="1"/>
  <c r="L1125" i="64"/>
  <c r="K1125" i="64"/>
  <c r="J1125" i="64"/>
  <c r="H1125" i="64"/>
  <c r="A1125" i="64"/>
  <c r="T1124" i="64"/>
  <c r="S1124" i="64"/>
  <c r="R1124" i="64"/>
  <c r="N1124" i="64"/>
  <c r="M1124" i="64"/>
  <c r="L1124" i="64"/>
  <c r="J1124" i="64"/>
  <c r="H1124" i="64"/>
  <c r="O1124" i="64" s="1"/>
  <c r="A1124" i="64"/>
  <c r="S1123" i="64"/>
  <c r="R1123" i="64"/>
  <c r="T1123" i="64" s="1"/>
  <c r="N1123" i="64"/>
  <c r="M1123" i="64"/>
  <c r="P1123" i="64" s="1"/>
  <c r="L1123" i="64"/>
  <c r="J1123" i="64"/>
  <c r="H1123" i="64"/>
  <c r="K1123" i="64" s="1"/>
  <c r="A1123" i="64"/>
  <c r="S1122" i="64"/>
  <c r="R1122" i="64"/>
  <c r="T1122" i="64" s="1"/>
  <c r="O1122" i="64"/>
  <c r="Q1122" i="64" s="1"/>
  <c r="N1122" i="64"/>
  <c r="P1122" i="64" s="1"/>
  <c r="M1122" i="64"/>
  <c r="L1122" i="64"/>
  <c r="K1122" i="64"/>
  <c r="J1122" i="64"/>
  <c r="H1122" i="64"/>
  <c r="A1122" i="64"/>
  <c r="S1121" i="64"/>
  <c r="T1121" i="64" s="1"/>
  <c r="R1121" i="64"/>
  <c r="P1121" i="64"/>
  <c r="O1121" i="64"/>
  <c r="N1121" i="64"/>
  <c r="M1121" i="64"/>
  <c r="Q1121" i="64" s="1"/>
  <c r="L1121" i="64"/>
  <c r="K1121" i="64"/>
  <c r="J1121" i="64"/>
  <c r="H1121" i="64"/>
  <c r="A1121" i="64"/>
  <c r="T1120" i="64"/>
  <c r="S1120" i="64"/>
  <c r="R1120" i="64"/>
  <c r="P1120" i="64"/>
  <c r="N1120" i="64"/>
  <c r="M1120" i="64"/>
  <c r="L1120" i="64"/>
  <c r="J1120" i="64"/>
  <c r="H1120" i="64"/>
  <c r="K1120" i="64" s="1"/>
  <c r="A1120" i="64"/>
  <c r="S1119" i="64"/>
  <c r="R1119" i="64"/>
  <c r="T1119" i="64" s="1"/>
  <c r="N1119" i="64"/>
  <c r="M1119" i="64"/>
  <c r="Q1119" i="64" s="1"/>
  <c r="L1119" i="64"/>
  <c r="J1119" i="64"/>
  <c r="H1119" i="64"/>
  <c r="O1119" i="64" s="1"/>
  <c r="A1119" i="64"/>
  <c r="S1118" i="64"/>
  <c r="R1118" i="64"/>
  <c r="T1118" i="64" s="1"/>
  <c r="O1118" i="64"/>
  <c r="N1118" i="64"/>
  <c r="M1118" i="64"/>
  <c r="Q1118" i="64" s="1"/>
  <c r="L1118" i="64"/>
  <c r="K1118" i="64"/>
  <c r="J1118" i="64"/>
  <c r="H1118" i="64"/>
  <c r="A1118" i="64"/>
  <c r="T1117" i="64"/>
  <c r="S1117" i="64"/>
  <c r="R1117" i="64"/>
  <c r="P1117" i="64"/>
  <c r="O1117" i="64"/>
  <c r="N1117" i="64"/>
  <c r="M1117" i="64"/>
  <c r="L1117" i="64"/>
  <c r="K1117" i="64"/>
  <c r="J1117" i="64"/>
  <c r="H1117" i="64"/>
  <c r="A1117" i="64"/>
  <c r="T1116" i="64"/>
  <c r="S1116" i="64"/>
  <c r="R1116" i="64"/>
  <c r="N1116" i="64"/>
  <c r="M1116" i="64"/>
  <c r="L1116" i="64"/>
  <c r="J1116" i="64"/>
  <c r="H1116" i="64"/>
  <c r="O1116" i="64" s="1"/>
  <c r="A1116" i="64"/>
  <c r="S1115" i="64"/>
  <c r="R1115" i="64"/>
  <c r="T1115" i="64" s="1"/>
  <c r="N1115" i="64"/>
  <c r="M1115" i="64"/>
  <c r="P1115" i="64" s="1"/>
  <c r="L1115" i="64"/>
  <c r="J1115" i="64"/>
  <c r="H1115" i="64"/>
  <c r="A1115" i="64"/>
  <c r="S1114" i="64"/>
  <c r="R1114" i="64"/>
  <c r="T1114" i="64" s="1"/>
  <c r="O1114" i="64"/>
  <c r="Q1114" i="64" s="1"/>
  <c r="N1114" i="64"/>
  <c r="P1114" i="64" s="1"/>
  <c r="M1114" i="64"/>
  <c r="L1114" i="64"/>
  <c r="K1114" i="64"/>
  <c r="J1114" i="64"/>
  <c r="H1114" i="64"/>
  <c r="A1114" i="64"/>
  <c r="S1113" i="64"/>
  <c r="T1113" i="64" s="1"/>
  <c r="R1113" i="64"/>
  <c r="P1113" i="64"/>
  <c r="O1113" i="64"/>
  <c r="N1113" i="64"/>
  <c r="M1113" i="64"/>
  <c r="Q1113" i="64" s="1"/>
  <c r="L1113" i="64"/>
  <c r="K1113" i="64"/>
  <c r="J1113" i="64"/>
  <c r="H1113" i="64"/>
  <c r="A1113" i="64"/>
  <c r="T1112" i="64"/>
  <c r="S1112" i="64"/>
  <c r="R1112" i="64"/>
  <c r="P1112" i="64"/>
  <c r="N1112" i="64"/>
  <c r="M1112" i="64"/>
  <c r="L1112" i="64"/>
  <c r="J1112" i="64"/>
  <c r="H1112" i="64"/>
  <c r="K1112" i="64" s="1"/>
  <c r="A1112" i="64"/>
  <c r="T1111" i="64"/>
  <c r="S1111" i="64"/>
  <c r="R1111" i="64"/>
  <c r="N1111" i="64"/>
  <c r="M1111" i="64"/>
  <c r="L1111" i="64"/>
  <c r="J1111" i="64"/>
  <c r="H1111" i="64"/>
  <c r="O1111" i="64" s="1"/>
  <c r="A1111" i="64"/>
  <c r="S1110" i="64"/>
  <c r="R1110" i="64"/>
  <c r="T1110" i="64" s="1"/>
  <c r="N1110" i="64"/>
  <c r="M1110" i="64"/>
  <c r="P1110" i="64" s="1"/>
  <c r="L1110" i="64"/>
  <c r="J1110" i="64"/>
  <c r="H1110" i="64"/>
  <c r="O1110" i="64" s="1"/>
  <c r="Q1110" i="64" s="1"/>
  <c r="A1110" i="64"/>
  <c r="T1109" i="64"/>
  <c r="S1109" i="64"/>
  <c r="R1109" i="64"/>
  <c r="O1109" i="64"/>
  <c r="N1109" i="64"/>
  <c r="P1109" i="64" s="1"/>
  <c r="M1109" i="64"/>
  <c r="L1109" i="64"/>
  <c r="J1109" i="64"/>
  <c r="H1109" i="64"/>
  <c r="K1109" i="64" s="1"/>
  <c r="A1109" i="64"/>
  <c r="T1108" i="64"/>
  <c r="S1108" i="64"/>
  <c r="R1108" i="64"/>
  <c r="N1108" i="64"/>
  <c r="M1108" i="64"/>
  <c r="Q1108" i="64" s="1"/>
  <c r="L1108" i="64"/>
  <c r="K1108" i="64"/>
  <c r="J1108" i="64"/>
  <c r="H1108" i="64"/>
  <c r="O1108" i="64" s="1"/>
  <c r="A1108" i="64"/>
  <c r="S1107" i="64"/>
  <c r="R1107" i="64"/>
  <c r="T1107" i="64" s="1"/>
  <c r="P1107" i="64"/>
  <c r="N1107" i="64"/>
  <c r="M1107" i="64"/>
  <c r="L1107" i="64"/>
  <c r="J1107" i="64"/>
  <c r="H1107" i="64"/>
  <c r="A1107" i="64"/>
  <c r="S1106" i="64"/>
  <c r="R1106" i="64"/>
  <c r="T1106" i="64" s="1"/>
  <c r="O1106" i="64"/>
  <c r="N1106" i="64"/>
  <c r="M1106" i="64"/>
  <c r="Q1106" i="64" s="1"/>
  <c r="L1106" i="64"/>
  <c r="K1106" i="64"/>
  <c r="J1106" i="64"/>
  <c r="H1106" i="64"/>
  <c r="A1106" i="64"/>
  <c r="S1105" i="64"/>
  <c r="R1105" i="64"/>
  <c r="T1105" i="64" s="1"/>
  <c r="P1105" i="64"/>
  <c r="O1105" i="64"/>
  <c r="N1105" i="64"/>
  <c r="M1105" i="64"/>
  <c r="Q1105" i="64" s="1"/>
  <c r="L1105" i="64"/>
  <c r="K1105" i="64"/>
  <c r="J1105" i="64"/>
  <c r="H1105" i="64"/>
  <c r="A1105" i="64"/>
  <c r="S1104" i="64"/>
  <c r="R1104" i="64"/>
  <c r="T1104" i="64" s="1"/>
  <c r="P1104" i="64"/>
  <c r="O1104" i="64"/>
  <c r="N1104" i="64"/>
  <c r="M1104" i="64"/>
  <c r="Q1104" i="64" s="1"/>
  <c r="L1104" i="64"/>
  <c r="J1104" i="64"/>
  <c r="H1104" i="64"/>
  <c r="K1104" i="64" s="1"/>
  <c r="A1104" i="64"/>
  <c r="T1103" i="64"/>
  <c r="S1103" i="64"/>
  <c r="R1103" i="64"/>
  <c r="N1103" i="64"/>
  <c r="M1103" i="64"/>
  <c r="L1103" i="64"/>
  <c r="J1103" i="64"/>
  <c r="H1103" i="64"/>
  <c r="O1103" i="64" s="1"/>
  <c r="A1103" i="64"/>
  <c r="S1102" i="64"/>
  <c r="R1102" i="64"/>
  <c r="T1102" i="64" s="1"/>
  <c r="N1102" i="64"/>
  <c r="M1102" i="64"/>
  <c r="P1102" i="64" s="1"/>
  <c r="L1102" i="64"/>
  <c r="J1102" i="64"/>
  <c r="H1102" i="64"/>
  <c r="O1102" i="64" s="1"/>
  <c r="Q1102" i="64" s="1"/>
  <c r="A1102" i="64"/>
  <c r="T1101" i="64"/>
  <c r="S1101" i="64"/>
  <c r="R1101" i="64"/>
  <c r="O1101" i="64"/>
  <c r="Q1101" i="64" s="1"/>
  <c r="N1101" i="64"/>
  <c r="P1101" i="64" s="1"/>
  <c r="M1101" i="64"/>
  <c r="L1101" i="64"/>
  <c r="J1101" i="64"/>
  <c r="H1101" i="64"/>
  <c r="K1101" i="64" s="1"/>
  <c r="A1101" i="64"/>
  <c r="T1100" i="64"/>
  <c r="S1100" i="64"/>
  <c r="R1100" i="64"/>
  <c r="N1100" i="64"/>
  <c r="M1100" i="64"/>
  <c r="L1100" i="64"/>
  <c r="K1100" i="64"/>
  <c r="J1100" i="64"/>
  <c r="H1100" i="64"/>
  <c r="O1100" i="64" s="1"/>
  <c r="A1100" i="64"/>
  <c r="S1099" i="64"/>
  <c r="R1099" i="64"/>
  <c r="T1099" i="64" s="1"/>
  <c r="P1099" i="64"/>
  <c r="N1099" i="64"/>
  <c r="M1099" i="64"/>
  <c r="L1099" i="64"/>
  <c r="J1099" i="64"/>
  <c r="H1099" i="64"/>
  <c r="A1099" i="64"/>
  <c r="S1098" i="64"/>
  <c r="R1098" i="64"/>
  <c r="T1098" i="64" s="1"/>
  <c r="O1098" i="64"/>
  <c r="N1098" i="64"/>
  <c r="M1098" i="64"/>
  <c r="Q1098" i="64" s="1"/>
  <c r="L1098" i="64"/>
  <c r="K1098" i="64"/>
  <c r="J1098" i="64"/>
  <c r="H1098" i="64"/>
  <c r="A1098" i="64"/>
  <c r="S1097" i="64"/>
  <c r="R1097" i="64"/>
  <c r="P1097" i="64"/>
  <c r="O1097" i="64"/>
  <c r="N1097" i="64"/>
  <c r="M1097" i="64"/>
  <c r="Q1097" i="64" s="1"/>
  <c r="L1097" i="64"/>
  <c r="K1097" i="64"/>
  <c r="J1097" i="64"/>
  <c r="H1097" i="64"/>
  <c r="A1097" i="64"/>
  <c r="T1096" i="64"/>
  <c r="S1096" i="64"/>
  <c r="R1096" i="64"/>
  <c r="P1096" i="64"/>
  <c r="O1096" i="64"/>
  <c r="N1096" i="64"/>
  <c r="M1096" i="64"/>
  <c r="Q1096" i="64" s="1"/>
  <c r="L1096" i="64"/>
  <c r="J1096" i="64"/>
  <c r="H1096" i="64"/>
  <c r="K1096" i="64" s="1"/>
  <c r="A1096" i="64"/>
  <c r="T1095" i="64"/>
  <c r="S1095" i="64"/>
  <c r="R1095" i="64"/>
  <c r="N1095" i="64"/>
  <c r="M1095" i="64"/>
  <c r="L1095" i="64"/>
  <c r="J1095" i="64"/>
  <c r="H1095" i="64"/>
  <c r="O1095" i="64" s="1"/>
  <c r="A1095" i="64"/>
  <c r="S1094" i="64"/>
  <c r="R1094" i="64"/>
  <c r="T1094" i="64" s="1"/>
  <c r="N1094" i="64"/>
  <c r="M1094" i="64"/>
  <c r="P1094" i="64" s="1"/>
  <c r="L1094" i="64"/>
  <c r="J1094" i="64"/>
  <c r="H1094" i="64"/>
  <c r="O1094" i="64" s="1"/>
  <c r="Q1094" i="64" s="1"/>
  <c r="A1094" i="64"/>
  <c r="T1093" i="64"/>
  <c r="S1093" i="64"/>
  <c r="R1093" i="64"/>
  <c r="O1093" i="64"/>
  <c r="Q1093" i="64" s="1"/>
  <c r="N1093" i="64"/>
  <c r="P1093" i="64" s="1"/>
  <c r="M1093" i="64"/>
  <c r="L1093" i="64"/>
  <c r="K1093" i="64"/>
  <c r="J1093" i="64"/>
  <c r="H1093" i="64"/>
  <c r="A1093" i="64"/>
  <c r="T1092" i="64"/>
  <c r="S1092" i="64"/>
  <c r="R1092" i="64"/>
  <c r="N1092" i="64"/>
  <c r="M1092" i="64"/>
  <c r="L1092" i="64"/>
  <c r="K1092" i="64"/>
  <c r="J1092" i="64"/>
  <c r="H1092" i="64"/>
  <c r="O1092" i="64" s="1"/>
  <c r="A1092" i="64"/>
  <c r="S1091" i="64"/>
  <c r="R1091" i="64"/>
  <c r="T1091" i="64" s="1"/>
  <c r="P1091" i="64"/>
  <c r="N1091" i="64"/>
  <c r="M1091" i="64"/>
  <c r="L1091" i="64"/>
  <c r="J1091" i="64"/>
  <c r="H1091" i="64"/>
  <c r="A1091" i="64"/>
  <c r="S1090" i="64"/>
  <c r="R1090" i="64"/>
  <c r="T1090" i="64" s="1"/>
  <c r="O1090" i="64"/>
  <c r="N1090" i="64"/>
  <c r="M1090" i="64"/>
  <c r="Q1090" i="64" s="1"/>
  <c r="L1090" i="64"/>
  <c r="K1090" i="64"/>
  <c r="J1090" i="64"/>
  <c r="H1090" i="64"/>
  <c r="A1090" i="64"/>
  <c r="S1089" i="64"/>
  <c r="R1089" i="64"/>
  <c r="N1089" i="64"/>
  <c r="M1089" i="64"/>
  <c r="P1089" i="64" s="1"/>
  <c r="L1089" i="64"/>
  <c r="K1089" i="64"/>
  <c r="J1089" i="64"/>
  <c r="H1089" i="64"/>
  <c r="O1089" i="64" s="1"/>
  <c r="Q1089" i="64" s="1"/>
  <c r="A1089" i="64"/>
  <c r="S1088" i="64"/>
  <c r="T1088" i="64" s="1"/>
  <c r="R1088" i="64"/>
  <c r="P1088" i="64"/>
  <c r="O1088" i="64"/>
  <c r="Q1088" i="64" s="1"/>
  <c r="N1088" i="64"/>
  <c r="M1088" i="64"/>
  <c r="L1088" i="64"/>
  <c r="K1088" i="64"/>
  <c r="J1088" i="64"/>
  <c r="H1088" i="64"/>
  <c r="A1088" i="64"/>
  <c r="T1087" i="64"/>
  <c r="S1087" i="64"/>
  <c r="R1087" i="64"/>
  <c r="N1087" i="64"/>
  <c r="M1087" i="64"/>
  <c r="L1087" i="64"/>
  <c r="K1087" i="64"/>
  <c r="J1087" i="64"/>
  <c r="H1087" i="64"/>
  <c r="O1087" i="64" s="1"/>
  <c r="A1087" i="64"/>
  <c r="S1086" i="64"/>
  <c r="R1086" i="64"/>
  <c r="T1086" i="64" s="1"/>
  <c r="N1086" i="64"/>
  <c r="M1086" i="64"/>
  <c r="Q1086" i="64" s="1"/>
  <c r="L1086" i="64"/>
  <c r="J1086" i="64"/>
  <c r="H1086" i="64"/>
  <c r="O1086" i="64" s="1"/>
  <c r="A1086" i="64"/>
  <c r="S1085" i="64"/>
  <c r="R1085" i="64"/>
  <c r="T1085" i="64" s="1"/>
  <c r="O1085" i="64"/>
  <c r="N1085" i="64"/>
  <c r="M1085" i="64"/>
  <c r="L1085" i="64"/>
  <c r="K1085" i="64"/>
  <c r="J1085" i="64"/>
  <c r="H1085" i="64"/>
  <c r="A1085" i="64"/>
  <c r="T1084" i="64"/>
  <c r="S1084" i="64"/>
  <c r="R1084" i="64"/>
  <c r="O1084" i="64"/>
  <c r="N1084" i="64"/>
  <c r="M1084" i="64"/>
  <c r="Q1084" i="64" s="1"/>
  <c r="L1084" i="64"/>
  <c r="K1084" i="64"/>
  <c r="J1084" i="64"/>
  <c r="H1084" i="64"/>
  <c r="A1084" i="64"/>
  <c r="T1083" i="64"/>
  <c r="S1083" i="64"/>
  <c r="R1083" i="64"/>
  <c r="P1083" i="64"/>
  <c r="N1083" i="64"/>
  <c r="M1083" i="64"/>
  <c r="L1083" i="64"/>
  <c r="J1083" i="64"/>
  <c r="H1083" i="64"/>
  <c r="A1083" i="64"/>
  <c r="T1082" i="64"/>
  <c r="S1082" i="64"/>
  <c r="R1082" i="64"/>
  <c r="N1082" i="64"/>
  <c r="M1082" i="64"/>
  <c r="P1082" i="64" s="1"/>
  <c r="L1082" i="64"/>
  <c r="J1082" i="64"/>
  <c r="H1082" i="64"/>
  <c r="A1082" i="64"/>
  <c r="S1081" i="64"/>
  <c r="R1081" i="64"/>
  <c r="N1081" i="64"/>
  <c r="M1081" i="64"/>
  <c r="P1081" i="64" s="1"/>
  <c r="L1081" i="64"/>
  <c r="K1081" i="64"/>
  <c r="J1081" i="64"/>
  <c r="H1081" i="64"/>
  <c r="O1081" i="64" s="1"/>
  <c r="Q1081" i="64" s="1"/>
  <c r="A1081" i="64"/>
  <c r="S1080" i="64"/>
  <c r="R1080" i="64"/>
  <c r="T1080" i="64" s="1"/>
  <c r="P1080" i="64"/>
  <c r="O1080" i="64"/>
  <c r="Q1080" i="64" s="1"/>
  <c r="N1080" i="64"/>
  <c r="M1080" i="64"/>
  <c r="L1080" i="64"/>
  <c r="K1080" i="64"/>
  <c r="J1080" i="64"/>
  <c r="H1080" i="64"/>
  <c r="A1080" i="64"/>
  <c r="T1079" i="64"/>
  <c r="S1079" i="64"/>
  <c r="R1079" i="64"/>
  <c r="N1079" i="64"/>
  <c r="M1079" i="64"/>
  <c r="Q1079" i="64" s="1"/>
  <c r="L1079" i="64"/>
  <c r="J1079" i="64"/>
  <c r="H1079" i="64"/>
  <c r="O1079" i="64" s="1"/>
  <c r="A1079" i="64"/>
  <c r="S1078" i="64"/>
  <c r="R1078" i="64"/>
  <c r="T1078" i="64" s="1"/>
  <c r="N1078" i="64"/>
  <c r="M1078" i="64"/>
  <c r="L1078" i="64"/>
  <c r="J1078" i="64"/>
  <c r="H1078" i="64"/>
  <c r="O1078" i="64" s="1"/>
  <c r="A1078" i="64"/>
  <c r="S1077" i="64"/>
  <c r="R1077" i="64"/>
  <c r="T1077" i="64" s="1"/>
  <c r="O1077" i="64"/>
  <c r="N1077" i="64"/>
  <c r="M1077" i="64"/>
  <c r="L1077" i="64"/>
  <c r="K1077" i="64"/>
  <c r="J1077" i="64"/>
  <c r="A1077" i="64"/>
  <c r="S1076" i="64"/>
  <c r="R1076" i="64"/>
  <c r="T1076" i="64" s="1"/>
  <c r="O1076" i="64"/>
  <c r="N1076" i="64"/>
  <c r="M1076" i="64"/>
  <c r="P1076" i="64" s="1"/>
  <c r="L1076" i="64"/>
  <c r="K1076" i="64"/>
  <c r="J1076" i="64"/>
  <c r="A1076" i="64"/>
  <c r="S1075" i="64"/>
  <c r="R1075" i="64"/>
  <c r="T1075" i="64" s="1"/>
  <c r="O1075" i="64"/>
  <c r="Q1075" i="64" s="1"/>
  <c r="N1075" i="64"/>
  <c r="M1075" i="64"/>
  <c r="P1075" i="64" s="1"/>
  <c r="L1075" i="64"/>
  <c r="K1075" i="64"/>
  <c r="J1075" i="64"/>
  <c r="A1075" i="64"/>
  <c r="S1074" i="64"/>
  <c r="R1074" i="64"/>
  <c r="T1074" i="64" s="1"/>
  <c r="O1074" i="64"/>
  <c r="N1074" i="64"/>
  <c r="M1074" i="64"/>
  <c r="P1074" i="64" s="1"/>
  <c r="L1074" i="64"/>
  <c r="K1074" i="64"/>
  <c r="J1074" i="64"/>
  <c r="A1074" i="64"/>
  <c r="S1073" i="64"/>
  <c r="R1073" i="64"/>
  <c r="T1073" i="64" s="1"/>
  <c r="O1073" i="64"/>
  <c r="Q1073" i="64" s="1"/>
  <c r="N1073" i="64"/>
  <c r="M1073" i="64"/>
  <c r="P1073" i="64" s="1"/>
  <c r="L1073" i="64"/>
  <c r="K1073" i="64"/>
  <c r="J1073" i="64"/>
  <c r="A1073" i="64"/>
  <c r="S1072" i="64"/>
  <c r="R1072" i="64"/>
  <c r="O1072" i="64"/>
  <c r="N1072" i="64"/>
  <c r="M1072" i="64"/>
  <c r="P1072" i="64" s="1"/>
  <c r="L1072" i="64"/>
  <c r="K1072" i="64"/>
  <c r="J1072" i="64"/>
  <c r="A1072" i="64"/>
  <c r="S1071" i="64"/>
  <c r="R1071" i="64"/>
  <c r="T1071" i="64" s="1"/>
  <c r="O1071" i="64"/>
  <c r="Q1071" i="64" s="1"/>
  <c r="N1071" i="64"/>
  <c r="M1071" i="64"/>
  <c r="P1071" i="64" s="1"/>
  <c r="L1071" i="64"/>
  <c r="K1071" i="64"/>
  <c r="J1071" i="64"/>
  <c r="A1071" i="64"/>
  <c r="S1070" i="64"/>
  <c r="R1070" i="64"/>
  <c r="T1070" i="64" s="1"/>
  <c r="O1070" i="64"/>
  <c r="N1070" i="64"/>
  <c r="M1070" i="64"/>
  <c r="L1070" i="64"/>
  <c r="K1070" i="64"/>
  <c r="J1070" i="64"/>
  <c r="A1070" i="64"/>
  <c r="S1069" i="64"/>
  <c r="R1069" i="64"/>
  <c r="T1069" i="64" s="1"/>
  <c r="O1069" i="64"/>
  <c r="Q1069" i="64" s="1"/>
  <c r="N1069" i="64"/>
  <c r="M1069" i="64"/>
  <c r="P1069" i="64" s="1"/>
  <c r="L1069" i="64"/>
  <c r="K1069" i="64"/>
  <c r="J1069" i="64"/>
  <c r="A1069" i="64"/>
  <c r="S1068" i="64"/>
  <c r="R1068" i="64"/>
  <c r="T1068" i="64" s="1"/>
  <c r="O1068" i="64"/>
  <c r="N1068" i="64"/>
  <c r="M1068" i="64"/>
  <c r="L1068" i="64"/>
  <c r="K1068" i="64"/>
  <c r="J1068" i="64"/>
  <c r="A1068" i="64"/>
  <c r="S1067" i="64"/>
  <c r="R1067" i="64"/>
  <c r="T1067" i="64" s="1"/>
  <c r="O1067" i="64"/>
  <c r="Q1067" i="64" s="1"/>
  <c r="N1067" i="64"/>
  <c r="M1067" i="64"/>
  <c r="P1067" i="64" s="1"/>
  <c r="L1067" i="64"/>
  <c r="K1067" i="64"/>
  <c r="J1067" i="64"/>
  <c r="A1067" i="64"/>
  <c r="S1066" i="64"/>
  <c r="R1066" i="64"/>
  <c r="T1066" i="64" s="1"/>
  <c r="O1066" i="64"/>
  <c r="N1066" i="64"/>
  <c r="M1066" i="64"/>
  <c r="L1066" i="64"/>
  <c r="K1066" i="64"/>
  <c r="J1066" i="64"/>
  <c r="A1066" i="64"/>
  <c r="S1065" i="64"/>
  <c r="R1065" i="64"/>
  <c r="T1065" i="64" s="1"/>
  <c r="Q1065" i="64"/>
  <c r="O1065" i="64"/>
  <c r="N1065" i="64"/>
  <c r="M1065" i="64"/>
  <c r="P1065" i="64" s="1"/>
  <c r="L1065" i="64"/>
  <c r="K1065" i="64"/>
  <c r="J1065" i="64"/>
  <c r="A1065" i="64"/>
  <c r="S1064" i="64"/>
  <c r="R1064" i="64"/>
  <c r="O1064" i="64"/>
  <c r="N1064" i="64"/>
  <c r="M1064" i="64"/>
  <c r="P1064" i="64" s="1"/>
  <c r="L1064" i="64"/>
  <c r="K1064" i="64"/>
  <c r="J1064" i="64"/>
  <c r="A1064" i="64"/>
  <c r="S1063" i="64"/>
  <c r="R1063" i="64"/>
  <c r="T1063" i="64" s="1"/>
  <c r="O1063" i="64"/>
  <c r="N1063" i="64"/>
  <c r="M1063" i="64"/>
  <c r="P1063" i="64" s="1"/>
  <c r="L1063" i="64"/>
  <c r="K1063" i="64"/>
  <c r="J1063" i="64"/>
  <c r="A1063" i="64"/>
  <c r="S1062" i="64"/>
  <c r="R1062" i="64"/>
  <c r="T1062" i="64" s="1"/>
  <c r="O1062" i="64"/>
  <c r="N1062" i="64"/>
  <c r="M1062" i="64"/>
  <c r="L1062" i="64"/>
  <c r="K1062" i="64"/>
  <c r="J1062" i="64"/>
  <c r="A1062" i="64"/>
  <c r="S1061" i="64"/>
  <c r="R1061" i="64"/>
  <c r="T1061" i="64" s="1"/>
  <c r="Q1061" i="64"/>
  <c r="O1061" i="64"/>
  <c r="N1061" i="64"/>
  <c r="M1061" i="64"/>
  <c r="P1061" i="64" s="1"/>
  <c r="L1061" i="64"/>
  <c r="K1061" i="64"/>
  <c r="J1061" i="64"/>
  <c r="A1061" i="64"/>
  <c r="S1060" i="64"/>
  <c r="R1060" i="64"/>
  <c r="O1060" i="64"/>
  <c r="N1060" i="64"/>
  <c r="M1060" i="64"/>
  <c r="P1060" i="64" s="1"/>
  <c r="L1060" i="64"/>
  <c r="K1060" i="64"/>
  <c r="J1060" i="64"/>
  <c r="A1060" i="64"/>
  <c r="S1059" i="64"/>
  <c r="R1059" i="64"/>
  <c r="T1059" i="64" s="1"/>
  <c r="O1059" i="64"/>
  <c r="N1059" i="64"/>
  <c r="M1059" i="64"/>
  <c r="P1059" i="64" s="1"/>
  <c r="L1059" i="64"/>
  <c r="K1059" i="64"/>
  <c r="J1059" i="64"/>
  <c r="A1059" i="64"/>
  <c r="S1058" i="64"/>
  <c r="R1058" i="64"/>
  <c r="T1058" i="64" s="1"/>
  <c r="O1058" i="64"/>
  <c r="N1058" i="64"/>
  <c r="M1058" i="64"/>
  <c r="L1058" i="64"/>
  <c r="K1058" i="64"/>
  <c r="J1058" i="64"/>
  <c r="A1058" i="64"/>
  <c r="S1057" i="64"/>
  <c r="R1057" i="64"/>
  <c r="T1057" i="64" s="1"/>
  <c r="Q1057" i="64"/>
  <c r="O1057" i="64"/>
  <c r="N1057" i="64"/>
  <c r="M1057" i="64"/>
  <c r="P1057" i="64" s="1"/>
  <c r="L1057" i="64"/>
  <c r="K1057" i="64"/>
  <c r="J1057" i="64"/>
  <c r="A1057" i="64"/>
  <c r="S1056" i="64"/>
  <c r="R1056" i="64"/>
  <c r="O1056" i="64"/>
  <c r="N1056" i="64"/>
  <c r="M1056" i="64"/>
  <c r="P1056" i="64" s="1"/>
  <c r="L1056" i="64"/>
  <c r="K1056" i="64"/>
  <c r="J1056" i="64"/>
  <c r="A1056" i="64"/>
  <c r="S1055" i="64"/>
  <c r="R1055" i="64"/>
  <c r="T1055" i="64" s="1"/>
  <c r="O1055" i="64"/>
  <c r="N1055" i="64"/>
  <c r="M1055" i="64"/>
  <c r="P1055" i="64" s="1"/>
  <c r="L1055" i="64"/>
  <c r="K1055" i="64"/>
  <c r="J1055" i="64"/>
  <c r="A1055" i="64"/>
  <c r="S1054" i="64"/>
  <c r="R1054" i="64"/>
  <c r="T1054" i="64" s="1"/>
  <c r="O1054" i="64"/>
  <c r="N1054" i="64"/>
  <c r="M1054" i="64"/>
  <c r="L1054" i="64"/>
  <c r="K1054" i="64"/>
  <c r="J1054" i="64"/>
  <c r="A1054" i="64"/>
  <c r="S1053" i="64"/>
  <c r="R1053" i="64"/>
  <c r="T1053" i="64" s="1"/>
  <c r="Q1053" i="64"/>
  <c r="O1053" i="64"/>
  <c r="N1053" i="64"/>
  <c r="M1053" i="64"/>
  <c r="P1053" i="64" s="1"/>
  <c r="L1053" i="64"/>
  <c r="K1053" i="64"/>
  <c r="J1053" i="64"/>
  <c r="A1053" i="64"/>
  <c r="S1052" i="64"/>
  <c r="R1052" i="64"/>
  <c r="O1052" i="64"/>
  <c r="N1052" i="64"/>
  <c r="M1052" i="64"/>
  <c r="P1052" i="64" s="1"/>
  <c r="L1052" i="64"/>
  <c r="K1052" i="64"/>
  <c r="J1052" i="64"/>
  <c r="A1052" i="64"/>
  <c r="S1051" i="64"/>
  <c r="R1051" i="64"/>
  <c r="T1051" i="64" s="1"/>
  <c r="O1051" i="64"/>
  <c r="N1051" i="64"/>
  <c r="M1051" i="64"/>
  <c r="P1051" i="64" s="1"/>
  <c r="L1051" i="64"/>
  <c r="K1051" i="64"/>
  <c r="J1051" i="64"/>
  <c r="A1051" i="64"/>
  <c r="S1050" i="64"/>
  <c r="R1050" i="64"/>
  <c r="T1050" i="64" s="1"/>
  <c r="O1050" i="64"/>
  <c r="N1050" i="64"/>
  <c r="M1050" i="64"/>
  <c r="L1050" i="64"/>
  <c r="K1050" i="64"/>
  <c r="J1050" i="64"/>
  <c r="A1050" i="64"/>
  <c r="S1049" i="64"/>
  <c r="R1049" i="64"/>
  <c r="T1049" i="64" s="1"/>
  <c r="Q1049" i="64"/>
  <c r="O1049" i="64"/>
  <c r="N1049" i="64"/>
  <c r="M1049" i="64"/>
  <c r="P1049" i="64" s="1"/>
  <c r="L1049" i="64"/>
  <c r="K1049" i="64"/>
  <c r="J1049" i="64"/>
  <c r="A1049" i="64"/>
  <c r="S1048" i="64"/>
  <c r="R1048" i="64"/>
  <c r="O1048" i="64"/>
  <c r="N1048" i="64"/>
  <c r="M1048" i="64"/>
  <c r="L1048" i="64"/>
  <c r="K1048" i="64"/>
  <c r="J1048" i="64"/>
  <c r="A1048" i="64"/>
  <c r="S1047" i="64"/>
  <c r="R1047" i="64"/>
  <c r="T1047" i="64" s="1"/>
  <c r="O1047" i="64"/>
  <c r="N1047" i="64"/>
  <c r="M1047" i="64"/>
  <c r="P1047" i="64" s="1"/>
  <c r="L1047" i="64"/>
  <c r="K1047" i="64"/>
  <c r="J1047" i="64"/>
  <c r="A1047" i="64"/>
  <c r="S1046" i="64"/>
  <c r="R1046" i="64"/>
  <c r="O1046" i="64"/>
  <c r="Q1046" i="64" s="1"/>
  <c r="N1046" i="64"/>
  <c r="M1046" i="64"/>
  <c r="L1046" i="64"/>
  <c r="K1046" i="64"/>
  <c r="J1046" i="64"/>
  <c r="A1046" i="64"/>
  <c r="S1045" i="64"/>
  <c r="R1045" i="64"/>
  <c r="T1045" i="64" s="1"/>
  <c r="Q1045" i="64"/>
  <c r="O1045" i="64"/>
  <c r="N1045" i="64"/>
  <c r="P1045" i="64" s="1"/>
  <c r="M1045" i="64"/>
  <c r="L1045" i="64"/>
  <c r="K1045" i="64"/>
  <c r="J1045" i="64"/>
  <c r="A1045" i="64"/>
  <c r="S1044" i="64"/>
  <c r="R1044" i="64"/>
  <c r="T1044" i="64" s="1"/>
  <c r="O1044" i="64"/>
  <c r="N1044" i="64"/>
  <c r="P1044" i="64" s="1"/>
  <c r="M1044" i="64"/>
  <c r="Q1044" i="64" s="1"/>
  <c r="L1044" i="64"/>
  <c r="K1044" i="64"/>
  <c r="J1044" i="64"/>
  <c r="A1044" i="64"/>
  <c r="S1043" i="64"/>
  <c r="R1043" i="64"/>
  <c r="T1043" i="64" s="1"/>
  <c r="Q1043" i="64"/>
  <c r="O1043" i="64"/>
  <c r="N1043" i="64"/>
  <c r="P1043" i="64" s="1"/>
  <c r="M1043" i="64"/>
  <c r="L1043" i="64"/>
  <c r="K1043" i="64"/>
  <c r="J1043" i="64"/>
  <c r="A1043" i="64"/>
  <c r="S1042" i="64"/>
  <c r="R1042" i="64"/>
  <c r="T1042" i="64" s="1"/>
  <c r="O1042" i="64"/>
  <c r="N1042" i="64"/>
  <c r="P1042" i="64" s="1"/>
  <c r="M1042" i="64"/>
  <c r="Q1042" i="64" s="1"/>
  <c r="L1042" i="64"/>
  <c r="K1042" i="64"/>
  <c r="J1042" i="64"/>
  <c r="A1042" i="64"/>
  <c r="S1041" i="64"/>
  <c r="R1041" i="64"/>
  <c r="T1041" i="64" s="1"/>
  <c r="Q1041" i="64"/>
  <c r="O1041" i="64"/>
  <c r="N1041" i="64"/>
  <c r="P1041" i="64" s="1"/>
  <c r="M1041" i="64"/>
  <c r="L1041" i="64"/>
  <c r="K1041" i="64"/>
  <c r="J1041" i="64"/>
  <c r="A1041" i="64"/>
  <c r="S1040" i="64"/>
  <c r="R1040" i="64"/>
  <c r="T1040" i="64" s="1"/>
  <c r="O1040" i="64"/>
  <c r="N1040" i="64"/>
  <c r="P1040" i="64" s="1"/>
  <c r="M1040" i="64"/>
  <c r="Q1040" i="64" s="1"/>
  <c r="L1040" i="64"/>
  <c r="K1040" i="64"/>
  <c r="J1040" i="64"/>
  <c r="A1040" i="64"/>
  <c r="S1039" i="64"/>
  <c r="R1039" i="64"/>
  <c r="T1039" i="64" s="1"/>
  <c r="Q1039" i="64"/>
  <c r="O1039" i="64"/>
  <c r="N1039" i="64"/>
  <c r="P1039" i="64" s="1"/>
  <c r="M1039" i="64"/>
  <c r="L1039" i="64"/>
  <c r="K1039" i="64"/>
  <c r="J1039" i="64"/>
  <c r="A1039" i="64"/>
  <c r="S1038" i="64"/>
  <c r="R1038" i="64"/>
  <c r="T1038" i="64" s="1"/>
  <c r="O1038" i="64"/>
  <c r="N1038" i="64"/>
  <c r="P1038" i="64" s="1"/>
  <c r="M1038" i="64"/>
  <c r="Q1038" i="64" s="1"/>
  <c r="L1038" i="64"/>
  <c r="K1038" i="64"/>
  <c r="J1038" i="64"/>
  <c r="A1038" i="64"/>
  <c r="S1037" i="64"/>
  <c r="R1037" i="64"/>
  <c r="T1037" i="64" s="1"/>
  <c r="Q1037" i="64"/>
  <c r="O1037" i="64"/>
  <c r="N1037" i="64"/>
  <c r="P1037" i="64" s="1"/>
  <c r="M1037" i="64"/>
  <c r="L1037" i="64"/>
  <c r="K1037" i="64"/>
  <c r="J1037" i="64"/>
  <c r="A1037" i="64"/>
  <c r="S1036" i="64"/>
  <c r="R1036" i="64"/>
  <c r="T1036" i="64" s="1"/>
  <c r="O1036" i="64"/>
  <c r="N1036" i="64"/>
  <c r="M1036" i="64"/>
  <c r="Q1036" i="64" s="1"/>
  <c r="L1036" i="64"/>
  <c r="K1036" i="64"/>
  <c r="J1036" i="64"/>
  <c r="A1036" i="64"/>
  <c r="S1035" i="64"/>
  <c r="R1035" i="64"/>
  <c r="T1035" i="64" s="1"/>
  <c r="Q1035" i="64"/>
  <c r="O1035" i="64"/>
  <c r="N1035" i="64"/>
  <c r="P1035" i="64" s="1"/>
  <c r="M1035" i="64"/>
  <c r="L1035" i="64"/>
  <c r="K1035" i="64"/>
  <c r="J1035" i="64"/>
  <c r="A1035" i="64"/>
  <c r="S1034" i="64"/>
  <c r="R1034" i="64"/>
  <c r="T1034" i="64" s="1"/>
  <c r="O1034" i="64"/>
  <c r="N1034" i="64"/>
  <c r="M1034" i="64"/>
  <c r="Q1034" i="64" s="1"/>
  <c r="L1034" i="64"/>
  <c r="K1034" i="64"/>
  <c r="J1034" i="64"/>
  <c r="A1034" i="64"/>
  <c r="S1033" i="64"/>
  <c r="R1033" i="64"/>
  <c r="T1033" i="64" s="1"/>
  <c r="Q1033" i="64"/>
  <c r="O1033" i="64"/>
  <c r="N1033" i="64"/>
  <c r="P1033" i="64" s="1"/>
  <c r="M1033" i="64"/>
  <c r="L1033" i="64"/>
  <c r="K1033" i="64"/>
  <c r="J1033" i="64"/>
  <c r="A1033" i="64"/>
  <c r="S1032" i="64"/>
  <c r="R1032" i="64"/>
  <c r="T1032" i="64" s="1"/>
  <c r="O1032" i="64"/>
  <c r="N1032" i="64"/>
  <c r="M1032" i="64"/>
  <c r="Q1032" i="64" s="1"/>
  <c r="L1032" i="64"/>
  <c r="K1032" i="64"/>
  <c r="J1032" i="64"/>
  <c r="A1032" i="64"/>
  <c r="S1031" i="64"/>
  <c r="R1031" i="64"/>
  <c r="T1031" i="64" s="1"/>
  <c r="Q1031" i="64"/>
  <c r="O1031" i="64"/>
  <c r="N1031" i="64"/>
  <c r="P1031" i="64" s="1"/>
  <c r="M1031" i="64"/>
  <c r="L1031" i="64"/>
  <c r="K1031" i="64"/>
  <c r="J1031" i="64"/>
  <c r="A1031" i="64"/>
  <c r="S1030" i="64"/>
  <c r="R1030" i="64"/>
  <c r="T1030" i="64" s="1"/>
  <c r="O1030" i="64"/>
  <c r="N1030" i="64"/>
  <c r="M1030" i="64"/>
  <c r="Q1030" i="64" s="1"/>
  <c r="L1030" i="64"/>
  <c r="K1030" i="64"/>
  <c r="J1030" i="64"/>
  <c r="A1030" i="64"/>
  <c r="S1029" i="64"/>
  <c r="R1029" i="64"/>
  <c r="T1029" i="64" s="1"/>
  <c r="Q1029" i="64"/>
  <c r="O1029" i="64"/>
  <c r="N1029" i="64"/>
  <c r="P1029" i="64" s="1"/>
  <c r="M1029" i="64"/>
  <c r="L1029" i="64"/>
  <c r="K1029" i="64"/>
  <c r="J1029" i="64"/>
  <c r="A1029" i="64"/>
  <c r="S1028" i="64"/>
  <c r="R1028" i="64"/>
  <c r="T1028" i="64" s="1"/>
  <c r="O1028" i="64"/>
  <c r="N1028" i="64"/>
  <c r="M1028" i="64"/>
  <c r="Q1028" i="64" s="1"/>
  <c r="L1028" i="64"/>
  <c r="K1028" i="64"/>
  <c r="J1028" i="64"/>
  <c r="A1028" i="64"/>
  <c r="S1027" i="64"/>
  <c r="R1027" i="64"/>
  <c r="T1027" i="64" s="1"/>
  <c r="Q1027" i="64"/>
  <c r="O1027" i="64"/>
  <c r="N1027" i="64"/>
  <c r="P1027" i="64" s="1"/>
  <c r="M1027" i="64"/>
  <c r="L1027" i="64"/>
  <c r="K1027" i="64"/>
  <c r="J1027" i="64"/>
  <c r="A1027" i="64"/>
  <c r="S1026" i="64"/>
  <c r="R1026" i="64"/>
  <c r="T1026" i="64" s="1"/>
  <c r="O1026" i="64"/>
  <c r="N1026" i="64"/>
  <c r="M1026" i="64"/>
  <c r="Q1026" i="64" s="1"/>
  <c r="L1026" i="64"/>
  <c r="K1026" i="64"/>
  <c r="J1026" i="64"/>
  <c r="A1026" i="64"/>
  <c r="S1025" i="64"/>
  <c r="R1025" i="64"/>
  <c r="T1025" i="64" s="1"/>
  <c r="Q1025" i="64"/>
  <c r="O1025" i="64"/>
  <c r="N1025" i="64"/>
  <c r="P1025" i="64" s="1"/>
  <c r="M1025" i="64"/>
  <c r="L1025" i="64"/>
  <c r="K1025" i="64"/>
  <c r="J1025" i="64"/>
  <c r="A1025" i="64"/>
  <c r="S1024" i="64"/>
  <c r="R1024" i="64"/>
  <c r="T1024" i="64" s="1"/>
  <c r="O1024" i="64"/>
  <c r="N1024" i="64"/>
  <c r="M1024" i="64"/>
  <c r="Q1024" i="64" s="1"/>
  <c r="L1024" i="64"/>
  <c r="K1024" i="64"/>
  <c r="J1024" i="64"/>
  <c r="A1024" i="64"/>
  <c r="S1023" i="64"/>
  <c r="R1023" i="64"/>
  <c r="T1023" i="64" s="1"/>
  <c r="Q1023" i="64"/>
  <c r="O1023" i="64"/>
  <c r="N1023" i="64"/>
  <c r="M1023" i="64"/>
  <c r="L1023" i="64"/>
  <c r="K1023" i="64"/>
  <c r="J1023" i="64"/>
  <c r="A1023" i="64"/>
  <c r="S1022" i="64"/>
  <c r="R1022" i="64"/>
  <c r="T1022" i="64" s="1"/>
  <c r="O1022" i="64"/>
  <c r="N1022" i="64"/>
  <c r="M1022" i="64"/>
  <c r="Q1022" i="64" s="1"/>
  <c r="L1022" i="64"/>
  <c r="K1022" i="64"/>
  <c r="J1022" i="64"/>
  <c r="A1022" i="64"/>
  <c r="S1021" i="64"/>
  <c r="R1021" i="64"/>
  <c r="T1021" i="64" s="1"/>
  <c r="Q1021" i="64"/>
  <c r="O1021" i="64"/>
  <c r="N1021" i="64"/>
  <c r="M1021" i="64"/>
  <c r="P1021" i="64" s="1"/>
  <c r="L1021" i="64"/>
  <c r="K1021" i="64"/>
  <c r="J1021" i="64"/>
  <c r="A1021" i="64"/>
  <c r="S1020" i="64"/>
  <c r="R1020" i="64"/>
  <c r="T1020" i="64" s="1"/>
  <c r="O1020" i="64"/>
  <c r="N1020" i="64"/>
  <c r="M1020" i="64"/>
  <c r="Q1020" i="64" s="1"/>
  <c r="L1020" i="64"/>
  <c r="K1020" i="64"/>
  <c r="J1020" i="64"/>
  <c r="A1020" i="64"/>
  <c r="S1019" i="64"/>
  <c r="R1019" i="64"/>
  <c r="T1019" i="64" s="1"/>
  <c r="Q1019" i="64"/>
  <c r="O1019" i="64"/>
  <c r="N1019" i="64"/>
  <c r="M1019" i="64"/>
  <c r="P1019" i="64" s="1"/>
  <c r="L1019" i="64"/>
  <c r="K1019" i="64"/>
  <c r="J1019" i="64"/>
  <c r="A1019" i="64"/>
  <c r="S1018" i="64"/>
  <c r="R1018" i="64"/>
  <c r="T1018" i="64" s="1"/>
  <c r="O1018" i="64"/>
  <c r="N1018" i="64"/>
  <c r="M1018" i="64"/>
  <c r="Q1018" i="64" s="1"/>
  <c r="L1018" i="64"/>
  <c r="K1018" i="64"/>
  <c r="J1018" i="64"/>
  <c r="A1018" i="64"/>
  <c r="S1017" i="64"/>
  <c r="R1017" i="64"/>
  <c r="T1017" i="64" s="1"/>
  <c r="Q1017" i="64"/>
  <c r="O1017" i="64"/>
  <c r="N1017" i="64"/>
  <c r="M1017" i="64"/>
  <c r="P1017" i="64" s="1"/>
  <c r="L1017" i="64"/>
  <c r="K1017" i="64"/>
  <c r="J1017" i="64"/>
  <c r="A1017" i="64"/>
  <c r="S1016" i="64"/>
  <c r="R1016" i="64"/>
  <c r="T1016" i="64" s="1"/>
  <c r="O1016" i="64"/>
  <c r="N1016" i="64"/>
  <c r="M1016" i="64"/>
  <c r="Q1016" i="64" s="1"/>
  <c r="L1016" i="64"/>
  <c r="K1016" i="64"/>
  <c r="J1016" i="64"/>
  <c r="A1016" i="64"/>
  <c r="S1015" i="64"/>
  <c r="R1015" i="64"/>
  <c r="T1015" i="64" s="1"/>
  <c r="Q1015" i="64"/>
  <c r="O1015" i="64"/>
  <c r="N1015" i="64"/>
  <c r="M1015" i="64"/>
  <c r="P1015" i="64" s="1"/>
  <c r="L1015" i="64"/>
  <c r="K1015" i="64"/>
  <c r="J1015" i="64"/>
  <c r="A1015" i="64"/>
  <c r="S1014" i="64"/>
  <c r="R1014" i="64"/>
  <c r="T1014" i="64" s="1"/>
  <c r="O1014" i="64"/>
  <c r="N1014" i="64"/>
  <c r="M1014" i="64"/>
  <c r="Q1014" i="64" s="1"/>
  <c r="L1014" i="64"/>
  <c r="K1014" i="64"/>
  <c r="J1014" i="64"/>
  <c r="A1014" i="64"/>
  <c r="S1013" i="64"/>
  <c r="R1013" i="64"/>
  <c r="T1013" i="64" s="1"/>
  <c r="Q1013" i="64"/>
  <c r="O1013" i="64"/>
  <c r="N1013" i="64"/>
  <c r="M1013" i="64"/>
  <c r="P1013" i="64" s="1"/>
  <c r="L1013" i="64"/>
  <c r="K1013" i="64"/>
  <c r="J1013" i="64"/>
  <c r="A1013" i="64"/>
  <c r="S1012" i="64"/>
  <c r="R1012" i="64"/>
  <c r="T1012" i="64" s="1"/>
  <c r="O1012" i="64"/>
  <c r="N1012" i="64"/>
  <c r="M1012" i="64"/>
  <c r="L1012" i="64"/>
  <c r="K1012" i="64"/>
  <c r="J1012" i="64"/>
  <c r="A1012" i="64"/>
  <c r="S1011" i="64"/>
  <c r="R1011" i="64"/>
  <c r="T1011" i="64" s="1"/>
  <c r="Q1011" i="64"/>
  <c r="O1011" i="64"/>
  <c r="N1011" i="64"/>
  <c r="M1011" i="64"/>
  <c r="L1011" i="64"/>
  <c r="K1011" i="64"/>
  <c r="J1011" i="64"/>
  <c r="A1011" i="64"/>
  <c r="S1010" i="64"/>
  <c r="R1010" i="64"/>
  <c r="T1010" i="64" s="1"/>
  <c r="O1010" i="64"/>
  <c r="N1010" i="64"/>
  <c r="M1010" i="64"/>
  <c r="L1010" i="64"/>
  <c r="K1010" i="64"/>
  <c r="J1010" i="64"/>
  <c r="A1010" i="64"/>
  <c r="S1009" i="64"/>
  <c r="R1009" i="64"/>
  <c r="Q1009" i="64"/>
  <c r="O1009" i="64"/>
  <c r="N1009" i="64"/>
  <c r="M1009" i="64"/>
  <c r="L1009" i="64"/>
  <c r="K1009" i="64"/>
  <c r="J1009" i="64"/>
  <c r="A1009" i="64"/>
  <c r="S1008" i="64"/>
  <c r="R1008" i="64"/>
  <c r="T1008" i="64" s="1"/>
  <c r="O1008" i="64"/>
  <c r="N1008" i="64"/>
  <c r="M1008" i="64"/>
  <c r="L1008" i="64"/>
  <c r="K1008" i="64"/>
  <c r="J1008" i="64"/>
  <c r="A1008" i="64"/>
  <c r="S1007" i="64"/>
  <c r="R1007" i="64"/>
  <c r="T1007" i="64" s="1"/>
  <c r="O1007" i="64"/>
  <c r="N1007" i="64"/>
  <c r="M1007" i="64"/>
  <c r="L1007" i="64"/>
  <c r="K1007" i="64"/>
  <c r="J1007" i="64"/>
  <c r="A1007" i="64"/>
  <c r="S1006" i="64"/>
  <c r="R1006" i="64"/>
  <c r="T1006" i="64" s="1"/>
  <c r="Q1006" i="64"/>
  <c r="O1006" i="64"/>
  <c r="N1006" i="64"/>
  <c r="M1006" i="64"/>
  <c r="P1006" i="64" s="1"/>
  <c r="L1006" i="64"/>
  <c r="K1006" i="64"/>
  <c r="J1006" i="64"/>
  <c r="A1006" i="64"/>
  <c r="S1005" i="64"/>
  <c r="R1005" i="64"/>
  <c r="O1005" i="64"/>
  <c r="N1005" i="64"/>
  <c r="M1005" i="64"/>
  <c r="P1005" i="64" s="1"/>
  <c r="L1005" i="64"/>
  <c r="K1005" i="64"/>
  <c r="J1005" i="64"/>
  <c r="A1005" i="64"/>
  <c r="S1004" i="64"/>
  <c r="R1004" i="64"/>
  <c r="T1004" i="64" s="1"/>
  <c r="O1004" i="64"/>
  <c r="N1004" i="64"/>
  <c r="M1004" i="64"/>
  <c r="P1004" i="64" s="1"/>
  <c r="L1004" i="64"/>
  <c r="K1004" i="64"/>
  <c r="J1004" i="64"/>
  <c r="A1004" i="64"/>
  <c r="S1003" i="64"/>
  <c r="R1003" i="64"/>
  <c r="T1003" i="64" s="1"/>
  <c r="O1003" i="64"/>
  <c r="N1003" i="64"/>
  <c r="M1003" i="64"/>
  <c r="L1003" i="64"/>
  <c r="K1003" i="64"/>
  <c r="J1003" i="64"/>
  <c r="A1003" i="64"/>
  <c r="S1002" i="64"/>
  <c r="R1002" i="64"/>
  <c r="T1002" i="64" s="1"/>
  <c r="Q1002" i="64"/>
  <c r="O1002" i="64"/>
  <c r="N1002" i="64"/>
  <c r="M1002" i="64"/>
  <c r="P1002" i="64" s="1"/>
  <c r="L1002" i="64"/>
  <c r="K1002" i="64"/>
  <c r="J1002" i="64"/>
  <c r="A1002" i="64"/>
  <c r="S1001" i="64"/>
  <c r="R1001" i="64"/>
  <c r="O1001" i="64"/>
  <c r="N1001" i="64"/>
  <c r="M1001" i="64"/>
  <c r="P1001" i="64" s="1"/>
  <c r="L1001" i="64"/>
  <c r="K1001" i="64"/>
  <c r="J1001" i="64"/>
  <c r="A1001" i="64"/>
  <c r="S1000" i="64"/>
  <c r="R1000" i="64"/>
  <c r="T1000" i="64" s="1"/>
  <c r="O1000" i="64"/>
  <c r="N1000" i="64"/>
  <c r="M1000" i="64"/>
  <c r="P1000" i="64" s="1"/>
  <c r="L1000" i="64"/>
  <c r="K1000" i="64"/>
  <c r="J1000" i="64"/>
  <c r="A1000" i="64"/>
  <c r="S999" i="64"/>
  <c r="R999" i="64"/>
  <c r="T999" i="64" s="1"/>
  <c r="O999" i="64"/>
  <c r="N999" i="64"/>
  <c r="M999" i="64"/>
  <c r="L999" i="64"/>
  <c r="K999" i="64"/>
  <c r="J999" i="64"/>
  <c r="A999" i="64"/>
  <c r="S998" i="64"/>
  <c r="R998" i="64"/>
  <c r="T998" i="64" s="1"/>
  <c r="Q998" i="64"/>
  <c r="O998" i="64"/>
  <c r="N998" i="64"/>
  <c r="M998" i="64"/>
  <c r="L998" i="64"/>
  <c r="K998" i="64"/>
  <c r="J998" i="64"/>
  <c r="A998" i="64"/>
  <c r="S997" i="64"/>
  <c r="R997" i="64"/>
  <c r="O997" i="64"/>
  <c r="N997" i="64"/>
  <c r="M997" i="64"/>
  <c r="P997" i="64" s="1"/>
  <c r="L997" i="64"/>
  <c r="K997" i="64"/>
  <c r="J997" i="64"/>
  <c r="A997" i="64"/>
  <c r="S996" i="64"/>
  <c r="R996" i="64"/>
  <c r="T996" i="64" s="1"/>
  <c r="O996" i="64"/>
  <c r="N996" i="64"/>
  <c r="M996" i="64"/>
  <c r="P996" i="64" s="1"/>
  <c r="L996" i="64"/>
  <c r="K996" i="64"/>
  <c r="J996" i="64"/>
  <c r="A996" i="64"/>
  <c r="S995" i="64"/>
  <c r="R995" i="64"/>
  <c r="T995" i="64" s="1"/>
  <c r="O995" i="64"/>
  <c r="N995" i="64"/>
  <c r="M995" i="64"/>
  <c r="L995" i="64"/>
  <c r="K995" i="64"/>
  <c r="J995" i="64"/>
  <c r="A995" i="64"/>
  <c r="S994" i="64"/>
  <c r="R994" i="64"/>
  <c r="T994" i="64" s="1"/>
  <c r="Q994" i="64"/>
  <c r="O994" i="64"/>
  <c r="N994" i="64"/>
  <c r="M994" i="64"/>
  <c r="P994" i="64" s="1"/>
  <c r="L994" i="64"/>
  <c r="K994" i="64"/>
  <c r="J994" i="64"/>
  <c r="A994" i="64"/>
  <c r="S993" i="64"/>
  <c r="R993" i="64"/>
  <c r="O993" i="64"/>
  <c r="N993" i="64"/>
  <c r="M993" i="64"/>
  <c r="P993" i="64" s="1"/>
  <c r="L993" i="64"/>
  <c r="K993" i="64"/>
  <c r="J993" i="64"/>
  <c r="A993" i="64"/>
  <c r="S992" i="64"/>
  <c r="R992" i="64"/>
  <c r="T992" i="64" s="1"/>
  <c r="O992" i="64"/>
  <c r="N992" i="64"/>
  <c r="M992" i="64"/>
  <c r="P992" i="64" s="1"/>
  <c r="L992" i="64"/>
  <c r="K992" i="64"/>
  <c r="J992" i="64"/>
  <c r="A992" i="64"/>
  <c r="S991" i="64"/>
  <c r="R991" i="64"/>
  <c r="T991" i="64" s="1"/>
  <c r="O991" i="64"/>
  <c r="N991" i="64"/>
  <c r="M991" i="64"/>
  <c r="L991" i="64"/>
  <c r="K991" i="64"/>
  <c r="J991" i="64"/>
  <c r="A991" i="64"/>
  <c r="S990" i="64"/>
  <c r="R990" i="64"/>
  <c r="T990" i="64" s="1"/>
  <c r="Q990" i="64"/>
  <c r="O990" i="64"/>
  <c r="N990" i="64"/>
  <c r="M990" i="64"/>
  <c r="P990" i="64" s="1"/>
  <c r="L990" i="64"/>
  <c r="K990" i="64"/>
  <c r="J990" i="64"/>
  <c r="A990" i="64"/>
  <c r="S989" i="64"/>
  <c r="R989" i="64"/>
  <c r="O989" i="64"/>
  <c r="N989" i="64"/>
  <c r="M989" i="64"/>
  <c r="P989" i="64" s="1"/>
  <c r="L989" i="64"/>
  <c r="K989" i="64"/>
  <c r="J989" i="64"/>
  <c r="A989" i="64"/>
  <c r="S988" i="64"/>
  <c r="R988" i="64"/>
  <c r="T988" i="64" s="1"/>
  <c r="O988" i="64"/>
  <c r="N988" i="64"/>
  <c r="M988" i="64"/>
  <c r="P988" i="64" s="1"/>
  <c r="L988" i="64"/>
  <c r="K988" i="64"/>
  <c r="J988" i="64"/>
  <c r="A988" i="64"/>
  <c r="S987" i="64"/>
  <c r="R987" i="64"/>
  <c r="T987" i="64" s="1"/>
  <c r="O987" i="64"/>
  <c r="N987" i="64"/>
  <c r="M987" i="64"/>
  <c r="L987" i="64"/>
  <c r="K987" i="64"/>
  <c r="J987" i="64"/>
  <c r="A987" i="64"/>
  <c r="S986" i="64"/>
  <c r="R986" i="64"/>
  <c r="T986" i="64" s="1"/>
  <c r="Q986" i="64"/>
  <c r="O986" i="64"/>
  <c r="N986" i="64"/>
  <c r="M986" i="64"/>
  <c r="P986" i="64" s="1"/>
  <c r="L986" i="64"/>
  <c r="K986" i="64"/>
  <c r="J986" i="64"/>
  <c r="A986" i="64"/>
  <c r="S985" i="64"/>
  <c r="R985" i="64"/>
  <c r="O985" i="64"/>
  <c r="N985" i="64"/>
  <c r="M985" i="64"/>
  <c r="P985" i="64" s="1"/>
  <c r="L985" i="64"/>
  <c r="K985" i="64"/>
  <c r="J985" i="64"/>
  <c r="A985" i="64"/>
  <c r="S984" i="64"/>
  <c r="R984" i="64"/>
  <c r="T984" i="64" s="1"/>
  <c r="O984" i="64"/>
  <c r="N984" i="64"/>
  <c r="M984" i="64"/>
  <c r="P984" i="64" s="1"/>
  <c r="L984" i="64"/>
  <c r="K984" i="64"/>
  <c r="J984" i="64"/>
  <c r="A984" i="64"/>
  <c r="S983" i="64"/>
  <c r="R983" i="64"/>
  <c r="T983" i="64" s="1"/>
  <c r="O983" i="64"/>
  <c r="N983" i="64"/>
  <c r="M983" i="64"/>
  <c r="L983" i="64"/>
  <c r="K983" i="64"/>
  <c r="J983" i="64"/>
  <c r="A983" i="64"/>
  <c r="S982" i="64"/>
  <c r="R982" i="64"/>
  <c r="T982" i="64" s="1"/>
  <c r="Q982" i="64"/>
  <c r="O982" i="64"/>
  <c r="N982" i="64"/>
  <c r="M982" i="64"/>
  <c r="P982" i="64" s="1"/>
  <c r="L982" i="64"/>
  <c r="K982" i="64"/>
  <c r="J982" i="64"/>
  <c r="A982" i="64"/>
  <c r="S981" i="64"/>
  <c r="R981" i="64"/>
  <c r="O981" i="64"/>
  <c r="N981" i="64"/>
  <c r="M981" i="64"/>
  <c r="P981" i="64" s="1"/>
  <c r="L981" i="64"/>
  <c r="K981" i="64"/>
  <c r="J981" i="64"/>
  <c r="A981" i="64"/>
  <c r="S980" i="64"/>
  <c r="R980" i="64"/>
  <c r="T980" i="64" s="1"/>
  <c r="O980" i="64"/>
  <c r="N980" i="64"/>
  <c r="M980" i="64"/>
  <c r="P980" i="64" s="1"/>
  <c r="L980" i="64"/>
  <c r="K980" i="64"/>
  <c r="J980" i="64"/>
  <c r="A980" i="64"/>
  <c r="S979" i="64"/>
  <c r="R979" i="64"/>
  <c r="T979" i="64" s="1"/>
  <c r="O979" i="64"/>
  <c r="N979" i="64"/>
  <c r="M979" i="64"/>
  <c r="L979" i="64"/>
  <c r="K979" i="64"/>
  <c r="J979" i="64"/>
  <c r="A979" i="64"/>
  <c r="S978" i="64"/>
  <c r="R978" i="64"/>
  <c r="T978" i="64" s="1"/>
  <c r="Q978" i="64"/>
  <c r="O978" i="64"/>
  <c r="N978" i="64"/>
  <c r="M978" i="64"/>
  <c r="P978" i="64" s="1"/>
  <c r="L978" i="64"/>
  <c r="K978" i="64"/>
  <c r="J978" i="64"/>
  <c r="A978" i="64"/>
  <c r="S977" i="64"/>
  <c r="R977" i="64"/>
  <c r="O977" i="64"/>
  <c r="N977" i="64"/>
  <c r="M977" i="64"/>
  <c r="P977" i="64" s="1"/>
  <c r="L977" i="64"/>
  <c r="K977" i="64"/>
  <c r="J977" i="64"/>
  <c r="A977" i="64"/>
  <c r="S976" i="64"/>
  <c r="R976" i="64"/>
  <c r="T976" i="64" s="1"/>
  <c r="O976" i="64"/>
  <c r="N976" i="64"/>
  <c r="M976" i="64"/>
  <c r="P976" i="64" s="1"/>
  <c r="L976" i="64"/>
  <c r="K976" i="64"/>
  <c r="J976" i="64"/>
  <c r="A976" i="64"/>
  <c r="S975" i="64"/>
  <c r="R975" i="64"/>
  <c r="T975" i="64" s="1"/>
  <c r="O975" i="64"/>
  <c r="N975" i="64"/>
  <c r="M975" i="64"/>
  <c r="L975" i="64"/>
  <c r="K975" i="64"/>
  <c r="J975" i="64"/>
  <c r="A975" i="64"/>
  <c r="S974" i="64"/>
  <c r="R974" i="64"/>
  <c r="T974" i="64" s="1"/>
  <c r="Q974" i="64"/>
  <c r="O974" i="64"/>
  <c r="N974" i="64"/>
  <c r="M974" i="64"/>
  <c r="P974" i="64" s="1"/>
  <c r="L974" i="64"/>
  <c r="K974" i="64"/>
  <c r="J974" i="64"/>
  <c r="A974" i="64"/>
  <c r="S973" i="64"/>
  <c r="R973" i="64"/>
  <c r="O973" i="64"/>
  <c r="N973" i="64"/>
  <c r="M973" i="64"/>
  <c r="L973" i="64"/>
  <c r="K973" i="64"/>
  <c r="J973" i="64"/>
  <c r="A973" i="64"/>
  <c r="S972" i="64"/>
  <c r="R972" i="64"/>
  <c r="T972" i="64" s="1"/>
  <c r="O972" i="64"/>
  <c r="N972" i="64"/>
  <c r="M972" i="64"/>
  <c r="P972" i="64" s="1"/>
  <c r="L972" i="64"/>
  <c r="K972" i="64"/>
  <c r="J972" i="64"/>
  <c r="A972" i="64"/>
  <c r="S971" i="64"/>
  <c r="R971" i="64"/>
  <c r="T971" i="64" s="1"/>
  <c r="O971" i="64"/>
  <c r="N971" i="64"/>
  <c r="M971" i="64"/>
  <c r="L971" i="64"/>
  <c r="K971" i="64"/>
  <c r="J971" i="64"/>
  <c r="A971" i="64"/>
  <c r="S970" i="64"/>
  <c r="R970" i="64"/>
  <c r="T970" i="64" s="1"/>
  <c r="Q970" i="64"/>
  <c r="O970" i="64"/>
  <c r="N970" i="64"/>
  <c r="M970" i="64"/>
  <c r="P970" i="64" s="1"/>
  <c r="L970" i="64"/>
  <c r="K970" i="64"/>
  <c r="J970" i="64"/>
  <c r="A970" i="64"/>
  <c r="S969" i="64"/>
  <c r="R969" i="64"/>
  <c r="O969" i="64"/>
  <c r="N969" i="64"/>
  <c r="M969" i="64"/>
  <c r="L969" i="64"/>
  <c r="K969" i="64"/>
  <c r="J969" i="64"/>
  <c r="A969" i="64"/>
  <c r="S968" i="64"/>
  <c r="R968" i="64"/>
  <c r="T968" i="64" s="1"/>
  <c r="O968" i="64"/>
  <c r="N968" i="64"/>
  <c r="M968" i="64"/>
  <c r="P968" i="64" s="1"/>
  <c r="L968" i="64"/>
  <c r="K968" i="64"/>
  <c r="J968" i="64"/>
  <c r="A968" i="64"/>
  <c r="S967" i="64"/>
  <c r="R967" i="64"/>
  <c r="T967" i="64" s="1"/>
  <c r="O967" i="64"/>
  <c r="N967" i="64"/>
  <c r="M967" i="64"/>
  <c r="P967" i="64" s="1"/>
  <c r="L967" i="64"/>
  <c r="K967" i="64"/>
  <c r="J967" i="64"/>
  <c r="A967" i="64"/>
  <c r="S966" i="64"/>
  <c r="R966" i="64"/>
  <c r="T966" i="64" s="1"/>
  <c r="O966" i="64"/>
  <c r="Q966" i="64" s="1"/>
  <c r="N966" i="64"/>
  <c r="M966" i="64"/>
  <c r="P966" i="64" s="1"/>
  <c r="L966" i="64"/>
  <c r="K966" i="64"/>
  <c r="J966" i="64"/>
  <c r="A966" i="64"/>
  <c r="S965" i="64"/>
  <c r="R965" i="64"/>
  <c r="T965" i="64" s="1"/>
  <c r="O965" i="64"/>
  <c r="N965" i="64"/>
  <c r="M965" i="64"/>
  <c r="L965" i="64"/>
  <c r="K965" i="64"/>
  <c r="J965" i="64"/>
  <c r="A965" i="64"/>
  <c r="S964" i="64"/>
  <c r="R964" i="64"/>
  <c r="T964" i="64" s="1"/>
  <c r="O964" i="64"/>
  <c r="N964" i="64"/>
  <c r="M964" i="64"/>
  <c r="P964" i="64" s="1"/>
  <c r="L964" i="64"/>
  <c r="K964" i="64"/>
  <c r="J964" i="64"/>
  <c r="A964" i="64"/>
  <c r="S963" i="64"/>
  <c r="R963" i="64"/>
  <c r="T963" i="64" s="1"/>
  <c r="P963" i="64"/>
  <c r="O963" i="64"/>
  <c r="N963" i="64"/>
  <c r="M963" i="64"/>
  <c r="Q963" i="64" s="1"/>
  <c r="L963" i="64"/>
  <c r="K963" i="64"/>
  <c r="J963" i="64"/>
  <c r="A963" i="64"/>
  <c r="T962" i="64"/>
  <c r="S962" i="64"/>
  <c r="R962" i="64"/>
  <c r="O962" i="64"/>
  <c r="N962" i="64"/>
  <c r="M962" i="64"/>
  <c r="L962" i="64"/>
  <c r="K962" i="64"/>
  <c r="J962" i="64"/>
  <c r="A962" i="64"/>
  <c r="S961" i="64"/>
  <c r="R961" i="64"/>
  <c r="T961" i="64" s="1"/>
  <c r="P961" i="64"/>
  <c r="O961" i="64"/>
  <c r="N961" i="64"/>
  <c r="M961" i="64"/>
  <c r="Q961" i="64" s="1"/>
  <c r="L961" i="64"/>
  <c r="K961" i="64"/>
  <c r="J961" i="64"/>
  <c r="A961" i="64"/>
  <c r="T960" i="64"/>
  <c r="S960" i="64"/>
  <c r="R960" i="64"/>
  <c r="O960" i="64"/>
  <c r="Q960" i="64" s="1"/>
  <c r="N960" i="64"/>
  <c r="M960" i="64"/>
  <c r="P960" i="64" s="1"/>
  <c r="L960" i="64"/>
  <c r="K960" i="64"/>
  <c r="J960" i="64"/>
  <c r="A960" i="64"/>
  <c r="S959" i="64"/>
  <c r="R959" i="64"/>
  <c r="T959" i="64" s="1"/>
  <c r="Q959" i="64"/>
  <c r="O959" i="64"/>
  <c r="N959" i="64"/>
  <c r="P959" i="64" s="1"/>
  <c r="M959" i="64"/>
  <c r="L959" i="64"/>
  <c r="K959" i="64"/>
  <c r="J959" i="64"/>
  <c r="A959" i="64"/>
  <c r="S958" i="64"/>
  <c r="R958" i="64"/>
  <c r="T958" i="64" s="1"/>
  <c r="O958" i="64"/>
  <c r="N958" i="64"/>
  <c r="M958" i="64"/>
  <c r="P958" i="64" s="1"/>
  <c r="L958" i="64"/>
  <c r="K958" i="64"/>
  <c r="J958" i="64"/>
  <c r="A958" i="64"/>
  <c r="S957" i="64"/>
  <c r="R957" i="64"/>
  <c r="T957" i="64" s="1"/>
  <c r="Q957" i="64"/>
  <c r="P957" i="64"/>
  <c r="O957" i="64"/>
  <c r="N957" i="64"/>
  <c r="M957" i="64"/>
  <c r="L957" i="64"/>
  <c r="K957" i="64"/>
  <c r="J957" i="64"/>
  <c r="A957" i="64"/>
  <c r="T956" i="64"/>
  <c r="S956" i="64"/>
  <c r="R956" i="64"/>
  <c r="O956" i="64"/>
  <c r="N956" i="64"/>
  <c r="M956" i="64"/>
  <c r="P956" i="64" s="1"/>
  <c r="L956" i="64"/>
  <c r="K956" i="64"/>
  <c r="J956" i="64"/>
  <c r="A956" i="64"/>
  <c r="S955" i="64"/>
  <c r="R955" i="64"/>
  <c r="T955" i="64" s="1"/>
  <c r="P955" i="64"/>
  <c r="O955" i="64"/>
  <c r="N955" i="64"/>
  <c r="M955" i="64"/>
  <c r="Q955" i="64" s="1"/>
  <c r="L955" i="64"/>
  <c r="K955" i="64"/>
  <c r="J955" i="64"/>
  <c r="A955" i="64"/>
  <c r="T954" i="64"/>
  <c r="S954" i="64"/>
  <c r="R954" i="64"/>
  <c r="O954" i="64"/>
  <c r="N954" i="64"/>
  <c r="M954" i="64"/>
  <c r="L954" i="64"/>
  <c r="K954" i="64"/>
  <c r="J954" i="64"/>
  <c r="A954" i="64"/>
  <c r="S953" i="64"/>
  <c r="R953" i="64"/>
  <c r="T953" i="64" s="1"/>
  <c r="P953" i="64"/>
  <c r="O953" i="64"/>
  <c r="N953" i="64"/>
  <c r="M953" i="64"/>
  <c r="Q953" i="64" s="1"/>
  <c r="L953" i="64"/>
  <c r="K953" i="64"/>
  <c r="J953" i="64"/>
  <c r="A953" i="64"/>
  <c r="T952" i="64"/>
  <c r="S952" i="64"/>
  <c r="R952" i="64"/>
  <c r="O952" i="64"/>
  <c r="Q952" i="64" s="1"/>
  <c r="N952" i="64"/>
  <c r="M952" i="64"/>
  <c r="P952" i="64" s="1"/>
  <c r="L952" i="64"/>
  <c r="K952" i="64"/>
  <c r="J952" i="64"/>
  <c r="A952" i="64"/>
  <c r="S951" i="64"/>
  <c r="R951" i="64"/>
  <c r="T951" i="64" s="1"/>
  <c r="Q951" i="64"/>
  <c r="O951" i="64"/>
  <c r="N951" i="64"/>
  <c r="P951" i="64" s="1"/>
  <c r="M951" i="64"/>
  <c r="L951" i="64"/>
  <c r="K951" i="64"/>
  <c r="J951" i="64"/>
  <c r="A951" i="64"/>
  <c r="S950" i="64"/>
  <c r="R950" i="64"/>
  <c r="T950" i="64" s="1"/>
  <c r="O950" i="64"/>
  <c r="N950" i="64"/>
  <c r="M950" i="64"/>
  <c r="P950" i="64" s="1"/>
  <c r="L950" i="64"/>
  <c r="K950" i="64"/>
  <c r="J950" i="64"/>
  <c r="A950" i="64"/>
  <c r="S949" i="64"/>
  <c r="R949" i="64"/>
  <c r="T949" i="64" s="1"/>
  <c r="Q949" i="64"/>
  <c r="P949" i="64"/>
  <c r="O949" i="64"/>
  <c r="N949" i="64"/>
  <c r="M949" i="64"/>
  <c r="L949" i="64"/>
  <c r="K949" i="64"/>
  <c r="J949" i="64"/>
  <c r="A949" i="64"/>
  <c r="T948" i="64"/>
  <c r="S948" i="64"/>
  <c r="R948" i="64"/>
  <c r="O948" i="64"/>
  <c r="N948" i="64"/>
  <c r="M948" i="64"/>
  <c r="P948" i="64" s="1"/>
  <c r="L948" i="64"/>
  <c r="K948" i="64"/>
  <c r="J948" i="64"/>
  <c r="A948" i="64"/>
  <c r="S947" i="64"/>
  <c r="R947" i="64"/>
  <c r="T947" i="64" s="1"/>
  <c r="P947" i="64"/>
  <c r="O947" i="64"/>
  <c r="N947" i="64"/>
  <c r="M947" i="64"/>
  <c r="Q947" i="64" s="1"/>
  <c r="L947" i="64"/>
  <c r="K947" i="64"/>
  <c r="J947" i="64"/>
  <c r="A947" i="64"/>
  <c r="T946" i="64"/>
  <c r="S946" i="64"/>
  <c r="R946" i="64"/>
  <c r="O946" i="64"/>
  <c r="N946" i="64"/>
  <c r="M946" i="64"/>
  <c r="L946" i="64"/>
  <c r="K946" i="64"/>
  <c r="J946" i="64"/>
  <c r="A946" i="64"/>
  <c r="S945" i="64"/>
  <c r="R945" i="64"/>
  <c r="T945" i="64" s="1"/>
  <c r="P945" i="64"/>
  <c r="O945" i="64"/>
  <c r="N945" i="64"/>
  <c r="M945" i="64"/>
  <c r="Q945" i="64" s="1"/>
  <c r="L945" i="64"/>
  <c r="K945" i="64"/>
  <c r="J945" i="64"/>
  <c r="A945" i="64"/>
  <c r="T944" i="64"/>
  <c r="S944" i="64"/>
  <c r="R944" i="64"/>
  <c r="O944" i="64"/>
  <c r="Q944" i="64" s="1"/>
  <c r="N944" i="64"/>
  <c r="M944" i="64"/>
  <c r="P944" i="64" s="1"/>
  <c r="L944" i="64"/>
  <c r="K944" i="64"/>
  <c r="J944" i="64"/>
  <c r="A944" i="64"/>
  <c r="S943" i="64"/>
  <c r="R943" i="64"/>
  <c r="T943" i="64" s="1"/>
  <c r="Q943" i="64"/>
  <c r="O943" i="64"/>
  <c r="N943" i="64"/>
  <c r="P943" i="64" s="1"/>
  <c r="M943" i="64"/>
  <c r="L943" i="64"/>
  <c r="K943" i="64"/>
  <c r="J943" i="64"/>
  <c r="A943" i="64"/>
  <c r="S942" i="64"/>
  <c r="R942" i="64"/>
  <c r="T942" i="64" s="1"/>
  <c r="O942" i="64"/>
  <c r="N942" i="64"/>
  <c r="M942" i="64"/>
  <c r="P942" i="64" s="1"/>
  <c r="L942" i="64"/>
  <c r="K942" i="64"/>
  <c r="J942" i="64"/>
  <c r="A942" i="64"/>
  <c r="S941" i="64"/>
  <c r="R941" i="64"/>
  <c r="T941" i="64" s="1"/>
  <c r="Q941" i="64"/>
  <c r="P941" i="64"/>
  <c r="O941" i="64"/>
  <c r="N941" i="64"/>
  <c r="M941" i="64"/>
  <c r="L941" i="64"/>
  <c r="K941" i="64"/>
  <c r="J941" i="64"/>
  <c r="A941" i="64"/>
  <c r="T940" i="64"/>
  <c r="S940" i="64"/>
  <c r="R940" i="64"/>
  <c r="O940" i="64"/>
  <c r="N940" i="64"/>
  <c r="M940" i="64"/>
  <c r="L940" i="64"/>
  <c r="K940" i="64"/>
  <c r="J940" i="64"/>
  <c r="A940" i="64"/>
  <c r="S939" i="64"/>
  <c r="R939" i="64"/>
  <c r="T939" i="64" s="1"/>
  <c r="P939" i="64"/>
  <c r="O939" i="64"/>
  <c r="N939" i="64"/>
  <c r="M939" i="64"/>
  <c r="Q939" i="64" s="1"/>
  <c r="L939" i="64"/>
  <c r="K939" i="64"/>
  <c r="J939" i="64"/>
  <c r="A939" i="64"/>
  <c r="T938" i="64"/>
  <c r="S938" i="64"/>
  <c r="R938" i="64"/>
  <c r="O938" i="64"/>
  <c r="N938" i="64"/>
  <c r="M938" i="64"/>
  <c r="L938" i="64"/>
  <c r="K938" i="64"/>
  <c r="J938" i="64"/>
  <c r="A938" i="64"/>
  <c r="S937" i="64"/>
  <c r="R937" i="64"/>
  <c r="T937" i="64" s="1"/>
  <c r="O937" i="64"/>
  <c r="N937" i="64"/>
  <c r="P937" i="64" s="1"/>
  <c r="M937" i="64"/>
  <c r="Q937" i="64" s="1"/>
  <c r="L937" i="64"/>
  <c r="K937" i="64"/>
  <c r="J937" i="64"/>
  <c r="A937" i="64"/>
  <c r="S936" i="64"/>
  <c r="R936" i="64"/>
  <c r="T936" i="64" s="1"/>
  <c r="O936" i="64"/>
  <c r="N936" i="64"/>
  <c r="M936" i="64"/>
  <c r="P936" i="64" s="1"/>
  <c r="L936" i="64"/>
  <c r="K936" i="64"/>
  <c r="J936" i="64"/>
  <c r="A936" i="64"/>
  <c r="S935" i="64"/>
  <c r="R935" i="64"/>
  <c r="T935" i="64" s="1"/>
  <c r="Q935" i="64"/>
  <c r="O935" i="64"/>
  <c r="N935" i="64"/>
  <c r="P935" i="64" s="1"/>
  <c r="M935" i="64"/>
  <c r="L935" i="64"/>
  <c r="K935" i="64"/>
  <c r="J935" i="64"/>
  <c r="A935" i="64"/>
  <c r="S934" i="64"/>
  <c r="R934" i="64"/>
  <c r="T934" i="64" s="1"/>
  <c r="P934" i="64"/>
  <c r="O934" i="64"/>
  <c r="N934" i="64"/>
  <c r="M934" i="64"/>
  <c r="Q934" i="64" s="1"/>
  <c r="L934" i="64"/>
  <c r="K934" i="64"/>
  <c r="J934" i="64"/>
  <c r="A934" i="64"/>
  <c r="T933" i="64"/>
  <c r="S933" i="64"/>
  <c r="R933" i="64"/>
  <c r="O933" i="64"/>
  <c r="Q933" i="64" s="1"/>
  <c r="N933" i="64"/>
  <c r="P933" i="64" s="1"/>
  <c r="M933" i="64"/>
  <c r="L933" i="64"/>
  <c r="K933" i="64"/>
  <c r="J933" i="64"/>
  <c r="A933" i="64"/>
  <c r="S932" i="64"/>
  <c r="R932" i="64"/>
  <c r="T932" i="64" s="1"/>
  <c r="P932" i="64"/>
  <c r="O932" i="64"/>
  <c r="N932" i="64"/>
  <c r="M932" i="64"/>
  <c r="Q932" i="64" s="1"/>
  <c r="L932" i="64"/>
  <c r="K932" i="64"/>
  <c r="J932" i="64"/>
  <c r="A932" i="64"/>
  <c r="T931" i="64"/>
  <c r="S931" i="64"/>
  <c r="R931" i="64"/>
  <c r="O931" i="64"/>
  <c r="Q931" i="64" s="1"/>
  <c r="N931" i="64"/>
  <c r="P931" i="64" s="1"/>
  <c r="M931" i="64"/>
  <c r="L931" i="64"/>
  <c r="K931" i="64"/>
  <c r="J931" i="64"/>
  <c r="A931" i="64"/>
  <c r="S930" i="64"/>
  <c r="R930" i="64"/>
  <c r="T930" i="64" s="1"/>
  <c r="P930" i="64"/>
  <c r="O930" i="64"/>
  <c r="N930" i="64"/>
  <c r="M930" i="64"/>
  <c r="Q930" i="64" s="1"/>
  <c r="L930" i="64"/>
  <c r="K930" i="64"/>
  <c r="J930" i="64"/>
  <c r="A930" i="64"/>
  <c r="T929" i="64"/>
  <c r="S929" i="64"/>
  <c r="R929" i="64"/>
  <c r="O929" i="64"/>
  <c r="Q929" i="64" s="1"/>
  <c r="N929" i="64"/>
  <c r="P929" i="64" s="1"/>
  <c r="M929" i="64"/>
  <c r="L929" i="64"/>
  <c r="K929" i="64"/>
  <c r="J929" i="64"/>
  <c r="A929" i="64"/>
  <c r="S928" i="64"/>
  <c r="R928" i="64"/>
  <c r="T928" i="64" s="1"/>
  <c r="P928" i="64"/>
  <c r="O928" i="64"/>
  <c r="N928" i="64"/>
  <c r="M928" i="64"/>
  <c r="Q928" i="64" s="1"/>
  <c r="L928" i="64"/>
  <c r="K928" i="64"/>
  <c r="J928" i="64"/>
  <c r="A928" i="64"/>
  <c r="T927" i="64"/>
  <c r="S927" i="64"/>
  <c r="R927" i="64"/>
  <c r="O927" i="64"/>
  <c r="Q927" i="64" s="1"/>
  <c r="N927" i="64"/>
  <c r="P927" i="64" s="1"/>
  <c r="M927" i="64"/>
  <c r="L927" i="64"/>
  <c r="K927" i="64"/>
  <c r="J927" i="64"/>
  <c r="A927" i="64"/>
  <c r="S926" i="64"/>
  <c r="R926" i="64"/>
  <c r="T926" i="64" s="1"/>
  <c r="P926" i="64"/>
  <c r="O926" i="64"/>
  <c r="N926" i="64"/>
  <c r="M926" i="64"/>
  <c r="Q926" i="64" s="1"/>
  <c r="L926" i="64"/>
  <c r="K926" i="64"/>
  <c r="J926" i="64"/>
  <c r="A926" i="64"/>
  <c r="T925" i="64"/>
  <c r="S925" i="64"/>
  <c r="R925" i="64"/>
  <c r="O925" i="64"/>
  <c r="Q925" i="64" s="1"/>
  <c r="N925" i="64"/>
  <c r="P925" i="64" s="1"/>
  <c r="M925" i="64"/>
  <c r="L925" i="64"/>
  <c r="K925" i="64"/>
  <c r="J925" i="64"/>
  <c r="A925" i="64"/>
  <c r="S924" i="64"/>
  <c r="R924" i="64"/>
  <c r="T924" i="64" s="1"/>
  <c r="P924" i="64"/>
  <c r="O924" i="64"/>
  <c r="N924" i="64"/>
  <c r="M924" i="64"/>
  <c r="Q924" i="64" s="1"/>
  <c r="L924" i="64"/>
  <c r="K924" i="64"/>
  <c r="J924" i="64"/>
  <c r="A924" i="64"/>
  <c r="T923" i="64"/>
  <c r="S923" i="64"/>
  <c r="R923" i="64"/>
  <c r="O923" i="64"/>
  <c r="Q923" i="64" s="1"/>
  <c r="N923" i="64"/>
  <c r="P923" i="64" s="1"/>
  <c r="M923" i="64"/>
  <c r="L923" i="64"/>
  <c r="K923" i="64"/>
  <c r="J923" i="64"/>
  <c r="A923" i="64"/>
  <c r="S922" i="64"/>
  <c r="R922" i="64"/>
  <c r="T922" i="64" s="1"/>
  <c r="P922" i="64"/>
  <c r="O922" i="64"/>
  <c r="N922" i="64"/>
  <c r="M922" i="64"/>
  <c r="Q922" i="64" s="1"/>
  <c r="L922" i="64"/>
  <c r="K922" i="64"/>
  <c r="J922" i="64"/>
  <c r="A922" i="64"/>
  <c r="T921" i="64"/>
  <c r="S921" i="64"/>
  <c r="R921" i="64"/>
  <c r="O921" i="64"/>
  <c r="Q921" i="64" s="1"/>
  <c r="N921" i="64"/>
  <c r="P921" i="64" s="1"/>
  <c r="M921" i="64"/>
  <c r="L921" i="64"/>
  <c r="K921" i="64"/>
  <c r="J921" i="64"/>
  <c r="A921" i="64"/>
  <c r="S920" i="64"/>
  <c r="R920" i="64"/>
  <c r="T920" i="64" s="1"/>
  <c r="P920" i="64"/>
  <c r="O920" i="64"/>
  <c r="N920" i="64"/>
  <c r="M920" i="64"/>
  <c r="Q920" i="64" s="1"/>
  <c r="L920" i="64"/>
  <c r="K920" i="64"/>
  <c r="J920" i="64"/>
  <c r="A920" i="64"/>
  <c r="T919" i="64"/>
  <c r="S919" i="64"/>
  <c r="R919" i="64"/>
  <c r="O919" i="64"/>
  <c r="Q919" i="64" s="1"/>
  <c r="N919" i="64"/>
  <c r="P919" i="64" s="1"/>
  <c r="M919" i="64"/>
  <c r="L919" i="64"/>
  <c r="K919" i="64"/>
  <c r="J919" i="64"/>
  <c r="A919" i="64"/>
  <c r="S918" i="64"/>
  <c r="R918" i="64"/>
  <c r="T918" i="64" s="1"/>
  <c r="P918" i="64"/>
  <c r="O918" i="64"/>
  <c r="N918" i="64"/>
  <c r="M918" i="64"/>
  <c r="Q918" i="64" s="1"/>
  <c r="L918" i="64"/>
  <c r="K918" i="64"/>
  <c r="J918" i="64"/>
  <c r="A918" i="64"/>
  <c r="T917" i="64"/>
  <c r="S917" i="64"/>
  <c r="R917" i="64"/>
  <c r="O917" i="64"/>
  <c r="Q917" i="64" s="1"/>
  <c r="N917" i="64"/>
  <c r="P917" i="64" s="1"/>
  <c r="M917" i="64"/>
  <c r="L917" i="64"/>
  <c r="K917" i="64"/>
  <c r="J917" i="64"/>
  <c r="A917" i="64"/>
  <c r="S916" i="64"/>
  <c r="R916" i="64"/>
  <c r="T916" i="64" s="1"/>
  <c r="P916" i="64"/>
  <c r="O916" i="64"/>
  <c r="N916" i="64"/>
  <c r="M916" i="64"/>
  <c r="Q916" i="64" s="1"/>
  <c r="L916" i="64"/>
  <c r="K916" i="64"/>
  <c r="J916" i="64"/>
  <c r="A916" i="64"/>
  <c r="T915" i="64"/>
  <c r="S915" i="64"/>
  <c r="R915" i="64"/>
  <c r="O915" i="64"/>
  <c r="Q915" i="64" s="1"/>
  <c r="N915" i="64"/>
  <c r="P915" i="64" s="1"/>
  <c r="M915" i="64"/>
  <c r="L915" i="64"/>
  <c r="K915" i="64"/>
  <c r="J915" i="64"/>
  <c r="A915" i="64"/>
  <c r="S914" i="64"/>
  <c r="R914" i="64"/>
  <c r="T914" i="64" s="1"/>
  <c r="P914" i="64"/>
  <c r="O914" i="64"/>
  <c r="N914" i="64"/>
  <c r="M914" i="64"/>
  <c r="Q914" i="64" s="1"/>
  <c r="L914" i="64"/>
  <c r="K914" i="64"/>
  <c r="J914" i="64"/>
  <c r="A914" i="64"/>
  <c r="T913" i="64"/>
  <c r="S913" i="64"/>
  <c r="R913" i="64"/>
  <c r="O913" i="64"/>
  <c r="Q913" i="64" s="1"/>
  <c r="N913" i="64"/>
  <c r="P913" i="64" s="1"/>
  <c r="M913" i="64"/>
  <c r="L913" i="64"/>
  <c r="K913" i="64"/>
  <c r="J913" i="64"/>
  <c r="A913" i="64"/>
  <c r="S912" i="64"/>
  <c r="R912" i="64"/>
  <c r="T912" i="64" s="1"/>
  <c r="P912" i="64"/>
  <c r="O912" i="64"/>
  <c r="N912" i="64"/>
  <c r="M912" i="64"/>
  <c r="Q912" i="64" s="1"/>
  <c r="L912" i="64"/>
  <c r="K912" i="64"/>
  <c r="J912" i="64"/>
  <c r="A912" i="64"/>
  <c r="T911" i="64"/>
  <c r="S911" i="64"/>
  <c r="R911" i="64"/>
  <c r="Q911" i="64"/>
  <c r="O911" i="64"/>
  <c r="N911" i="64"/>
  <c r="P911" i="64" s="1"/>
  <c r="M911" i="64"/>
  <c r="L911" i="64"/>
  <c r="K911" i="64"/>
  <c r="J911" i="64"/>
  <c r="A911" i="64"/>
  <c r="S910" i="64"/>
  <c r="R910" i="64"/>
  <c r="T910" i="64" s="1"/>
  <c r="O910" i="64"/>
  <c r="N910" i="64"/>
  <c r="P910" i="64" s="1"/>
  <c r="M910" i="64"/>
  <c r="Q910" i="64" s="1"/>
  <c r="L910" i="64"/>
  <c r="K910" i="64"/>
  <c r="J910" i="64"/>
  <c r="A910" i="64"/>
  <c r="S909" i="64"/>
  <c r="R909" i="64"/>
  <c r="T909" i="64" s="1"/>
  <c r="Q909" i="64"/>
  <c r="O909" i="64"/>
  <c r="N909" i="64"/>
  <c r="P909" i="64" s="1"/>
  <c r="M909" i="64"/>
  <c r="L909" i="64"/>
  <c r="K909" i="64"/>
  <c r="J909" i="64"/>
  <c r="A909" i="64"/>
  <c r="S908" i="64"/>
  <c r="R908" i="64"/>
  <c r="T908" i="64" s="1"/>
  <c r="O908" i="64"/>
  <c r="N908" i="64"/>
  <c r="P908" i="64" s="1"/>
  <c r="M908" i="64"/>
  <c r="Q908" i="64" s="1"/>
  <c r="L908" i="64"/>
  <c r="K908" i="64"/>
  <c r="J908" i="64"/>
  <c r="A908" i="64"/>
  <c r="S907" i="64"/>
  <c r="R907" i="64"/>
  <c r="T907" i="64" s="1"/>
  <c r="Q907" i="64"/>
  <c r="O907" i="64"/>
  <c r="N907" i="64"/>
  <c r="P907" i="64" s="1"/>
  <c r="M907" i="64"/>
  <c r="L907" i="64"/>
  <c r="K907" i="64"/>
  <c r="J907" i="64"/>
  <c r="A907" i="64"/>
  <c r="S906" i="64"/>
  <c r="R906" i="64"/>
  <c r="T906" i="64" s="1"/>
  <c r="P906" i="64"/>
  <c r="O906" i="64"/>
  <c r="N906" i="64"/>
  <c r="M906" i="64"/>
  <c r="Q906" i="64" s="1"/>
  <c r="L906" i="64"/>
  <c r="K906" i="64"/>
  <c r="J906" i="64"/>
  <c r="A906" i="64"/>
  <c r="T905" i="64"/>
  <c r="S905" i="64"/>
  <c r="R905" i="64"/>
  <c r="Q905" i="64"/>
  <c r="O905" i="64"/>
  <c r="N905" i="64"/>
  <c r="P905" i="64" s="1"/>
  <c r="M905" i="64"/>
  <c r="L905" i="64"/>
  <c r="K905" i="64"/>
  <c r="J905" i="64"/>
  <c r="A905" i="64"/>
  <c r="S904" i="64"/>
  <c r="R904" i="64"/>
  <c r="T904" i="64" s="1"/>
  <c r="P904" i="64"/>
  <c r="O904" i="64"/>
  <c r="N904" i="64"/>
  <c r="M904" i="64"/>
  <c r="Q904" i="64" s="1"/>
  <c r="L904" i="64"/>
  <c r="K904" i="64"/>
  <c r="J904" i="64"/>
  <c r="A904" i="64"/>
  <c r="T903" i="64"/>
  <c r="S903" i="64"/>
  <c r="R903" i="64"/>
  <c r="Q903" i="64"/>
  <c r="O903" i="64"/>
  <c r="N903" i="64"/>
  <c r="P903" i="64" s="1"/>
  <c r="M903" i="64"/>
  <c r="L903" i="64"/>
  <c r="K903" i="64"/>
  <c r="J903" i="64"/>
  <c r="A903" i="64"/>
  <c r="S902" i="64"/>
  <c r="R902" i="64"/>
  <c r="T902" i="64" s="1"/>
  <c r="O902" i="64"/>
  <c r="N902" i="64"/>
  <c r="P902" i="64" s="1"/>
  <c r="M902" i="64"/>
  <c r="Q902" i="64" s="1"/>
  <c r="L902" i="64"/>
  <c r="K902" i="64"/>
  <c r="J902" i="64"/>
  <c r="A902" i="64"/>
  <c r="S901" i="64"/>
  <c r="R901" i="64"/>
  <c r="T901" i="64" s="1"/>
  <c r="Q901" i="64"/>
  <c r="O901" i="64"/>
  <c r="N901" i="64"/>
  <c r="P901" i="64" s="1"/>
  <c r="M901" i="64"/>
  <c r="L901" i="64"/>
  <c r="K901" i="64"/>
  <c r="J901" i="64"/>
  <c r="A901" i="64"/>
  <c r="S900" i="64"/>
  <c r="R900" i="64"/>
  <c r="T900" i="64" s="1"/>
  <c r="O900" i="64"/>
  <c r="N900" i="64"/>
  <c r="P900" i="64" s="1"/>
  <c r="M900" i="64"/>
  <c r="Q900" i="64" s="1"/>
  <c r="L900" i="64"/>
  <c r="K900" i="64"/>
  <c r="J900" i="64"/>
  <c r="A900" i="64"/>
  <c r="S899" i="64"/>
  <c r="R899" i="64"/>
  <c r="T899" i="64" s="1"/>
  <c r="Q899" i="64"/>
  <c r="O899" i="64"/>
  <c r="N899" i="64"/>
  <c r="M899" i="64"/>
  <c r="L899" i="64"/>
  <c r="K899" i="64"/>
  <c r="J899" i="64"/>
  <c r="A899" i="64"/>
  <c r="S898" i="64"/>
  <c r="R898" i="64"/>
  <c r="T898" i="64" s="1"/>
  <c r="P898" i="64"/>
  <c r="O898" i="64"/>
  <c r="N898" i="64"/>
  <c r="M898" i="64"/>
  <c r="Q898" i="64" s="1"/>
  <c r="L898" i="64"/>
  <c r="K898" i="64"/>
  <c r="J898" i="64"/>
  <c r="A898" i="64"/>
  <c r="T897" i="64"/>
  <c r="S897" i="64"/>
  <c r="R897" i="64"/>
  <c r="Q897" i="64"/>
  <c r="O897" i="64"/>
  <c r="N897" i="64"/>
  <c r="M897" i="64"/>
  <c r="L897" i="64"/>
  <c r="K897" i="64"/>
  <c r="J897" i="64"/>
  <c r="A897" i="64"/>
  <c r="S896" i="64"/>
  <c r="R896" i="64"/>
  <c r="T896" i="64" s="1"/>
  <c r="P896" i="64"/>
  <c r="O896" i="64"/>
  <c r="N896" i="64"/>
  <c r="M896" i="64"/>
  <c r="Q896" i="64" s="1"/>
  <c r="L896" i="64"/>
  <c r="K896" i="64"/>
  <c r="J896" i="64"/>
  <c r="A896" i="64"/>
  <c r="T895" i="64"/>
  <c r="S895" i="64"/>
  <c r="R895" i="64"/>
  <c r="Q895" i="64"/>
  <c r="O895" i="64"/>
  <c r="N895" i="64"/>
  <c r="M895" i="64"/>
  <c r="P895" i="64" s="1"/>
  <c r="L895" i="64"/>
  <c r="K895" i="64"/>
  <c r="J895" i="64"/>
  <c r="A895" i="64"/>
  <c r="S894" i="64"/>
  <c r="R894" i="64"/>
  <c r="T894" i="64" s="1"/>
  <c r="O894" i="64"/>
  <c r="N894" i="64"/>
  <c r="P894" i="64" s="1"/>
  <c r="M894" i="64"/>
  <c r="Q894" i="64" s="1"/>
  <c r="L894" i="64"/>
  <c r="K894" i="64"/>
  <c r="J894" i="64"/>
  <c r="A894" i="64"/>
  <c r="S893" i="64"/>
  <c r="R893" i="64"/>
  <c r="T893" i="64" s="1"/>
  <c r="Q893" i="64"/>
  <c r="O893" i="64"/>
  <c r="N893" i="64"/>
  <c r="M893" i="64"/>
  <c r="P893" i="64" s="1"/>
  <c r="L893" i="64"/>
  <c r="K893" i="64"/>
  <c r="J893" i="64"/>
  <c r="A893" i="64"/>
  <c r="S892" i="64"/>
  <c r="R892" i="64"/>
  <c r="T892" i="64" s="1"/>
  <c r="O892" i="64"/>
  <c r="N892" i="64"/>
  <c r="P892" i="64" s="1"/>
  <c r="M892" i="64"/>
  <c r="Q892" i="64" s="1"/>
  <c r="L892" i="64"/>
  <c r="K892" i="64"/>
  <c r="J892" i="64"/>
  <c r="A892" i="64"/>
  <c r="S891" i="64"/>
  <c r="R891" i="64"/>
  <c r="T891" i="64" s="1"/>
  <c r="Q891" i="64"/>
  <c r="O891" i="64"/>
  <c r="N891" i="64"/>
  <c r="M891" i="64"/>
  <c r="P891" i="64" s="1"/>
  <c r="L891" i="64"/>
  <c r="K891" i="64"/>
  <c r="J891" i="64"/>
  <c r="A891" i="64"/>
  <c r="S890" i="64"/>
  <c r="R890" i="64"/>
  <c r="T890" i="64" s="1"/>
  <c r="P890" i="64"/>
  <c r="O890" i="64"/>
  <c r="N890" i="64"/>
  <c r="M890" i="64"/>
  <c r="Q890" i="64" s="1"/>
  <c r="L890" i="64"/>
  <c r="K890" i="64"/>
  <c r="J890" i="64"/>
  <c r="A890" i="64"/>
  <c r="T889" i="64"/>
  <c r="S889" i="64"/>
  <c r="R889" i="64"/>
  <c r="Q889" i="64"/>
  <c r="O889" i="64"/>
  <c r="N889" i="64"/>
  <c r="M889" i="64"/>
  <c r="L889" i="64"/>
  <c r="K889" i="64"/>
  <c r="J889" i="64"/>
  <c r="A889" i="64"/>
  <c r="S888" i="64"/>
  <c r="R888" i="64"/>
  <c r="T888" i="64" s="1"/>
  <c r="O888" i="64"/>
  <c r="N888" i="64"/>
  <c r="M888" i="64"/>
  <c r="Q888" i="64" s="1"/>
  <c r="L888" i="64"/>
  <c r="K888" i="64"/>
  <c r="J888" i="64"/>
  <c r="A888" i="64"/>
  <c r="S887" i="64"/>
  <c r="R887" i="64"/>
  <c r="T887" i="64" s="1"/>
  <c r="Q887" i="64"/>
  <c r="O887" i="64"/>
  <c r="N887" i="64"/>
  <c r="M887" i="64"/>
  <c r="P887" i="64" s="1"/>
  <c r="L887" i="64"/>
  <c r="K887" i="64"/>
  <c r="J887" i="64"/>
  <c r="A887" i="64"/>
  <c r="S886" i="64"/>
  <c r="R886" i="64"/>
  <c r="T886" i="64" s="1"/>
  <c r="P886" i="64"/>
  <c r="O886" i="64"/>
  <c r="N886" i="64"/>
  <c r="M886" i="64"/>
  <c r="Q886" i="64" s="1"/>
  <c r="L886" i="64"/>
  <c r="K886" i="64"/>
  <c r="J886" i="64"/>
  <c r="A886" i="64"/>
  <c r="T885" i="64"/>
  <c r="S885" i="64"/>
  <c r="R885" i="64"/>
  <c r="O885" i="64"/>
  <c r="N885" i="64"/>
  <c r="M885" i="64"/>
  <c r="Q885" i="64" s="1"/>
  <c r="L885" i="64"/>
  <c r="K885" i="64"/>
  <c r="J885" i="64"/>
  <c r="A885" i="64"/>
  <c r="S884" i="64"/>
  <c r="R884" i="64"/>
  <c r="T884" i="64" s="1"/>
  <c r="Q884" i="64"/>
  <c r="O884" i="64"/>
  <c r="N884" i="64"/>
  <c r="M884" i="64"/>
  <c r="P884" i="64" s="1"/>
  <c r="L884" i="64"/>
  <c r="K884" i="64"/>
  <c r="J884" i="64"/>
  <c r="A884" i="64"/>
  <c r="S883" i="64"/>
  <c r="R883" i="64"/>
  <c r="T883" i="64" s="1"/>
  <c r="O883" i="64"/>
  <c r="N883" i="64"/>
  <c r="M883" i="64"/>
  <c r="P883" i="64" s="1"/>
  <c r="L883" i="64"/>
  <c r="K883" i="64"/>
  <c r="J883" i="64"/>
  <c r="A883" i="64"/>
  <c r="S882" i="64"/>
  <c r="R882" i="64"/>
  <c r="T882" i="64" s="1"/>
  <c r="P882" i="64"/>
  <c r="O882" i="64"/>
  <c r="N882" i="64"/>
  <c r="M882" i="64"/>
  <c r="Q882" i="64" s="1"/>
  <c r="L882" i="64"/>
  <c r="K882" i="64"/>
  <c r="J882" i="64"/>
  <c r="A882" i="64"/>
  <c r="T881" i="64"/>
  <c r="S881" i="64"/>
  <c r="R881" i="64"/>
  <c r="Q881" i="64"/>
  <c r="O881" i="64"/>
  <c r="N881" i="64"/>
  <c r="M881" i="64"/>
  <c r="L881" i="64"/>
  <c r="K881" i="64"/>
  <c r="J881" i="64"/>
  <c r="A881" i="64"/>
  <c r="S880" i="64"/>
  <c r="R880" i="64"/>
  <c r="T880" i="64" s="1"/>
  <c r="O880" i="64"/>
  <c r="N880" i="64"/>
  <c r="M880" i="64"/>
  <c r="Q880" i="64" s="1"/>
  <c r="L880" i="64"/>
  <c r="K880" i="64"/>
  <c r="J880" i="64"/>
  <c r="A880" i="64"/>
  <c r="S879" i="64"/>
  <c r="R879" i="64"/>
  <c r="T879" i="64" s="1"/>
  <c r="Q879" i="64"/>
  <c r="O879" i="64"/>
  <c r="N879" i="64"/>
  <c r="M879" i="64"/>
  <c r="P879" i="64" s="1"/>
  <c r="L879" i="64"/>
  <c r="K879" i="64"/>
  <c r="J879" i="64"/>
  <c r="A879" i="64"/>
  <c r="S878" i="64"/>
  <c r="R878" i="64"/>
  <c r="T878" i="64" s="1"/>
  <c r="P878" i="64"/>
  <c r="O878" i="64"/>
  <c r="N878" i="64"/>
  <c r="M878" i="64"/>
  <c r="Q878" i="64" s="1"/>
  <c r="L878" i="64"/>
  <c r="K878" i="64"/>
  <c r="J878" i="64"/>
  <c r="A878" i="64"/>
  <c r="T877" i="64"/>
  <c r="S877" i="64"/>
  <c r="R877" i="64"/>
  <c r="O877" i="64"/>
  <c r="N877" i="64"/>
  <c r="M877" i="64"/>
  <c r="Q877" i="64" s="1"/>
  <c r="L877" i="64"/>
  <c r="K877" i="64"/>
  <c r="J877" i="64"/>
  <c r="A877" i="64"/>
  <c r="S876" i="64"/>
  <c r="R876" i="64"/>
  <c r="T876" i="64" s="1"/>
  <c r="Q876" i="64"/>
  <c r="O876" i="64"/>
  <c r="N876" i="64"/>
  <c r="M876" i="64"/>
  <c r="P876" i="64" s="1"/>
  <c r="L876" i="64"/>
  <c r="K876" i="64"/>
  <c r="J876" i="64"/>
  <c r="A876" i="64"/>
  <c r="S875" i="64"/>
  <c r="R875" i="64"/>
  <c r="T875" i="64" s="1"/>
  <c r="O875" i="64"/>
  <c r="N875" i="64"/>
  <c r="M875" i="64"/>
  <c r="P875" i="64" s="1"/>
  <c r="L875" i="64"/>
  <c r="K875" i="64"/>
  <c r="J875" i="64"/>
  <c r="A875" i="64"/>
  <c r="S874" i="64"/>
  <c r="R874" i="64"/>
  <c r="T874" i="64" s="1"/>
  <c r="P874" i="64"/>
  <c r="O874" i="64"/>
  <c r="N874" i="64"/>
  <c r="M874" i="64"/>
  <c r="Q874" i="64" s="1"/>
  <c r="L874" i="64"/>
  <c r="K874" i="64"/>
  <c r="J874" i="64"/>
  <c r="A874" i="64"/>
  <c r="T873" i="64"/>
  <c r="S873" i="64"/>
  <c r="R873" i="64"/>
  <c r="Q873" i="64"/>
  <c r="O873" i="64"/>
  <c r="N873" i="64"/>
  <c r="M873" i="64"/>
  <c r="L873" i="64"/>
  <c r="K873" i="64"/>
  <c r="J873" i="64"/>
  <c r="A873" i="64"/>
  <c r="S872" i="64"/>
  <c r="R872" i="64"/>
  <c r="T872" i="64" s="1"/>
  <c r="O872" i="64"/>
  <c r="N872" i="64"/>
  <c r="M872" i="64"/>
  <c r="Q872" i="64" s="1"/>
  <c r="L872" i="64"/>
  <c r="K872" i="64"/>
  <c r="J872" i="64"/>
  <c r="A872" i="64"/>
  <c r="S871" i="64"/>
  <c r="R871" i="64"/>
  <c r="T871" i="64" s="1"/>
  <c r="Q871" i="64"/>
  <c r="O871" i="64"/>
  <c r="N871" i="64"/>
  <c r="M871" i="64"/>
  <c r="P871" i="64" s="1"/>
  <c r="L871" i="64"/>
  <c r="K871" i="64"/>
  <c r="J871" i="64"/>
  <c r="A871" i="64"/>
  <c r="S870" i="64"/>
  <c r="R870" i="64"/>
  <c r="T870" i="64" s="1"/>
  <c r="P870" i="64"/>
  <c r="O870" i="64"/>
  <c r="N870" i="64"/>
  <c r="M870" i="64"/>
  <c r="Q870" i="64" s="1"/>
  <c r="L870" i="64"/>
  <c r="K870" i="64"/>
  <c r="J870" i="64"/>
  <c r="A870" i="64"/>
  <c r="T869" i="64"/>
  <c r="S869" i="64"/>
  <c r="R869" i="64"/>
  <c r="O869" i="64"/>
  <c r="N869" i="64"/>
  <c r="M869" i="64"/>
  <c r="Q869" i="64" s="1"/>
  <c r="L869" i="64"/>
  <c r="K869" i="64"/>
  <c r="J869" i="64"/>
  <c r="A869" i="64"/>
  <c r="S868" i="64"/>
  <c r="R868" i="64"/>
  <c r="T868" i="64" s="1"/>
  <c r="Q868" i="64"/>
  <c r="O868" i="64"/>
  <c r="N868" i="64"/>
  <c r="P868" i="64" s="1"/>
  <c r="M868" i="64"/>
  <c r="L868" i="64"/>
  <c r="K868" i="64"/>
  <c r="J868" i="64"/>
  <c r="A868" i="64"/>
  <c r="S867" i="64"/>
  <c r="R867" i="64"/>
  <c r="T867" i="64" s="1"/>
  <c r="O867" i="64"/>
  <c r="N867" i="64"/>
  <c r="M867" i="64"/>
  <c r="P867" i="64" s="1"/>
  <c r="L867" i="64"/>
  <c r="K867" i="64"/>
  <c r="J867" i="64"/>
  <c r="A867" i="64"/>
  <c r="S866" i="64"/>
  <c r="R866" i="64"/>
  <c r="T866" i="64" s="1"/>
  <c r="P866" i="64"/>
  <c r="O866" i="64"/>
  <c r="N866" i="64"/>
  <c r="M866" i="64"/>
  <c r="Q866" i="64" s="1"/>
  <c r="L866" i="64"/>
  <c r="K866" i="64"/>
  <c r="J866" i="64"/>
  <c r="A866" i="64"/>
  <c r="T865" i="64"/>
  <c r="S865" i="64"/>
  <c r="R865" i="64"/>
  <c r="Q865" i="64"/>
  <c r="O865" i="64"/>
  <c r="N865" i="64"/>
  <c r="M865" i="64"/>
  <c r="L865" i="64"/>
  <c r="K865" i="64"/>
  <c r="J865" i="64"/>
  <c r="A865" i="64"/>
  <c r="S864" i="64"/>
  <c r="R864" i="64"/>
  <c r="T864" i="64" s="1"/>
  <c r="O864" i="64"/>
  <c r="N864" i="64"/>
  <c r="M864" i="64"/>
  <c r="Q864" i="64" s="1"/>
  <c r="L864" i="64"/>
  <c r="K864" i="64"/>
  <c r="J864" i="64"/>
  <c r="A864" i="64"/>
  <c r="S863" i="64"/>
  <c r="R863" i="64"/>
  <c r="T863" i="64" s="1"/>
  <c r="Q863" i="64"/>
  <c r="O863" i="64"/>
  <c r="N863" i="64"/>
  <c r="M863" i="64"/>
  <c r="P863" i="64" s="1"/>
  <c r="L863" i="64"/>
  <c r="K863" i="64"/>
  <c r="J863" i="64"/>
  <c r="A863" i="64"/>
  <c r="S862" i="64"/>
  <c r="R862" i="64"/>
  <c r="T862" i="64" s="1"/>
  <c r="Q862" i="64"/>
  <c r="P862" i="64"/>
  <c r="O862" i="64"/>
  <c r="N862" i="64"/>
  <c r="M862" i="64"/>
  <c r="L862" i="64"/>
  <c r="K862" i="64"/>
  <c r="J862" i="64"/>
  <c r="A862" i="64"/>
  <c r="T861" i="64"/>
  <c r="S861" i="64"/>
  <c r="R861" i="64"/>
  <c r="O861" i="64"/>
  <c r="N861" i="64"/>
  <c r="M861" i="64"/>
  <c r="Q861" i="64" s="1"/>
  <c r="L861" i="64"/>
  <c r="K861" i="64"/>
  <c r="J861" i="64"/>
  <c r="A861" i="64"/>
  <c r="S860" i="64"/>
  <c r="R860" i="64"/>
  <c r="T860" i="64" s="1"/>
  <c r="Q860" i="64"/>
  <c r="O860" i="64"/>
  <c r="N860" i="64"/>
  <c r="P860" i="64" s="1"/>
  <c r="M860" i="64"/>
  <c r="L860" i="64"/>
  <c r="K860" i="64"/>
  <c r="J860" i="64"/>
  <c r="A860" i="64"/>
  <c r="S859" i="64"/>
  <c r="R859" i="64"/>
  <c r="T859" i="64" s="1"/>
  <c r="O859" i="64"/>
  <c r="N859" i="64"/>
  <c r="M859" i="64"/>
  <c r="Q859" i="64" s="1"/>
  <c r="L859" i="64"/>
  <c r="K859" i="64"/>
  <c r="J859" i="64"/>
  <c r="A859" i="64"/>
  <c r="S858" i="64"/>
  <c r="R858" i="64"/>
  <c r="T858" i="64" s="1"/>
  <c r="Q858" i="64"/>
  <c r="O858" i="64"/>
  <c r="N858" i="64"/>
  <c r="P858" i="64" s="1"/>
  <c r="M858" i="64"/>
  <c r="L858" i="64"/>
  <c r="K858" i="64"/>
  <c r="J858" i="64"/>
  <c r="A858" i="64"/>
  <c r="S857" i="64"/>
  <c r="R857" i="64"/>
  <c r="T857" i="64" s="1"/>
  <c r="O857" i="64"/>
  <c r="N857" i="64"/>
  <c r="M857" i="64"/>
  <c r="Q857" i="64" s="1"/>
  <c r="L857" i="64"/>
  <c r="K857" i="64"/>
  <c r="J857" i="64"/>
  <c r="A857" i="64"/>
  <c r="S856" i="64"/>
  <c r="R856" i="64"/>
  <c r="T856" i="64" s="1"/>
  <c r="Q856" i="64"/>
  <c r="O856" i="64"/>
  <c r="N856" i="64"/>
  <c r="P856" i="64" s="1"/>
  <c r="M856" i="64"/>
  <c r="L856" i="64"/>
  <c r="K856" i="64"/>
  <c r="J856" i="64"/>
  <c r="A856" i="64"/>
  <c r="S855" i="64"/>
  <c r="R855" i="64"/>
  <c r="T855" i="64" s="1"/>
  <c r="O855" i="64"/>
  <c r="N855" i="64"/>
  <c r="M855" i="64"/>
  <c r="Q855" i="64" s="1"/>
  <c r="L855" i="64"/>
  <c r="K855" i="64"/>
  <c r="J855" i="64"/>
  <c r="A855" i="64"/>
  <c r="S854" i="64"/>
  <c r="R854" i="64"/>
  <c r="T854" i="64" s="1"/>
  <c r="Q854" i="64"/>
  <c r="O854" i="64"/>
  <c r="N854" i="64"/>
  <c r="M854" i="64"/>
  <c r="P854" i="64" s="1"/>
  <c r="L854" i="64"/>
  <c r="K854" i="64"/>
  <c r="J854" i="64"/>
  <c r="A854" i="64"/>
  <c r="S853" i="64"/>
  <c r="R853" i="64"/>
  <c r="T853" i="64" s="1"/>
  <c r="O853" i="64"/>
  <c r="N853" i="64"/>
  <c r="M853" i="64"/>
  <c r="Q853" i="64" s="1"/>
  <c r="L853" i="64"/>
  <c r="K853" i="64"/>
  <c r="J853" i="64"/>
  <c r="A853" i="64"/>
  <c r="S852" i="64"/>
  <c r="R852" i="64"/>
  <c r="T852" i="64" s="1"/>
  <c r="Q852" i="64"/>
  <c r="O852" i="64"/>
  <c r="N852" i="64"/>
  <c r="M852" i="64"/>
  <c r="P852" i="64" s="1"/>
  <c r="L852" i="64"/>
  <c r="K852" i="64"/>
  <c r="J852" i="64"/>
  <c r="A852" i="64"/>
  <c r="S851" i="64"/>
  <c r="R851" i="64"/>
  <c r="T851" i="64" s="1"/>
  <c r="O851" i="64"/>
  <c r="N851" i="64"/>
  <c r="M851" i="64"/>
  <c r="Q851" i="64" s="1"/>
  <c r="L851" i="64"/>
  <c r="K851" i="64"/>
  <c r="J851" i="64"/>
  <c r="A851" i="64"/>
  <c r="S850" i="64"/>
  <c r="R850" i="64"/>
  <c r="T850" i="64" s="1"/>
  <c r="Q850" i="64"/>
  <c r="O850" i="64"/>
  <c r="N850" i="64"/>
  <c r="M850" i="64"/>
  <c r="P850" i="64" s="1"/>
  <c r="L850" i="64"/>
  <c r="K850" i="64"/>
  <c r="J850" i="64"/>
  <c r="A850" i="64"/>
  <c r="S849" i="64"/>
  <c r="R849" i="64"/>
  <c r="T849" i="64" s="1"/>
  <c r="O849" i="64"/>
  <c r="N849" i="64"/>
  <c r="M849" i="64"/>
  <c r="Q849" i="64" s="1"/>
  <c r="L849" i="64"/>
  <c r="K849" i="64"/>
  <c r="J849" i="64"/>
  <c r="A849" i="64"/>
  <c r="S848" i="64"/>
  <c r="R848" i="64"/>
  <c r="T848" i="64" s="1"/>
  <c r="Q848" i="64"/>
  <c r="O848" i="64"/>
  <c r="N848" i="64"/>
  <c r="M848" i="64"/>
  <c r="P848" i="64" s="1"/>
  <c r="L848" i="64"/>
  <c r="K848" i="64"/>
  <c r="J848" i="64"/>
  <c r="A848" i="64"/>
  <c r="S847" i="64"/>
  <c r="R847" i="64"/>
  <c r="T847" i="64" s="1"/>
  <c r="O847" i="64"/>
  <c r="N847" i="64"/>
  <c r="M847" i="64"/>
  <c r="Q847" i="64" s="1"/>
  <c r="L847" i="64"/>
  <c r="K847" i="64"/>
  <c r="J847" i="64"/>
  <c r="A847" i="64"/>
  <c r="S846" i="64"/>
  <c r="R846" i="64"/>
  <c r="T846" i="64" s="1"/>
  <c r="Q846" i="64"/>
  <c r="O846" i="64"/>
  <c r="N846" i="64"/>
  <c r="M846" i="64"/>
  <c r="P846" i="64" s="1"/>
  <c r="L846" i="64"/>
  <c r="K846" i="64"/>
  <c r="J846" i="64"/>
  <c r="A846" i="64"/>
  <c r="S845" i="64"/>
  <c r="R845" i="64"/>
  <c r="T845" i="64" s="1"/>
  <c r="O845" i="64"/>
  <c r="N845" i="64"/>
  <c r="M845" i="64"/>
  <c r="Q845" i="64" s="1"/>
  <c r="L845" i="64"/>
  <c r="K845" i="64"/>
  <c r="J845" i="64"/>
  <c r="A845" i="64"/>
  <c r="S844" i="64"/>
  <c r="R844" i="64"/>
  <c r="T844" i="64" s="1"/>
  <c r="Q844" i="64"/>
  <c r="O844" i="64"/>
  <c r="N844" i="64"/>
  <c r="M844" i="64"/>
  <c r="P844" i="64" s="1"/>
  <c r="L844" i="64"/>
  <c r="K844" i="64"/>
  <c r="J844" i="64"/>
  <c r="A844" i="64"/>
  <c r="S843" i="64"/>
  <c r="R843" i="64"/>
  <c r="T843" i="64" s="1"/>
  <c r="O843" i="64"/>
  <c r="N843" i="64"/>
  <c r="M843" i="64"/>
  <c r="Q843" i="64" s="1"/>
  <c r="L843" i="64"/>
  <c r="K843" i="64"/>
  <c r="J843" i="64"/>
  <c r="A843" i="64"/>
  <c r="S842" i="64"/>
  <c r="R842" i="64"/>
  <c r="T842" i="64" s="1"/>
  <c r="Q842" i="64"/>
  <c r="O842" i="64"/>
  <c r="N842" i="64"/>
  <c r="M842" i="64"/>
  <c r="P842" i="64" s="1"/>
  <c r="L842" i="64"/>
  <c r="K842" i="64"/>
  <c r="J842" i="64"/>
  <c r="A842" i="64"/>
  <c r="S841" i="64"/>
  <c r="R841" i="64"/>
  <c r="T841" i="64" s="1"/>
  <c r="O841" i="64"/>
  <c r="N841" i="64"/>
  <c r="M841" i="64"/>
  <c r="Q841" i="64" s="1"/>
  <c r="L841" i="64"/>
  <c r="K841" i="64"/>
  <c r="J841" i="64"/>
  <c r="A841" i="64"/>
  <c r="S840" i="64"/>
  <c r="R840" i="64"/>
  <c r="T840" i="64" s="1"/>
  <c r="Q840" i="64"/>
  <c r="O840" i="64"/>
  <c r="N840" i="64"/>
  <c r="M840" i="64"/>
  <c r="P840" i="64" s="1"/>
  <c r="L840" i="64"/>
  <c r="K840" i="64"/>
  <c r="J840" i="64"/>
  <c r="A840" i="64"/>
  <c r="S839" i="64"/>
  <c r="R839" i="64"/>
  <c r="T839" i="64" s="1"/>
  <c r="O839" i="64"/>
  <c r="N839" i="64"/>
  <c r="M839" i="64"/>
  <c r="Q839" i="64" s="1"/>
  <c r="L839" i="64"/>
  <c r="K839" i="64"/>
  <c r="J839" i="64"/>
  <c r="A839" i="64"/>
  <c r="S838" i="64"/>
  <c r="R838" i="64"/>
  <c r="T838" i="64" s="1"/>
  <c r="Q838" i="64"/>
  <c r="O838" i="64"/>
  <c r="N838" i="64"/>
  <c r="M838" i="64"/>
  <c r="P838" i="64" s="1"/>
  <c r="L838" i="64"/>
  <c r="K838" i="64"/>
  <c r="J838" i="64"/>
  <c r="A838" i="64"/>
  <c r="S837" i="64"/>
  <c r="R837" i="64"/>
  <c r="T837" i="64" s="1"/>
  <c r="O837" i="64"/>
  <c r="N837" i="64"/>
  <c r="M837" i="64"/>
  <c r="Q837" i="64" s="1"/>
  <c r="L837" i="64"/>
  <c r="K837" i="64"/>
  <c r="J837" i="64"/>
  <c r="A837" i="64"/>
  <c r="S836" i="64"/>
  <c r="R836" i="64"/>
  <c r="T836" i="64" s="1"/>
  <c r="Q836" i="64"/>
  <c r="O836" i="64"/>
  <c r="N836" i="64"/>
  <c r="M836" i="64"/>
  <c r="P836" i="64" s="1"/>
  <c r="L836" i="64"/>
  <c r="K836" i="64"/>
  <c r="J836" i="64"/>
  <c r="A836" i="64"/>
  <c r="S835" i="64"/>
  <c r="R835" i="64"/>
  <c r="T835" i="64" s="1"/>
  <c r="O835" i="64"/>
  <c r="N835" i="64"/>
  <c r="M835" i="64"/>
  <c r="Q835" i="64" s="1"/>
  <c r="L835" i="64"/>
  <c r="K835" i="64"/>
  <c r="J835" i="64"/>
  <c r="A835" i="64"/>
  <c r="S834" i="64"/>
  <c r="R834" i="64"/>
  <c r="T834" i="64" s="1"/>
  <c r="Q834" i="64"/>
  <c r="O834" i="64"/>
  <c r="N834" i="64"/>
  <c r="M834" i="64"/>
  <c r="P834" i="64" s="1"/>
  <c r="L834" i="64"/>
  <c r="K834" i="64"/>
  <c r="J834" i="64"/>
  <c r="A834" i="64"/>
  <c r="S833" i="64"/>
  <c r="R833" i="64"/>
  <c r="T833" i="64" s="1"/>
  <c r="O833" i="64"/>
  <c r="N833" i="64"/>
  <c r="M833" i="64"/>
  <c r="Q833" i="64" s="1"/>
  <c r="L833" i="64"/>
  <c r="K833" i="64"/>
  <c r="J833" i="64"/>
  <c r="A833" i="64"/>
  <c r="S832" i="64"/>
  <c r="R832" i="64"/>
  <c r="T832" i="64" s="1"/>
  <c r="Q832" i="64"/>
  <c r="O832" i="64"/>
  <c r="N832" i="64"/>
  <c r="M832" i="64"/>
  <c r="P832" i="64" s="1"/>
  <c r="L832" i="64"/>
  <c r="K832" i="64"/>
  <c r="J832" i="64"/>
  <c r="A832" i="64"/>
  <c r="S831" i="64"/>
  <c r="R831" i="64"/>
  <c r="T831" i="64" s="1"/>
  <c r="O831" i="64"/>
  <c r="N831" i="64"/>
  <c r="M831" i="64"/>
  <c r="L831" i="64"/>
  <c r="K831" i="64"/>
  <c r="J831" i="64"/>
  <c r="A831" i="64"/>
  <c r="S830" i="64"/>
  <c r="R830" i="64"/>
  <c r="T830" i="64" s="1"/>
  <c r="Q830" i="64"/>
  <c r="O830" i="64"/>
  <c r="N830" i="64"/>
  <c r="M830" i="64"/>
  <c r="P830" i="64" s="1"/>
  <c r="L830" i="64"/>
  <c r="K830" i="64"/>
  <c r="J830" i="64"/>
  <c r="A830" i="64"/>
  <c r="S829" i="64"/>
  <c r="R829" i="64"/>
  <c r="T829" i="64" s="1"/>
  <c r="O829" i="64"/>
  <c r="N829" i="64"/>
  <c r="M829" i="64"/>
  <c r="L829" i="64"/>
  <c r="K829" i="64"/>
  <c r="J829" i="64"/>
  <c r="A829" i="64"/>
  <c r="S828" i="64"/>
  <c r="R828" i="64"/>
  <c r="T828" i="64" s="1"/>
  <c r="Q828" i="64"/>
  <c r="O828" i="64"/>
  <c r="N828" i="64"/>
  <c r="M828" i="64"/>
  <c r="P828" i="64" s="1"/>
  <c r="L828" i="64"/>
  <c r="K828" i="64"/>
  <c r="J828" i="64"/>
  <c r="A828" i="64"/>
  <c r="S827" i="64"/>
  <c r="R827" i="64"/>
  <c r="T827" i="64" s="1"/>
  <c r="O827" i="64"/>
  <c r="N827" i="64"/>
  <c r="M827" i="64"/>
  <c r="L827" i="64"/>
  <c r="K827" i="64"/>
  <c r="J827" i="64"/>
  <c r="A827" i="64"/>
  <c r="S826" i="64"/>
  <c r="R826" i="64"/>
  <c r="T826" i="64" s="1"/>
  <c r="Q826" i="64"/>
  <c r="O826" i="64"/>
  <c r="N826" i="64"/>
  <c r="M826" i="64"/>
  <c r="P826" i="64" s="1"/>
  <c r="L826" i="64"/>
  <c r="K826" i="64"/>
  <c r="J826" i="64"/>
  <c r="A826" i="64"/>
  <c r="S825" i="64"/>
  <c r="R825" i="64"/>
  <c r="T825" i="64" s="1"/>
  <c r="O825" i="64"/>
  <c r="N825" i="64"/>
  <c r="M825" i="64"/>
  <c r="L825" i="64"/>
  <c r="K825" i="64"/>
  <c r="J825" i="64"/>
  <c r="A825" i="64"/>
  <c r="S824" i="64"/>
  <c r="R824" i="64"/>
  <c r="T824" i="64" s="1"/>
  <c r="Q824" i="64"/>
  <c r="O824" i="64"/>
  <c r="N824" i="64"/>
  <c r="M824" i="64"/>
  <c r="P824" i="64" s="1"/>
  <c r="L824" i="64"/>
  <c r="K824" i="64"/>
  <c r="J824" i="64"/>
  <c r="A824" i="64"/>
  <c r="S823" i="64"/>
  <c r="R823" i="64"/>
  <c r="T823" i="64" s="1"/>
  <c r="O823" i="64"/>
  <c r="N823" i="64"/>
  <c r="M823" i="64"/>
  <c r="L823" i="64"/>
  <c r="K823" i="64"/>
  <c r="J823" i="64"/>
  <c r="A823" i="64"/>
  <c r="S822" i="64"/>
  <c r="R822" i="64"/>
  <c r="T822" i="64" s="1"/>
  <c r="Q822" i="64"/>
  <c r="O822" i="64"/>
  <c r="N822" i="64"/>
  <c r="M822" i="64"/>
  <c r="P822" i="64" s="1"/>
  <c r="L822" i="64"/>
  <c r="K822" i="64"/>
  <c r="J822" i="64"/>
  <c r="A822" i="64"/>
  <c r="S821" i="64"/>
  <c r="R821" i="64"/>
  <c r="T821" i="64" s="1"/>
  <c r="O821" i="64"/>
  <c r="N821" i="64"/>
  <c r="M821" i="64"/>
  <c r="L821" i="64"/>
  <c r="K821" i="64"/>
  <c r="J821" i="64"/>
  <c r="A821" i="64"/>
  <c r="S820" i="64"/>
  <c r="R820" i="64"/>
  <c r="T820" i="64" s="1"/>
  <c r="Q820" i="64"/>
  <c r="O820" i="64"/>
  <c r="N820" i="64"/>
  <c r="M820" i="64"/>
  <c r="P820" i="64" s="1"/>
  <c r="L820" i="64"/>
  <c r="K820" i="64"/>
  <c r="J820" i="64"/>
  <c r="A820" i="64"/>
  <c r="S819" i="64"/>
  <c r="R819" i="64"/>
  <c r="T819" i="64" s="1"/>
  <c r="O819" i="64"/>
  <c r="N819" i="64"/>
  <c r="M819" i="64"/>
  <c r="L819" i="64"/>
  <c r="K819" i="64"/>
  <c r="J819" i="64"/>
  <c r="A819" i="64"/>
  <c r="S818" i="64"/>
  <c r="R818" i="64"/>
  <c r="T818" i="64" s="1"/>
  <c r="Q818" i="64"/>
  <c r="O818" i="64"/>
  <c r="N818" i="64"/>
  <c r="M818" i="64"/>
  <c r="P818" i="64" s="1"/>
  <c r="L818" i="64"/>
  <c r="K818" i="64"/>
  <c r="J818" i="64"/>
  <c r="A818" i="64"/>
  <c r="S817" i="64"/>
  <c r="R817" i="64"/>
  <c r="T817" i="64" s="1"/>
  <c r="O817" i="64"/>
  <c r="N817" i="64"/>
  <c r="M817" i="64"/>
  <c r="L817" i="64"/>
  <c r="K817" i="64"/>
  <c r="J817" i="64"/>
  <c r="A817" i="64"/>
  <c r="S816" i="64"/>
  <c r="R816" i="64"/>
  <c r="T816" i="64" s="1"/>
  <c r="Q816" i="64"/>
  <c r="O816" i="64"/>
  <c r="N816" i="64"/>
  <c r="M816" i="64"/>
  <c r="P816" i="64" s="1"/>
  <c r="L816" i="64"/>
  <c r="K816" i="64"/>
  <c r="J816" i="64"/>
  <c r="A816" i="64"/>
  <c r="S815" i="64"/>
  <c r="R815" i="64"/>
  <c r="T815" i="64" s="1"/>
  <c r="O815" i="64"/>
  <c r="N815" i="64"/>
  <c r="M815" i="64"/>
  <c r="L815" i="64"/>
  <c r="K815" i="64"/>
  <c r="J815" i="64"/>
  <c r="A815" i="64"/>
  <c r="S814" i="64"/>
  <c r="R814" i="64"/>
  <c r="T814" i="64" s="1"/>
  <c r="Q814" i="64"/>
  <c r="O814" i="64"/>
  <c r="N814" i="64"/>
  <c r="M814" i="64"/>
  <c r="P814" i="64" s="1"/>
  <c r="L814" i="64"/>
  <c r="K814" i="64"/>
  <c r="J814" i="64"/>
  <c r="A814" i="64"/>
  <c r="S813" i="64"/>
  <c r="R813" i="64"/>
  <c r="T813" i="64" s="1"/>
  <c r="O813" i="64"/>
  <c r="N813" i="64"/>
  <c r="M813" i="64"/>
  <c r="L813" i="64"/>
  <c r="K813" i="64"/>
  <c r="J813" i="64"/>
  <c r="A813" i="64"/>
  <c r="S812" i="64"/>
  <c r="R812" i="64"/>
  <c r="T812" i="64" s="1"/>
  <c r="Q812" i="64"/>
  <c r="O812" i="64"/>
  <c r="N812" i="64"/>
  <c r="M812" i="64"/>
  <c r="P812" i="64" s="1"/>
  <c r="L812" i="64"/>
  <c r="K812" i="64"/>
  <c r="J812" i="64"/>
  <c r="A812" i="64"/>
  <c r="S811" i="64"/>
  <c r="R811" i="64"/>
  <c r="T811" i="64" s="1"/>
  <c r="O811" i="64"/>
  <c r="N811" i="64"/>
  <c r="M811" i="64"/>
  <c r="L811" i="64"/>
  <c r="K811" i="64"/>
  <c r="J811" i="64"/>
  <c r="A811" i="64"/>
  <c r="S810" i="64"/>
  <c r="R810" i="64"/>
  <c r="T810" i="64" s="1"/>
  <c r="O810" i="64"/>
  <c r="N810" i="64"/>
  <c r="M810" i="64"/>
  <c r="P810" i="64" s="1"/>
  <c r="L810" i="64"/>
  <c r="K810" i="64"/>
  <c r="J810" i="64"/>
  <c r="A810" i="64"/>
  <c r="S809" i="64"/>
  <c r="R809" i="64"/>
  <c r="T809" i="64" s="1"/>
  <c r="Q809" i="64"/>
  <c r="O809" i="64"/>
  <c r="N809" i="64"/>
  <c r="M809" i="64"/>
  <c r="P809" i="64" s="1"/>
  <c r="L809" i="64"/>
  <c r="K809" i="64"/>
  <c r="J809" i="64"/>
  <c r="A809" i="64"/>
  <c r="S808" i="64"/>
  <c r="R808" i="64"/>
  <c r="T808" i="64" s="1"/>
  <c r="Q808" i="64"/>
  <c r="O808" i="64"/>
  <c r="N808" i="64"/>
  <c r="M808" i="64"/>
  <c r="P808" i="64" s="1"/>
  <c r="L808" i="64"/>
  <c r="K808" i="64"/>
  <c r="J808" i="64"/>
  <c r="A808" i="64"/>
  <c r="S807" i="64"/>
  <c r="R807" i="64"/>
  <c r="T807" i="64" s="1"/>
  <c r="O807" i="64"/>
  <c r="N807" i="64"/>
  <c r="M807" i="64"/>
  <c r="L807" i="64"/>
  <c r="K807" i="64"/>
  <c r="J807" i="64"/>
  <c r="A807" i="64"/>
  <c r="S806" i="64"/>
  <c r="R806" i="64"/>
  <c r="T806" i="64" s="1"/>
  <c r="O806" i="64"/>
  <c r="N806" i="64"/>
  <c r="M806" i="64"/>
  <c r="P806" i="64" s="1"/>
  <c r="L806" i="64"/>
  <c r="K806" i="64"/>
  <c r="J806" i="64"/>
  <c r="A806" i="64"/>
  <c r="S805" i="64"/>
  <c r="R805" i="64"/>
  <c r="T805" i="64" s="1"/>
  <c r="Q805" i="64"/>
  <c r="O805" i="64"/>
  <c r="N805" i="64"/>
  <c r="M805" i="64"/>
  <c r="P805" i="64" s="1"/>
  <c r="L805" i="64"/>
  <c r="K805" i="64"/>
  <c r="J805" i="64"/>
  <c r="A805" i="64"/>
  <c r="S804" i="64"/>
  <c r="R804" i="64"/>
  <c r="T804" i="64" s="1"/>
  <c r="Q804" i="64"/>
  <c r="O804" i="64"/>
  <c r="N804" i="64"/>
  <c r="M804" i="64"/>
  <c r="P804" i="64" s="1"/>
  <c r="L804" i="64"/>
  <c r="K804" i="64"/>
  <c r="J804" i="64"/>
  <c r="A804" i="64"/>
  <c r="S803" i="64"/>
  <c r="R803" i="64"/>
  <c r="T803" i="64" s="1"/>
  <c r="O803" i="64"/>
  <c r="N803" i="64"/>
  <c r="M803" i="64"/>
  <c r="L803" i="64"/>
  <c r="K803" i="64"/>
  <c r="J803" i="64"/>
  <c r="A803" i="64"/>
  <c r="S802" i="64"/>
  <c r="R802" i="64"/>
  <c r="T802" i="64" s="1"/>
  <c r="O802" i="64"/>
  <c r="N802" i="64"/>
  <c r="M802" i="64"/>
  <c r="P802" i="64" s="1"/>
  <c r="L802" i="64"/>
  <c r="K802" i="64"/>
  <c r="J802" i="64"/>
  <c r="A802" i="64"/>
  <c r="S801" i="64"/>
  <c r="R801" i="64"/>
  <c r="T801" i="64" s="1"/>
  <c r="O801" i="64"/>
  <c r="N801" i="64"/>
  <c r="M801" i="64"/>
  <c r="L801" i="64"/>
  <c r="K801" i="64"/>
  <c r="J801" i="64"/>
  <c r="A801" i="64"/>
  <c r="S800" i="64"/>
  <c r="R800" i="64"/>
  <c r="T800" i="64" s="1"/>
  <c r="Q800" i="64"/>
  <c r="O800" i="64"/>
  <c r="N800" i="64"/>
  <c r="M800" i="64"/>
  <c r="P800" i="64" s="1"/>
  <c r="L800" i="64"/>
  <c r="K800" i="64"/>
  <c r="J800" i="64"/>
  <c r="A800" i="64"/>
  <c r="S799" i="64"/>
  <c r="R799" i="64"/>
  <c r="T799" i="64" s="1"/>
  <c r="O799" i="64"/>
  <c r="N799" i="64"/>
  <c r="M799" i="64"/>
  <c r="L799" i="64"/>
  <c r="K799" i="64"/>
  <c r="J799" i="64"/>
  <c r="A799" i="64"/>
  <c r="S798" i="64"/>
  <c r="R798" i="64"/>
  <c r="T798" i="64" s="1"/>
  <c r="O798" i="64"/>
  <c r="N798" i="64"/>
  <c r="M798" i="64"/>
  <c r="P798" i="64" s="1"/>
  <c r="L798" i="64"/>
  <c r="K798" i="64"/>
  <c r="J798" i="64"/>
  <c r="A798" i="64"/>
  <c r="S797" i="64"/>
  <c r="R797" i="64"/>
  <c r="T797" i="64" s="1"/>
  <c r="O797" i="64"/>
  <c r="N797" i="64"/>
  <c r="M797" i="64"/>
  <c r="L797" i="64"/>
  <c r="K797" i="64"/>
  <c r="J797" i="64"/>
  <c r="A797" i="64"/>
  <c r="S796" i="64"/>
  <c r="R796" i="64"/>
  <c r="T796" i="64" s="1"/>
  <c r="Q796" i="64"/>
  <c r="O796" i="64"/>
  <c r="N796" i="64"/>
  <c r="M796" i="64"/>
  <c r="P796" i="64" s="1"/>
  <c r="L796" i="64"/>
  <c r="K796" i="64"/>
  <c r="J796" i="64"/>
  <c r="A796" i="64"/>
  <c r="S795" i="64"/>
  <c r="R795" i="64"/>
  <c r="T795" i="64" s="1"/>
  <c r="O795" i="64"/>
  <c r="N795" i="64"/>
  <c r="M795" i="64"/>
  <c r="L795" i="64"/>
  <c r="K795" i="64"/>
  <c r="J795" i="64"/>
  <c r="A795" i="64"/>
  <c r="S794" i="64"/>
  <c r="R794" i="64"/>
  <c r="T794" i="64" s="1"/>
  <c r="O794" i="64"/>
  <c r="N794" i="64"/>
  <c r="M794" i="64"/>
  <c r="P794" i="64" s="1"/>
  <c r="L794" i="64"/>
  <c r="K794" i="64"/>
  <c r="J794" i="64"/>
  <c r="A794" i="64"/>
  <c r="S793" i="64"/>
  <c r="R793" i="64"/>
  <c r="T793" i="64" s="1"/>
  <c r="O793" i="64"/>
  <c r="N793" i="64"/>
  <c r="M793" i="64"/>
  <c r="L793" i="64"/>
  <c r="K793" i="64"/>
  <c r="J793" i="64"/>
  <c r="A793" i="64"/>
  <c r="S792" i="64"/>
  <c r="R792" i="64"/>
  <c r="T792" i="64" s="1"/>
  <c r="Q792" i="64"/>
  <c r="O792" i="64"/>
  <c r="N792" i="64"/>
  <c r="M792" i="64"/>
  <c r="P792" i="64" s="1"/>
  <c r="L792" i="64"/>
  <c r="K792" i="64"/>
  <c r="J792" i="64"/>
  <c r="A792" i="64"/>
  <c r="S791" i="64"/>
  <c r="R791" i="64"/>
  <c r="T791" i="64" s="1"/>
  <c r="O791" i="64"/>
  <c r="N791" i="64"/>
  <c r="M791" i="64"/>
  <c r="L791" i="64"/>
  <c r="K791" i="64"/>
  <c r="J791" i="64"/>
  <c r="A791" i="64"/>
  <c r="S790" i="64"/>
  <c r="R790" i="64"/>
  <c r="T790" i="64" s="1"/>
  <c r="O790" i="64"/>
  <c r="N790" i="64"/>
  <c r="M790" i="64"/>
  <c r="P790" i="64" s="1"/>
  <c r="L790" i="64"/>
  <c r="K790" i="64"/>
  <c r="J790" i="64"/>
  <c r="A790" i="64"/>
  <c r="S789" i="64"/>
  <c r="R789" i="64"/>
  <c r="T789" i="64" s="1"/>
  <c r="O789" i="64"/>
  <c r="N789" i="64"/>
  <c r="M789" i="64"/>
  <c r="L789" i="64"/>
  <c r="K789" i="64"/>
  <c r="J789" i="64"/>
  <c r="A789" i="64"/>
  <c r="S788" i="64"/>
  <c r="R788" i="64"/>
  <c r="T788" i="64" s="1"/>
  <c r="Q788" i="64"/>
  <c r="O788" i="64"/>
  <c r="N788" i="64"/>
  <c r="M788" i="64"/>
  <c r="P788" i="64" s="1"/>
  <c r="L788" i="64"/>
  <c r="K788" i="64"/>
  <c r="J788" i="64"/>
  <c r="A788" i="64"/>
  <c r="S787" i="64"/>
  <c r="R787" i="64"/>
  <c r="T787" i="64" s="1"/>
  <c r="O787" i="64"/>
  <c r="N787" i="64"/>
  <c r="M787" i="64"/>
  <c r="L787" i="64"/>
  <c r="K787" i="64"/>
  <c r="J787" i="64"/>
  <c r="A787" i="64"/>
  <c r="S786" i="64"/>
  <c r="R786" i="64"/>
  <c r="T786" i="64" s="1"/>
  <c r="O786" i="64"/>
  <c r="N786" i="64"/>
  <c r="M786" i="64"/>
  <c r="P786" i="64" s="1"/>
  <c r="L786" i="64"/>
  <c r="K786" i="64"/>
  <c r="J786" i="64"/>
  <c r="A786" i="64"/>
  <c r="S785" i="64"/>
  <c r="R785" i="64"/>
  <c r="T785" i="64" s="1"/>
  <c r="O785" i="64"/>
  <c r="N785" i="64"/>
  <c r="M785" i="64"/>
  <c r="L785" i="64"/>
  <c r="K785" i="64"/>
  <c r="J785" i="64"/>
  <c r="A785" i="64"/>
  <c r="S784" i="64"/>
  <c r="R784" i="64"/>
  <c r="T784" i="64" s="1"/>
  <c r="Q784" i="64"/>
  <c r="O784" i="64"/>
  <c r="N784" i="64"/>
  <c r="M784" i="64"/>
  <c r="P784" i="64" s="1"/>
  <c r="L784" i="64"/>
  <c r="K784" i="64"/>
  <c r="J784" i="64"/>
  <c r="A784" i="64"/>
  <c r="S783" i="64"/>
  <c r="R783" i="64"/>
  <c r="T783" i="64" s="1"/>
  <c r="O783" i="64"/>
  <c r="N783" i="64"/>
  <c r="M783" i="64"/>
  <c r="L783" i="64"/>
  <c r="K783" i="64"/>
  <c r="J783" i="64"/>
  <c r="A783" i="64"/>
  <c r="S782" i="64"/>
  <c r="R782" i="64"/>
  <c r="T782" i="64" s="1"/>
  <c r="O782" i="64"/>
  <c r="N782" i="64"/>
  <c r="M782" i="64"/>
  <c r="P782" i="64" s="1"/>
  <c r="L782" i="64"/>
  <c r="K782" i="64"/>
  <c r="J782" i="64"/>
  <c r="A782" i="64"/>
  <c r="S781" i="64"/>
  <c r="R781" i="64"/>
  <c r="T781" i="64" s="1"/>
  <c r="O781" i="64"/>
  <c r="N781" i="64"/>
  <c r="M781" i="64"/>
  <c r="L781" i="64"/>
  <c r="K781" i="64"/>
  <c r="J781" i="64"/>
  <c r="A781" i="64"/>
  <c r="S780" i="64"/>
  <c r="R780" i="64"/>
  <c r="T780" i="64" s="1"/>
  <c r="Q780" i="64"/>
  <c r="O780" i="64"/>
  <c r="N780" i="64"/>
  <c r="M780" i="64"/>
  <c r="P780" i="64" s="1"/>
  <c r="L780" i="64"/>
  <c r="K780" i="64"/>
  <c r="J780" i="64"/>
  <c r="A780" i="64"/>
  <c r="S779" i="64"/>
  <c r="R779" i="64"/>
  <c r="T779" i="64" s="1"/>
  <c r="O779" i="64"/>
  <c r="N779" i="64"/>
  <c r="M779" i="64"/>
  <c r="L779" i="64"/>
  <c r="K779" i="64"/>
  <c r="J779" i="64"/>
  <c r="A779" i="64"/>
  <c r="S778" i="64"/>
  <c r="R778" i="64"/>
  <c r="T778" i="64" s="1"/>
  <c r="O778" i="64"/>
  <c r="N778" i="64"/>
  <c r="M778" i="64"/>
  <c r="P778" i="64" s="1"/>
  <c r="L778" i="64"/>
  <c r="K778" i="64"/>
  <c r="J778" i="64"/>
  <c r="A778" i="64"/>
  <c r="S777" i="64"/>
  <c r="R777" i="64"/>
  <c r="T777" i="64" s="1"/>
  <c r="O777" i="64"/>
  <c r="N777" i="64"/>
  <c r="M777" i="64"/>
  <c r="L777" i="64"/>
  <c r="K777" i="64"/>
  <c r="J777" i="64"/>
  <c r="A777" i="64"/>
  <c r="S776" i="64"/>
  <c r="R776" i="64"/>
  <c r="T776" i="64" s="1"/>
  <c r="Q776" i="64"/>
  <c r="O776" i="64"/>
  <c r="N776" i="64"/>
  <c r="M776" i="64"/>
  <c r="P776" i="64" s="1"/>
  <c r="L776" i="64"/>
  <c r="K776" i="64"/>
  <c r="J776" i="64"/>
  <c r="A776" i="64"/>
  <c r="S775" i="64"/>
  <c r="R775" i="64"/>
  <c r="T775" i="64" s="1"/>
  <c r="O775" i="64"/>
  <c r="N775" i="64"/>
  <c r="M775" i="64"/>
  <c r="L775" i="64"/>
  <c r="K775" i="64"/>
  <c r="J775" i="64"/>
  <c r="A775" i="64"/>
  <c r="S774" i="64"/>
  <c r="R774" i="64"/>
  <c r="T774" i="64" s="1"/>
  <c r="O774" i="64"/>
  <c r="N774" i="64"/>
  <c r="M774" i="64"/>
  <c r="P774" i="64" s="1"/>
  <c r="L774" i="64"/>
  <c r="K774" i="64"/>
  <c r="J774" i="64"/>
  <c r="A774" i="64"/>
  <c r="S773" i="64"/>
  <c r="R773" i="64"/>
  <c r="T773" i="64" s="1"/>
  <c r="O773" i="64"/>
  <c r="N773" i="64"/>
  <c r="M773" i="64"/>
  <c r="L773" i="64"/>
  <c r="K773" i="64"/>
  <c r="J773" i="64"/>
  <c r="A773" i="64"/>
  <c r="S772" i="64"/>
  <c r="R772" i="64"/>
  <c r="T772" i="64" s="1"/>
  <c r="Q772" i="64"/>
  <c r="O772" i="64"/>
  <c r="N772" i="64"/>
  <c r="M772" i="64"/>
  <c r="P772" i="64" s="1"/>
  <c r="L772" i="64"/>
  <c r="K772" i="64"/>
  <c r="J772" i="64"/>
  <c r="A772" i="64"/>
  <c r="S771" i="64"/>
  <c r="R771" i="64"/>
  <c r="T771" i="64" s="1"/>
  <c r="O771" i="64"/>
  <c r="N771" i="64"/>
  <c r="M771" i="64"/>
  <c r="L771" i="64"/>
  <c r="K771" i="64"/>
  <c r="J771" i="64"/>
  <c r="A771" i="64"/>
  <c r="S770" i="64"/>
  <c r="R770" i="64"/>
  <c r="T770" i="64" s="1"/>
  <c r="O770" i="64"/>
  <c r="N770" i="64"/>
  <c r="M770" i="64"/>
  <c r="P770" i="64" s="1"/>
  <c r="L770" i="64"/>
  <c r="K770" i="64"/>
  <c r="J770" i="64"/>
  <c r="A770" i="64"/>
  <c r="S769" i="64"/>
  <c r="R769" i="64"/>
  <c r="T769" i="64" s="1"/>
  <c r="O769" i="64"/>
  <c r="N769" i="64"/>
  <c r="M769" i="64"/>
  <c r="P769" i="64" s="1"/>
  <c r="L769" i="64"/>
  <c r="K769" i="64"/>
  <c r="J769" i="64"/>
  <c r="A769" i="64"/>
  <c r="S768" i="64"/>
  <c r="R768" i="64"/>
  <c r="T768" i="64" s="1"/>
  <c r="O768" i="64"/>
  <c r="N768" i="64"/>
  <c r="M768" i="64"/>
  <c r="P768" i="64" s="1"/>
  <c r="L768" i="64"/>
  <c r="K768" i="64"/>
  <c r="J768" i="64"/>
  <c r="A768" i="64"/>
  <c r="S767" i="64"/>
  <c r="R767" i="64"/>
  <c r="T767" i="64" s="1"/>
  <c r="O767" i="64"/>
  <c r="N767" i="64"/>
  <c r="M767" i="64"/>
  <c r="L767" i="64"/>
  <c r="K767" i="64"/>
  <c r="J767" i="64"/>
  <c r="A767" i="64"/>
  <c r="S766" i="64"/>
  <c r="R766" i="64"/>
  <c r="T766" i="64" s="1"/>
  <c r="O766" i="64"/>
  <c r="N766" i="64"/>
  <c r="M766" i="64"/>
  <c r="P766" i="64" s="1"/>
  <c r="L766" i="64"/>
  <c r="K766" i="64"/>
  <c r="J766" i="64"/>
  <c r="A766" i="64"/>
  <c r="S765" i="64"/>
  <c r="R765" i="64"/>
  <c r="T765" i="64" s="1"/>
  <c r="O765" i="64"/>
  <c r="N765" i="64"/>
  <c r="M765" i="64"/>
  <c r="P765" i="64" s="1"/>
  <c r="L765" i="64"/>
  <c r="K765" i="64"/>
  <c r="J765" i="64"/>
  <c r="A765" i="64"/>
  <c r="S764" i="64"/>
  <c r="R764" i="64"/>
  <c r="T764" i="64" s="1"/>
  <c r="O764" i="64"/>
  <c r="N764" i="64"/>
  <c r="M764" i="64"/>
  <c r="P764" i="64" s="1"/>
  <c r="L764" i="64"/>
  <c r="K764" i="64"/>
  <c r="J764" i="64"/>
  <c r="A764" i="64"/>
  <c r="S763" i="64"/>
  <c r="R763" i="64"/>
  <c r="T763" i="64" s="1"/>
  <c r="O763" i="64"/>
  <c r="N763" i="64"/>
  <c r="M763" i="64"/>
  <c r="L763" i="64"/>
  <c r="K763" i="64"/>
  <c r="J763" i="64"/>
  <c r="A763" i="64"/>
  <c r="S762" i="64"/>
  <c r="R762" i="64"/>
  <c r="T762" i="64" s="1"/>
  <c r="O762" i="64"/>
  <c r="N762" i="64"/>
  <c r="M762" i="64"/>
  <c r="P762" i="64" s="1"/>
  <c r="L762" i="64"/>
  <c r="K762" i="64"/>
  <c r="J762" i="64"/>
  <c r="A762" i="64"/>
  <c r="S761" i="64"/>
  <c r="R761" i="64"/>
  <c r="T761" i="64" s="1"/>
  <c r="O761" i="64"/>
  <c r="N761" i="64"/>
  <c r="M761" i="64"/>
  <c r="P761" i="64" s="1"/>
  <c r="L761" i="64"/>
  <c r="K761" i="64"/>
  <c r="J761" i="64"/>
  <c r="A761" i="64"/>
  <c r="S760" i="64"/>
  <c r="R760" i="64"/>
  <c r="T760" i="64" s="1"/>
  <c r="O760" i="64"/>
  <c r="N760" i="64"/>
  <c r="M760" i="64"/>
  <c r="P760" i="64" s="1"/>
  <c r="L760" i="64"/>
  <c r="K760" i="64"/>
  <c r="J760" i="64"/>
  <c r="A760" i="64"/>
  <c r="S759" i="64"/>
  <c r="R759" i="64"/>
  <c r="T759" i="64" s="1"/>
  <c r="O759" i="64"/>
  <c r="N759" i="64"/>
  <c r="M759" i="64"/>
  <c r="L759" i="64"/>
  <c r="K759" i="64"/>
  <c r="J759" i="64"/>
  <c r="A759" i="64"/>
  <c r="S758" i="64"/>
  <c r="R758" i="64"/>
  <c r="T758" i="64" s="1"/>
  <c r="O758" i="64"/>
  <c r="N758" i="64"/>
  <c r="M758" i="64"/>
  <c r="P758" i="64" s="1"/>
  <c r="L758" i="64"/>
  <c r="K758" i="64"/>
  <c r="J758" i="64"/>
  <c r="A758" i="64"/>
  <c r="S757" i="64"/>
  <c r="R757" i="64"/>
  <c r="T757" i="64" s="1"/>
  <c r="O757" i="64"/>
  <c r="N757" i="64"/>
  <c r="M757" i="64"/>
  <c r="P757" i="64" s="1"/>
  <c r="L757" i="64"/>
  <c r="K757" i="64"/>
  <c r="J757" i="64"/>
  <c r="A757" i="64"/>
  <c r="S756" i="64"/>
  <c r="R756" i="64"/>
  <c r="T756" i="64" s="1"/>
  <c r="O756" i="64"/>
  <c r="N756" i="64"/>
  <c r="M756" i="64"/>
  <c r="P756" i="64" s="1"/>
  <c r="L756" i="64"/>
  <c r="K756" i="64"/>
  <c r="J756" i="64"/>
  <c r="A756" i="64"/>
  <c r="S755" i="64"/>
  <c r="R755" i="64"/>
  <c r="T755" i="64" s="1"/>
  <c r="O755" i="64"/>
  <c r="N755" i="64"/>
  <c r="M755" i="64"/>
  <c r="L755" i="64"/>
  <c r="K755" i="64"/>
  <c r="J755" i="64"/>
  <c r="A755" i="64"/>
  <c r="S754" i="64"/>
  <c r="R754" i="64"/>
  <c r="T754" i="64" s="1"/>
  <c r="O754" i="64"/>
  <c r="N754" i="64"/>
  <c r="M754" i="64"/>
  <c r="P754" i="64" s="1"/>
  <c r="L754" i="64"/>
  <c r="K754" i="64"/>
  <c r="J754" i="64"/>
  <c r="A754" i="64"/>
  <c r="S753" i="64"/>
  <c r="R753" i="64"/>
  <c r="T753" i="64" s="1"/>
  <c r="O753" i="64"/>
  <c r="N753" i="64"/>
  <c r="M753" i="64"/>
  <c r="P753" i="64" s="1"/>
  <c r="L753" i="64"/>
  <c r="K753" i="64"/>
  <c r="J753" i="64"/>
  <c r="A753" i="64"/>
  <c r="S752" i="64"/>
  <c r="R752" i="64"/>
  <c r="T752" i="64" s="1"/>
  <c r="O752" i="64"/>
  <c r="N752" i="64"/>
  <c r="M752" i="64"/>
  <c r="P752" i="64" s="1"/>
  <c r="L752" i="64"/>
  <c r="K752" i="64"/>
  <c r="J752" i="64"/>
  <c r="A752" i="64"/>
  <c r="S751" i="64"/>
  <c r="R751" i="64"/>
  <c r="T751" i="64" s="1"/>
  <c r="O751" i="64"/>
  <c r="N751" i="64"/>
  <c r="M751" i="64"/>
  <c r="L751" i="64"/>
  <c r="K751" i="64"/>
  <c r="J751" i="64"/>
  <c r="A751" i="64"/>
  <c r="S750" i="64"/>
  <c r="R750" i="64"/>
  <c r="T750" i="64" s="1"/>
  <c r="O750" i="64"/>
  <c r="N750" i="64"/>
  <c r="M750" i="64"/>
  <c r="P750" i="64" s="1"/>
  <c r="L750" i="64"/>
  <c r="K750" i="64"/>
  <c r="J750" i="64"/>
  <c r="A750" i="64"/>
  <c r="S749" i="64"/>
  <c r="R749" i="64"/>
  <c r="T749" i="64" s="1"/>
  <c r="O749" i="64"/>
  <c r="N749" i="64"/>
  <c r="M749" i="64"/>
  <c r="P749" i="64" s="1"/>
  <c r="L749" i="64"/>
  <c r="K749" i="64"/>
  <c r="J749" i="64"/>
  <c r="A749" i="64"/>
  <c r="S748" i="64"/>
  <c r="R748" i="64"/>
  <c r="T748" i="64" s="1"/>
  <c r="O748" i="64"/>
  <c r="N748" i="64"/>
  <c r="M748" i="64"/>
  <c r="P748" i="64" s="1"/>
  <c r="L748" i="64"/>
  <c r="K748" i="64"/>
  <c r="J748" i="64"/>
  <c r="A748" i="64"/>
  <c r="S747" i="64"/>
  <c r="R747" i="64"/>
  <c r="T747" i="64" s="1"/>
  <c r="O747" i="64"/>
  <c r="N747" i="64"/>
  <c r="M747" i="64"/>
  <c r="L747" i="64"/>
  <c r="K747" i="64"/>
  <c r="J747" i="64"/>
  <c r="A747" i="64"/>
  <c r="S746" i="64"/>
  <c r="R746" i="64"/>
  <c r="T746" i="64" s="1"/>
  <c r="O746" i="64"/>
  <c r="N746" i="64"/>
  <c r="M746" i="64"/>
  <c r="P746" i="64" s="1"/>
  <c r="L746" i="64"/>
  <c r="K746" i="64"/>
  <c r="J746" i="64"/>
  <c r="A746" i="64"/>
  <c r="S745" i="64"/>
  <c r="R745" i="64"/>
  <c r="T745" i="64" s="1"/>
  <c r="O745" i="64"/>
  <c r="N745" i="64"/>
  <c r="M745" i="64"/>
  <c r="P745" i="64" s="1"/>
  <c r="L745" i="64"/>
  <c r="K745" i="64"/>
  <c r="J745" i="64"/>
  <c r="A745" i="64"/>
  <c r="S744" i="64"/>
  <c r="R744" i="64"/>
  <c r="T744" i="64" s="1"/>
  <c r="O744" i="64"/>
  <c r="N744" i="64"/>
  <c r="M744" i="64"/>
  <c r="P744" i="64" s="1"/>
  <c r="L744" i="64"/>
  <c r="K744" i="64"/>
  <c r="J744" i="64"/>
  <c r="A744" i="64"/>
  <c r="S743" i="64"/>
  <c r="R743" i="64"/>
  <c r="T743" i="64" s="1"/>
  <c r="O743" i="64"/>
  <c r="N743" i="64"/>
  <c r="M743" i="64"/>
  <c r="L743" i="64"/>
  <c r="K743" i="64"/>
  <c r="J743" i="64"/>
  <c r="A743" i="64"/>
  <c r="S742" i="64"/>
  <c r="R742" i="64"/>
  <c r="T742" i="64" s="1"/>
  <c r="O742" i="64"/>
  <c r="N742" i="64"/>
  <c r="M742" i="64"/>
  <c r="P742" i="64" s="1"/>
  <c r="L742" i="64"/>
  <c r="K742" i="64"/>
  <c r="J742" i="64"/>
  <c r="A742" i="64"/>
  <c r="S741" i="64"/>
  <c r="R741" i="64"/>
  <c r="T741" i="64" s="1"/>
  <c r="O741" i="64"/>
  <c r="N741" i="64"/>
  <c r="M741" i="64"/>
  <c r="P741" i="64" s="1"/>
  <c r="L741" i="64"/>
  <c r="K741" i="64"/>
  <c r="J741" i="64"/>
  <c r="A741" i="64"/>
  <c r="S740" i="64"/>
  <c r="R740" i="64"/>
  <c r="T740" i="64" s="1"/>
  <c r="O740" i="64"/>
  <c r="N740" i="64"/>
  <c r="M740" i="64"/>
  <c r="P740" i="64" s="1"/>
  <c r="L740" i="64"/>
  <c r="K740" i="64"/>
  <c r="J740" i="64"/>
  <c r="A740" i="64"/>
  <c r="S739" i="64"/>
  <c r="R739" i="64"/>
  <c r="T739" i="64" s="1"/>
  <c r="O739" i="64"/>
  <c r="N739" i="64"/>
  <c r="M739" i="64"/>
  <c r="L739" i="64"/>
  <c r="K739" i="64"/>
  <c r="J739" i="64"/>
  <c r="A739" i="64"/>
  <c r="S738" i="64"/>
  <c r="R738" i="64"/>
  <c r="T738" i="64" s="1"/>
  <c r="O738" i="64"/>
  <c r="N738" i="64"/>
  <c r="M738" i="64"/>
  <c r="P738" i="64" s="1"/>
  <c r="L738" i="64"/>
  <c r="K738" i="64"/>
  <c r="J738" i="64"/>
  <c r="A738" i="64"/>
  <c r="S737" i="64"/>
  <c r="R737" i="64"/>
  <c r="T737" i="64" s="1"/>
  <c r="O737" i="64"/>
  <c r="N737" i="64"/>
  <c r="M737" i="64"/>
  <c r="P737" i="64" s="1"/>
  <c r="L737" i="64"/>
  <c r="K737" i="64"/>
  <c r="J737" i="64"/>
  <c r="A737" i="64"/>
  <c r="S736" i="64"/>
  <c r="R736" i="64"/>
  <c r="T736" i="64" s="1"/>
  <c r="O736" i="64"/>
  <c r="N736" i="64"/>
  <c r="M736" i="64"/>
  <c r="P736" i="64" s="1"/>
  <c r="L736" i="64"/>
  <c r="K736" i="64"/>
  <c r="J736" i="64"/>
  <c r="A736" i="64"/>
  <c r="S735" i="64"/>
  <c r="R735" i="64"/>
  <c r="T735" i="64" s="1"/>
  <c r="O735" i="64"/>
  <c r="N735" i="64"/>
  <c r="M735" i="64"/>
  <c r="L735" i="64"/>
  <c r="K735" i="64"/>
  <c r="J735" i="64"/>
  <c r="A735" i="64"/>
  <c r="S734" i="64"/>
  <c r="R734" i="64"/>
  <c r="T734" i="64" s="1"/>
  <c r="O734" i="64"/>
  <c r="N734" i="64"/>
  <c r="M734" i="64"/>
  <c r="P734" i="64" s="1"/>
  <c r="L734" i="64"/>
  <c r="K734" i="64"/>
  <c r="J734" i="64"/>
  <c r="A734" i="64"/>
  <c r="S733" i="64"/>
  <c r="R733" i="64"/>
  <c r="T733" i="64" s="1"/>
  <c r="O733" i="64"/>
  <c r="N733" i="64"/>
  <c r="M733" i="64"/>
  <c r="P733" i="64" s="1"/>
  <c r="L733" i="64"/>
  <c r="K733" i="64"/>
  <c r="J733" i="64"/>
  <c r="A733" i="64"/>
  <c r="S732" i="64"/>
  <c r="R732" i="64"/>
  <c r="T732" i="64" s="1"/>
  <c r="O732" i="64"/>
  <c r="N732" i="64"/>
  <c r="M732" i="64"/>
  <c r="P732" i="64" s="1"/>
  <c r="L732" i="64"/>
  <c r="K732" i="64"/>
  <c r="J732" i="64"/>
  <c r="A732" i="64"/>
  <c r="S731" i="64"/>
  <c r="R731" i="64"/>
  <c r="T731" i="64" s="1"/>
  <c r="O731" i="64"/>
  <c r="N731" i="64"/>
  <c r="M731" i="64"/>
  <c r="L731" i="64"/>
  <c r="K731" i="64"/>
  <c r="J731" i="64"/>
  <c r="A731" i="64"/>
  <c r="S730" i="64"/>
  <c r="R730" i="64"/>
  <c r="T730" i="64" s="1"/>
  <c r="O730" i="64"/>
  <c r="N730" i="64"/>
  <c r="M730" i="64"/>
  <c r="P730" i="64" s="1"/>
  <c r="L730" i="64"/>
  <c r="K730" i="64"/>
  <c r="J730" i="64"/>
  <c r="A730" i="64"/>
  <c r="S729" i="64"/>
  <c r="R729" i="64"/>
  <c r="T729" i="64" s="1"/>
  <c r="O729" i="64"/>
  <c r="N729" i="64"/>
  <c r="M729" i="64"/>
  <c r="P729" i="64" s="1"/>
  <c r="L729" i="64"/>
  <c r="K729" i="64"/>
  <c r="J729" i="64"/>
  <c r="A729" i="64"/>
  <c r="S728" i="64"/>
  <c r="R728" i="64"/>
  <c r="T728" i="64" s="1"/>
  <c r="O728" i="64"/>
  <c r="N728" i="64"/>
  <c r="M728" i="64"/>
  <c r="P728" i="64" s="1"/>
  <c r="L728" i="64"/>
  <c r="K728" i="64"/>
  <c r="J728" i="64"/>
  <c r="A728" i="64"/>
  <c r="S727" i="64"/>
  <c r="R727" i="64"/>
  <c r="T727" i="64" s="1"/>
  <c r="O727" i="64"/>
  <c r="N727" i="64"/>
  <c r="M727" i="64"/>
  <c r="L727" i="64"/>
  <c r="K727" i="64"/>
  <c r="J727" i="64"/>
  <c r="A727" i="64"/>
  <c r="S726" i="64"/>
  <c r="R726" i="64"/>
  <c r="T726" i="64" s="1"/>
  <c r="O726" i="64"/>
  <c r="N726" i="64"/>
  <c r="M726" i="64"/>
  <c r="P726" i="64" s="1"/>
  <c r="L726" i="64"/>
  <c r="K726" i="64"/>
  <c r="J726" i="64"/>
  <c r="A726" i="64"/>
  <c r="S725" i="64"/>
  <c r="R725" i="64"/>
  <c r="T725" i="64" s="1"/>
  <c r="O725" i="64"/>
  <c r="N725" i="64"/>
  <c r="M725" i="64"/>
  <c r="P725" i="64" s="1"/>
  <c r="L725" i="64"/>
  <c r="K725" i="64"/>
  <c r="J725" i="64"/>
  <c r="A725" i="64"/>
  <c r="S724" i="64"/>
  <c r="R724" i="64"/>
  <c r="T724" i="64" s="1"/>
  <c r="O724" i="64"/>
  <c r="N724" i="64"/>
  <c r="M724" i="64"/>
  <c r="P724" i="64" s="1"/>
  <c r="L724" i="64"/>
  <c r="K724" i="64"/>
  <c r="J724" i="64"/>
  <c r="A724" i="64"/>
  <c r="S723" i="64"/>
  <c r="R723" i="64"/>
  <c r="T723" i="64" s="1"/>
  <c r="O723" i="64"/>
  <c r="N723" i="64"/>
  <c r="M723" i="64"/>
  <c r="L723" i="64"/>
  <c r="K723" i="64"/>
  <c r="J723" i="64"/>
  <c r="A723" i="64"/>
  <c r="S722" i="64"/>
  <c r="R722" i="64"/>
  <c r="T722" i="64" s="1"/>
  <c r="O722" i="64"/>
  <c r="N722" i="64"/>
  <c r="M722" i="64"/>
  <c r="P722" i="64" s="1"/>
  <c r="L722" i="64"/>
  <c r="K722" i="64"/>
  <c r="J722" i="64"/>
  <c r="A722" i="64"/>
  <c r="S721" i="64"/>
  <c r="R721" i="64"/>
  <c r="T721" i="64" s="1"/>
  <c r="O721" i="64"/>
  <c r="N721" i="64"/>
  <c r="M721" i="64"/>
  <c r="P721" i="64" s="1"/>
  <c r="L721" i="64"/>
  <c r="K721" i="64"/>
  <c r="J721" i="64"/>
  <c r="A721" i="64"/>
  <c r="S720" i="64"/>
  <c r="R720" i="64"/>
  <c r="T720" i="64" s="1"/>
  <c r="O720" i="64"/>
  <c r="N720" i="64"/>
  <c r="M720" i="64"/>
  <c r="P720" i="64" s="1"/>
  <c r="L720" i="64"/>
  <c r="K720" i="64"/>
  <c r="J720" i="64"/>
  <c r="A720" i="64"/>
  <c r="S719" i="64"/>
  <c r="R719" i="64"/>
  <c r="T719" i="64" s="1"/>
  <c r="O719" i="64"/>
  <c r="N719" i="64"/>
  <c r="M719" i="64"/>
  <c r="L719" i="64"/>
  <c r="K719" i="64"/>
  <c r="J719" i="64"/>
  <c r="A719" i="64"/>
  <c r="S718" i="64"/>
  <c r="R718" i="64"/>
  <c r="T718" i="64" s="1"/>
  <c r="O718" i="64"/>
  <c r="N718" i="64"/>
  <c r="M718" i="64"/>
  <c r="P718" i="64" s="1"/>
  <c r="L718" i="64"/>
  <c r="K718" i="64"/>
  <c r="J718" i="64"/>
  <c r="A718" i="64"/>
  <c r="S717" i="64"/>
  <c r="R717" i="64"/>
  <c r="T717" i="64" s="1"/>
  <c r="O717" i="64"/>
  <c r="N717" i="64"/>
  <c r="M717" i="64"/>
  <c r="P717" i="64" s="1"/>
  <c r="L717" i="64"/>
  <c r="K717" i="64"/>
  <c r="J717" i="64"/>
  <c r="A717" i="64"/>
  <c r="S716" i="64"/>
  <c r="R716" i="64"/>
  <c r="T716" i="64" s="1"/>
  <c r="O716" i="64"/>
  <c r="N716" i="64"/>
  <c r="M716" i="64"/>
  <c r="P716" i="64" s="1"/>
  <c r="L716" i="64"/>
  <c r="K716" i="64"/>
  <c r="J716" i="64"/>
  <c r="A716" i="64"/>
  <c r="S715" i="64"/>
  <c r="R715" i="64"/>
  <c r="T715" i="64" s="1"/>
  <c r="O715" i="64"/>
  <c r="N715" i="64"/>
  <c r="M715" i="64"/>
  <c r="L715" i="64"/>
  <c r="K715" i="64"/>
  <c r="J715" i="64"/>
  <c r="A715" i="64"/>
  <c r="S714" i="64"/>
  <c r="R714" i="64"/>
  <c r="T714" i="64" s="1"/>
  <c r="O714" i="64"/>
  <c r="N714" i="64"/>
  <c r="M714" i="64"/>
  <c r="P714" i="64" s="1"/>
  <c r="L714" i="64"/>
  <c r="K714" i="64"/>
  <c r="J714" i="64"/>
  <c r="A714" i="64"/>
  <c r="S713" i="64"/>
  <c r="R713" i="64"/>
  <c r="T713" i="64" s="1"/>
  <c r="O713" i="64"/>
  <c r="N713" i="64"/>
  <c r="M713" i="64"/>
  <c r="P713" i="64" s="1"/>
  <c r="L713" i="64"/>
  <c r="K713" i="64"/>
  <c r="J713" i="64"/>
  <c r="A713" i="64"/>
  <c r="S712" i="64"/>
  <c r="R712" i="64"/>
  <c r="T712" i="64" s="1"/>
  <c r="O712" i="64"/>
  <c r="N712" i="64"/>
  <c r="M712" i="64"/>
  <c r="P712" i="64" s="1"/>
  <c r="L712" i="64"/>
  <c r="K712" i="64"/>
  <c r="J712" i="64"/>
  <c r="A712" i="64"/>
  <c r="S711" i="64"/>
  <c r="R711" i="64"/>
  <c r="T711" i="64" s="1"/>
  <c r="O711" i="64"/>
  <c r="N711" i="64"/>
  <c r="M711" i="64"/>
  <c r="L711" i="64"/>
  <c r="K711" i="64"/>
  <c r="J711" i="64"/>
  <c r="A711" i="64"/>
  <c r="S710" i="64"/>
  <c r="R710" i="64"/>
  <c r="T710" i="64" s="1"/>
  <c r="O710" i="64"/>
  <c r="N710" i="64"/>
  <c r="M710" i="64"/>
  <c r="L710" i="64"/>
  <c r="K710" i="64"/>
  <c r="J710" i="64"/>
  <c r="A710" i="64"/>
  <c r="S709" i="64"/>
  <c r="R709" i="64"/>
  <c r="T709" i="64" s="1"/>
  <c r="O709" i="64"/>
  <c r="N709" i="64"/>
  <c r="M709" i="64"/>
  <c r="P709" i="64" s="1"/>
  <c r="L709" i="64"/>
  <c r="K709" i="64"/>
  <c r="J709" i="64"/>
  <c r="A709" i="64"/>
  <c r="S708" i="64"/>
  <c r="R708" i="64"/>
  <c r="T708" i="64" s="1"/>
  <c r="O708" i="64"/>
  <c r="N708" i="64"/>
  <c r="M708" i="64"/>
  <c r="P708" i="64" s="1"/>
  <c r="L708" i="64"/>
  <c r="K708" i="64"/>
  <c r="J708" i="64"/>
  <c r="A708" i="64"/>
  <c r="S707" i="64"/>
  <c r="R707" i="64"/>
  <c r="T707" i="64" s="1"/>
  <c r="O707" i="64"/>
  <c r="N707" i="64"/>
  <c r="M707" i="64"/>
  <c r="L707" i="64"/>
  <c r="K707" i="64"/>
  <c r="J707" i="64"/>
  <c r="A707" i="64"/>
  <c r="S706" i="64"/>
  <c r="R706" i="64"/>
  <c r="T706" i="64" s="1"/>
  <c r="O706" i="64"/>
  <c r="N706" i="64"/>
  <c r="M706" i="64"/>
  <c r="L706" i="64"/>
  <c r="K706" i="64"/>
  <c r="J706" i="64"/>
  <c r="A706" i="64"/>
  <c r="S705" i="64"/>
  <c r="R705" i="64"/>
  <c r="T705" i="64" s="1"/>
  <c r="P705" i="64"/>
  <c r="O705" i="64"/>
  <c r="N705" i="64"/>
  <c r="M705" i="64"/>
  <c r="Q705" i="64" s="1"/>
  <c r="L705" i="64"/>
  <c r="K705" i="64"/>
  <c r="J705" i="64"/>
  <c r="A705" i="64"/>
  <c r="T704" i="64"/>
  <c r="S704" i="64"/>
  <c r="R704" i="64"/>
  <c r="O704" i="64"/>
  <c r="N704" i="64"/>
  <c r="P704" i="64" s="1"/>
  <c r="M704" i="64"/>
  <c r="Q704" i="64" s="1"/>
  <c r="L704" i="64"/>
  <c r="K704" i="64"/>
  <c r="J704" i="64"/>
  <c r="A704" i="64"/>
  <c r="S703" i="64"/>
  <c r="R703" i="64"/>
  <c r="T703" i="64" s="1"/>
  <c r="P703" i="64"/>
  <c r="O703" i="64"/>
  <c r="N703" i="64"/>
  <c r="M703" i="64"/>
  <c r="Q703" i="64" s="1"/>
  <c r="L703" i="64"/>
  <c r="K703" i="64"/>
  <c r="J703" i="64"/>
  <c r="A703" i="64"/>
  <c r="T702" i="64"/>
  <c r="S702" i="64"/>
  <c r="R702" i="64"/>
  <c r="O702" i="64"/>
  <c r="N702" i="64"/>
  <c r="P702" i="64" s="1"/>
  <c r="M702" i="64"/>
  <c r="Q702" i="64" s="1"/>
  <c r="L702" i="64"/>
  <c r="K702" i="64"/>
  <c r="J702" i="64"/>
  <c r="A702" i="64"/>
  <c r="S701" i="64"/>
  <c r="R701" i="64"/>
  <c r="T701" i="64" s="1"/>
  <c r="P701" i="64"/>
  <c r="O701" i="64"/>
  <c r="N701" i="64"/>
  <c r="M701" i="64"/>
  <c r="Q701" i="64" s="1"/>
  <c r="L701" i="64"/>
  <c r="K701" i="64"/>
  <c r="J701" i="64"/>
  <c r="A701" i="64"/>
  <c r="T700" i="64"/>
  <c r="S700" i="64"/>
  <c r="R700" i="64"/>
  <c r="O700" i="64"/>
  <c r="N700" i="64"/>
  <c r="P700" i="64" s="1"/>
  <c r="M700" i="64"/>
  <c r="Q700" i="64" s="1"/>
  <c r="L700" i="64"/>
  <c r="K700" i="64"/>
  <c r="J700" i="64"/>
  <c r="A700" i="64"/>
  <c r="S699" i="64"/>
  <c r="R699" i="64"/>
  <c r="T699" i="64" s="1"/>
  <c r="P699" i="64"/>
  <c r="O699" i="64"/>
  <c r="N699" i="64"/>
  <c r="M699" i="64"/>
  <c r="Q699" i="64" s="1"/>
  <c r="L699" i="64"/>
  <c r="K699" i="64"/>
  <c r="J699" i="64"/>
  <c r="A699" i="64"/>
  <c r="T698" i="64"/>
  <c r="S698" i="64"/>
  <c r="R698" i="64"/>
  <c r="O698" i="64"/>
  <c r="N698" i="64"/>
  <c r="P698" i="64" s="1"/>
  <c r="M698" i="64"/>
  <c r="Q698" i="64" s="1"/>
  <c r="L698" i="64"/>
  <c r="K698" i="64"/>
  <c r="J698" i="64"/>
  <c r="A698" i="64"/>
  <c r="S697" i="64"/>
  <c r="R697" i="64"/>
  <c r="T697" i="64" s="1"/>
  <c r="P697" i="64"/>
  <c r="O697" i="64"/>
  <c r="N697" i="64"/>
  <c r="M697" i="64"/>
  <c r="Q697" i="64" s="1"/>
  <c r="L697" i="64"/>
  <c r="K697" i="64"/>
  <c r="J697" i="64"/>
  <c r="A697" i="64"/>
  <c r="T696" i="64"/>
  <c r="S696" i="64"/>
  <c r="R696" i="64"/>
  <c r="O696" i="64"/>
  <c r="N696" i="64"/>
  <c r="P696" i="64" s="1"/>
  <c r="M696" i="64"/>
  <c r="Q696" i="64" s="1"/>
  <c r="L696" i="64"/>
  <c r="K696" i="64"/>
  <c r="J696" i="64"/>
  <c r="A696" i="64"/>
  <c r="S695" i="64"/>
  <c r="R695" i="64"/>
  <c r="T695" i="64" s="1"/>
  <c r="P695" i="64"/>
  <c r="O695" i="64"/>
  <c r="N695" i="64"/>
  <c r="M695" i="64"/>
  <c r="Q695" i="64" s="1"/>
  <c r="L695" i="64"/>
  <c r="K695" i="64"/>
  <c r="J695" i="64"/>
  <c r="A695" i="64"/>
  <c r="T694" i="64"/>
  <c r="S694" i="64"/>
  <c r="R694" i="64"/>
  <c r="O694" i="64"/>
  <c r="N694" i="64"/>
  <c r="P694" i="64" s="1"/>
  <c r="M694" i="64"/>
  <c r="Q694" i="64" s="1"/>
  <c r="L694" i="64"/>
  <c r="K694" i="64"/>
  <c r="J694" i="64"/>
  <c r="A694" i="64"/>
  <c r="S693" i="64"/>
  <c r="R693" i="64"/>
  <c r="T693" i="64" s="1"/>
  <c r="P693" i="64"/>
  <c r="O693" i="64"/>
  <c r="N693" i="64"/>
  <c r="M693" i="64"/>
  <c r="Q693" i="64" s="1"/>
  <c r="L693" i="64"/>
  <c r="K693" i="64"/>
  <c r="J693" i="64"/>
  <c r="A693" i="64"/>
  <c r="T692" i="64"/>
  <c r="S692" i="64"/>
  <c r="R692" i="64"/>
  <c r="O692" i="64"/>
  <c r="N692" i="64"/>
  <c r="P692" i="64" s="1"/>
  <c r="M692" i="64"/>
  <c r="Q692" i="64" s="1"/>
  <c r="L692" i="64"/>
  <c r="K692" i="64"/>
  <c r="J692" i="64"/>
  <c r="A692" i="64"/>
  <c r="S691" i="64"/>
  <c r="R691" i="64"/>
  <c r="T691" i="64" s="1"/>
  <c r="P691" i="64"/>
  <c r="O691" i="64"/>
  <c r="N691" i="64"/>
  <c r="M691" i="64"/>
  <c r="Q691" i="64" s="1"/>
  <c r="L691" i="64"/>
  <c r="K691" i="64"/>
  <c r="J691" i="64"/>
  <c r="A691" i="64"/>
  <c r="T690" i="64"/>
  <c r="S690" i="64"/>
  <c r="R690" i="64"/>
  <c r="O690" i="64"/>
  <c r="N690" i="64"/>
  <c r="P690" i="64" s="1"/>
  <c r="M690" i="64"/>
  <c r="Q690" i="64" s="1"/>
  <c r="L690" i="64"/>
  <c r="K690" i="64"/>
  <c r="J690" i="64"/>
  <c r="A690" i="64"/>
  <c r="S689" i="64"/>
  <c r="R689" i="64"/>
  <c r="T689" i="64" s="1"/>
  <c r="P689" i="64"/>
  <c r="O689" i="64"/>
  <c r="N689" i="64"/>
  <c r="M689" i="64"/>
  <c r="Q689" i="64" s="1"/>
  <c r="L689" i="64"/>
  <c r="K689" i="64"/>
  <c r="J689" i="64"/>
  <c r="A689" i="64"/>
  <c r="T688" i="64"/>
  <c r="S688" i="64"/>
  <c r="R688" i="64"/>
  <c r="O688" i="64"/>
  <c r="N688" i="64"/>
  <c r="P688" i="64" s="1"/>
  <c r="M688" i="64"/>
  <c r="Q688" i="64" s="1"/>
  <c r="L688" i="64"/>
  <c r="K688" i="64"/>
  <c r="J688" i="64"/>
  <c r="A688" i="64"/>
  <c r="S687" i="64"/>
  <c r="R687" i="64"/>
  <c r="T687" i="64" s="1"/>
  <c r="P687" i="64"/>
  <c r="O687" i="64"/>
  <c r="N687" i="64"/>
  <c r="M687" i="64"/>
  <c r="Q687" i="64" s="1"/>
  <c r="L687" i="64"/>
  <c r="K687" i="64"/>
  <c r="J687" i="64"/>
  <c r="A687" i="64"/>
  <c r="T686" i="64"/>
  <c r="S686" i="64"/>
  <c r="R686" i="64"/>
  <c r="O686" i="64"/>
  <c r="N686" i="64"/>
  <c r="P686" i="64" s="1"/>
  <c r="M686" i="64"/>
  <c r="Q686" i="64" s="1"/>
  <c r="L686" i="64"/>
  <c r="K686" i="64"/>
  <c r="J686" i="64"/>
  <c r="A686" i="64"/>
  <c r="S685" i="64"/>
  <c r="R685" i="64"/>
  <c r="T685" i="64" s="1"/>
  <c r="P685" i="64"/>
  <c r="O685" i="64"/>
  <c r="N685" i="64"/>
  <c r="M685" i="64"/>
  <c r="Q685" i="64" s="1"/>
  <c r="L685" i="64"/>
  <c r="K685" i="64"/>
  <c r="J685" i="64"/>
  <c r="A685" i="64"/>
  <c r="T684" i="64"/>
  <c r="S684" i="64"/>
  <c r="R684" i="64"/>
  <c r="O684" i="64"/>
  <c r="N684" i="64"/>
  <c r="P684" i="64" s="1"/>
  <c r="M684" i="64"/>
  <c r="Q684" i="64" s="1"/>
  <c r="L684" i="64"/>
  <c r="K684" i="64"/>
  <c r="J684" i="64"/>
  <c r="A684" i="64"/>
  <c r="S683" i="64"/>
  <c r="R683" i="64"/>
  <c r="T683" i="64" s="1"/>
  <c r="P683" i="64"/>
  <c r="O683" i="64"/>
  <c r="N683" i="64"/>
  <c r="M683" i="64"/>
  <c r="Q683" i="64" s="1"/>
  <c r="L683" i="64"/>
  <c r="K683" i="64"/>
  <c r="J683" i="64"/>
  <c r="A683" i="64"/>
  <c r="T682" i="64"/>
  <c r="S682" i="64"/>
  <c r="R682" i="64"/>
  <c r="O682" i="64"/>
  <c r="N682" i="64"/>
  <c r="P682" i="64" s="1"/>
  <c r="M682" i="64"/>
  <c r="Q682" i="64" s="1"/>
  <c r="L682" i="64"/>
  <c r="K682" i="64"/>
  <c r="J682" i="64"/>
  <c r="A682" i="64"/>
  <c r="S681" i="64"/>
  <c r="R681" i="64"/>
  <c r="T681" i="64" s="1"/>
  <c r="P681" i="64"/>
  <c r="O681" i="64"/>
  <c r="N681" i="64"/>
  <c r="M681" i="64"/>
  <c r="Q681" i="64" s="1"/>
  <c r="L681" i="64"/>
  <c r="K681" i="64"/>
  <c r="J681" i="64"/>
  <c r="A681" i="64"/>
  <c r="T680" i="64"/>
  <c r="S680" i="64"/>
  <c r="R680" i="64"/>
  <c r="O680" i="64"/>
  <c r="N680" i="64"/>
  <c r="P680" i="64" s="1"/>
  <c r="M680" i="64"/>
  <c r="Q680" i="64" s="1"/>
  <c r="L680" i="64"/>
  <c r="K680" i="64"/>
  <c r="J680" i="64"/>
  <c r="A680" i="64"/>
  <c r="S679" i="64"/>
  <c r="R679" i="64"/>
  <c r="T679" i="64" s="1"/>
  <c r="P679" i="64"/>
  <c r="O679" i="64"/>
  <c r="N679" i="64"/>
  <c r="M679" i="64"/>
  <c r="Q679" i="64" s="1"/>
  <c r="L679" i="64"/>
  <c r="K679" i="64"/>
  <c r="J679" i="64"/>
  <c r="A679" i="64"/>
  <c r="T678" i="64"/>
  <c r="S678" i="64"/>
  <c r="R678" i="64"/>
  <c r="O678" i="64"/>
  <c r="N678" i="64"/>
  <c r="P678" i="64" s="1"/>
  <c r="M678" i="64"/>
  <c r="Q678" i="64" s="1"/>
  <c r="L678" i="64"/>
  <c r="K678" i="64"/>
  <c r="J678" i="64"/>
  <c r="A678" i="64"/>
  <c r="S677" i="64"/>
  <c r="R677" i="64"/>
  <c r="T677" i="64" s="1"/>
  <c r="P677" i="64"/>
  <c r="O677" i="64"/>
  <c r="N677" i="64"/>
  <c r="M677" i="64"/>
  <c r="Q677" i="64" s="1"/>
  <c r="L677" i="64"/>
  <c r="K677" i="64"/>
  <c r="J677" i="64"/>
  <c r="A677" i="64"/>
  <c r="T676" i="64"/>
  <c r="S676" i="64"/>
  <c r="R676" i="64"/>
  <c r="O676" i="64"/>
  <c r="N676" i="64"/>
  <c r="P676" i="64" s="1"/>
  <c r="M676" i="64"/>
  <c r="Q676" i="64" s="1"/>
  <c r="L676" i="64"/>
  <c r="K676" i="64"/>
  <c r="J676" i="64"/>
  <c r="A676" i="64"/>
  <c r="S675" i="64"/>
  <c r="R675" i="64"/>
  <c r="T675" i="64" s="1"/>
  <c r="P675" i="64"/>
  <c r="O675" i="64"/>
  <c r="N675" i="64"/>
  <c r="M675" i="64"/>
  <c r="Q675" i="64" s="1"/>
  <c r="L675" i="64"/>
  <c r="K675" i="64"/>
  <c r="J675" i="64"/>
  <c r="A675" i="64"/>
  <c r="T674" i="64"/>
  <c r="S674" i="64"/>
  <c r="R674" i="64"/>
  <c r="O674" i="64"/>
  <c r="N674" i="64"/>
  <c r="P674" i="64" s="1"/>
  <c r="M674" i="64"/>
  <c r="Q674" i="64" s="1"/>
  <c r="L674" i="64"/>
  <c r="K674" i="64"/>
  <c r="J674" i="64"/>
  <c r="A674" i="64"/>
  <c r="S673" i="64"/>
  <c r="R673" i="64"/>
  <c r="T673" i="64" s="1"/>
  <c r="P673" i="64"/>
  <c r="O673" i="64"/>
  <c r="N673" i="64"/>
  <c r="M673" i="64"/>
  <c r="Q673" i="64" s="1"/>
  <c r="L673" i="64"/>
  <c r="K673" i="64"/>
  <c r="J673" i="64"/>
  <c r="A673" i="64"/>
  <c r="T672" i="64"/>
  <c r="S672" i="64"/>
  <c r="R672" i="64"/>
  <c r="O672" i="64"/>
  <c r="N672" i="64"/>
  <c r="P672" i="64" s="1"/>
  <c r="M672" i="64"/>
  <c r="Q672" i="64" s="1"/>
  <c r="L672" i="64"/>
  <c r="K672" i="64"/>
  <c r="J672" i="64"/>
  <c r="A672" i="64"/>
  <c r="S671" i="64"/>
  <c r="R671" i="64"/>
  <c r="T671" i="64" s="1"/>
  <c r="O671" i="64"/>
  <c r="N671" i="64"/>
  <c r="P671" i="64" s="1"/>
  <c r="M671" i="64"/>
  <c r="Q671" i="64" s="1"/>
  <c r="L671" i="64"/>
  <c r="K671" i="64"/>
  <c r="J671" i="64"/>
  <c r="A671" i="64"/>
  <c r="S670" i="64"/>
  <c r="R670" i="64"/>
  <c r="T670" i="64" s="1"/>
  <c r="O670" i="64"/>
  <c r="N670" i="64"/>
  <c r="P670" i="64" s="1"/>
  <c r="M670" i="64"/>
  <c r="Q670" i="64" s="1"/>
  <c r="L670" i="64"/>
  <c r="K670" i="64"/>
  <c r="J670" i="64"/>
  <c r="A670" i="64"/>
  <c r="S669" i="64"/>
  <c r="R669" i="64"/>
  <c r="T669" i="64" s="1"/>
  <c r="P669" i="64"/>
  <c r="O669" i="64"/>
  <c r="N669" i="64"/>
  <c r="M669" i="64"/>
  <c r="Q669" i="64" s="1"/>
  <c r="L669" i="64"/>
  <c r="K669" i="64"/>
  <c r="J669" i="64"/>
  <c r="A669" i="64"/>
  <c r="T668" i="64"/>
  <c r="S668" i="64"/>
  <c r="R668" i="64"/>
  <c r="O668" i="64"/>
  <c r="N668" i="64"/>
  <c r="P668" i="64" s="1"/>
  <c r="M668" i="64"/>
  <c r="Q668" i="64" s="1"/>
  <c r="L668" i="64"/>
  <c r="K668" i="64"/>
  <c r="J668" i="64"/>
  <c r="A668" i="64"/>
  <c r="S667" i="64"/>
  <c r="R667" i="64"/>
  <c r="T667" i="64" s="1"/>
  <c r="O667" i="64"/>
  <c r="N667" i="64"/>
  <c r="P667" i="64" s="1"/>
  <c r="M667" i="64"/>
  <c r="Q667" i="64" s="1"/>
  <c r="L667" i="64"/>
  <c r="K667" i="64"/>
  <c r="J667" i="64"/>
  <c r="A667" i="64"/>
  <c r="S666" i="64"/>
  <c r="R666" i="64"/>
  <c r="T666" i="64" s="1"/>
  <c r="O666" i="64"/>
  <c r="N666" i="64"/>
  <c r="P666" i="64" s="1"/>
  <c r="M666" i="64"/>
  <c r="Q666" i="64" s="1"/>
  <c r="L666" i="64"/>
  <c r="K666" i="64"/>
  <c r="J666" i="64"/>
  <c r="A666" i="64"/>
  <c r="S665" i="64"/>
  <c r="R665" i="64"/>
  <c r="T665" i="64" s="1"/>
  <c r="P665" i="64"/>
  <c r="O665" i="64"/>
  <c r="N665" i="64"/>
  <c r="M665" i="64"/>
  <c r="Q665" i="64" s="1"/>
  <c r="L665" i="64"/>
  <c r="K665" i="64"/>
  <c r="J665" i="64"/>
  <c r="A665" i="64"/>
  <c r="T664" i="64"/>
  <c r="S664" i="64"/>
  <c r="R664" i="64"/>
  <c r="O664" i="64"/>
  <c r="N664" i="64"/>
  <c r="P664" i="64" s="1"/>
  <c r="M664" i="64"/>
  <c r="Q664" i="64" s="1"/>
  <c r="L664" i="64"/>
  <c r="K664" i="64"/>
  <c r="J664" i="64"/>
  <c r="A664" i="64"/>
  <c r="S663" i="64"/>
  <c r="R663" i="64"/>
  <c r="T663" i="64" s="1"/>
  <c r="O663" i="64"/>
  <c r="N663" i="64"/>
  <c r="P663" i="64" s="1"/>
  <c r="M663" i="64"/>
  <c r="Q663" i="64" s="1"/>
  <c r="L663" i="64"/>
  <c r="K663" i="64"/>
  <c r="J663" i="64"/>
  <c r="A663" i="64"/>
  <c r="S662" i="64"/>
  <c r="R662" i="64"/>
  <c r="T662" i="64" s="1"/>
  <c r="O662" i="64"/>
  <c r="N662" i="64"/>
  <c r="P662" i="64" s="1"/>
  <c r="M662" i="64"/>
  <c r="Q662" i="64" s="1"/>
  <c r="L662" i="64"/>
  <c r="K662" i="64"/>
  <c r="J662" i="64"/>
  <c r="A662" i="64"/>
  <c r="S661" i="64"/>
  <c r="R661" i="64"/>
  <c r="T661" i="64" s="1"/>
  <c r="P661" i="64"/>
  <c r="O661" i="64"/>
  <c r="N661" i="64"/>
  <c r="M661" i="64"/>
  <c r="Q661" i="64" s="1"/>
  <c r="L661" i="64"/>
  <c r="K661" i="64"/>
  <c r="J661" i="64"/>
  <c r="A661" i="64"/>
  <c r="T660" i="64"/>
  <c r="S660" i="64"/>
  <c r="R660" i="64"/>
  <c r="O660" i="64"/>
  <c r="N660" i="64"/>
  <c r="P660" i="64" s="1"/>
  <c r="M660" i="64"/>
  <c r="Q660" i="64" s="1"/>
  <c r="L660" i="64"/>
  <c r="K660" i="64"/>
  <c r="J660" i="64"/>
  <c r="A660" i="64"/>
  <c r="S659" i="64"/>
  <c r="R659" i="64"/>
  <c r="T659" i="64" s="1"/>
  <c r="O659" i="64"/>
  <c r="N659" i="64"/>
  <c r="P659" i="64" s="1"/>
  <c r="M659" i="64"/>
  <c r="Q659" i="64" s="1"/>
  <c r="L659" i="64"/>
  <c r="K659" i="64"/>
  <c r="J659" i="64"/>
  <c r="A659" i="64"/>
  <c r="S658" i="64"/>
  <c r="R658" i="64"/>
  <c r="T658" i="64" s="1"/>
  <c r="O658" i="64"/>
  <c r="N658" i="64"/>
  <c r="P658" i="64" s="1"/>
  <c r="M658" i="64"/>
  <c r="Q658" i="64" s="1"/>
  <c r="L658" i="64"/>
  <c r="K658" i="64"/>
  <c r="J658" i="64"/>
  <c r="A658" i="64"/>
  <c r="S657" i="64"/>
  <c r="R657" i="64"/>
  <c r="T657" i="64" s="1"/>
  <c r="P657" i="64"/>
  <c r="O657" i="64"/>
  <c r="N657" i="64"/>
  <c r="M657" i="64"/>
  <c r="Q657" i="64" s="1"/>
  <c r="L657" i="64"/>
  <c r="K657" i="64"/>
  <c r="J657" i="64"/>
  <c r="A657" i="64"/>
  <c r="T656" i="64"/>
  <c r="S656" i="64"/>
  <c r="R656" i="64"/>
  <c r="O656" i="64"/>
  <c r="N656" i="64"/>
  <c r="P656" i="64" s="1"/>
  <c r="M656" i="64"/>
  <c r="Q656" i="64" s="1"/>
  <c r="L656" i="64"/>
  <c r="K656" i="64"/>
  <c r="J656" i="64"/>
  <c r="A656" i="64"/>
  <c r="S655" i="64"/>
  <c r="R655" i="64"/>
  <c r="T655" i="64" s="1"/>
  <c r="O655" i="64"/>
  <c r="N655" i="64"/>
  <c r="P655" i="64" s="1"/>
  <c r="M655" i="64"/>
  <c r="Q655" i="64" s="1"/>
  <c r="L655" i="64"/>
  <c r="K655" i="64"/>
  <c r="J655" i="64"/>
  <c r="A655" i="64"/>
  <c r="S654" i="64"/>
  <c r="R654" i="64"/>
  <c r="T654" i="64" s="1"/>
  <c r="O654" i="64"/>
  <c r="N654" i="64"/>
  <c r="P654" i="64" s="1"/>
  <c r="M654" i="64"/>
  <c r="Q654" i="64" s="1"/>
  <c r="L654" i="64"/>
  <c r="K654" i="64"/>
  <c r="J654" i="64"/>
  <c r="A654" i="64"/>
  <c r="S653" i="64"/>
  <c r="R653" i="64"/>
  <c r="T653" i="64" s="1"/>
  <c r="P653" i="64"/>
  <c r="O653" i="64"/>
  <c r="N653" i="64"/>
  <c r="M653" i="64"/>
  <c r="Q653" i="64" s="1"/>
  <c r="L653" i="64"/>
  <c r="K653" i="64"/>
  <c r="J653" i="64"/>
  <c r="A653" i="64"/>
  <c r="T652" i="64"/>
  <c r="S652" i="64"/>
  <c r="R652" i="64"/>
  <c r="O652" i="64"/>
  <c r="N652" i="64"/>
  <c r="P652" i="64" s="1"/>
  <c r="M652" i="64"/>
  <c r="Q652" i="64" s="1"/>
  <c r="L652" i="64"/>
  <c r="K652" i="64"/>
  <c r="J652" i="64"/>
  <c r="A652" i="64"/>
  <c r="S651" i="64"/>
  <c r="R651" i="64"/>
  <c r="T651" i="64" s="1"/>
  <c r="O651" i="64"/>
  <c r="N651" i="64"/>
  <c r="P651" i="64" s="1"/>
  <c r="M651" i="64"/>
  <c r="Q651" i="64" s="1"/>
  <c r="L651" i="64"/>
  <c r="K651" i="64"/>
  <c r="J651" i="64"/>
  <c r="A651" i="64"/>
  <c r="S650" i="64"/>
  <c r="R650" i="64"/>
  <c r="T650" i="64" s="1"/>
  <c r="O650" i="64"/>
  <c r="N650" i="64"/>
  <c r="P650" i="64" s="1"/>
  <c r="M650" i="64"/>
  <c r="Q650" i="64" s="1"/>
  <c r="L650" i="64"/>
  <c r="K650" i="64"/>
  <c r="J650" i="64"/>
  <c r="A650" i="64"/>
  <c r="S649" i="64"/>
  <c r="R649" i="64"/>
  <c r="T649" i="64" s="1"/>
  <c r="P649" i="64"/>
  <c r="O649" i="64"/>
  <c r="N649" i="64"/>
  <c r="M649" i="64"/>
  <c r="Q649" i="64" s="1"/>
  <c r="L649" i="64"/>
  <c r="K649" i="64"/>
  <c r="J649" i="64"/>
  <c r="A649" i="64"/>
  <c r="T648" i="64"/>
  <c r="S648" i="64"/>
  <c r="R648" i="64"/>
  <c r="O648" i="64"/>
  <c r="N648" i="64"/>
  <c r="P648" i="64" s="1"/>
  <c r="M648" i="64"/>
  <c r="Q648" i="64" s="1"/>
  <c r="L648" i="64"/>
  <c r="K648" i="64"/>
  <c r="J648" i="64"/>
  <c r="A648" i="64"/>
  <c r="S647" i="64"/>
  <c r="R647" i="64"/>
  <c r="T647" i="64" s="1"/>
  <c r="O647" i="64"/>
  <c r="N647" i="64"/>
  <c r="P647" i="64" s="1"/>
  <c r="M647" i="64"/>
  <c r="Q647" i="64" s="1"/>
  <c r="L647" i="64"/>
  <c r="K647" i="64"/>
  <c r="J647" i="64"/>
  <c r="A647" i="64"/>
  <c r="S646" i="64"/>
  <c r="R646" i="64"/>
  <c r="T646" i="64" s="1"/>
  <c r="O646" i="64"/>
  <c r="N646" i="64"/>
  <c r="P646" i="64" s="1"/>
  <c r="M646" i="64"/>
  <c r="Q646" i="64" s="1"/>
  <c r="L646" i="64"/>
  <c r="K646" i="64"/>
  <c r="J646" i="64"/>
  <c r="A646" i="64"/>
  <c r="S645" i="64"/>
  <c r="R645" i="64"/>
  <c r="T645" i="64" s="1"/>
  <c r="P645" i="64"/>
  <c r="O645" i="64"/>
  <c r="N645" i="64"/>
  <c r="M645" i="64"/>
  <c r="Q645" i="64" s="1"/>
  <c r="L645" i="64"/>
  <c r="K645" i="64"/>
  <c r="J645" i="64"/>
  <c r="A645" i="64"/>
  <c r="T644" i="64"/>
  <c r="S644" i="64"/>
  <c r="R644" i="64"/>
  <c r="O644" i="64"/>
  <c r="N644" i="64"/>
  <c r="P644" i="64" s="1"/>
  <c r="M644" i="64"/>
  <c r="Q644" i="64" s="1"/>
  <c r="L644" i="64"/>
  <c r="K644" i="64"/>
  <c r="J644" i="64"/>
  <c r="A644" i="64"/>
  <c r="S643" i="64"/>
  <c r="R643" i="64"/>
  <c r="T643" i="64" s="1"/>
  <c r="O643" i="64"/>
  <c r="N643" i="64"/>
  <c r="P643" i="64" s="1"/>
  <c r="M643" i="64"/>
  <c r="Q643" i="64" s="1"/>
  <c r="L643" i="64"/>
  <c r="K643" i="64"/>
  <c r="J643" i="64"/>
  <c r="A643" i="64"/>
  <c r="S642" i="64"/>
  <c r="R642" i="64"/>
  <c r="T642" i="64" s="1"/>
  <c r="O642" i="64"/>
  <c r="N642" i="64"/>
  <c r="P642" i="64" s="1"/>
  <c r="M642" i="64"/>
  <c r="Q642" i="64" s="1"/>
  <c r="L642" i="64"/>
  <c r="K642" i="64"/>
  <c r="J642" i="64"/>
  <c r="A642" i="64"/>
  <c r="S641" i="64"/>
  <c r="R641" i="64"/>
  <c r="T641" i="64" s="1"/>
  <c r="P641" i="64"/>
  <c r="O641" i="64"/>
  <c r="N641" i="64"/>
  <c r="M641" i="64"/>
  <c r="Q641" i="64" s="1"/>
  <c r="L641" i="64"/>
  <c r="K641" i="64"/>
  <c r="J641" i="64"/>
  <c r="A641" i="64"/>
  <c r="T640" i="64"/>
  <c r="S640" i="64"/>
  <c r="R640" i="64"/>
  <c r="O640" i="64"/>
  <c r="N640" i="64"/>
  <c r="P640" i="64" s="1"/>
  <c r="M640" i="64"/>
  <c r="Q640" i="64" s="1"/>
  <c r="L640" i="64"/>
  <c r="K640" i="64"/>
  <c r="J640" i="64"/>
  <c r="A640" i="64"/>
  <c r="S639" i="64"/>
  <c r="R639" i="64"/>
  <c r="T639" i="64" s="1"/>
  <c r="O639" i="64"/>
  <c r="N639" i="64"/>
  <c r="P639" i="64" s="1"/>
  <c r="M639" i="64"/>
  <c r="Q639" i="64" s="1"/>
  <c r="L639" i="64"/>
  <c r="K639" i="64"/>
  <c r="J639" i="64"/>
  <c r="A639" i="64"/>
  <c r="S638" i="64"/>
  <c r="R638" i="64"/>
  <c r="T638" i="64" s="1"/>
  <c r="O638" i="64"/>
  <c r="N638" i="64"/>
  <c r="P638" i="64" s="1"/>
  <c r="M638" i="64"/>
  <c r="Q638" i="64" s="1"/>
  <c r="L638" i="64"/>
  <c r="K638" i="64"/>
  <c r="J638" i="64"/>
  <c r="A638" i="64"/>
  <c r="S637" i="64"/>
  <c r="R637" i="64"/>
  <c r="T637" i="64" s="1"/>
  <c r="P637" i="64"/>
  <c r="O637" i="64"/>
  <c r="N637" i="64"/>
  <c r="M637" i="64"/>
  <c r="Q637" i="64" s="1"/>
  <c r="L637" i="64"/>
  <c r="K637" i="64"/>
  <c r="J637" i="64"/>
  <c r="A637" i="64"/>
  <c r="T636" i="64"/>
  <c r="S636" i="64"/>
  <c r="R636" i="64"/>
  <c r="O636" i="64"/>
  <c r="N636" i="64"/>
  <c r="M636" i="64"/>
  <c r="Q636" i="64" s="1"/>
  <c r="L636" i="64"/>
  <c r="K636" i="64"/>
  <c r="J636" i="64"/>
  <c r="A636" i="64"/>
  <c r="S635" i="64"/>
  <c r="R635" i="64"/>
  <c r="T635" i="64" s="1"/>
  <c r="O635" i="64"/>
  <c r="N635" i="64"/>
  <c r="P635" i="64" s="1"/>
  <c r="M635" i="64"/>
  <c r="Q635" i="64" s="1"/>
  <c r="L635" i="64"/>
  <c r="K635" i="64"/>
  <c r="J635" i="64"/>
  <c r="A635" i="64"/>
  <c r="S634" i="64"/>
  <c r="R634" i="64"/>
  <c r="T634" i="64" s="1"/>
  <c r="O634" i="64"/>
  <c r="N634" i="64"/>
  <c r="M634" i="64"/>
  <c r="Q634" i="64" s="1"/>
  <c r="L634" i="64"/>
  <c r="K634" i="64"/>
  <c r="J634" i="64"/>
  <c r="A634" i="64"/>
  <c r="S633" i="64"/>
  <c r="R633" i="64"/>
  <c r="T633" i="64" s="1"/>
  <c r="P633" i="64"/>
  <c r="O633" i="64"/>
  <c r="N633" i="64"/>
  <c r="M633" i="64"/>
  <c r="Q633" i="64" s="1"/>
  <c r="L633" i="64"/>
  <c r="K633" i="64"/>
  <c r="J633" i="64"/>
  <c r="A633" i="64"/>
  <c r="T632" i="64"/>
  <c r="S632" i="64"/>
  <c r="R632" i="64"/>
  <c r="O632" i="64"/>
  <c r="N632" i="64"/>
  <c r="M632" i="64"/>
  <c r="L632" i="64"/>
  <c r="K632" i="64"/>
  <c r="J632" i="64"/>
  <c r="A632" i="64"/>
  <c r="S631" i="64"/>
  <c r="R631" i="64"/>
  <c r="T631" i="64" s="1"/>
  <c r="P631" i="64"/>
  <c r="O631" i="64"/>
  <c r="N631" i="64"/>
  <c r="M631" i="64"/>
  <c r="Q631" i="64" s="1"/>
  <c r="L631" i="64"/>
  <c r="K631" i="64"/>
  <c r="J631" i="64"/>
  <c r="A631" i="64"/>
  <c r="T630" i="64"/>
  <c r="S630" i="64"/>
  <c r="R630" i="64"/>
  <c r="O630" i="64"/>
  <c r="N630" i="64"/>
  <c r="M630" i="64"/>
  <c r="P630" i="64" s="1"/>
  <c r="L630" i="64"/>
  <c r="K630" i="64"/>
  <c r="J630" i="64"/>
  <c r="A630" i="64"/>
  <c r="S629" i="64"/>
  <c r="R629" i="64"/>
  <c r="T629" i="64" s="1"/>
  <c r="O629" i="64"/>
  <c r="N629" i="64"/>
  <c r="M629" i="64"/>
  <c r="Q629" i="64" s="1"/>
  <c r="L629" i="64"/>
  <c r="K629" i="64"/>
  <c r="J629" i="64"/>
  <c r="A629" i="64"/>
  <c r="S628" i="64"/>
  <c r="R628" i="64"/>
  <c r="T628" i="64" s="1"/>
  <c r="Q628" i="64"/>
  <c r="O628" i="64"/>
  <c r="N628" i="64"/>
  <c r="M628" i="64"/>
  <c r="L628" i="64"/>
  <c r="K628" i="64"/>
  <c r="J628" i="64"/>
  <c r="A628" i="64"/>
  <c r="S627" i="64"/>
  <c r="R627" i="64"/>
  <c r="T627" i="64" s="1"/>
  <c r="Q627" i="64"/>
  <c r="O627" i="64"/>
  <c r="N627" i="64"/>
  <c r="M627" i="64"/>
  <c r="P627" i="64" s="1"/>
  <c r="L627" i="64"/>
  <c r="K627" i="64"/>
  <c r="J627" i="64"/>
  <c r="A627" i="64"/>
  <c r="S626" i="64"/>
  <c r="R626" i="64"/>
  <c r="T626" i="64" s="1"/>
  <c r="O626" i="64"/>
  <c r="N626" i="64"/>
  <c r="M626" i="64"/>
  <c r="Q626" i="64" s="1"/>
  <c r="L626" i="64"/>
  <c r="K626" i="64"/>
  <c r="J626" i="64"/>
  <c r="A626" i="64"/>
  <c r="S625" i="64"/>
  <c r="R625" i="64"/>
  <c r="T625" i="64" s="1"/>
  <c r="Q625" i="64"/>
  <c r="P625" i="64"/>
  <c r="O625" i="64"/>
  <c r="N625" i="64"/>
  <c r="M625" i="64"/>
  <c r="L625" i="64"/>
  <c r="K625" i="64"/>
  <c r="J625" i="64"/>
  <c r="A625" i="64"/>
  <c r="T624" i="64"/>
  <c r="S624" i="64"/>
  <c r="R624" i="64"/>
  <c r="O624" i="64"/>
  <c r="N624" i="64"/>
  <c r="M624" i="64"/>
  <c r="L624" i="64"/>
  <c r="K624" i="64"/>
  <c r="J624" i="64"/>
  <c r="A624" i="64"/>
  <c r="S623" i="64"/>
  <c r="R623" i="64"/>
  <c r="T623" i="64" s="1"/>
  <c r="P623" i="64"/>
  <c r="O623" i="64"/>
  <c r="N623" i="64"/>
  <c r="M623" i="64"/>
  <c r="Q623" i="64" s="1"/>
  <c r="L623" i="64"/>
  <c r="K623" i="64"/>
  <c r="J623" i="64"/>
  <c r="A623" i="64"/>
  <c r="T622" i="64"/>
  <c r="S622" i="64"/>
  <c r="R622" i="64"/>
  <c r="O622" i="64"/>
  <c r="N622" i="64"/>
  <c r="M622" i="64"/>
  <c r="P622" i="64" s="1"/>
  <c r="L622" i="64"/>
  <c r="K622" i="64"/>
  <c r="J622" i="64"/>
  <c r="A622" i="64"/>
  <c r="S621" i="64"/>
  <c r="R621" i="64"/>
  <c r="T621" i="64" s="1"/>
  <c r="O621" i="64"/>
  <c r="N621" i="64"/>
  <c r="M621" i="64"/>
  <c r="Q621" i="64" s="1"/>
  <c r="L621" i="64"/>
  <c r="K621" i="64"/>
  <c r="J621" i="64"/>
  <c r="A621" i="64"/>
  <c r="S620" i="64"/>
  <c r="R620" i="64"/>
  <c r="T620" i="64" s="1"/>
  <c r="Q620" i="64"/>
  <c r="O620" i="64"/>
  <c r="N620" i="64"/>
  <c r="M620" i="64"/>
  <c r="L620" i="64"/>
  <c r="K620" i="64"/>
  <c r="J620" i="64"/>
  <c r="A620" i="64"/>
  <c r="T619" i="64"/>
  <c r="S619" i="64"/>
  <c r="R619" i="64"/>
  <c r="O619" i="64"/>
  <c r="N619" i="64"/>
  <c r="M619" i="64"/>
  <c r="L619" i="64"/>
  <c r="K619" i="64"/>
  <c r="J619" i="64"/>
  <c r="A619" i="64"/>
  <c r="T618" i="64"/>
  <c r="S618" i="64"/>
  <c r="R618" i="64"/>
  <c r="Q618" i="64"/>
  <c r="P618" i="64"/>
  <c r="O618" i="64"/>
  <c r="N618" i="64"/>
  <c r="M618" i="64"/>
  <c r="L618" i="64"/>
  <c r="K618" i="64"/>
  <c r="J618" i="64"/>
  <c r="A618" i="64"/>
  <c r="T617" i="64"/>
  <c r="S617" i="64"/>
  <c r="R617" i="64"/>
  <c r="O617" i="64"/>
  <c r="N617" i="64"/>
  <c r="M617" i="64"/>
  <c r="L617" i="64"/>
  <c r="K617" i="64"/>
  <c r="J617" i="64"/>
  <c r="A617" i="64"/>
  <c r="T616" i="64"/>
  <c r="S616" i="64"/>
  <c r="R616" i="64"/>
  <c r="Q616" i="64"/>
  <c r="P616" i="64"/>
  <c r="O616" i="64"/>
  <c r="N616" i="64"/>
  <c r="M616" i="64"/>
  <c r="L616" i="64"/>
  <c r="K616" i="64"/>
  <c r="J616" i="64"/>
  <c r="A616" i="64"/>
  <c r="T615" i="64"/>
  <c r="S615" i="64"/>
  <c r="R615" i="64"/>
  <c r="O615" i="64"/>
  <c r="N615" i="64"/>
  <c r="M615" i="64"/>
  <c r="L615" i="64"/>
  <c r="K615" i="64"/>
  <c r="J615" i="64"/>
  <c r="A615" i="64"/>
  <c r="T614" i="64"/>
  <c r="S614" i="64"/>
  <c r="R614" i="64"/>
  <c r="Q614" i="64"/>
  <c r="P614" i="64"/>
  <c r="O614" i="64"/>
  <c r="N614" i="64"/>
  <c r="M614" i="64"/>
  <c r="L614" i="64"/>
  <c r="K614" i="64"/>
  <c r="J614" i="64"/>
  <c r="A614" i="64"/>
  <c r="T613" i="64"/>
  <c r="S613" i="64"/>
  <c r="R613" i="64"/>
  <c r="O613" i="64"/>
  <c r="N613" i="64"/>
  <c r="M613" i="64"/>
  <c r="L613" i="64"/>
  <c r="K613" i="64"/>
  <c r="J613" i="64"/>
  <c r="A613" i="64"/>
  <c r="T612" i="64"/>
  <c r="S612" i="64"/>
  <c r="R612" i="64"/>
  <c r="Q612" i="64"/>
  <c r="P612" i="64"/>
  <c r="O612" i="64"/>
  <c r="N612" i="64"/>
  <c r="M612" i="64"/>
  <c r="L612" i="64"/>
  <c r="K612" i="64"/>
  <c r="J612" i="64"/>
  <c r="A612" i="64"/>
  <c r="T611" i="64"/>
  <c r="S611" i="64"/>
  <c r="R611" i="64"/>
  <c r="O611" i="64"/>
  <c r="N611" i="64"/>
  <c r="M611" i="64"/>
  <c r="L611" i="64"/>
  <c r="K611" i="64"/>
  <c r="J611" i="64"/>
  <c r="A611" i="64"/>
  <c r="S610" i="64"/>
  <c r="R610" i="64"/>
  <c r="T610" i="64" s="1"/>
  <c r="Q610" i="64"/>
  <c r="P610" i="64"/>
  <c r="O610" i="64"/>
  <c r="N610" i="64"/>
  <c r="M610" i="64"/>
  <c r="L610" i="64"/>
  <c r="K610" i="64"/>
  <c r="J610" i="64"/>
  <c r="A610" i="64"/>
  <c r="T609" i="64"/>
  <c r="S609" i="64"/>
  <c r="R609" i="64"/>
  <c r="O609" i="64"/>
  <c r="N609" i="64"/>
  <c r="M609" i="64"/>
  <c r="L609" i="64"/>
  <c r="K609" i="64"/>
  <c r="J609" i="64"/>
  <c r="A609" i="64"/>
  <c r="S608" i="64"/>
  <c r="R608" i="64"/>
  <c r="T608" i="64" s="1"/>
  <c r="Q608" i="64"/>
  <c r="P608" i="64"/>
  <c r="O608" i="64"/>
  <c r="N608" i="64"/>
  <c r="M608" i="64"/>
  <c r="L608" i="64"/>
  <c r="K608" i="64"/>
  <c r="J608" i="64"/>
  <c r="A608" i="64"/>
  <c r="T607" i="64"/>
  <c r="S607" i="64"/>
  <c r="R607" i="64"/>
  <c r="O607" i="64"/>
  <c r="N607" i="64"/>
  <c r="M607" i="64"/>
  <c r="L607" i="64"/>
  <c r="K607" i="64"/>
  <c r="J607" i="64"/>
  <c r="A607" i="64"/>
  <c r="S606" i="64"/>
  <c r="R606" i="64"/>
  <c r="T606" i="64" s="1"/>
  <c r="Q606" i="64"/>
  <c r="P606" i="64"/>
  <c r="O606" i="64"/>
  <c r="N606" i="64"/>
  <c r="M606" i="64"/>
  <c r="L606" i="64"/>
  <c r="K606" i="64"/>
  <c r="J606" i="64"/>
  <c r="A606" i="64"/>
  <c r="T605" i="64"/>
  <c r="S605" i="64"/>
  <c r="R605" i="64"/>
  <c r="O605" i="64"/>
  <c r="N605" i="64"/>
  <c r="M605" i="64"/>
  <c r="L605" i="64"/>
  <c r="K605" i="64"/>
  <c r="J605" i="64"/>
  <c r="A605" i="64"/>
  <c r="S604" i="64"/>
  <c r="R604" i="64"/>
  <c r="T604" i="64" s="1"/>
  <c r="Q604" i="64"/>
  <c r="P604" i="64"/>
  <c r="O604" i="64"/>
  <c r="N604" i="64"/>
  <c r="M604" i="64"/>
  <c r="L604" i="64"/>
  <c r="K604" i="64"/>
  <c r="J604" i="64"/>
  <c r="A604" i="64"/>
  <c r="T603" i="64"/>
  <c r="S603" i="64"/>
  <c r="R603" i="64"/>
  <c r="O603" i="64"/>
  <c r="N603" i="64"/>
  <c r="M603" i="64"/>
  <c r="L603" i="64"/>
  <c r="K603" i="64"/>
  <c r="J603" i="64"/>
  <c r="A603" i="64"/>
  <c r="S602" i="64"/>
  <c r="R602" i="64"/>
  <c r="T602" i="64" s="1"/>
  <c r="Q602" i="64"/>
  <c r="P602" i="64"/>
  <c r="O602" i="64"/>
  <c r="N602" i="64"/>
  <c r="M602" i="64"/>
  <c r="L602" i="64"/>
  <c r="K602" i="64"/>
  <c r="J602" i="64"/>
  <c r="A602" i="64"/>
  <c r="T601" i="64"/>
  <c r="S601" i="64"/>
  <c r="R601" i="64"/>
  <c r="O601" i="64"/>
  <c r="N601" i="64"/>
  <c r="M601" i="64"/>
  <c r="L601" i="64"/>
  <c r="K601" i="64"/>
  <c r="J601" i="64"/>
  <c r="A601" i="64"/>
  <c r="S600" i="64"/>
  <c r="R600" i="64"/>
  <c r="T600" i="64" s="1"/>
  <c r="Q600" i="64"/>
  <c r="P600" i="64"/>
  <c r="O600" i="64"/>
  <c r="N600" i="64"/>
  <c r="M600" i="64"/>
  <c r="L600" i="64"/>
  <c r="K600" i="64"/>
  <c r="J600" i="64"/>
  <c r="A600" i="64"/>
  <c r="T599" i="64"/>
  <c r="S599" i="64"/>
  <c r="R599" i="64"/>
  <c r="O599" i="64"/>
  <c r="N599" i="64"/>
  <c r="M599" i="64"/>
  <c r="L599" i="64"/>
  <c r="K599" i="64"/>
  <c r="J599" i="64"/>
  <c r="A599" i="64"/>
  <c r="S598" i="64"/>
  <c r="R598" i="64"/>
  <c r="T598" i="64" s="1"/>
  <c r="Q598" i="64"/>
  <c r="P598" i="64"/>
  <c r="O598" i="64"/>
  <c r="N598" i="64"/>
  <c r="M598" i="64"/>
  <c r="L598" i="64"/>
  <c r="K598" i="64"/>
  <c r="J598" i="64"/>
  <c r="A598" i="64"/>
  <c r="T597" i="64"/>
  <c r="S597" i="64"/>
  <c r="R597" i="64"/>
  <c r="O597" i="64"/>
  <c r="N597" i="64"/>
  <c r="M597" i="64"/>
  <c r="L597" i="64"/>
  <c r="K597" i="64"/>
  <c r="J597" i="64"/>
  <c r="A597" i="64"/>
  <c r="S596" i="64"/>
  <c r="R596" i="64"/>
  <c r="T596" i="64" s="1"/>
  <c r="Q596" i="64"/>
  <c r="P596" i="64"/>
  <c r="O596" i="64"/>
  <c r="N596" i="64"/>
  <c r="M596" i="64"/>
  <c r="L596" i="64"/>
  <c r="K596" i="64"/>
  <c r="J596" i="64"/>
  <c r="A596" i="64"/>
  <c r="T595" i="64"/>
  <c r="S595" i="64"/>
  <c r="R595" i="64"/>
  <c r="O595" i="64"/>
  <c r="N595" i="64"/>
  <c r="M595" i="64"/>
  <c r="L595" i="64"/>
  <c r="K595" i="64"/>
  <c r="J595" i="64"/>
  <c r="A595" i="64"/>
  <c r="S594" i="64"/>
  <c r="R594" i="64"/>
  <c r="T594" i="64" s="1"/>
  <c r="Q594" i="64"/>
  <c r="P594" i="64"/>
  <c r="O594" i="64"/>
  <c r="N594" i="64"/>
  <c r="M594" i="64"/>
  <c r="L594" i="64"/>
  <c r="K594" i="64"/>
  <c r="J594" i="64"/>
  <c r="A594" i="64"/>
  <c r="T593" i="64"/>
  <c r="S593" i="64"/>
  <c r="R593" i="64"/>
  <c r="O593" i="64"/>
  <c r="N593" i="64"/>
  <c r="M593" i="64"/>
  <c r="L593" i="64"/>
  <c r="K593" i="64"/>
  <c r="J593" i="64"/>
  <c r="A593" i="64"/>
  <c r="S592" i="64"/>
  <c r="R592" i="64"/>
  <c r="T592" i="64" s="1"/>
  <c r="Q592" i="64"/>
  <c r="P592" i="64"/>
  <c r="O592" i="64"/>
  <c r="N592" i="64"/>
  <c r="M592" i="64"/>
  <c r="L592" i="64"/>
  <c r="K592" i="64"/>
  <c r="J592" i="64"/>
  <c r="A592" i="64"/>
  <c r="T591" i="64"/>
  <c r="S591" i="64"/>
  <c r="R591" i="64"/>
  <c r="O591" i="64"/>
  <c r="N591" i="64"/>
  <c r="M591" i="64"/>
  <c r="L591" i="64"/>
  <c r="K591" i="64"/>
  <c r="J591" i="64"/>
  <c r="A591" i="64"/>
  <c r="S590" i="64"/>
  <c r="R590" i="64"/>
  <c r="T590" i="64" s="1"/>
  <c r="Q590" i="64"/>
  <c r="P590" i="64"/>
  <c r="O590" i="64"/>
  <c r="N590" i="64"/>
  <c r="M590" i="64"/>
  <c r="L590" i="64"/>
  <c r="K590" i="64"/>
  <c r="J590" i="64"/>
  <c r="A590" i="64"/>
  <c r="T589" i="64"/>
  <c r="S589" i="64"/>
  <c r="R589" i="64"/>
  <c r="O589" i="64"/>
  <c r="N589" i="64"/>
  <c r="M589" i="64"/>
  <c r="L589" i="64"/>
  <c r="K589" i="64"/>
  <c r="J589" i="64"/>
  <c r="A589" i="64"/>
  <c r="S588" i="64"/>
  <c r="R588" i="64"/>
  <c r="T588" i="64" s="1"/>
  <c r="Q588" i="64"/>
  <c r="P588" i="64"/>
  <c r="O588" i="64"/>
  <c r="N588" i="64"/>
  <c r="M588" i="64"/>
  <c r="L588" i="64"/>
  <c r="K588" i="64"/>
  <c r="J588" i="64"/>
  <c r="A588" i="64"/>
  <c r="T587" i="64"/>
  <c r="S587" i="64"/>
  <c r="R587" i="64"/>
  <c r="O587" i="64"/>
  <c r="N587" i="64"/>
  <c r="M587" i="64"/>
  <c r="L587" i="64"/>
  <c r="K587" i="64"/>
  <c r="J587" i="64"/>
  <c r="A587" i="64"/>
  <c r="S586" i="64"/>
  <c r="R586" i="64"/>
  <c r="T586" i="64" s="1"/>
  <c r="Q586" i="64"/>
  <c r="P586" i="64"/>
  <c r="O586" i="64"/>
  <c r="N586" i="64"/>
  <c r="M586" i="64"/>
  <c r="L586" i="64"/>
  <c r="K586" i="64"/>
  <c r="J586" i="64"/>
  <c r="A586" i="64"/>
  <c r="T585" i="64"/>
  <c r="S585" i="64"/>
  <c r="R585" i="64"/>
  <c r="O585" i="64"/>
  <c r="N585" i="64"/>
  <c r="M585" i="64"/>
  <c r="L585" i="64"/>
  <c r="K585" i="64"/>
  <c r="J585" i="64"/>
  <c r="A585" i="64"/>
  <c r="S584" i="64"/>
  <c r="R584" i="64"/>
  <c r="T584" i="64" s="1"/>
  <c r="Q584" i="64"/>
  <c r="P584" i="64"/>
  <c r="O584" i="64"/>
  <c r="N584" i="64"/>
  <c r="M584" i="64"/>
  <c r="L584" i="64"/>
  <c r="K584" i="64"/>
  <c r="J584" i="64"/>
  <c r="A584" i="64"/>
  <c r="T583" i="64"/>
  <c r="S583" i="64"/>
  <c r="R583" i="64"/>
  <c r="O583" i="64"/>
  <c r="N583" i="64"/>
  <c r="M583" i="64"/>
  <c r="L583" i="64"/>
  <c r="K583" i="64"/>
  <c r="J583" i="64"/>
  <c r="A583" i="64"/>
  <c r="S582" i="64"/>
  <c r="R582" i="64"/>
  <c r="T582" i="64" s="1"/>
  <c r="Q582" i="64"/>
  <c r="P582" i="64"/>
  <c r="O582" i="64"/>
  <c r="N582" i="64"/>
  <c r="M582" i="64"/>
  <c r="L582" i="64"/>
  <c r="K582" i="64"/>
  <c r="J582" i="64"/>
  <c r="A582" i="64"/>
  <c r="T581" i="64"/>
  <c r="S581" i="64"/>
  <c r="R581" i="64"/>
  <c r="O581" i="64"/>
  <c r="N581" i="64"/>
  <c r="M581" i="64"/>
  <c r="L581" i="64"/>
  <c r="K581" i="64"/>
  <c r="J581" i="64"/>
  <c r="A581" i="64"/>
  <c r="S580" i="64"/>
  <c r="R580" i="64"/>
  <c r="T580" i="64" s="1"/>
  <c r="Q580" i="64"/>
  <c r="P580" i="64"/>
  <c r="O580" i="64"/>
  <c r="N580" i="64"/>
  <c r="M580" i="64"/>
  <c r="L580" i="64"/>
  <c r="K580" i="64"/>
  <c r="J580" i="64"/>
  <c r="A580" i="64"/>
  <c r="T579" i="64"/>
  <c r="S579" i="64"/>
  <c r="R579" i="64"/>
  <c r="O579" i="64"/>
  <c r="N579" i="64"/>
  <c r="M579" i="64"/>
  <c r="L579" i="64"/>
  <c r="K579" i="64"/>
  <c r="J579" i="64"/>
  <c r="A579" i="64"/>
  <c r="S578" i="64"/>
  <c r="R578" i="64"/>
  <c r="T578" i="64" s="1"/>
  <c r="Q578" i="64"/>
  <c r="P578" i="64"/>
  <c r="O578" i="64"/>
  <c r="N578" i="64"/>
  <c r="M578" i="64"/>
  <c r="L578" i="64"/>
  <c r="K578" i="64"/>
  <c r="J578" i="64"/>
  <c r="A578" i="64"/>
  <c r="T577" i="64"/>
  <c r="S577" i="64"/>
  <c r="R577" i="64"/>
  <c r="O577" i="64"/>
  <c r="N577" i="64"/>
  <c r="M577" i="64"/>
  <c r="L577" i="64"/>
  <c r="K577" i="64"/>
  <c r="J577" i="64"/>
  <c r="A577" i="64"/>
  <c r="S576" i="64"/>
  <c r="R576" i="64"/>
  <c r="T576" i="64" s="1"/>
  <c r="Q576" i="64"/>
  <c r="P576" i="64"/>
  <c r="O576" i="64"/>
  <c r="N576" i="64"/>
  <c r="M576" i="64"/>
  <c r="L576" i="64"/>
  <c r="K576" i="64"/>
  <c r="J576" i="64"/>
  <c r="A576" i="64"/>
  <c r="T575" i="64"/>
  <c r="S575" i="64"/>
  <c r="R575" i="64"/>
  <c r="O575" i="64"/>
  <c r="N575" i="64"/>
  <c r="M575" i="64"/>
  <c r="L575" i="64"/>
  <c r="K575" i="64"/>
  <c r="J575" i="64"/>
  <c r="A575" i="64"/>
  <c r="S574" i="64"/>
  <c r="R574" i="64"/>
  <c r="T574" i="64" s="1"/>
  <c r="Q574" i="64"/>
  <c r="P574" i="64"/>
  <c r="O574" i="64"/>
  <c r="N574" i="64"/>
  <c r="M574" i="64"/>
  <c r="L574" i="64"/>
  <c r="K574" i="64"/>
  <c r="J574" i="64"/>
  <c r="A574" i="64"/>
  <c r="T573" i="64"/>
  <c r="S573" i="64"/>
  <c r="R573" i="64"/>
  <c r="O573" i="64"/>
  <c r="N573" i="64"/>
  <c r="M573" i="64"/>
  <c r="L573" i="64"/>
  <c r="K573" i="64"/>
  <c r="J573" i="64"/>
  <c r="A573" i="64"/>
  <c r="S572" i="64"/>
  <c r="R572" i="64"/>
  <c r="T572" i="64" s="1"/>
  <c r="Q572" i="64"/>
  <c r="O572" i="64"/>
  <c r="N572" i="64"/>
  <c r="M572" i="64"/>
  <c r="P572" i="64" s="1"/>
  <c r="L572" i="64"/>
  <c r="K572" i="64"/>
  <c r="J572" i="64"/>
  <c r="A572" i="64"/>
  <c r="T571" i="64"/>
  <c r="S571" i="64"/>
  <c r="R571" i="64"/>
  <c r="O571" i="64"/>
  <c r="N571" i="64"/>
  <c r="M571" i="64"/>
  <c r="L571" i="64"/>
  <c r="K571" i="64"/>
  <c r="J571" i="64"/>
  <c r="A571" i="64"/>
  <c r="S570" i="64"/>
  <c r="R570" i="64"/>
  <c r="T570" i="64" s="1"/>
  <c r="Q570" i="64"/>
  <c r="O570" i="64"/>
  <c r="N570" i="64"/>
  <c r="M570" i="64"/>
  <c r="P570" i="64" s="1"/>
  <c r="L570" i="64"/>
  <c r="K570" i="64"/>
  <c r="J570" i="64"/>
  <c r="A570" i="64"/>
  <c r="T569" i="64"/>
  <c r="S569" i="64"/>
  <c r="R569" i="64"/>
  <c r="O569" i="64"/>
  <c r="N569" i="64"/>
  <c r="M569" i="64"/>
  <c r="L569" i="64"/>
  <c r="K569" i="64"/>
  <c r="J569" i="64"/>
  <c r="A569" i="64"/>
  <c r="S568" i="64"/>
  <c r="R568" i="64"/>
  <c r="T568" i="64" s="1"/>
  <c r="Q568" i="64"/>
  <c r="O568" i="64"/>
  <c r="N568" i="64"/>
  <c r="M568" i="64"/>
  <c r="P568" i="64" s="1"/>
  <c r="L568" i="64"/>
  <c r="K568" i="64"/>
  <c r="J568" i="64"/>
  <c r="A568" i="64"/>
  <c r="T567" i="64"/>
  <c r="S567" i="64"/>
  <c r="R567" i="64"/>
  <c r="O567" i="64"/>
  <c r="N567" i="64"/>
  <c r="M567" i="64"/>
  <c r="L567" i="64"/>
  <c r="K567" i="64"/>
  <c r="J567" i="64"/>
  <c r="A567" i="64"/>
  <c r="S566" i="64"/>
  <c r="R566" i="64"/>
  <c r="T566" i="64" s="1"/>
  <c r="Q566" i="64"/>
  <c r="O566" i="64"/>
  <c r="N566" i="64"/>
  <c r="M566" i="64"/>
  <c r="P566" i="64" s="1"/>
  <c r="L566" i="64"/>
  <c r="K566" i="64"/>
  <c r="J566" i="64"/>
  <c r="A566" i="64"/>
  <c r="T565" i="64"/>
  <c r="S565" i="64"/>
  <c r="R565" i="64"/>
  <c r="O565" i="64"/>
  <c r="N565" i="64"/>
  <c r="M565" i="64"/>
  <c r="L565" i="64"/>
  <c r="K565" i="64"/>
  <c r="J565" i="64"/>
  <c r="A565" i="64"/>
  <c r="S564" i="64"/>
  <c r="R564" i="64"/>
  <c r="T564" i="64" s="1"/>
  <c r="Q564" i="64"/>
  <c r="O564" i="64"/>
  <c r="N564" i="64"/>
  <c r="M564" i="64"/>
  <c r="P564" i="64" s="1"/>
  <c r="L564" i="64"/>
  <c r="K564" i="64"/>
  <c r="J564" i="64"/>
  <c r="A564" i="64"/>
  <c r="T563" i="64"/>
  <c r="S563" i="64"/>
  <c r="R563" i="64"/>
  <c r="O563" i="64"/>
  <c r="N563" i="64"/>
  <c r="M563" i="64"/>
  <c r="L563" i="64"/>
  <c r="K563" i="64"/>
  <c r="J563" i="64"/>
  <c r="A563" i="64"/>
  <c r="S562" i="64"/>
  <c r="R562" i="64"/>
  <c r="T562" i="64" s="1"/>
  <c r="Q562" i="64"/>
  <c r="O562" i="64"/>
  <c r="N562" i="64"/>
  <c r="M562" i="64"/>
  <c r="P562" i="64" s="1"/>
  <c r="L562" i="64"/>
  <c r="K562" i="64"/>
  <c r="J562" i="64"/>
  <c r="A562" i="64"/>
  <c r="T561" i="64"/>
  <c r="S561" i="64"/>
  <c r="R561" i="64"/>
  <c r="O561" i="64"/>
  <c r="N561" i="64"/>
  <c r="M561" i="64"/>
  <c r="L561" i="64"/>
  <c r="K561" i="64"/>
  <c r="J561" i="64"/>
  <c r="A561" i="64"/>
  <c r="S560" i="64"/>
  <c r="R560" i="64"/>
  <c r="T560" i="64" s="1"/>
  <c r="Q560" i="64"/>
  <c r="O560" i="64"/>
  <c r="N560" i="64"/>
  <c r="M560" i="64"/>
  <c r="P560" i="64" s="1"/>
  <c r="L560" i="64"/>
  <c r="K560" i="64"/>
  <c r="J560" i="64"/>
  <c r="A560" i="64"/>
  <c r="T559" i="64"/>
  <c r="S559" i="64"/>
  <c r="R559" i="64"/>
  <c r="O559" i="64"/>
  <c r="N559" i="64"/>
  <c r="M559" i="64"/>
  <c r="L559" i="64"/>
  <c r="K559" i="64"/>
  <c r="J559" i="64"/>
  <c r="A559" i="64"/>
  <c r="S558" i="64"/>
  <c r="R558" i="64"/>
  <c r="T558" i="64" s="1"/>
  <c r="Q558" i="64"/>
  <c r="O558" i="64"/>
  <c r="N558" i="64"/>
  <c r="M558" i="64"/>
  <c r="P558" i="64" s="1"/>
  <c r="L558" i="64"/>
  <c r="K558" i="64"/>
  <c r="J558" i="64"/>
  <c r="A558" i="64"/>
  <c r="S557" i="64"/>
  <c r="R557" i="64"/>
  <c r="T557" i="64" s="1"/>
  <c r="O557" i="64"/>
  <c r="N557" i="64"/>
  <c r="M557" i="64"/>
  <c r="L557" i="64"/>
  <c r="K557" i="64"/>
  <c r="J557" i="64"/>
  <c r="A557" i="64"/>
  <c r="S556" i="64"/>
  <c r="R556" i="64"/>
  <c r="T556" i="64" s="1"/>
  <c r="Q556" i="64"/>
  <c r="O556" i="64"/>
  <c r="N556" i="64"/>
  <c r="M556" i="64"/>
  <c r="P556" i="64" s="1"/>
  <c r="L556" i="64"/>
  <c r="K556" i="64"/>
  <c r="J556" i="64"/>
  <c r="A556" i="64"/>
  <c r="S555" i="64"/>
  <c r="R555" i="64"/>
  <c r="T555" i="64" s="1"/>
  <c r="O555" i="64"/>
  <c r="N555" i="64"/>
  <c r="M555" i="64"/>
  <c r="L555" i="64"/>
  <c r="K555" i="64"/>
  <c r="J555" i="64"/>
  <c r="A555" i="64"/>
  <c r="S554" i="64"/>
  <c r="R554" i="64"/>
  <c r="T554" i="64" s="1"/>
  <c r="Q554" i="64"/>
  <c r="O554" i="64"/>
  <c r="N554" i="64"/>
  <c r="M554" i="64"/>
  <c r="P554" i="64" s="1"/>
  <c r="L554" i="64"/>
  <c r="K554" i="64"/>
  <c r="J554" i="64"/>
  <c r="A554" i="64"/>
  <c r="S553" i="64"/>
  <c r="R553" i="64"/>
  <c r="T553" i="64" s="1"/>
  <c r="O553" i="64"/>
  <c r="N553" i="64"/>
  <c r="M553" i="64"/>
  <c r="L553" i="64"/>
  <c r="K553" i="64"/>
  <c r="J553" i="64"/>
  <c r="A553" i="64"/>
  <c r="S552" i="64"/>
  <c r="R552" i="64"/>
  <c r="T552" i="64" s="1"/>
  <c r="Q552" i="64"/>
  <c r="O552" i="64"/>
  <c r="N552" i="64"/>
  <c r="M552" i="64"/>
  <c r="P552" i="64" s="1"/>
  <c r="L552" i="64"/>
  <c r="K552" i="64"/>
  <c r="J552" i="64"/>
  <c r="A552" i="64"/>
  <c r="S551" i="64"/>
  <c r="R551" i="64"/>
  <c r="T551" i="64" s="1"/>
  <c r="O551" i="64"/>
  <c r="N551" i="64"/>
  <c r="M551" i="64"/>
  <c r="L551" i="64"/>
  <c r="K551" i="64"/>
  <c r="J551" i="64"/>
  <c r="A551" i="64"/>
  <c r="S550" i="64"/>
  <c r="R550" i="64"/>
  <c r="T550" i="64" s="1"/>
  <c r="Q550" i="64"/>
  <c r="O550" i="64"/>
  <c r="N550" i="64"/>
  <c r="M550" i="64"/>
  <c r="P550" i="64" s="1"/>
  <c r="L550" i="64"/>
  <c r="K550" i="64"/>
  <c r="J550" i="64"/>
  <c r="A550" i="64"/>
  <c r="S549" i="64"/>
  <c r="R549" i="64"/>
  <c r="T549" i="64" s="1"/>
  <c r="O549" i="64"/>
  <c r="N549" i="64"/>
  <c r="M549" i="64"/>
  <c r="L549" i="64"/>
  <c r="K549" i="64"/>
  <c r="J549" i="64"/>
  <c r="A549" i="64"/>
  <c r="S548" i="64"/>
  <c r="R548" i="64"/>
  <c r="T548" i="64" s="1"/>
  <c r="Q548" i="64"/>
  <c r="O548" i="64"/>
  <c r="N548" i="64"/>
  <c r="M548" i="64"/>
  <c r="P548" i="64" s="1"/>
  <c r="L548" i="64"/>
  <c r="K548" i="64"/>
  <c r="J548" i="64"/>
  <c r="A548" i="64"/>
  <c r="S547" i="64"/>
  <c r="R547" i="64"/>
  <c r="T547" i="64" s="1"/>
  <c r="O547" i="64"/>
  <c r="N547" i="64"/>
  <c r="M547" i="64"/>
  <c r="L547" i="64"/>
  <c r="K547" i="64"/>
  <c r="J547" i="64"/>
  <c r="A547" i="64"/>
  <c r="S546" i="64"/>
  <c r="R546" i="64"/>
  <c r="T546" i="64" s="1"/>
  <c r="Q546" i="64"/>
  <c r="O546" i="64"/>
  <c r="N546" i="64"/>
  <c r="M546" i="64"/>
  <c r="P546" i="64" s="1"/>
  <c r="L546" i="64"/>
  <c r="K546" i="64"/>
  <c r="J546" i="64"/>
  <c r="A546" i="64"/>
  <c r="S545" i="64"/>
  <c r="R545" i="64"/>
  <c r="T545" i="64" s="1"/>
  <c r="O545" i="64"/>
  <c r="N545" i="64"/>
  <c r="M545" i="64"/>
  <c r="L545" i="64"/>
  <c r="K545" i="64"/>
  <c r="J545" i="64"/>
  <c r="A545" i="64"/>
  <c r="S544" i="64"/>
  <c r="R544" i="64"/>
  <c r="T544" i="64" s="1"/>
  <c r="Q544" i="64"/>
  <c r="O544" i="64"/>
  <c r="N544" i="64"/>
  <c r="M544" i="64"/>
  <c r="P544" i="64" s="1"/>
  <c r="L544" i="64"/>
  <c r="K544" i="64"/>
  <c r="J544" i="64"/>
  <c r="A544" i="64"/>
  <c r="S543" i="64"/>
  <c r="R543" i="64"/>
  <c r="T543" i="64" s="1"/>
  <c r="O543" i="64"/>
  <c r="N543" i="64"/>
  <c r="M543" i="64"/>
  <c r="L543" i="64"/>
  <c r="K543" i="64"/>
  <c r="J543" i="64"/>
  <c r="A543" i="64"/>
  <c r="S542" i="64"/>
  <c r="R542" i="64"/>
  <c r="T542" i="64" s="1"/>
  <c r="Q542" i="64"/>
  <c r="O542" i="64"/>
  <c r="N542" i="64"/>
  <c r="M542" i="64"/>
  <c r="P542" i="64" s="1"/>
  <c r="L542" i="64"/>
  <c r="K542" i="64"/>
  <c r="J542" i="64"/>
  <c r="A542" i="64"/>
  <c r="S541" i="64"/>
  <c r="R541" i="64"/>
  <c r="T541" i="64" s="1"/>
  <c r="O541" i="64"/>
  <c r="N541" i="64"/>
  <c r="M541" i="64"/>
  <c r="L541" i="64"/>
  <c r="K541" i="64"/>
  <c r="J541" i="64"/>
  <c r="A541" i="64"/>
  <c r="S540" i="64"/>
  <c r="R540" i="64"/>
  <c r="T540" i="64" s="1"/>
  <c r="Q540" i="64"/>
  <c r="O540" i="64"/>
  <c r="N540" i="64"/>
  <c r="M540" i="64"/>
  <c r="P540" i="64" s="1"/>
  <c r="L540" i="64"/>
  <c r="K540" i="64"/>
  <c r="J540" i="64"/>
  <c r="A540" i="64"/>
  <c r="S539" i="64"/>
  <c r="R539" i="64"/>
  <c r="T539" i="64" s="1"/>
  <c r="O539" i="64"/>
  <c r="N539" i="64"/>
  <c r="M539" i="64"/>
  <c r="L539" i="64"/>
  <c r="K539" i="64"/>
  <c r="J539" i="64"/>
  <c r="A539" i="64"/>
  <c r="S538" i="64"/>
  <c r="R538" i="64"/>
  <c r="T538" i="64" s="1"/>
  <c r="Q538" i="64"/>
  <c r="O538" i="64"/>
  <c r="N538" i="64"/>
  <c r="M538" i="64"/>
  <c r="P538" i="64" s="1"/>
  <c r="L538" i="64"/>
  <c r="K538" i="64"/>
  <c r="J538" i="64"/>
  <c r="A538" i="64"/>
  <c r="S537" i="64"/>
  <c r="R537" i="64"/>
  <c r="T537" i="64" s="1"/>
  <c r="O537" i="64"/>
  <c r="N537" i="64"/>
  <c r="M537" i="64"/>
  <c r="L537" i="64"/>
  <c r="K537" i="64"/>
  <c r="J537" i="64"/>
  <c r="A537" i="64"/>
  <c r="S536" i="64"/>
  <c r="R536" i="64"/>
  <c r="T536" i="64" s="1"/>
  <c r="Q536" i="64"/>
  <c r="O536" i="64"/>
  <c r="N536" i="64"/>
  <c r="M536" i="64"/>
  <c r="P536" i="64" s="1"/>
  <c r="L536" i="64"/>
  <c r="K536" i="64"/>
  <c r="J536" i="64"/>
  <c r="A536" i="64"/>
  <c r="S535" i="64"/>
  <c r="R535" i="64"/>
  <c r="T535" i="64" s="1"/>
  <c r="O535" i="64"/>
  <c r="N535" i="64"/>
  <c r="M535" i="64"/>
  <c r="L535" i="64"/>
  <c r="K535" i="64"/>
  <c r="J535" i="64"/>
  <c r="A535" i="64"/>
  <c r="S534" i="64"/>
  <c r="R534" i="64"/>
  <c r="T534" i="64" s="1"/>
  <c r="Q534" i="64"/>
  <c r="O534" i="64"/>
  <c r="N534" i="64"/>
  <c r="M534" i="64"/>
  <c r="P534" i="64" s="1"/>
  <c r="L534" i="64"/>
  <c r="K534" i="64"/>
  <c r="J534" i="64"/>
  <c r="A534" i="64"/>
  <c r="S533" i="64"/>
  <c r="R533" i="64"/>
  <c r="T533" i="64" s="1"/>
  <c r="O533" i="64"/>
  <c r="N533" i="64"/>
  <c r="M533" i="64"/>
  <c r="L533" i="64"/>
  <c r="K533" i="64"/>
  <c r="J533" i="64"/>
  <c r="A533" i="64"/>
  <c r="S532" i="64"/>
  <c r="R532" i="64"/>
  <c r="T532" i="64" s="1"/>
  <c r="Q532" i="64"/>
  <c r="O532" i="64"/>
  <c r="N532" i="64"/>
  <c r="M532" i="64"/>
  <c r="P532" i="64" s="1"/>
  <c r="L532" i="64"/>
  <c r="K532" i="64"/>
  <c r="J532" i="64"/>
  <c r="A532" i="64"/>
  <c r="S531" i="64"/>
  <c r="R531" i="64"/>
  <c r="T531" i="64" s="1"/>
  <c r="O531" i="64"/>
  <c r="N531" i="64"/>
  <c r="M531" i="64"/>
  <c r="L531" i="64"/>
  <c r="K531" i="64"/>
  <c r="J531" i="64"/>
  <c r="A531" i="64"/>
  <c r="S530" i="64"/>
  <c r="R530" i="64"/>
  <c r="T530" i="64" s="1"/>
  <c r="Q530" i="64"/>
  <c r="O530" i="64"/>
  <c r="N530" i="64"/>
  <c r="M530" i="64"/>
  <c r="P530" i="64" s="1"/>
  <c r="L530" i="64"/>
  <c r="K530" i="64"/>
  <c r="J530" i="64"/>
  <c r="A530" i="64"/>
  <c r="S529" i="64"/>
  <c r="R529" i="64"/>
  <c r="T529" i="64" s="1"/>
  <c r="O529" i="64"/>
  <c r="N529" i="64"/>
  <c r="M529" i="64"/>
  <c r="L529" i="64"/>
  <c r="K529" i="64"/>
  <c r="J529" i="64"/>
  <c r="A529" i="64"/>
  <c r="S528" i="64"/>
  <c r="R528" i="64"/>
  <c r="T528" i="64" s="1"/>
  <c r="Q528" i="64"/>
  <c r="O528" i="64"/>
  <c r="N528" i="64"/>
  <c r="M528" i="64"/>
  <c r="P528" i="64" s="1"/>
  <c r="L528" i="64"/>
  <c r="K528" i="64"/>
  <c r="J528" i="64"/>
  <c r="A528" i="64"/>
  <c r="S527" i="64"/>
  <c r="R527" i="64"/>
  <c r="T527" i="64" s="1"/>
  <c r="O527" i="64"/>
  <c r="N527" i="64"/>
  <c r="M527" i="64"/>
  <c r="L527" i="64"/>
  <c r="K527" i="64"/>
  <c r="J527" i="64"/>
  <c r="A527" i="64"/>
  <c r="S526" i="64"/>
  <c r="R526" i="64"/>
  <c r="T526" i="64" s="1"/>
  <c r="Q526" i="64"/>
  <c r="O526" i="64"/>
  <c r="N526" i="64"/>
  <c r="M526" i="64"/>
  <c r="P526" i="64" s="1"/>
  <c r="L526" i="64"/>
  <c r="K526" i="64"/>
  <c r="J526" i="64"/>
  <c r="A526" i="64"/>
  <c r="S525" i="64"/>
  <c r="R525" i="64"/>
  <c r="T525" i="64" s="1"/>
  <c r="O525" i="64"/>
  <c r="N525" i="64"/>
  <c r="M525" i="64"/>
  <c r="L525" i="64"/>
  <c r="K525" i="64"/>
  <c r="J525" i="64"/>
  <c r="A525" i="64"/>
  <c r="S524" i="64"/>
  <c r="R524" i="64"/>
  <c r="T524" i="64" s="1"/>
  <c r="Q524" i="64"/>
  <c r="O524" i="64"/>
  <c r="N524" i="64"/>
  <c r="M524" i="64"/>
  <c r="P524" i="64" s="1"/>
  <c r="L524" i="64"/>
  <c r="K524" i="64"/>
  <c r="J524" i="64"/>
  <c r="A524" i="64"/>
  <c r="S523" i="64"/>
  <c r="R523" i="64"/>
  <c r="T523" i="64" s="1"/>
  <c r="O523" i="64"/>
  <c r="N523" i="64"/>
  <c r="M523" i="64"/>
  <c r="L523" i="64"/>
  <c r="K523" i="64"/>
  <c r="J523" i="64"/>
  <c r="A523" i="64"/>
  <c r="S522" i="64"/>
  <c r="R522" i="64"/>
  <c r="T522" i="64" s="1"/>
  <c r="Q522" i="64"/>
  <c r="O522" i="64"/>
  <c r="N522" i="64"/>
  <c r="M522" i="64"/>
  <c r="P522" i="64" s="1"/>
  <c r="L522" i="64"/>
  <c r="K522" i="64"/>
  <c r="J522" i="64"/>
  <c r="A522" i="64"/>
  <c r="S521" i="64"/>
  <c r="R521" i="64"/>
  <c r="T521" i="64" s="1"/>
  <c r="O521" i="64"/>
  <c r="N521" i="64"/>
  <c r="M521" i="64"/>
  <c r="L521" i="64"/>
  <c r="K521" i="64"/>
  <c r="J521" i="64"/>
  <c r="A521" i="64"/>
  <c r="S520" i="64"/>
  <c r="R520" i="64"/>
  <c r="T520" i="64" s="1"/>
  <c r="Q520" i="64"/>
  <c r="O520" i="64"/>
  <c r="N520" i="64"/>
  <c r="M520" i="64"/>
  <c r="P520" i="64" s="1"/>
  <c r="L520" i="64"/>
  <c r="K520" i="64"/>
  <c r="J520" i="64"/>
  <c r="A520" i="64"/>
  <c r="S519" i="64"/>
  <c r="R519" i="64"/>
  <c r="T519" i="64" s="1"/>
  <c r="O519" i="64"/>
  <c r="N519" i="64"/>
  <c r="M519" i="64"/>
  <c r="P519" i="64" s="1"/>
  <c r="L519" i="64"/>
  <c r="K519" i="64"/>
  <c r="J519" i="64"/>
  <c r="A519" i="64"/>
  <c r="S518" i="64"/>
  <c r="R518" i="64"/>
  <c r="T518" i="64" s="1"/>
  <c r="Q518" i="64"/>
  <c r="O518" i="64"/>
  <c r="N518" i="64"/>
  <c r="M518" i="64"/>
  <c r="P518" i="64" s="1"/>
  <c r="L518" i="64"/>
  <c r="K518" i="64"/>
  <c r="J518" i="64"/>
  <c r="A518" i="64"/>
  <c r="S517" i="64"/>
  <c r="R517" i="64"/>
  <c r="T517" i="64" s="1"/>
  <c r="O517" i="64"/>
  <c r="N517" i="64"/>
  <c r="M517" i="64"/>
  <c r="L517" i="64"/>
  <c r="K517" i="64"/>
  <c r="J517" i="64"/>
  <c r="A517" i="64"/>
  <c r="S516" i="64"/>
  <c r="R516" i="64"/>
  <c r="T516" i="64" s="1"/>
  <c r="Q516" i="64"/>
  <c r="O516" i="64"/>
  <c r="N516" i="64"/>
  <c r="M516" i="64"/>
  <c r="P516" i="64" s="1"/>
  <c r="L516" i="64"/>
  <c r="K516" i="64"/>
  <c r="J516" i="64"/>
  <c r="A516" i="64"/>
  <c r="S515" i="64"/>
  <c r="R515" i="64"/>
  <c r="T515" i="64" s="1"/>
  <c r="O515" i="64"/>
  <c r="N515" i="64"/>
  <c r="M515" i="64"/>
  <c r="P515" i="64" s="1"/>
  <c r="L515" i="64"/>
  <c r="K515" i="64"/>
  <c r="J515" i="64"/>
  <c r="A515" i="64"/>
  <c r="S514" i="64"/>
  <c r="R514" i="64"/>
  <c r="T514" i="64" s="1"/>
  <c r="Q514" i="64"/>
  <c r="O514" i="64"/>
  <c r="N514" i="64"/>
  <c r="M514" i="64"/>
  <c r="P514" i="64" s="1"/>
  <c r="L514" i="64"/>
  <c r="K514" i="64"/>
  <c r="J514" i="64"/>
  <c r="A514" i="64"/>
  <c r="S513" i="64"/>
  <c r="R513" i="64"/>
  <c r="T513" i="64" s="1"/>
  <c r="O513" i="64"/>
  <c r="N513" i="64"/>
  <c r="M513" i="64"/>
  <c r="L513" i="64"/>
  <c r="K513" i="64"/>
  <c r="J513" i="64"/>
  <c r="A513" i="64"/>
  <c r="S512" i="64"/>
  <c r="R512" i="64"/>
  <c r="T512" i="64" s="1"/>
  <c r="Q512" i="64"/>
  <c r="O512" i="64"/>
  <c r="N512" i="64"/>
  <c r="M512" i="64"/>
  <c r="P512" i="64" s="1"/>
  <c r="L512" i="64"/>
  <c r="K512" i="64"/>
  <c r="J512" i="64"/>
  <c r="A512" i="64"/>
  <c r="S511" i="64"/>
  <c r="R511" i="64"/>
  <c r="T511" i="64" s="1"/>
  <c r="O511" i="64"/>
  <c r="N511" i="64"/>
  <c r="M511" i="64"/>
  <c r="P511" i="64" s="1"/>
  <c r="L511" i="64"/>
  <c r="K511" i="64"/>
  <c r="J511" i="64"/>
  <c r="A511" i="64"/>
  <c r="S510" i="64"/>
  <c r="R510" i="64"/>
  <c r="T510" i="64" s="1"/>
  <c r="Q510" i="64"/>
  <c r="O510" i="64"/>
  <c r="N510" i="64"/>
  <c r="M510" i="64"/>
  <c r="P510" i="64" s="1"/>
  <c r="L510" i="64"/>
  <c r="K510" i="64"/>
  <c r="J510" i="64"/>
  <c r="A510" i="64"/>
  <c r="S509" i="64"/>
  <c r="R509" i="64"/>
  <c r="T509" i="64" s="1"/>
  <c r="O509" i="64"/>
  <c r="N509" i="64"/>
  <c r="M509" i="64"/>
  <c r="L509" i="64"/>
  <c r="K509" i="64"/>
  <c r="J509" i="64"/>
  <c r="A509" i="64"/>
  <c r="S508" i="64"/>
  <c r="R508" i="64"/>
  <c r="T508" i="64" s="1"/>
  <c r="Q508" i="64"/>
  <c r="O508" i="64"/>
  <c r="N508" i="64"/>
  <c r="M508" i="64"/>
  <c r="P508" i="64" s="1"/>
  <c r="L508" i="64"/>
  <c r="K508" i="64"/>
  <c r="J508" i="64"/>
  <c r="A508" i="64"/>
  <c r="S507" i="64"/>
  <c r="R507" i="64"/>
  <c r="T507" i="64" s="1"/>
  <c r="O507" i="64"/>
  <c r="N507" i="64"/>
  <c r="M507" i="64"/>
  <c r="P507" i="64" s="1"/>
  <c r="L507" i="64"/>
  <c r="K507" i="64"/>
  <c r="J507" i="64"/>
  <c r="A507" i="64"/>
  <c r="S506" i="64"/>
  <c r="R506" i="64"/>
  <c r="T506" i="64" s="1"/>
  <c r="Q506" i="64"/>
  <c r="O506" i="64"/>
  <c r="N506" i="64"/>
  <c r="M506" i="64"/>
  <c r="P506" i="64" s="1"/>
  <c r="L506" i="64"/>
  <c r="K506" i="64"/>
  <c r="J506" i="64"/>
  <c r="A506" i="64"/>
  <c r="S505" i="64"/>
  <c r="R505" i="64"/>
  <c r="T505" i="64" s="1"/>
  <c r="O505" i="64"/>
  <c r="N505" i="64"/>
  <c r="M505" i="64"/>
  <c r="L505" i="64"/>
  <c r="K505" i="64"/>
  <c r="J505" i="64"/>
  <c r="A505" i="64"/>
  <c r="S504" i="64"/>
  <c r="R504" i="64"/>
  <c r="T504" i="64" s="1"/>
  <c r="Q504" i="64"/>
  <c r="O504" i="64"/>
  <c r="N504" i="64"/>
  <c r="M504" i="64"/>
  <c r="P504" i="64" s="1"/>
  <c r="L504" i="64"/>
  <c r="K504" i="64"/>
  <c r="J504" i="64"/>
  <c r="A504" i="64"/>
  <c r="S503" i="64"/>
  <c r="R503" i="64"/>
  <c r="T503" i="64" s="1"/>
  <c r="O503" i="64"/>
  <c r="N503" i="64"/>
  <c r="M503" i="64"/>
  <c r="P503" i="64" s="1"/>
  <c r="L503" i="64"/>
  <c r="K503" i="64"/>
  <c r="J503" i="64"/>
  <c r="A503" i="64"/>
  <c r="S502" i="64"/>
  <c r="R502" i="64"/>
  <c r="T502" i="64" s="1"/>
  <c r="Q502" i="64"/>
  <c r="O502" i="64"/>
  <c r="N502" i="64"/>
  <c r="M502" i="64"/>
  <c r="P502" i="64" s="1"/>
  <c r="L502" i="64"/>
  <c r="K502" i="64"/>
  <c r="J502" i="64"/>
  <c r="A502" i="64"/>
  <c r="S501" i="64"/>
  <c r="R501" i="64"/>
  <c r="T501" i="64" s="1"/>
  <c r="O501" i="64"/>
  <c r="N501" i="64"/>
  <c r="M501" i="64"/>
  <c r="L501" i="64"/>
  <c r="K501" i="64"/>
  <c r="J501" i="64"/>
  <c r="A501" i="64"/>
  <c r="S500" i="64"/>
  <c r="R500" i="64"/>
  <c r="T500" i="64" s="1"/>
  <c r="Q500" i="64"/>
  <c r="O500" i="64"/>
  <c r="N500" i="64"/>
  <c r="M500" i="64"/>
  <c r="P500" i="64" s="1"/>
  <c r="L500" i="64"/>
  <c r="K500" i="64"/>
  <c r="J500" i="64"/>
  <c r="A500" i="64"/>
  <c r="S499" i="64"/>
  <c r="R499" i="64"/>
  <c r="T499" i="64" s="1"/>
  <c r="O499" i="64"/>
  <c r="N499" i="64"/>
  <c r="M499" i="64"/>
  <c r="P499" i="64" s="1"/>
  <c r="L499" i="64"/>
  <c r="K499" i="64"/>
  <c r="J499" i="64"/>
  <c r="A499" i="64"/>
  <c r="S498" i="64"/>
  <c r="R498" i="64"/>
  <c r="T498" i="64" s="1"/>
  <c r="Q498" i="64"/>
  <c r="O498" i="64"/>
  <c r="N498" i="64"/>
  <c r="M498" i="64"/>
  <c r="P498" i="64" s="1"/>
  <c r="L498" i="64"/>
  <c r="K498" i="64"/>
  <c r="J498" i="64"/>
  <c r="A498" i="64"/>
  <c r="S497" i="64"/>
  <c r="R497" i="64"/>
  <c r="T497" i="64" s="1"/>
  <c r="O497" i="64"/>
  <c r="N497" i="64"/>
  <c r="M497" i="64"/>
  <c r="L497" i="64"/>
  <c r="K497" i="64"/>
  <c r="J497" i="64"/>
  <c r="A497" i="64"/>
  <c r="S496" i="64"/>
  <c r="R496" i="64"/>
  <c r="T496" i="64" s="1"/>
  <c r="Q496" i="64"/>
  <c r="O496" i="64"/>
  <c r="N496" i="64"/>
  <c r="M496" i="64"/>
  <c r="P496" i="64" s="1"/>
  <c r="L496" i="64"/>
  <c r="K496" i="64"/>
  <c r="J496" i="64"/>
  <c r="A496" i="64"/>
  <c r="S495" i="64"/>
  <c r="R495" i="64"/>
  <c r="T495" i="64" s="1"/>
  <c r="O495" i="64"/>
  <c r="N495" i="64"/>
  <c r="M495" i="64"/>
  <c r="P495" i="64" s="1"/>
  <c r="L495" i="64"/>
  <c r="K495" i="64"/>
  <c r="J495" i="64"/>
  <c r="A495" i="64"/>
  <c r="S494" i="64"/>
  <c r="R494" i="64"/>
  <c r="T494" i="64" s="1"/>
  <c r="Q494" i="64"/>
  <c r="O494" i="64"/>
  <c r="N494" i="64"/>
  <c r="M494" i="64"/>
  <c r="P494" i="64" s="1"/>
  <c r="L494" i="64"/>
  <c r="K494" i="64"/>
  <c r="J494" i="64"/>
  <c r="A494" i="64"/>
  <c r="S493" i="64"/>
  <c r="R493" i="64"/>
  <c r="T493" i="64" s="1"/>
  <c r="O493" i="64"/>
  <c r="N493" i="64"/>
  <c r="M493" i="64"/>
  <c r="L493" i="64"/>
  <c r="K493" i="64"/>
  <c r="J493" i="64"/>
  <c r="A493" i="64"/>
  <c r="S492" i="64"/>
  <c r="R492" i="64"/>
  <c r="T492" i="64" s="1"/>
  <c r="Q492" i="64"/>
  <c r="O492" i="64"/>
  <c r="N492" i="64"/>
  <c r="M492" i="64"/>
  <c r="P492" i="64" s="1"/>
  <c r="L492" i="64"/>
  <c r="K492" i="64"/>
  <c r="J492" i="64"/>
  <c r="A492" i="64"/>
  <c r="S491" i="64"/>
  <c r="R491" i="64"/>
  <c r="T491" i="64" s="1"/>
  <c r="O491" i="64"/>
  <c r="N491" i="64"/>
  <c r="M491" i="64"/>
  <c r="P491" i="64" s="1"/>
  <c r="L491" i="64"/>
  <c r="K491" i="64"/>
  <c r="J491" i="64"/>
  <c r="A491" i="64"/>
  <c r="S490" i="64"/>
  <c r="R490" i="64"/>
  <c r="T490" i="64" s="1"/>
  <c r="Q490" i="64"/>
  <c r="O490" i="64"/>
  <c r="N490" i="64"/>
  <c r="M490" i="64"/>
  <c r="P490" i="64" s="1"/>
  <c r="L490" i="64"/>
  <c r="K490" i="64"/>
  <c r="J490" i="64"/>
  <c r="A490" i="64"/>
  <c r="S489" i="64"/>
  <c r="R489" i="64"/>
  <c r="T489" i="64" s="1"/>
  <c r="O489" i="64"/>
  <c r="N489" i="64"/>
  <c r="M489" i="64"/>
  <c r="L489" i="64"/>
  <c r="K489" i="64"/>
  <c r="J489" i="64"/>
  <c r="A489" i="64"/>
  <c r="S488" i="64"/>
  <c r="R488" i="64"/>
  <c r="T488" i="64" s="1"/>
  <c r="Q488" i="64"/>
  <c r="O488" i="64"/>
  <c r="N488" i="64"/>
  <c r="M488" i="64"/>
  <c r="P488" i="64" s="1"/>
  <c r="L488" i="64"/>
  <c r="K488" i="64"/>
  <c r="J488" i="64"/>
  <c r="A488" i="64"/>
  <c r="S487" i="64"/>
  <c r="R487" i="64"/>
  <c r="T487" i="64" s="1"/>
  <c r="O487" i="64"/>
  <c r="N487" i="64"/>
  <c r="M487" i="64"/>
  <c r="P487" i="64" s="1"/>
  <c r="L487" i="64"/>
  <c r="K487" i="64"/>
  <c r="J487" i="64"/>
  <c r="A487" i="64"/>
  <c r="S486" i="64"/>
  <c r="R486" i="64"/>
  <c r="T486" i="64" s="1"/>
  <c r="Q486" i="64"/>
  <c r="O486" i="64"/>
  <c r="N486" i="64"/>
  <c r="M486" i="64"/>
  <c r="P486" i="64" s="1"/>
  <c r="L486" i="64"/>
  <c r="K486" i="64"/>
  <c r="J486" i="64"/>
  <c r="A486" i="64"/>
  <c r="S485" i="64"/>
  <c r="R485" i="64"/>
  <c r="T485" i="64" s="1"/>
  <c r="O485" i="64"/>
  <c r="N485" i="64"/>
  <c r="M485" i="64"/>
  <c r="L485" i="64"/>
  <c r="K485" i="64"/>
  <c r="J485" i="64"/>
  <c r="A485" i="64"/>
  <c r="S484" i="64"/>
  <c r="R484" i="64"/>
  <c r="T484" i="64" s="1"/>
  <c r="Q484" i="64"/>
  <c r="O484" i="64"/>
  <c r="N484" i="64"/>
  <c r="M484" i="64"/>
  <c r="P484" i="64" s="1"/>
  <c r="L484" i="64"/>
  <c r="K484" i="64"/>
  <c r="J484" i="64"/>
  <c r="A484" i="64"/>
  <c r="S483" i="64"/>
  <c r="R483" i="64"/>
  <c r="T483" i="64" s="1"/>
  <c r="O483" i="64"/>
  <c r="N483" i="64"/>
  <c r="M483" i="64"/>
  <c r="P483" i="64" s="1"/>
  <c r="L483" i="64"/>
  <c r="K483" i="64"/>
  <c r="J483" i="64"/>
  <c r="A483" i="64"/>
  <c r="S482" i="64"/>
  <c r="R482" i="64"/>
  <c r="T482" i="64" s="1"/>
  <c r="Q482" i="64"/>
  <c r="O482" i="64"/>
  <c r="N482" i="64"/>
  <c r="M482" i="64"/>
  <c r="P482" i="64" s="1"/>
  <c r="L482" i="64"/>
  <c r="K482" i="64"/>
  <c r="J482" i="64"/>
  <c r="A482" i="64"/>
  <c r="S481" i="64"/>
  <c r="R481" i="64"/>
  <c r="T481" i="64" s="1"/>
  <c r="O481" i="64"/>
  <c r="N481" i="64"/>
  <c r="M481" i="64"/>
  <c r="L481" i="64"/>
  <c r="K481" i="64"/>
  <c r="J481" i="64"/>
  <c r="A481" i="64"/>
  <c r="S480" i="64"/>
  <c r="R480" i="64"/>
  <c r="T480" i="64" s="1"/>
  <c r="Q480" i="64"/>
  <c r="O480" i="64"/>
  <c r="N480" i="64"/>
  <c r="M480" i="64"/>
  <c r="P480" i="64" s="1"/>
  <c r="L480" i="64"/>
  <c r="K480" i="64"/>
  <c r="J480" i="64"/>
  <c r="A480" i="64"/>
  <c r="S479" i="64"/>
  <c r="R479" i="64"/>
  <c r="T479" i="64" s="1"/>
  <c r="O479" i="64"/>
  <c r="N479" i="64"/>
  <c r="M479" i="64"/>
  <c r="P479" i="64" s="1"/>
  <c r="L479" i="64"/>
  <c r="K479" i="64"/>
  <c r="J479" i="64"/>
  <c r="A479" i="64"/>
  <c r="S478" i="64"/>
  <c r="R478" i="64"/>
  <c r="T478" i="64" s="1"/>
  <c r="Q478" i="64"/>
  <c r="O478" i="64"/>
  <c r="N478" i="64"/>
  <c r="M478" i="64"/>
  <c r="P478" i="64" s="1"/>
  <c r="L478" i="64"/>
  <c r="K478" i="64"/>
  <c r="J478" i="64"/>
  <c r="A478" i="64"/>
  <c r="S477" i="64"/>
  <c r="R477" i="64"/>
  <c r="T477" i="64" s="1"/>
  <c r="O477" i="64"/>
  <c r="N477" i="64"/>
  <c r="M477" i="64"/>
  <c r="L477" i="64"/>
  <c r="K477" i="64"/>
  <c r="J477" i="64"/>
  <c r="A477" i="64"/>
  <c r="S476" i="64"/>
  <c r="R476" i="64"/>
  <c r="T476" i="64" s="1"/>
  <c r="Q476" i="64"/>
  <c r="O476" i="64"/>
  <c r="N476" i="64"/>
  <c r="M476" i="64"/>
  <c r="P476" i="64" s="1"/>
  <c r="L476" i="64"/>
  <c r="K476" i="64"/>
  <c r="J476" i="64"/>
  <c r="A476" i="64"/>
  <c r="S475" i="64"/>
  <c r="R475" i="64"/>
  <c r="T475" i="64" s="1"/>
  <c r="O475" i="64"/>
  <c r="N475" i="64"/>
  <c r="M475" i="64"/>
  <c r="P475" i="64" s="1"/>
  <c r="L475" i="64"/>
  <c r="K475" i="64"/>
  <c r="J475" i="64"/>
  <c r="A475" i="64"/>
  <c r="S474" i="64"/>
  <c r="R474" i="64"/>
  <c r="T474" i="64" s="1"/>
  <c r="Q474" i="64"/>
  <c r="O474" i="64"/>
  <c r="N474" i="64"/>
  <c r="M474" i="64"/>
  <c r="P474" i="64" s="1"/>
  <c r="L474" i="64"/>
  <c r="K474" i="64"/>
  <c r="J474" i="64"/>
  <c r="A474" i="64"/>
  <c r="S473" i="64"/>
  <c r="R473" i="64"/>
  <c r="T473" i="64" s="1"/>
  <c r="O473" i="64"/>
  <c r="N473" i="64"/>
  <c r="M473" i="64"/>
  <c r="L473" i="64"/>
  <c r="K473" i="64"/>
  <c r="J473" i="64"/>
  <c r="A473" i="64"/>
  <c r="S472" i="64"/>
  <c r="R472" i="64"/>
  <c r="T472" i="64" s="1"/>
  <c r="Q472" i="64"/>
  <c r="O472" i="64"/>
  <c r="N472" i="64"/>
  <c r="M472" i="64"/>
  <c r="P472" i="64" s="1"/>
  <c r="L472" i="64"/>
  <c r="K472" i="64"/>
  <c r="J472" i="64"/>
  <c r="A472" i="64"/>
  <c r="S471" i="64"/>
  <c r="R471" i="64"/>
  <c r="T471" i="64" s="1"/>
  <c r="O471" i="64"/>
  <c r="N471" i="64"/>
  <c r="M471" i="64"/>
  <c r="P471" i="64" s="1"/>
  <c r="L471" i="64"/>
  <c r="K471" i="64"/>
  <c r="J471" i="64"/>
  <c r="A471" i="64"/>
  <c r="S470" i="64"/>
  <c r="R470" i="64"/>
  <c r="T470" i="64" s="1"/>
  <c r="Q470" i="64"/>
  <c r="O470" i="64"/>
  <c r="N470" i="64"/>
  <c r="M470" i="64"/>
  <c r="P470" i="64" s="1"/>
  <c r="L470" i="64"/>
  <c r="K470" i="64"/>
  <c r="J470" i="64"/>
  <c r="A470" i="64"/>
  <c r="S469" i="64"/>
  <c r="R469" i="64"/>
  <c r="T469" i="64" s="1"/>
  <c r="O469" i="64"/>
  <c r="N469" i="64"/>
  <c r="M469" i="64"/>
  <c r="L469" i="64"/>
  <c r="K469" i="64"/>
  <c r="J469" i="64"/>
  <c r="A469" i="64"/>
  <c r="S468" i="64"/>
  <c r="R468" i="64"/>
  <c r="T468" i="64" s="1"/>
  <c r="Q468" i="64"/>
  <c r="O468" i="64"/>
  <c r="N468" i="64"/>
  <c r="M468" i="64"/>
  <c r="P468" i="64" s="1"/>
  <c r="L468" i="64"/>
  <c r="K468" i="64"/>
  <c r="J468" i="64"/>
  <c r="A468" i="64"/>
  <c r="S467" i="64"/>
  <c r="R467" i="64"/>
  <c r="T467" i="64" s="1"/>
  <c r="O467" i="64"/>
  <c r="N467" i="64"/>
  <c r="M467" i="64"/>
  <c r="P467" i="64" s="1"/>
  <c r="L467" i="64"/>
  <c r="K467" i="64"/>
  <c r="J467" i="64"/>
  <c r="A467" i="64"/>
  <c r="S466" i="64"/>
  <c r="R466" i="64"/>
  <c r="T466" i="64" s="1"/>
  <c r="O466" i="64"/>
  <c r="N466" i="64"/>
  <c r="M466" i="64"/>
  <c r="P466" i="64" s="1"/>
  <c r="L466" i="64"/>
  <c r="K466" i="64"/>
  <c r="J466" i="64"/>
  <c r="A466" i="64"/>
  <c r="S465" i="64"/>
  <c r="R465" i="64"/>
  <c r="T465" i="64" s="1"/>
  <c r="O465" i="64"/>
  <c r="N465" i="64"/>
  <c r="M465" i="64"/>
  <c r="L465" i="64"/>
  <c r="K465" i="64"/>
  <c r="J465" i="64"/>
  <c r="A465" i="64"/>
  <c r="S464" i="64"/>
  <c r="R464" i="64"/>
  <c r="T464" i="64" s="1"/>
  <c r="Q464" i="64"/>
  <c r="O464" i="64"/>
  <c r="N464" i="64"/>
  <c r="M464" i="64"/>
  <c r="P464" i="64" s="1"/>
  <c r="L464" i="64"/>
  <c r="K464" i="64"/>
  <c r="J464" i="64"/>
  <c r="A464" i="64"/>
  <c r="S463" i="64"/>
  <c r="R463" i="64"/>
  <c r="T463" i="64" s="1"/>
  <c r="O463" i="64"/>
  <c r="N463" i="64"/>
  <c r="M463" i="64"/>
  <c r="P463" i="64" s="1"/>
  <c r="L463" i="64"/>
  <c r="K463" i="64"/>
  <c r="J463" i="64"/>
  <c r="A463" i="64"/>
  <c r="S462" i="64"/>
  <c r="R462" i="64"/>
  <c r="T462" i="64" s="1"/>
  <c r="O462" i="64"/>
  <c r="N462" i="64"/>
  <c r="M462" i="64"/>
  <c r="P462" i="64" s="1"/>
  <c r="L462" i="64"/>
  <c r="K462" i="64"/>
  <c r="J462" i="64"/>
  <c r="A462" i="64"/>
  <c r="S461" i="64"/>
  <c r="R461" i="64"/>
  <c r="T461" i="64" s="1"/>
  <c r="O461" i="64"/>
  <c r="N461" i="64"/>
  <c r="M461" i="64"/>
  <c r="L461" i="64"/>
  <c r="K461" i="64"/>
  <c r="J461" i="64"/>
  <c r="A461" i="64"/>
  <c r="S460" i="64"/>
  <c r="R460" i="64"/>
  <c r="T460" i="64" s="1"/>
  <c r="Q460" i="64"/>
  <c r="O460" i="64"/>
  <c r="N460" i="64"/>
  <c r="M460" i="64"/>
  <c r="P460" i="64" s="1"/>
  <c r="L460" i="64"/>
  <c r="K460" i="64"/>
  <c r="J460" i="64"/>
  <c r="A460" i="64"/>
  <c r="S459" i="64"/>
  <c r="R459" i="64"/>
  <c r="T459" i="64" s="1"/>
  <c r="O459" i="64"/>
  <c r="N459" i="64"/>
  <c r="M459" i="64"/>
  <c r="P459" i="64" s="1"/>
  <c r="L459" i="64"/>
  <c r="K459" i="64"/>
  <c r="J459" i="64"/>
  <c r="A459" i="64"/>
  <c r="S458" i="64"/>
  <c r="R458" i="64"/>
  <c r="T458" i="64" s="1"/>
  <c r="O458" i="64"/>
  <c r="N458" i="64"/>
  <c r="M458" i="64"/>
  <c r="P458" i="64" s="1"/>
  <c r="L458" i="64"/>
  <c r="K458" i="64"/>
  <c r="J458" i="64"/>
  <c r="A458" i="64"/>
  <c r="S457" i="64"/>
  <c r="R457" i="64"/>
  <c r="T457" i="64" s="1"/>
  <c r="O457" i="64"/>
  <c r="N457" i="64"/>
  <c r="M457" i="64"/>
  <c r="L457" i="64"/>
  <c r="K457" i="64"/>
  <c r="J457" i="64"/>
  <c r="A457" i="64"/>
  <c r="S456" i="64"/>
  <c r="R456" i="64"/>
  <c r="T456" i="64" s="1"/>
  <c r="Q456" i="64"/>
  <c r="O456" i="64"/>
  <c r="N456" i="64"/>
  <c r="M456" i="64"/>
  <c r="P456" i="64" s="1"/>
  <c r="L456" i="64"/>
  <c r="K456" i="64"/>
  <c r="J456" i="64"/>
  <c r="A456" i="64"/>
  <c r="S455" i="64"/>
  <c r="R455" i="64"/>
  <c r="T455" i="64" s="1"/>
  <c r="O455" i="64"/>
  <c r="N455" i="64"/>
  <c r="M455" i="64"/>
  <c r="P455" i="64" s="1"/>
  <c r="L455" i="64"/>
  <c r="K455" i="64"/>
  <c r="J455" i="64"/>
  <c r="A455" i="64"/>
  <c r="S454" i="64"/>
  <c r="R454" i="64"/>
  <c r="T454" i="64" s="1"/>
  <c r="O454" i="64"/>
  <c r="N454" i="64"/>
  <c r="M454" i="64"/>
  <c r="P454" i="64" s="1"/>
  <c r="L454" i="64"/>
  <c r="K454" i="64"/>
  <c r="J454" i="64"/>
  <c r="A454" i="64"/>
  <c r="S453" i="64"/>
  <c r="R453" i="64"/>
  <c r="T453" i="64" s="1"/>
  <c r="O453" i="64"/>
  <c r="N453" i="64"/>
  <c r="M453" i="64"/>
  <c r="L453" i="64"/>
  <c r="K453" i="64"/>
  <c r="J453" i="64"/>
  <c r="A453" i="64"/>
  <c r="S452" i="64"/>
  <c r="R452" i="64"/>
  <c r="T452" i="64" s="1"/>
  <c r="Q452" i="64"/>
  <c r="O452" i="64"/>
  <c r="N452" i="64"/>
  <c r="M452" i="64"/>
  <c r="P452" i="64" s="1"/>
  <c r="L452" i="64"/>
  <c r="K452" i="64"/>
  <c r="J452" i="64"/>
  <c r="A452" i="64"/>
  <c r="S451" i="64"/>
  <c r="R451" i="64"/>
  <c r="T451" i="64" s="1"/>
  <c r="O451" i="64"/>
  <c r="N451" i="64"/>
  <c r="M451" i="64"/>
  <c r="P451" i="64" s="1"/>
  <c r="L451" i="64"/>
  <c r="K451" i="64"/>
  <c r="J451" i="64"/>
  <c r="A451" i="64"/>
  <c r="S450" i="64"/>
  <c r="R450" i="64"/>
  <c r="T450" i="64" s="1"/>
  <c r="O450" i="64"/>
  <c r="N450" i="64"/>
  <c r="M450" i="64"/>
  <c r="P450" i="64" s="1"/>
  <c r="L450" i="64"/>
  <c r="K450" i="64"/>
  <c r="J450" i="64"/>
  <c r="A450" i="64"/>
  <c r="S449" i="64"/>
  <c r="R449" i="64"/>
  <c r="T449" i="64" s="1"/>
  <c r="O449" i="64"/>
  <c r="N449" i="64"/>
  <c r="M449" i="64"/>
  <c r="L449" i="64"/>
  <c r="K449" i="64"/>
  <c r="J449" i="64"/>
  <c r="A449" i="64"/>
  <c r="S448" i="64"/>
  <c r="R448" i="64"/>
  <c r="T448" i="64" s="1"/>
  <c r="Q448" i="64"/>
  <c r="O448" i="64"/>
  <c r="N448" i="64"/>
  <c r="M448" i="64"/>
  <c r="P448" i="64" s="1"/>
  <c r="L448" i="64"/>
  <c r="K448" i="64"/>
  <c r="J448" i="64"/>
  <c r="A448" i="64"/>
  <c r="S447" i="64"/>
  <c r="R447" i="64"/>
  <c r="T447" i="64" s="1"/>
  <c r="O447" i="64"/>
  <c r="N447" i="64"/>
  <c r="M447" i="64"/>
  <c r="P447" i="64" s="1"/>
  <c r="L447" i="64"/>
  <c r="K447" i="64"/>
  <c r="J447" i="64"/>
  <c r="A447" i="64"/>
  <c r="S446" i="64"/>
  <c r="R446" i="64"/>
  <c r="T446" i="64" s="1"/>
  <c r="O446" i="64"/>
  <c r="N446" i="64"/>
  <c r="M446" i="64"/>
  <c r="P446" i="64" s="1"/>
  <c r="L446" i="64"/>
  <c r="K446" i="64"/>
  <c r="J446" i="64"/>
  <c r="A446" i="64"/>
  <c r="S445" i="64"/>
  <c r="R445" i="64"/>
  <c r="T445" i="64" s="1"/>
  <c r="O445" i="64"/>
  <c r="N445" i="64"/>
  <c r="M445" i="64"/>
  <c r="L445" i="64"/>
  <c r="K445" i="64"/>
  <c r="J445" i="64"/>
  <c r="A445" i="64"/>
  <c r="S444" i="64"/>
  <c r="R444" i="64"/>
  <c r="T444" i="64" s="1"/>
  <c r="Q444" i="64"/>
  <c r="O444" i="64"/>
  <c r="N444" i="64"/>
  <c r="M444" i="64"/>
  <c r="P444" i="64" s="1"/>
  <c r="L444" i="64"/>
  <c r="K444" i="64"/>
  <c r="J444" i="64"/>
  <c r="A444" i="64"/>
  <c r="S443" i="64"/>
  <c r="R443" i="64"/>
  <c r="T443" i="64" s="1"/>
  <c r="O443" i="64"/>
  <c r="N443" i="64"/>
  <c r="M443" i="64"/>
  <c r="P443" i="64" s="1"/>
  <c r="L443" i="64"/>
  <c r="K443" i="64"/>
  <c r="J443" i="64"/>
  <c r="A443" i="64"/>
  <c r="S442" i="64"/>
  <c r="R442" i="64"/>
  <c r="T442" i="64" s="1"/>
  <c r="O442" i="64"/>
  <c r="N442" i="64"/>
  <c r="M442" i="64"/>
  <c r="P442" i="64" s="1"/>
  <c r="L442" i="64"/>
  <c r="K442" i="64"/>
  <c r="J442" i="64"/>
  <c r="A442" i="64"/>
  <c r="S441" i="64"/>
  <c r="R441" i="64"/>
  <c r="T441" i="64" s="1"/>
  <c r="O441" i="64"/>
  <c r="N441" i="64"/>
  <c r="M441" i="64"/>
  <c r="L441" i="64"/>
  <c r="K441" i="64"/>
  <c r="J441" i="64"/>
  <c r="A441" i="64"/>
  <c r="S440" i="64"/>
  <c r="R440" i="64"/>
  <c r="T440" i="64" s="1"/>
  <c r="Q440" i="64"/>
  <c r="O440" i="64"/>
  <c r="N440" i="64"/>
  <c r="M440" i="64"/>
  <c r="P440" i="64" s="1"/>
  <c r="L440" i="64"/>
  <c r="K440" i="64"/>
  <c r="J440" i="64"/>
  <c r="A440" i="64"/>
  <c r="S439" i="64"/>
  <c r="R439" i="64"/>
  <c r="T439" i="64" s="1"/>
  <c r="O439" i="64"/>
  <c r="N439" i="64"/>
  <c r="M439" i="64"/>
  <c r="P439" i="64" s="1"/>
  <c r="L439" i="64"/>
  <c r="K439" i="64"/>
  <c r="J439" i="64"/>
  <c r="A439" i="64"/>
  <c r="S438" i="64"/>
  <c r="R438" i="64"/>
  <c r="T438" i="64" s="1"/>
  <c r="O438" i="64"/>
  <c r="N438" i="64"/>
  <c r="M438" i="64"/>
  <c r="P438" i="64" s="1"/>
  <c r="L438" i="64"/>
  <c r="K438" i="64"/>
  <c r="J438" i="64"/>
  <c r="A438" i="64"/>
  <c r="S437" i="64"/>
  <c r="R437" i="64"/>
  <c r="T437" i="64" s="1"/>
  <c r="O437" i="64"/>
  <c r="N437" i="64"/>
  <c r="M437" i="64"/>
  <c r="L437" i="64"/>
  <c r="K437" i="64"/>
  <c r="J437" i="64"/>
  <c r="A437" i="64"/>
  <c r="S436" i="64"/>
  <c r="R436" i="64"/>
  <c r="T436" i="64" s="1"/>
  <c r="Q436" i="64"/>
  <c r="O436" i="64"/>
  <c r="N436" i="64"/>
  <c r="M436" i="64"/>
  <c r="P436" i="64" s="1"/>
  <c r="L436" i="64"/>
  <c r="K436" i="64"/>
  <c r="J436" i="64"/>
  <c r="A436" i="64"/>
  <c r="S435" i="64"/>
  <c r="R435" i="64"/>
  <c r="T435" i="64" s="1"/>
  <c r="O435" i="64"/>
  <c r="N435" i="64"/>
  <c r="M435" i="64"/>
  <c r="P435" i="64" s="1"/>
  <c r="L435" i="64"/>
  <c r="K435" i="64"/>
  <c r="J435" i="64"/>
  <c r="A435" i="64"/>
  <c r="S434" i="64"/>
  <c r="R434" i="64"/>
  <c r="T434" i="64" s="1"/>
  <c r="O434" i="64"/>
  <c r="N434" i="64"/>
  <c r="M434" i="64"/>
  <c r="P434" i="64" s="1"/>
  <c r="L434" i="64"/>
  <c r="K434" i="64"/>
  <c r="J434" i="64"/>
  <c r="A434" i="64"/>
  <c r="S433" i="64"/>
  <c r="R433" i="64"/>
  <c r="T433" i="64" s="1"/>
  <c r="O433" i="64"/>
  <c r="N433" i="64"/>
  <c r="M433" i="64"/>
  <c r="L433" i="64"/>
  <c r="K433" i="64"/>
  <c r="J433" i="64"/>
  <c r="A433" i="64"/>
  <c r="S432" i="64"/>
  <c r="R432" i="64"/>
  <c r="T432" i="64" s="1"/>
  <c r="Q432" i="64"/>
  <c r="O432" i="64"/>
  <c r="N432" i="64"/>
  <c r="M432" i="64"/>
  <c r="P432" i="64" s="1"/>
  <c r="L432" i="64"/>
  <c r="K432" i="64"/>
  <c r="J432" i="64"/>
  <c r="A432" i="64"/>
  <c r="S431" i="64"/>
  <c r="R431" i="64"/>
  <c r="T431" i="64" s="1"/>
  <c r="O431" i="64"/>
  <c r="N431" i="64"/>
  <c r="M431" i="64"/>
  <c r="P431" i="64" s="1"/>
  <c r="L431" i="64"/>
  <c r="K431" i="64"/>
  <c r="J431" i="64"/>
  <c r="A431" i="64"/>
  <c r="S430" i="64"/>
  <c r="R430" i="64"/>
  <c r="T430" i="64" s="1"/>
  <c r="O430" i="64"/>
  <c r="N430" i="64"/>
  <c r="M430" i="64"/>
  <c r="P430" i="64" s="1"/>
  <c r="L430" i="64"/>
  <c r="K430" i="64"/>
  <c r="J430" i="64"/>
  <c r="A430" i="64"/>
  <c r="S429" i="64"/>
  <c r="R429" i="64"/>
  <c r="T429" i="64" s="1"/>
  <c r="O429" i="64"/>
  <c r="N429" i="64"/>
  <c r="M429" i="64"/>
  <c r="L429" i="64"/>
  <c r="K429" i="64"/>
  <c r="J429" i="64"/>
  <c r="A429" i="64"/>
  <c r="S428" i="64"/>
  <c r="R428" i="64"/>
  <c r="T428" i="64" s="1"/>
  <c r="Q428" i="64"/>
  <c r="O428" i="64"/>
  <c r="N428" i="64"/>
  <c r="M428" i="64"/>
  <c r="P428" i="64" s="1"/>
  <c r="L428" i="64"/>
  <c r="K428" i="64"/>
  <c r="J428" i="64"/>
  <c r="A428" i="64"/>
  <c r="S427" i="64"/>
  <c r="R427" i="64"/>
  <c r="T427" i="64" s="1"/>
  <c r="O427" i="64"/>
  <c r="N427" i="64"/>
  <c r="M427" i="64"/>
  <c r="P427" i="64" s="1"/>
  <c r="L427" i="64"/>
  <c r="K427" i="64"/>
  <c r="J427" i="64"/>
  <c r="A427" i="64"/>
  <c r="S426" i="64"/>
  <c r="R426" i="64"/>
  <c r="T426" i="64" s="1"/>
  <c r="O426" i="64"/>
  <c r="N426" i="64"/>
  <c r="M426" i="64"/>
  <c r="P426" i="64" s="1"/>
  <c r="L426" i="64"/>
  <c r="K426" i="64"/>
  <c r="J426" i="64"/>
  <c r="A426" i="64"/>
  <c r="S425" i="64"/>
  <c r="R425" i="64"/>
  <c r="T425" i="64" s="1"/>
  <c r="O425" i="64"/>
  <c r="N425" i="64"/>
  <c r="M425" i="64"/>
  <c r="L425" i="64"/>
  <c r="K425" i="64"/>
  <c r="J425" i="64"/>
  <c r="A425" i="64"/>
  <c r="S424" i="64"/>
  <c r="R424" i="64"/>
  <c r="T424" i="64" s="1"/>
  <c r="Q424" i="64"/>
  <c r="O424" i="64"/>
  <c r="N424" i="64"/>
  <c r="M424" i="64"/>
  <c r="P424" i="64" s="1"/>
  <c r="L424" i="64"/>
  <c r="K424" i="64"/>
  <c r="J424" i="64"/>
  <c r="A424" i="64"/>
  <c r="S423" i="64"/>
  <c r="R423" i="64"/>
  <c r="T423" i="64" s="1"/>
  <c r="O423" i="64"/>
  <c r="N423" i="64"/>
  <c r="M423" i="64"/>
  <c r="P423" i="64" s="1"/>
  <c r="L423" i="64"/>
  <c r="K423" i="64"/>
  <c r="J423" i="64"/>
  <c r="A423" i="64"/>
  <c r="S422" i="64"/>
  <c r="R422" i="64"/>
  <c r="T422" i="64" s="1"/>
  <c r="O422" i="64"/>
  <c r="N422" i="64"/>
  <c r="M422" i="64"/>
  <c r="P422" i="64" s="1"/>
  <c r="L422" i="64"/>
  <c r="K422" i="64"/>
  <c r="J422" i="64"/>
  <c r="A422" i="64"/>
  <c r="S421" i="64"/>
  <c r="R421" i="64"/>
  <c r="T421" i="64" s="1"/>
  <c r="O421" i="64"/>
  <c r="N421" i="64"/>
  <c r="M421" i="64"/>
  <c r="L421" i="64"/>
  <c r="K421" i="64"/>
  <c r="J421" i="64"/>
  <c r="A421" i="64"/>
  <c r="S420" i="64"/>
  <c r="R420" i="64"/>
  <c r="T420" i="64" s="1"/>
  <c r="Q420" i="64"/>
  <c r="O420" i="64"/>
  <c r="N420" i="64"/>
  <c r="M420" i="64"/>
  <c r="P420" i="64" s="1"/>
  <c r="L420" i="64"/>
  <c r="K420" i="64"/>
  <c r="J420" i="64"/>
  <c r="A420" i="64"/>
  <c r="S419" i="64"/>
  <c r="R419" i="64"/>
  <c r="T419" i="64" s="1"/>
  <c r="O419" i="64"/>
  <c r="N419" i="64"/>
  <c r="M419" i="64"/>
  <c r="P419" i="64" s="1"/>
  <c r="L419" i="64"/>
  <c r="K419" i="64"/>
  <c r="J419" i="64"/>
  <c r="A419" i="64"/>
  <c r="S418" i="64"/>
  <c r="R418" i="64"/>
  <c r="T418" i="64" s="1"/>
  <c r="O418" i="64"/>
  <c r="N418" i="64"/>
  <c r="M418" i="64"/>
  <c r="P418" i="64" s="1"/>
  <c r="L418" i="64"/>
  <c r="K418" i="64"/>
  <c r="J418" i="64"/>
  <c r="A418" i="64"/>
  <c r="S417" i="64"/>
  <c r="R417" i="64"/>
  <c r="T417" i="64" s="1"/>
  <c r="O417" i="64"/>
  <c r="N417" i="64"/>
  <c r="M417" i="64"/>
  <c r="L417" i="64"/>
  <c r="K417" i="64"/>
  <c r="J417" i="64"/>
  <c r="A417" i="64"/>
  <c r="S416" i="64"/>
  <c r="R416" i="64"/>
  <c r="T416" i="64" s="1"/>
  <c r="Q416" i="64"/>
  <c r="O416" i="64"/>
  <c r="N416" i="64"/>
  <c r="M416" i="64"/>
  <c r="P416" i="64" s="1"/>
  <c r="L416" i="64"/>
  <c r="K416" i="64"/>
  <c r="J416" i="64"/>
  <c r="A416" i="64"/>
  <c r="S415" i="64"/>
  <c r="R415" i="64"/>
  <c r="T415" i="64" s="1"/>
  <c r="O415" i="64"/>
  <c r="N415" i="64"/>
  <c r="M415" i="64"/>
  <c r="P415" i="64" s="1"/>
  <c r="L415" i="64"/>
  <c r="K415" i="64"/>
  <c r="J415" i="64"/>
  <c r="A415" i="64"/>
  <c r="S414" i="64"/>
  <c r="R414" i="64"/>
  <c r="T414" i="64" s="1"/>
  <c r="O414" i="64"/>
  <c r="N414" i="64"/>
  <c r="M414" i="64"/>
  <c r="P414" i="64" s="1"/>
  <c r="L414" i="64"/>
  <c r="K414" i="64"/>
  <c r="J414" i="64"/>
  <c r="A414" i="64"/>
  <c r="S413" i="64"/>
  <c r="R413" i="64"/>
  <c r="T413" i="64" s="1"/>
  <c r="O413" i="64"/>
  <c r="N413" i="64"/>
  <c r="M413" i="64"/>
  <c r="L413" i="64"/>
  <c r="K413" i="64"/>
  <c r="J413" i="64"/>
  <c r="A413" i="64"/>
  <c r="S412" i="64"/>
  <c r="R412" i="64"/>
  <c r="T412" i="64" s="1"/>
  <c r="Q412" i="64"/>
  <c r="O412" i="64"/>
  <c r="N412" i="64"/>
  <c r="M412" i="64"/>
  <c r="P412" i="64" s="1"/>
  <c r="L412" i="64"/>
  <c r="K412" i="64"/>
  <c r="J412" i="64"/>
  <c r="A412" i="64"/>
  <c r="S411" i="64"/>
  <c r="R411" i="64"/>
  <c r="T411" i="64" s="1"/>
  <c r="O411" i="64"/>
  <c r="N411" i="64"/>
  <c r="M411" i="64"/>
  <c r="P411" i="64" s="1"/>
  <c r="L411" i="64"/>
  <c r="K411" i="64"/>
  <c r="J411" i="64"/>
  <c r="A411" i="64"/>
  <c r="S410" i="64"/>
  <c r="R410" i="64"/>
  <c r="T410" i="64" s="1"/>
  <c r="O410" i="64"/>
  <c r="N410" i="64"/>
  <c r="M410" i="64"/>
  <c r="P410" i="64" s="1"/>
  <c r="L410" i="64"/>
  <c r="K410" i="64"/>
  <c r="J410" i="64"/>
  <c r="A410" i="64"/>
  <c r="S409" i="64"/>
  <c r="R409" i="64"/>
  <c r="T409" i="64" s="1"/>
  <c r="O409" i="64"/>
  <c r="N409" i="64"/>
  <c r="M409" i="64"/>
  <c r="L409" i="64"/>
  <c r="K409" i="64"/>
  <c r="J409" i="64"/>
  <c r="A409" i="64"/>
  <c r="S408" i="64"/>
  <c r="R408" i="64"/>
  <c r="T408" i="64" s="1"/>
  <c r="Q408" i="64"/>
  <c r="O408" i="64"/>
  <c r="N408" i="64"/>
  <c r="M408" i="64"/>
  <c r="P408" i="64" s="1"/>
  <c r="L408" i="64"/>
  <c r="K408" i="64"/>
  <c r="J408" i="64"/>
  <c r="A408" i="64"/>
  <c r="S407" i="64"/>
  <c r="R407" i="64"/>
  <c r="T407" i="64" s="1"/>
  <c r="O407" i="64"/>
  <c r="N407" i="64"/>
  <c r="M407" i="64"/>
  <c r="P407" i="64" s="1"/>
  <c r="L407" i="64"/>
  <c r="K407" i="64"/>
  <c r="J407" i="64"/>
  <c r="A407" i="64"/>
  <c r="S406" i="64"/>
  <c r="R406" i="64"/>
  <c r="T406" i="64" s="1"/>
  <c r="O406" i="64"/>
  <c r="N406" i="64"/>
  <c r="M406" i="64"/>
  <c r="P406" i="64" s="1"/>
  <c r="L406" i="64"/>
  <c r="K406" i="64"/>
  <c r="J406" i="64"/>
  <c r="A406" i="64"/>
  <c r="S405" i="64"/>
  <c r="R405" i="64"/>
  <c r="T405" i="64" s="1"/>
  <c r="O405" i="64"/>
  <c r="N405" i="64"/>
  <c r="M405" i="64"/>
  <c r="L405" i="64"/>
  <c r="K405" i="64"/>
  <c r="J405" i="64"/>
  <c r="A405" i="64"/>
  <c r="S404" i="64"/>
  <c r="R404" i="64"/>
  <c r="T404" i="64" s="1"/>
  <c r="Q404" i="64"/>
  <c r="O404" i="64"/>
  <c r="N404" i="64"/>
  <c r="M404" i="64"/>
  <c r="P404" i="64" s="1"/>
  <c r="L404" i="64"/>
  <c r="K404" i="64"/>
  <c r="J404" i="64"/>
  <c r="A404" i="64"/>
  <c r="S403" i="64"/>
  <c r="R403" i="64"/>
  <c r="T403" i="64" s="1"/>
  <c r="O403" i="64"/>
  <c r="N403" i="64"/>
  <c r="M403" i="64"/>
  <c r="P403" i="64" s="1"/>
  <c r="L403" i="64"/>
  <c r="K403" i="64"/>
  <c r="J403" i="64"/>
  <c r="A403" i="64"/>
  <c r="S402" i="64"/>
  <c r="R402" i="64"/>
  <c r="T402" i="64" s="1"/>
  <c r="O402" i="64"/>
  <c r="N402" i="64"/>
  <c r="M402" i="64"/>
  <c r="P402" i="64" s="1"/>
  <c r="L402" i="64"/>
  <c r="K402" i="64"/>
  <c r="J402" i="64"/>
  <c r="A402" i="64"/>
  <c r="S401" i="64"/>
  <c r="R401" i="64"/>
  <c r="T401" i="64" s="1"/>
  <c r="O401" i="64"/>
  <c r="N401" i="64"/>
  <c r="M401" i="64"/>
  <c r="L401" i="64"/>
  <c r="K401" i="64"/>
  <c r="J401" i="64"/>
  <c r="A401" i="64"/>
  <c r="S400" i="64"/>
  <c r="R400" i="64"/>
  <c r="T400" i="64" s="1"/>
  <c r="Q400" i="64"/>
  <c r="O400" i="64"/>
  <c r="N400" i="64"/>
  <c r="M400" i="64"/>
  <c r="P400" i="64" s="1"/>
  <c r="L400" i="64"/>
  <c r="K400" i="64"/>
  <c r="J400" i="64"/>
  <c r="A400" i="64"/>
  <c r="S399" i="64"/>
  <c r="R399" i="64"/>
  <c r="T399" i="64" s="1"/>
  <c r="O399" i="64"/>
  <c r="N399" i="64"/>
  <c r="M399" i="64"/>
  <c r="P399" i="64" s="1"/>
  <c r="L399" i="64"/>
  <c r="K399" i="64"/>
  <c r="J399" i="64"/>
  <c r="A399" i="64"/>
  <c r="S398" i="64"/>
  <c r="R398" i="64"/>
  <c r="T398" i="64" s="1"/>
  <c r="O398" i="64"/>
  <c r="N398" i="64"/>
  <c r="M398" i="64"/>
  <c r="P398" i="64" s="1"/>
  <c r="L398" i="64"/>
  <c r="K398" i="64"/>
  <c r="J398" i="64"/>
  <c r="A398" i="64"/>
  <c r="S397" i="64"/>
  <c r="R397" i="64"/>
  <c r="T397" i="64" s="1"/>
  <c r="O397" i="64"/>
  <c r="N397" i="64"/>
  <c r="M397" i="64"/>
  <c r="L397" i="64"/>
  <c r="K397" i="64"/>
  <c r="J397" i="64"/>
  <c r="A397" i="64"/>
  <c r="S396" i="64"/>
  <c r="R396" i="64"/>
  <c r="T396" i="64" s="1"/>
  <c r="Q396" i="64"/>
  <c r="O396" i="64"/>
  <c r="N396" i="64"/>
  <c r="M396" i="64"/>
  <c r="P396" i="64" s="1"/>
  <c r="L396" i="64"/>
  <c r="K396" i="64"/>
  <c r="J396" i="64"/>
  <c r="A396" i="64"/>
  <c r="T395" i="64"/>
  <c r="S395" i="64"/>
  <c r="R395" i="64"/>
  <c r="Q395" i="64"/>
  <c r="O395" i="64"/>
  <c r="N395" i="64"/>
  <c r="M395" i="64"/>
  <c r="L395" i="64"/>
  <c r="K395" i="64"/>
  <c r="J395" i="64"/>
  <c r="A395" i="64"/>
  <c r="S394" i="64"/>
  <c r="R394" i="64"/>
  <c r="T394" i="64" s="1"/>
  <c r="O394" i="64"/>
  <c r="N394" i="64"/>
  <c r="M394" i="64"/>
  <c r="L394" i="64"/>
  <c r="K394" i="64"/>
  <c r="J394" i="64"/>
  <c r="A394" i="64"/>
  <c r="S393" i="64"/>
  <c r="R393" i="64"/>
  <c r="T393" i="64" s="1"/>
  <c r="Q393" i="64"/>
  <c r="O393" i="64"/>
  <c r="N393" i="64"/>
  <c r="M393" i="64"/>
  <c r="L393" i="64"/>
  <c r="K393" i="64"/>
  <c r="J393" i="64"/>
  <c r="A393" i="64"/>
  <c r="S392" i="64"/>
  <c r="R392" i="64"/>
  <c r="T392" i="64" s="1"/>
  <c r="O392" i="64"/>
  <c r="N392" i="64"/>
  <c r="M392" i="64"/>
  <c r="Q392" i="64" s="1"/>
  <c r="L392" i="64"/>
  <c r="K392" i="64"/>
  <c r="J392" i="64"/>
  <c r="A392" i="64"/>
  <c r="T391" i="64"/>
  <c r="S391" i="64"/>
  <c r="R391" i="64"/>
  <c r="Q391" i="64"/>
  <c r="O391" i="64"/>
  <c r="N391" i="64"/>
  <c r="M391" i="64"/>
  <c r="L391" i="64"/>
  <c r="K391" i="64"/>
  <c r="J391" i="64"/>
  <c r="A391" i="64"/>
  <c r="S390" i="64"/>
  <c r="R390" i="64"/>
  <c r="T390" i="64" s="1"/>
  <c r="Q390" i="64"/>
  <c r="O390" i="64"/>
  <c r="N390" i="64"/>
  <c r="M390" i="64"/>
  <c r="P390" i="64" s="1"/>
  <c r="L390" i="64"/>
  <c r="K390" i="64"/>
  <c r="J390" i="64"/>
  <c r="A390" i="64"/>
  <c r="S389" i="64"/>
  <c r="R389" i="64"/>
  <c r="T389" i="64" s="1"/>
  <c r="O389" i="64"/>
  <c r="N389" i="64"/>
  <c r="M389" i="64"/>
  <c r="L389" i="64"/>
  <c r="K389" i="64"/>
  <c r="J389" i="64"/>
  <c r="A389" i="64"/>
  <c r="S388" i="64"/>
  <c r="R388" i="64"/>
  <c r="T388" i="64" s="1"/>
  <c r="Q388" i="64"/>
  <c r="P388" i="64"/>
  <c r="O388" i="64"/>
  <c r="N388" i="64"/>
  <c r="M388" i="64"/>
  <c r="L388" i="64"/>
  <c r="K388" i="64"/>
  <c r="J388" i="64"/>
  <c r="A388" i="64"/>
  <c r="T387" i="64"/>
  <c r="S387" i="64"/>
  <c r="R387" i="64"/>
  <c r="Q387" i="64"/>
  <c r="O387" i="64"/>
  <c r="N387" i="64"/>
  <c r="M387" i="64"/>
  <c r="L387" i="64"/>
  <c r="K387" i="64"/>
  <c r="J387" i="64"/>
  <c r="A387" i="64"/>
  <c r="S386" i="64"/>
  <c r="R386" i="64"/>
  <c r="T386" i="64" s="1"/>
  <c r="O386" i="64"/>
  <c r="N386" i="64"/>
  <c r="M386" i="64"/>
  <c r="L386" i="64"/>
  <c r="K386" i="64"/>
  <c r="J386" i="64"/>
  <c r="A386" i="64"/>
  <c r="S385" i="64"/>
  <c r="R385" i="64"/>
  <c r="T385" i="64" s="1"/>
  <c r="Q385" i="64"/>
  <c r="O385" i="64"/>
  <c r="N385" i="64"/>
  <c r="M385" i="64"/>
  <c r="L385" i="64"/>
  <c r="K385" i="64"/>
  <c r="J385" i="64"/>
  <c r="A385" i="64"/>
  <c r="S384" i="64"/>
  <c r="R384" i="64"/>
  <c r="T384" i="64" s="1"/>
  <c r="O384" i="64"/>
  <c r="N384" i="64"/>
  <c r="M384" i="64"/>
  <c r="Q384" i="64" s="1"/>
  <c r="L384" i="64"/>
  <c r="K384" i="64"/>
  <c r="J384" i="64"/>
  <c r="A384" i="64"/>
  <c r="T383" i="64"/>
  <c r="S383" i="64"/>
  <c r="R383" i="64"/>
  <c r="Q383" i="64"/>
  <c r="O383" i="64"/>
  <c r="N383" i="64"/>
  <c r="M383" i="64"/>
  <c r="L383" i="64"/>
  <c r="K383" i="64"/>
  <c r="J383" i="64"/>
  <c r="A383" i="64"/>
  <c r="S382" i="64"/>
  <c r="R382" i="64"/>
  <c r="T382" i="64" s="1"/>
  <c r="Q382" i="64"/>
  <c r="O382" i="64"/>
  <c r="N382" i="64"/>
  <c r="M382" i="64"/>
  <c r="P382" i="64" s="1"/>
  <c r="L382" i="64"/>
  <c r="K382" i="64"/>
  <c r="J382" i="64"/>
  <c r="A382" i="64"/>
  <c r="S381" i="64"/>
  <c r="R381" i="64"/>
  <c r="T381" i="64" s="1"/>
  <c r="O381" i="64"/>
  <c r="N381" i="64"/>
  <c r="M381" i="64"/>
  <c r="L381" i="64"/>
  <c r="K381" i="64"/>
  <c r="J381" i="64"/>
  <c r="A381" i="64"/>
  <c r="S380" i="64"/>
  <c r="R380" i="64"/>
  <c r="T380" i="64" s="1"/>
  <c r="Q380" i="64"/>
  <c r="P380" i="64"/>
  <c r="O380" i="64"/>
  <c r="N380" i="64"/>
  <c r="M380" i="64"/>
  <c r="L380" i="64"/>
  <c r="K380" i="64"/>
  <c r="J380" i="64"/>
  <c r="A380" i="64"/>
  <c r="T379" i="64"/>
  <c r="S379" i="64"/>
  <c r="R379" i="64"/>
  <c r="Q379" i="64"/>
  <c r="O379" i="64"/>
  <c r="N379" i="64"/>
  <c r="M379" i="64"/>
  <c r="L379" i="64"/>
  <c r="K379" i="64"/>
  <c r="J379" i="64"/>
  <c r="A379" i="64"/>
  <c r="S378" i="64"/>
  <c r="R378" i="64"/>
  <c r="T378" i="64" s="1"/>
  <c r="O378" i="64"/>
  <c r="N378" i="64"/>
  <c r="M378" i="64"/>
  <c r="L378" i="64"/>
  <c r="K378" i="64"/>
  <c r="J378" i="64"/>
  <c r="A378" i="64"/>
  <c r="S377" i="64"/>
  <c r="R377" i="64"/>
  <c r="T377" i="64" s="1"/>
  <c r="Q377" i="64"/>
  <c r="O377" i="64"/>
  <c r="N377" i="64"/>
  <c r="M377" i="64"/>
  <c r="L377" i="64"/>
  <c r="K377" i="64"/>
  <c r="J377" i="64"/>
  <c r="A377" i="64"/>
  <c r="S376" i="64"/>
  <c r="R376" i="64"/>
  <c r="T376" i="64" s="1"/>
  <c r="O376" i="64"/>
  <c r="N376" i="64"/>
  <c r="M376" i="64"/>
  <c r="Q376" i="64" s="1"/>
  <c r="L376" i="64"/>
  <c r="K376" i="64"/>
  <c r="J376" i="64"/>
  <c r="A376" i="64"/>
  <c r="T375" i="64"/>
  <c r="S375" i="64"/>
  <c r="R375" i="64"/>
  <c r="Q375" i="64"/>
  <c r="O375" i="64"/>
  <c r="N375" i="64"/>
  <c r="M375" i="64"/>
  <c r="L375" i="64"/>
  <c r="K375" i="64"/>
  <c r="J375" i="64"/>
  <c r="A375" i="64"/>
  <c r="S374" i="64"/>
  <c r="R374" i="64"/>
  <c r="T374" i="64" s="1"/>
  <c r="Q374" i="64"/>
  <c r="O374" i="64"/>
  <c r="N374" i="64"/>
  <c r="M374" i="64"/>
  <c r="P374" i="64" s="1"/>
  <c r="L374" i="64"/>
  <c r="K374" i="64"/>
  <c r="J374" i="64"/>
  <c r="A374" i="64"/>
  <c r="S373" i="64"/>
  <c r="R373" i="64"/>
  <c r="T373" i="64" s="1"/>
  <c r="O373" i="64"/>
  <c r="N373" i="64"/>
  <c r="M373" i="64"/>
  <c r="L373" i="64"/>
  <c r="K373" i="64"/>
  <c r="J373" i="64"/>
  <c r="A373" i="64"/>
  <c r="S372" i="64"/>
  <c r="R372" i="64"/>
  <c r="T372" i="64" s="1"/>
  <c r="Q372" i="64"/>
  <c r="P372" i="64"/>
  <c r="O372" i="64"/>
  <c r="N372" i="64"/>
  <c r="M372" i="64"/>
  <c r="L372" i="64"/>
  <c r="K372" i="64"/>
  <c r="J372" i="64"/>
  <c r="A372" i="64"/>
  <c r="T371" i="64"/>
  <c r="S371" i="64"/>
  <c r="R371" i="64"/>
  <c r="Q371" i="64"/>
  <c r="O371" i="64"/>
  <c r="N371" i="64"/>
  <c r="M371" i="64"/>
  <c r="L371" i="64"/>
  <c r="K371" i="64"/>
  <c r="J371" i="64"/>
  <c r="A371" i="64"/>
  <c r="S370" i="64"/>
  <c r="R370" i="64"/>
  <c r="T370" i="64" s="1"/>
  <c r="O370" i="64"/>
  <c r="N370" i="64"/>
  <c r="M370" i="64"/>
  <c r="L370" i="64"/>
  <c r="K370" i="64"/>
  <c r="J370" i="64"/>
  <c r="A370" i="64"/>
  <c r="S369" i="64"/>
  <c r="R369" i="64"/>
  <c r="T369" i="64" s="1"/>
  <c r="Q369" i="64"/>
  <c r="O369" i="64"/>
  <c r="N369" i="64"/>
  <c r="M369" i="64"/>
  <c r="L369" i="64"/>
  <c r="K369" i="64"/>
  <c r="J369" i="64"/>
  <c r="A369" i="64"/>
  <c r="S368" i="64"/>
  <c r="R368" i="64"/>
  <c r="T368" i="64" s="1"/>
  <c r="O368" i="64"/>
  <c r="N368" i="64"/>
  <c r="M368" i="64"/>
  <c r="Q368" i="64" s="1"/>
  <c r="L368" i="64"/>
  <c r="K368" i="64"/>
  <c r="J368" i="64"/>
  <c r="A368" i="64"/>
  <c r="T367" i="64"/>
  <c r="S367" i="64"/>
  <c r="R367" i="64"/>
  <c r="Q367" i="64"/>
  <c r="O367" i="64"/>
  <c r="N367" i="64"/>
  <c r="M367" i="64"/>
  <c r="L367" i="64"/>
  <c r="K367" i="64"/>
  <c r="J367" i="64"/>
  <c r="A367" i="64"/>
  <c r="S366" i="64"/>
  <c r="R366" i="64"/>
  <c r="T366" i="64" s="1"/>
  <c r="Q366" i="64"/>
  <c r="O366" i="64"/>
  <c r="N366" i="64"/>
  <c r="M366" i="64"/>
  <c r="P366" i="64" s="1"/>
  <c r="L366" i="64"/>
  <c r="K366" i="64"/>
  <c r="J366" i="64"/>
  <c r="A366" i="64"/>
  <c r="S365" i="64"/>
  <c r="R365" i="64"/>
  <c r="T365" i="64" s="1"/>
  <c r="O365" i="64"/>
  <c r="N365" i="64"/>
  <c r="M365" i="64"/>
  <c r="L365" i="64"/>
  <c r="K365" i="64"/>
  <c r="J365" i="64"/>
  <c r="A365" i="64"/>
  <c r="S364" i="64"/>
  <c r="R364" i="64"/>
  <c r="T364" i="64" s="1"/>
  <c r="Q364" i="64"/>
  <c r="P364" i="64"/>
  <c r="O364" i="64"/>
  <c r="N364" i="64"/>
  <c r="M364" i="64"/>
  <c r="L364" i="64"/>
  <c r="K364" i="64"/>
  <c r="J364" i="64"/>
  <c r="A364" i="64"/>
  <c r="T363" i="64"/>
  <c r="S363" i="64"/>
  <c r="R363" i="64"/>
  <c r="Q363" i="64"/>
  <c r="O363" i="64"/>
  <c r="N363" i="64"/>
  <c r="M363" i="64"/>
  <c r="L363" i="64"/>
  <c r="K363" i="64"/>
  <c r="J363" i="64"/>
  <c r="A363" i="64"/>
  <c r="S362" i="64"/>
  <c r="R362" i="64"/>
  <c r="T362" i="64" s="1"/>
  <c r="O362" i="64"/>
  <c r="N362" i="64"/>
  <c r="M362" i="64"/>
  <c r="L362" i="64"/>
  <c r="K362" i="64"/>
  <c r="J362" i="64"/>
  <c r="A362" i="64"/>
  <c r="S361" i="64"/>
  <c r="R361" i="64"/>
  <c r="T361" i="64" s="1"/>
  <c r="Q361" i="64"/>
  <c r="O361" i="64"/>
  <c r="N361" i="64"/>
  <c r="M361" i="64"/>
  <c r="L361" i="64"/>
  <c r="K361" i="64"/>
  <c r="J361" i="64"/>
  <c r="A361" i="64"/>
  <c r="S360" i="64"/>
  <c r="R360" i="64"/>
  <c r="T360" i="64" s="1"/>
  <c r="O360" i="64"/>
  <c r="N360" i="64"/>
  <c r="M360" i="64"/>
  <c r="Q360" i="64" s="1"/>
  <c r="L360" i="64"/>
  <c r="K360" i="64"/>
  <c r="J360" i="64"/>
  <c r="A360" i="64"/>
  <c r="S359" i="64"/>
  <c r="T359" i="64" s="1"/>
  <c r="R359" i="64"/>
  <c r="P359" i="64"/>
  <c r="O359" i="64"/>
  <c r="Q359" i="64" s="1"/>
  <c r="N359" i="64"/>
  <c r="M359" i="64"/>
  <c r="L359" i="64"/>
  <c r="K359" i="64"/>
  <c r="J359" i="64"/>
  <c r="A359" i="64"/>
  <c r="T358" i="64"/>
  <c r="S358" i="64"/>
  <c r="R358" i="64"/>
  <c r="O358" i="64"/>
  <c r="N358" i="64"/>
  <c r="M358" i="64"/>
  <c r="Q358" i="64" s="1"/>
  <c r="L358" i="64"/>
  <c r="K358" i="64"/>
  <c r="J358" i="64"/>
  <c r="A358" i="64"/>
  <c r="S357" i="64"/>
  <c r="T357" i="64" s="1"/>
  <c r="R357" i="64"/>
  <c r="P357" i="64"/>
  <c r="O357" i="64"/>
  <c r="Q357" i="64" s="1"/>
  <c r="N357" i="64"/>
  <c r="M357" i="64"/>
  <c r="L357" i="64"/>
  <c r="K357" i="64"/>
  <c r="J357" i="64"/>
  <c r="A357" i="64"/>
  <c r="T356" i="64"/>
  <c r="S356" i="64"/>
  <c r="R356" i="64"/>
  <c r="O356" i="64"/>
  <c r="N356" i="64"/>
  <c r="M356" i="64"/>
  <c r="Q356" i="64" s="1"/>
  <c r="L356" i="64"/>
  <c r="K356" i="64"/>
  <c r="J356" i="64"/>
  <c r="A356" i="64"/>
  <c r="S355" i="64"/>
  <c r="T355" i="64" s="1"/>
  <c r="R355" i="64"/>
  <c r="P355" i="64"/>
  <c r="O355" i="64"/>
  <c r="Q355" i="64" s="1"/>
  <c r="N355" i="64"/>
  <c r="M355" i="64"/>
  <c r="L355" i="64"/>
  <c r="K355" i="64"/>
  <c r="J355" i="64"/>
  <c r="A355" i="64"/>
  <c r="T354" i="64"/>
  <c r="S354" i="64"/>
  <c r="R354" i="64"/>
  <c r="O354" i="64"/>
  <c r="N354" i="64"/>
  <c r="M354" i="64"/>
  <c r="L354" i="64"/>
  <c r="K354" i="64"/>
  <c r="J354" i="64"/>
  <c r="A354" i="64"/>
  <c r="S353" i="64"/>
  <c r="T353" i="64" s="1"/>
  <c r="R353" i="64"/>
  <c r="Q353" i="64"/>
  <c r="P353" i="64"/>
  <c r="O353" i="64"/>
  <c r="N353" i="64"/>
  <c r="M353" i="64"/>
  <c r="L353" i="64"/>
  <c r="K353" i="64"/>
  <c r="J353" i="64"/>
  <c r="A353" i="64"/>
  <c r="S352" i="64"/>
  <c r="T352" i="64" s="1"/>
  <c r="R352" i="64"/>
  <c r="Q352" i="64"/>
  <c r="O352" i="64"/>
  <c r="N352" i="64"/>
  <c r="M352" i="64"/>
  <c r="P352" i="64" s="1"/>
  <c r="L352" i="64"/>
  <c r="K352" i="64"/>
  <c r="J352" i="64"/>
  <c r="A352" i="64"/>
  <c r="S351" i="64"/>
  <c r="T351" i="64" s="1"/>
  <c r="R351" i="64"/>
  <c r="Q351" i="64"/>
  <c r="P351" i="64"/>
  <c r="O351" i="64"/>
  <c r="N351" i="64"/>
  <c r="M351" i="64"/>
  <c r="L351" i="64"/>
  <c r="K351" i="64"/>
  <c r="J351" i="64"/>
  <c r="A351" i="64"/>
  <c r="S350" i="64"/>
  <c r="T350" i="64" s="1"/>
  <c r="R350" i="64"/>
  <c r="Q350" i="64"/>
  <c r="O350" i="64"/>
  <c r="N350" i="64"/>
  <c r="M350" i="64"/>
  <c r="P350" i="64" s="1"/>
  <c r="L350" i="64"/>
  <c r="K350" i="64"/>
  <c r="J350" i="64"/>
  <c r="A350" i="64"/>
  <c r="S349" i="64"/>
  <c r="T349" i="64" s="1"/>
  <c r="R349" i="64"/>
  <c r="Q349" i="64"/>
  <c r="O349" i="64"/>
  <c r="N349" i="64"/>
  <c r="M349" i="64"/>
  <c r="P349" i="64" s="1"/>
  <c r="L349" i="64"/>
  <c r="K349" i="64"/>
  <c r="J349" i="64"/>
  <c r="A349" i="64"/>
  <c r="S348" i="64"/>
  <c r="T348" i="64" s="1"/>
  <c r="R348" i="64"/>
  <c r="O348" i="64"/>
  <c r="N348" i="64"/>
  <c r="M348" i="64"/>
  <c r="P348" i="64" s="1"/>
  <c r="L348" i="64"/>
  <c r="K348" i="64"/>
  <c r="J348" i="64"/>
  <c r="A348" i="64"/>
  <c r="S347" i="64"/>
  <c r="T347" i="64" s="1"/>
  <c r="R347" i="64"/>
  <c r="P347" i="64"/>
  <c r="O347" i="64"/>
  <c r="N347" i="64"/>
  <c r="M347" i="64"/>
  <c r="L347" i="64"/>
  <c r="K347" i="64"/>
  <c r="J347" i="64"/>
  <c r="A347" i="64"/>
  <c r="S346" i="64"/>
  <c r="T346" i="64" s="1"/>
  <c r="R346" i="64"/>
  <c r="Q346" i="64"/>
  <c r="O346" i="64"/>
  <c r="N346" i="64"/>
  <c r="M346" i="64"/>
  <c r="P346" i="64" s="1"/>
  <c r="L346" i="64"/>
  <c r="K346" i="64"/>
  <c r="J346" i="64"/>
  <c r="A346" i="64"/>
  <c r="S345" i="64"/>
  <c r="T345" i="64" s="1"/>
  <c r="R345" i="64"/>
  <c r="O345" i="64"/>
  <c r="N345" i="64"/>
  <c r="M345" i="64"/>
  <c r="L345" i="64"/>
  <c r="K345" i="64"/>
  <c r="J345" i="64"/>
  <c r="A345" i="64"/>
  <c r="S344" i="64"/>
  <c r="T344" i="64" s="1"/>
  <c r="R344" i="64"/>
  <c r="Q344" i="64"/>
  <c r="O344" i="64"/>
  <c r="N344" i="64"/>
  <c r="M344" i="64"/>
  <c r="P344" i="64" s="1"/>
  <c r="L344" i="64"/>
  <c r="K344" i="64"/>
  <c r="J344" i="64"/>
  <c r="A344" i="64"/>
  <c r="S343" i="64"/>
  <c r="T343" i="64" s="1"/>
  <c r="R343" i="64"/>
  <c r="Q343" i="64"/>
  <c r="P343" i="64"/>
  <c r="O343" i="64"/>
  <c r="N343" i="64"/>
  <c r="M343" i="64"/>
  <c r="L343" i="64"/>
  <c r="K343" i="64"/>
  <c r="J343" i="64"/>
  <c r="A343" i="64"/>
  <c r="S342" i="64"/>
  <c r="T342" i="64" s="1"/>
  <c r="R342" i="64"/>
  <c r="O342" i="64"/>
  <c r="Q342" i="64" s="1"/>
  <c r="N342" i="64"/>
  <c r="M342" i="64"/>
  <c r="P342" i="64" s="1"/>
  <c r="L342" i="64"/>
  <c r="K342" i="64"/>
  <c r="J342" i="64"/>
  <c r="A342" i="64"/>
  <c r="S341" i="64"/>
  <c r="T341" i="64" s="1"/>
  <c r="R341" i="64"/>
  <c r="Q341" i="64"/>
  <c r="O341" i="64"/>
  <c r="N341" i="64"/>
  <c r="M341" i="64"/>
  <c r="P341" i="64" s="1"/>
  <c r="L341" i="64"/>
  <c r="K341" i="64"/>
  <c r="J341" i="64"/>
  <c r="A341" i="64"/>
  <c r="S340" i="64"/>
  <c r="T340" i="64" s="1"/>
  <c r="R340" i="64"/>
  <c r="O340" i="64"/>
  <c r="N340" i="64"/>
  <c r="M340" i="64"/>
  <c r="P340" i="64" s="1"/>
  <c r="L340" i="64"/>
  <c r="K340" i="64"/>
  <c r="J340" i="64"/>
  <c r="A340" i="64"/>
  <c r="S339" i="64"/>
  <c r="T339" i="64" s="1"/>
  <c r="R339" i="64"/>
  <c r="P339" i="64"/>
  <c r="O339" i="64"/>
  <c r="N339" i="64"/>
  <c r="M339" i="64"/>
  <c r="L339" i="64"/>
  <c r="K339" i="64"/>
  <c r="J339" i="64"/>
  <c r="A339" i="64"/>
  <c r="S338" i="64"/>
  <c r="T338" i="64" s="1"/>
  <c r="R338" i="64"/>
  <c r="Q338" i="64"/>
  <c r="O338" i="64"/>
  <c r="N338" i="64"/>
  <c r="M338" i="64"/>
  <c r="P338" i="64" s="1"/>
  <c r="L338" i="64"/>
  <c r="K338" i="64"/>
  <c r="J338" i="64"/>
  <c r="A338" i="64"/>
  <c r="S337" i="64"/>
  <c r="T337" i="64" s="1"/>
  <c r="R337" i="64"/>
  <c r="O337" i="64"/>
  <c r="N337" i="64"/>
  <c r="M337" i="64"/>
  <c r="L337" i="64"/>
  <c r="K337" i="64"/>
  <c r="J337" i="64"/>
  <c r="A337" i="64"/>
  <c r="S336" i="64"/>
  <c r="T336" i="64" s="1"/>
  <c r="R336" i="64"/>
  <c r="Q336" i="64"/>
  <c r="O336" i="64"/>
  <c r="N336" i="64"/>
  <c r="M336" i="64"/>
  <c r="P336" i="64" s="1"/>
  <c r="L336" i="64"/>
  <c r="K336" i="64"/>
  <c r="J336" i="64"/>
  <c r="A336" i="64"/>
  <c r="S335" i="64"/>
  <c r="T335" i="64" s="1"/>
  <c r="R335" i="64"/>
  <c r="Q335" i="64"/>
  <c r="O335" i="64"/>
  <c r="N335" i="64"/>
  <c r="M335" i="64"/>
  <c r="P335" i="64" s="1"/>
  <c r="L335" i="64"/>
  <c r="K335" i="64"/>
  <c r="J335" i="64"/>
  <c r="A335" i="64"/>
  <c r="S334" i="64"/>
  <c r="T334" i="64" s="1"/>
  <c r="R334" i="64"/>
  <c r="O334" i="64"/>
  <c r="Q334" i="64" s="1"/>
  <c r="N334" i="64"/>
  <c r="M334" i="64"/>
  <c r="P334" i="64" s="1"/>
  <c r="L334" i="64"/>
  <c r="K334" i="64"/>
  <c r="J334" i="64"/>
  <c r="A334" i="64"/>
  <c r="S333" i="64"/>
  <c r="T333" i="64" s="1"/>
  <c r="R333" i="64"/>
  <c r="Q333" i="64"/>
  <c r="O333" i="64"/>
  <c r="N333" i="64"/>
  <c r="M333" i="64"/>
  <c r="P333" i="64" s="1"/>
  <c r="L333" i="64"/>
  <c r="K333" i="64"/>
  <c r="J333" i="64"/>
  <c r="A333" i="64"/>
  <c r="S332" i="64"/>
  <c r="T332" i="64" s="1"/>
  <c r="R332" i="64"/>
  <c r="O332" i="64"/>
  <c r="N332" i="64"/>
  <c r="M332" i="64"/>
  <c r="P332" i="64" s="1"/>
  <c r="L332" i="64"/>
  <c r="K332" i="64"/>
  <c r="J332" i="64"/>
  <c r="A332" i="64"/>
  <c r="S331" i="64"/>
  <c r="T331" i="64" s="1"/>
  <c r="R331" i="64"/>
  <c r="P331" i="64"/>
  <c r="O331" i="64"/>
  <c r="N331" i="64"/>
  <c r="M331" i="64"/>
  <c r="L331" i="64"/>
  <c r="K331" i="64"/>
  <c r="J331" i="64"/>
  <c r="A331" i="64"/>
  <c r="S330" i="64"/>
  <c r="T330" i="64" s="1"/>
  <c r="R330" i="64"/>
  <c r="Q330" i="64"/>
  <c r="O330" i="64"/>
  <c r="N330" i="64"/>
  <c r="M330" i="64"/>
  <c r="P330" i="64" s="1"/>
  <c r="L330" i="64"/>
  <c r="K330" i="64"/>
  <c r="J330" i="64"/>
  <c r="A330" i="64"/>
  <c r="S329" i="64"/>
  <c r="T329" i="64" s="1"/>
  <c r="R329" i="64"/>
  <c r="O329" i="64"/>
  <c r="N329" i="64"/>
  <c r="M329" i="64"/>
  <c r="L329" i="64"/>
  <c r="K329" i="64"/>
  <c r="J329" i="64"/>
  <c r="A329" i="64"/>
  <c r="S328" i="64"/>
  <c r="T328" i="64" s="1"/>
  <c r="R328" i="64"/>
  <c r="Q328" i="64"/>
  <c r="O328" i="64"/>
  <c r="N328" i="64"/>
  <c r="M328" i="64"/>
  <c r="P328" i="64" s="1"/>
  <c r="L328" i="64"/>
  <c r="K328" i="64"/>
  <c r="J328" i="64"/>
  <c r="A328" i="64"/>
  <c r="S327" i="64"/>
  <c r="T327" i="64" s="1"/>
  <c r="R327" i="64"/>
  <c r="Q327" i="64"/>
  <c r="O327" i="64"/>
  <c r="N327" i="64"/>
  <c r="M327" i="64"/>
  <c r="P327" i="64" s="1"/>
  <c r="L327" i="64"/>
  <c r="K327" i="64"/>
  <c r="J327" i="64"/>
  <c r="A327" i="64"/>
  <c r="S326" i="64"/>
  <c r="T326" i="64" s="1"/>
  <c r="R326" i="64"/>
  <c r="O326" i="64"/>
  <c r="Q326" i="64" s="1"/>
  <c r="N326" i="64"/>
  <c r="M326" i="64"/>
  <c r="P326" i="64" s="1"/>
  <c r="L326" i="64"/>
  <c r="K326" i="64"/>
  <c r="J326" i="64"/>
  <c r="A326" i="64"/>
  <c r="S325" i="64"/>
  <c r="T325" i="64" s="1"/>
  <c r="R325" i="64"/>
  <c r="Q325" i="64"/>
  <c r="O325" i="64"/>
  <c r="N325" i="64"/>
  <c r="M325" i="64"/>
  <c r="P325" i="64" s="1"/>
  <c r="L325" i="64"/>
  <c r="K325" i="64"/>
  <c r="J325" i="64"/>
  <c r="A325" i="64"/>
  <c r="S324" i="64"/>
  <c r="T324" i="64" s="1"/>
  <c r="R324" i="64"/>
  <c r="O324" i="64"/>
  <c r="N324" i="64"/>
  <c r="M324" i="64"/>
  <c r="P324" i="64" s="1"/>
  <c r="L324" i="64"/>
  <c r="K324" i="64"/>
  <c r="J324" i="64"/>
  <c r="A324" i="64"/>
  <c r="S323" i="64"/>
  <c r="T323" i="64" s="1"/>
  <c r="R323" i="64"/>
  <c r="P323" i="64"/>
  <c r="O323" i="64"/>
  <c r="N323" i="64"/>
  <c r="M323" i="64"/>
  <c r="L323" i="64"/>
  <c r="K323" i="64"/>
  <c r="J323" i="64"/>
  <c r="A323" i="64"/>
  <c r="S322" i="64"/>
  <c r="T322" i="64" s="1"/>
  <c r="R322" i="64"/>
  <c r="Q322" i="64"/>
  <c r="O322" i="64"/>
  <c r="N322" i="64"/>
  <c r="M322" i="64"/>
  <c r="P322" i="64" s="1"/>
  <c r="L322" i="64"/>
  <c r="K322" i="64"/>
  <c r="J322" i="64"/>
  <c r="A322" i="64"/>
  <c r="S321" i="64"/>
  <c r="T321" i="64" s="1"/>
  <c r="R321" i="64"/>
  <c r="O321" i="64"/>
  <c r="N321" i="64"/>
  <c r="M321" i="64"/>
  <c r="L321" i="64"/>
  <c r="K321" i="64"/>
  <c r="J321" i="64"/>
  <c r="A321" i="64"/>
  <c r="S320" i="64"/>
  <c r="T320" i="64" s="1"/>
  <c r="R320" i="64"/>
  <c r="Q320" i="64"/>
  <c r="O320" i="64"/>
  <c r="N320" i="64"/>
  <c r="M320" i="64"/>
  <c r="P320" i="64" s="1"/>
  <c r="L320" i="64"/>
  <c r="K320" i="64"/>
  <c r="J320" i="64"/>
  <c r="A320" i="64"/>
  <c r="S319" i="64"/>
  <c r="T319" i="64" s="1"/>
  <c r="R319" i="64"/>
  <c r="Q319" i="64"/>
  <c r="O319" i="64"/>
  <c r="N319" i="64"/>
  <c r="M319" i="64"/>
  <c r="P319" i="64" s="1"/>
  <c r="L319" i="64"/>
  <c r="K319" i="64"/>
  <c r="J319" i="64"/>
  <c r="A319" i="64"/>
  <c r="S318" i="64"/>
  <c r="T318" i="64" s="1"/>
  <c r="R318" i="64"/>
  <c r="O318" i="64"/>
  <c r="Q318" i="64" s="1"/>
  <c r="N318" i="64"/>
  <c r="M318" i="64"/>
  <c r="P318" i="64" s="1"/>
  <c r="L318" i="64"/>
  <c r="K318" i="64"/>
  <c r="J318" i="64"/>
  <c r="A318" i="64"/>
  <c r="S317" i="64"/>
  <c r="T317" i="64" s="1"/>
  <c r="R317" i="64"/>
  <c r="Q317" i="64"/>
  <c r="O317" i="64"/>
  <c r="N317" i="64"/>
  <c r="M317" i="64"/>
  <c r="P317" i="64" s="1"/>
  <c r="L317" i="64"/>
  <c r="K317" i="64"/>
  <c r="J317" i="64"/>
  <c r="A317" i="64"/>
  <c r="S316" i="64"/>
  <c r="T316" i="64" s="1"/>
  <c r="R316" i="64"/>
  <c r="O316" i="64"/>
  <c r="N316" i="64"/>
  <c r="M316" i="64"/>
  <c r="P316" i="64" s="1"/>
  <c r="L316" i="64"/>
  <c r="K316" i="64"/>
  <c r="J316" i="64"/>
  <c r="A316" i="64"/>
  <c r="S315" i="64"/>
  <c r="T315" i="64" s="1"/>
  <c r="R315" i="64"/>
  <c r="P315" i="64"/>
  <c r="O315" i="64"/>
  <c r="N315" i="64"/>
  <c r="M315" i="64"/>
  <c r="L315" i="64"/>
  <c r="K315" i="64"/>
  <c r="J315" i="64"/>
  <c r="A315" i="64"/>
  <c r="S314" i="64"/>
  <c r="T314" i="64" s="1"/>
  <c r="R314" i="64"/>
  <c r="Q314" i="64"/>
  <c r="O314" i="64"/>
  <c r="N314" i="64"/>
  <c r="M314" i="64"/>
  <c r="P314" i="64" s="1"/>
  <c r="L314" i="64"/>
  <c r="K314" i="64"/>
  <c r="J314" i="64"/>
  <c r="A314" i="64"/>
  <c r="S313" i="64"/>
  <c r="T313" i="64" s="1"/>
  <c r="R313" i="64"/>
  <c r="O313" i="64"/>
  <c r="N313" i="64"/>
  <c r="M313" i="64"/>
  <c r="L313" i="64"/>
  <c r="K313" i="64"/>
  <c r="J313" i="64"/>
  <c r="A313" i="64"/>
  <c r="S312" i="64"/>
  <c r="T312" i="64" s="1"/>
  <c r="R312" i="64"/>
  <c r="Q312" i="64"/>
  <c r="O312" i="64"/>
  <c r="N312" i="64"/>
  <c r="M312" i="64"/>
  <c r="P312" i="64" s="1"/>
  <c r="L312" i="64"/>
  <c r="K312" i="64"/>
  <c r="J312" i="64"/>
  <c r="A312" i="64"/>
  <c r="S311" i="64"/>
  <c r="T311" i="64" s="1"/>
  <c r="R311" i="64"/>
  <c r="Q311" i="64"/>
  <c r="O311" i="64"/>
  <c r="N311" i="64"/>
  <c r="M311" i="64"/>
  <c r="P311" i="64" s="1"/>
  <c r="L311" i="64"/>
  <c r="K311" i="64"/>
  <c r="J311" i="64"/>
  <c r="A311" i="64"/>
  <c r="S310" i="64"/>
  <c r="T310" i="64" s="1"/>
  <c r="R310" i="64"/>
  <c r="O310" i="64"/>
  <c r="Q310" i="64" s="1"/>
  <c r="N310" i="64"/>
  <c r="M310" i="64"/>
  <c r="P310" i="64" s="1"/>
  <c r="L310" i="64"/>
  <c r="K310" i="64"/>
  <c r="J310" i="64"/>
  <c r="A310" i="64"/>
  <c r="S309" i="64"/>
  <c r="T309" i="64" s="1"/>
  <c r="R309" i="64"/>
  <c r="Q309" i="64"/>
  <c r="O309" i="64"/>
  <c r="N309" i="64"/>
  <c r="M309" i="64"/>
  <c r="P309" i="64" s="1"/>
  <c r="L309" i="64"/>
  <c r="K309" i="64"/>
  <c r="J309" i="64"/>
  <c r="A309" i="64"/>
  <c r="S308" i="64"/>
  <c r="T308" i="64" s="1"/>
  <c r="R308" i="64"/>
  <c r="O308" i="64"/>
  <c r="N308" i="64"/>
  <c r="M308" i="64"/>
  <c r="P308" i="64" s="1"/>
  <c r="L308" i="64"/>
  <c r="K308" i="64"/>
  <c r="J308" i="64"/>
  <c r="A308" i="64"/>
  <c r="S307" i="64"/>
  <c r="T307" i="64" s="1"/>
  <c r="R307" i="64"/>
  <c r="P307" i="64"/>
  <c r="O307" i="64"/>
  <c r="N307" i="64"/>
  <c r="M307" i="64"/>
  <c r="Q307" i="64" s="1"/>
  <c r="L307" i="64"/>
  <c r="K307" i="64"/>
  <c r="J307" i="64"/>
  <c r="A307" i="64"/>
  <c r="S306" i="64"/>
  <c r="T306" i="64" s="1"/>
  <c r="R306" i="64"/>
  <c r="Q306" i="64"/>
  <c r="O306" i="64"/>
  <c r="N306" i="64"/>
  <c r="M306" i="64"/>
  <c r="P306" i="64" s="1"/>
  <c r="L306" i="64"/>
  <c r="K306" i="64"/>
  <c r="J306" i="64"/>
  <c r="A306" i="64"/>
  <c r="S305" i="64"/>
  <c r="T305" i="64" s="1"/>
  <c r="R305" i="64"/>
  <c r="O305" i="64"/>
  <c r="N305" i="64"/>
  <c r="M305" i="64"/>
  <c r="L305" i="64"/>
  <c r="K305" i="64"/>
  <c r="J305" i="64"/>
  <c r="A305" i="64"/>
  <c r="S304" i="64"/>
  <c r="T304" i="64" s="1"/>
  <c r="R304" i="64"/>
  <c r="Q304" i="64"/>
  <c r="O304" i="64"/>
  <c r="N304" i="64"/>
  <c r="M304" i="64"/>
  <c r="P304" i="64" s="1"/>
  <c r="L304" i="64"/>
  <c r="K304" i="64"/>
  <c r="J304" i="64"/>
  <c r="A304" i="64"/>
  <c r="S303" i="64"/>
  <c r="T303" i="64" s="1"/>
  <c r="R303" i="64"/>
  <c r="Q303" i="64"/>
  <c r="O303" i="64"/>
  <c r="N303" i="64"/>
  <c r="M303" i="64"/>
  <c r="P303" i="64" s="1"/>
  <c r="L303" i="64"/>
  <c r="K303" i="64"/>
  <c r="J303" i="64"/>
  <c r="A303" i="64"/>
  <c r="S302" i="64"/>
  <c r="T302" i="64" s="1"/>
  <c r="R302" i="64"/>
  <c r="O302" i="64"/>
  <c r="Q302" i="64" s="1"/>
  <c r="N302" i="64"/>
  <c r="M302" i="64"/>
  <c r="P302" i="64" s="1"/>
  <c r="L302" i="64"/>
  <c r="K302" i="64"/>
  <c r="J302" i="64"/>
  <c r="A302" i="64"/>
  <c r="S301" i="64"/>
  <c r="T301" i="64" s="1"/>
  <c r="R301" i="64"/>
  <c r="Q301" i="64"/>
  <c r="O301" i="64"/>
  <c r="N301" i="64"/>
  <c r="M301" i="64"/>
  <c r="P301" i="64" s="1"/>
  <c r="L301" i="64"/>
  <c r="K301" i="64"/>
  <c r="J301" i="64"/>
  <c r="A301" i="64"/>
  <c r="S300" i="64"/>
  <c r="T300" i="64" s="1"/>
  <c r="R300" i="64"/>
  <c r="O300" i="64"/>
  <c r="N300" i="64"/>
  <c r="M300" i="64"/>
  <c r="P300" i="64" s="1"/>
  <c r="L300" i="64"/>
  <c r="K300" i="64"/>
  <c r="J300" i="64"/>
  <c r="A300" i="64"/>
  <c r="S299" i="64"/>
  <c r="T299" i="64" s="1"/>
  <c r="R299" i="64"/>
  <c r="P299" i="64"/>
  <c r="O299" i="64"/>
  <c r="N299" i="64"/>
  <c r="M299" i="64"/>
  <c r="Q299" i="64" s="1"/>
  <c r="L299" i="64"/>
  <c r="K299" i="64"/>
  <c r="J299" i="64"/>
  <c r="A299" i="64"/>
  <c r="S298" i="64"/>
  <c r="T298" i="64" s="1"/>
  <c r="R298" i="64"/>
  <c r="Q298" i="64"/>
  <c r="O298" i="64"/>
  <c r="N298" i="64"/>
  <c r="M298" i="64"/>
  <c r="P298" i="64" s="1"/>
  <c r="L298" i="64"/>
  <c r="K298" i="64"/>
  <c r="J298" i="64"/>
  <c r="A298" i="64"/>
  <c r="S297" i="64"/>
  <c r="T297" i="64" s="1"/>
  <c r="R297" i="64"/>
  <c r="O297" i="64"/>
  <c r="N297" i="64"/>
  <c r="M297" i="64"/>
  <c r="L297" i="64"/>
  <c r="K297" i="64"/>
  <c r="J297" i="64"/>
  <c r="A297" i="64"/>
  <c r="S296" i="64"/>
  <c r="T296" i="64" s="1"/>
  <c r="R296" i="64"/>
  <c r="Q296" i="64"/>
  <c r="O296" i="64"/>
  <c r="N296" i="64"/>
  <c r="M296" i="64"/>
  <c r="P296" i="64" s="1"/>
  <c r="L296" i="64"/>
  <c r="K296" i="64"/>
  <c r="J296" i="64"/>
  <c r="A296" i="64"/>
  <c r="S295" i="64"/>
  <c r="T295" i="64" s="1"/>
  <c r="R295" i="64"/>
  <c r="Q295" i="64"/>
  <c r="O295" i="64"/>
  <c r="N295" i="64"/>
  <c r="M295" i="64"/>
  <c r="P295" i="64" s="1"/>
  <c r="L295" i="64"/>
  <c r="K295" i="64"/>
  <c r="J295" i="64"/>
  <c r="A295" i="64"/>
  <c r="S294" i="64"/>
  <c r="T294" i="64" s="1"/>
  <c r="R294" i="64"/>
  <c r="O294" i="64"/>
  <c r="Q294" i="64" s="1"/>
  <c r="N294" i="64"/>
  <c r="M294" i="64"/>
  <c r="P294" i="64" s="1"/>
  <c r="L294" i="64"/>
  <c r="K294" i="64"/>
  <c r="J294" i="64"/>
  <c r="A294" i="64"/>
  <c r="S293" i="64"/>
  <c r="R293" i="64"/>
  <c r="T293" i="64" s="1"/>
  <c r="Q293" i="64"/>
  <c r="O293" i="64"/>
  <c r="N293" i="64"/>
  <c r="M293" i="64"/>
  <c r="P293" i="64" s="1"/>
  <c r="L293" i="64"/>
  <c r="K293" i="64"/>
  <c r="J293" i="64"/>
  <c r="A293" i="64"/>
  <c r="S292" i="64"/>
  <c r="T292" i="64" s="1"/>
  <c r="R292" i="64"/>
  <c r="O292" i="64"/>
  <c r="N292" i="64"/>
  <c r="M292" i="64"/>
  <c r="P292" i="64" s="1"/>
  <c r="L292" i="64"/>
  <c r="K292" i="64"/>
  <c r="J292" i="64"/>
  <c r="A292" i="64"/>
  <c r="S291" i="64"/>
  <c r="R291" i="64"/>
  <c r="P291" i="64"/>
  <c r="O291" i="64"/>
  <c r="N291" i="64"/>
  <c r="M291" i="64"/>
  <c r="Q291" i="64" s="1"/>
  <c r="L291" i="64"/>
  <c r="K291" i="64"/>
  <c r="J291" i="64"/>
  <c r="A291" i="64"/>
  <c r="S290" i="64"/>
  <c r="T290" i="64" s="1"/>
  <c r="R290" i="64"/>
  <c r="Q290" i="64"/>
  <c r="O290" i="64"/>
  <c r="N290" i="64"/>
  <c r="M290" i="64"/>
  <c r="P290" i="64" s="1"/>
  <c r="L290" i="64"/>
  <c r="K290" i="64"/>
  <c r="J290" i="64"/>
  <c r="A290" i="64"/>
  <c r="S289" i="64"/>
  <c r="R289" i="64"/>
  <c r="O289" i="64"/>
  <c r="N289" i="64"/>
  <c r="M289" i="64"/>
  <c r="L289" i="64"/>
  <c r="K289" i="64"/>
  <c r="J289" i="64"/>
  <c r="A289" i="64"/>
  <c r="S288" i="64"/>
  <c r="T288" i="64" s="1"/>
  <c r="R288" i="64"/>
  <c r="Q288" i="64"/>
  <c r="O288" i="64"/>
  <c r="N288" i="64"/>
  <c r="M288" i="64"/>
  <c r="P288" i="64" s="1"/>
  <c r="L288" i="64"/>
  <c r="K288" i="64"/>
  <c r="J288" i="64"/>
  <c r="A288" i="64"/>
  <c r="S287" i="64"/>
  <c r="R287" i="64"/>
  <c r="Q287" i="64"/>
  <c r="O287" i="64"/>
  <c r="N287" i="64"/>
  <c r="M287" i="64"/>
  <c r="P287" i="64" s="1"/>
  <c r="L287" i="64"/>
  <c r="K287" i="64"/>
  <c r="J287" i="64"/>
  <c r="A287" i="64"/>
  <c r="S286" i="64"/>
  <c r="T286" i="64" s="1"/>
  <c r="R286" i="64"/>
  <c r="O286" i="64"/>
  <c r="Q286" i="64" s="1"/>
  <c r="N286" i="64"/>
  <c r="M286" i="64"/>
  <c r="P286" i="64" s="1"/>
  <c r="L286" i="64"/>
  <c r="K286" i="64"/>
  <c r="J286" i="64"/>
  <c r="A286" i="64"/>
  <c r="S285" i="64"/>
  <c r="R285" i="64"/>
  <c r="T285" i="64" s="1"/>
  <c r="Q285" i="64"/>
  <c r="O285" i="64"/>
  <c r="N285" i="64"/>
  <c r="M285" i="64"/>
  <c r="P285" i="64" s="1"/>
  <c r="L285" i="64"/>
  <c r="K285" i="64"/>
  <c r="J285" i="64"/>
  <c r="A285" i="64"/>
  <c r="S284" i="64"/>
  <c r="T284" i="64" s="1"/>
  <c r="R284" i="64"/>
  <c r="O284" i="64"/>
  <c r="N284" i="64"/>
  <c r="M284" i="64"/>
  <c r="P284" i="64" s="1"/>
  <c r="L284" i="64"/>
  <c r="K284" i="64"/>
  <c r="J284" i="64"/>
  <c r="A284" i="64"/>
  <c r="S283" i="64"/>
  <c r="R283" i="64"/>
  <c r="P283" i="64"/>
  <c r="O283" i="64"/>
  <c r="N283" i="64"/>
  <c r="M283" i="64"/>
  <c r="Q283" i="64" s="1"/>
  <c r="L283" i="64"/>
  <c r="K283" i="64"/>
  <c r="J283" i="64"/>
  <c r="A283" i="64"/>
  <c r="S282" i="64"/>
  <c r="T282" i="64" s="1"/>
  <c r="R282" i="64"/>
  <c r="Q282" i="64"/>
  <c r="O282" i="64"/>
  <c r="N282" i="64"/>
  <c r="M282" i="64"/>
  <c r="P282" i="64" s="1"/>
  <c r="L282" i="64"/>
  <c r="K282" i="64"/>
  <c r="J282" i="64"/>
  <c r="A282" i="64"/>
  <c r="S281" i="64"/>
  <c r="R281" i="64"/>
  <c r="O281" i="64"/>
  <c r="N281" i="64"/>
  <c r="M281" i="64"/>
  <c r="L281" i="64"/>
  <c r="K281" i="64"/>
  <c r="J281" i="64"/>
  <c r="A281" i="64"/>
  <c r="S280" i="64"/>
  <c r="T280" i="64" s="1"/>
  <c r="R280" i="64"/>
  <c r="Q280" i="64"/>
  <c r="O280" i="64"/>
  <c r="N280" i="64"/>
  <c r="M280" i="64"/>
  <c r="P280" i="64" s="1"/>
  <c r="L280" i="64"/>
  <c r="K280" i="64"/>
  <c r="J280" i="64"/>
  <c r="A280" i="64"/>
  <c r="S279" i="64"/>
  <c r="R279" i="64"/>
  <c r="Q279" i="64"/>
  <c r="O279" i="64"/>
  <c r="N279" i="64"/>
  <c r="M279" i="64"/>
  <c r="P279" i="64" s="1"/>
  <c r="L279" i="64"/>
  <c r="K279" i="64"/>
  <c r="J279" i="64"/>
  <c r="A279" i="64"/>
  <c r="S278" i="64"/>
  <c r="T278" i="64" s="1"/>
  <c r="R278" i="64"/>
  <c r="O278" i="64"/>
  <c r="Q278" i="64" s="1"/>
  <c r="N278" i="64"/>
  <c r="M278" i="64"/>
  <c r="P278" i="64" s="1"/>
  <c r="L278" i="64"/>
  <c r="K278" i="64"/>
  <c r="J278" i="64"/>
  <c r="A278" i="64"/>
  <c r="S277" i="64"/>
  <c r="R277" i="64"/>
  <c r="T277" i="64" s="1"/>
  <c r="Q277" i="64"/>
  <c r="O277" i="64"/>
  <c r="N277" i="64"/>
  <c r="M277" i="64"/>
  <c r="P277" i="64" s="1"/>
  <c r="L277" i="64"/>
  <c r="K277" i="64"/>
  <c r="J277" i="64"/>
  <c r="A277" i="64"/>
  <c r="S276" i="64"/>
  <c r="T276" i="64" s="1"/>
  <c r="R276" i="64"/>
  <c r="O276" i="64"/>
  <c r="N276" i="64"/>
  <c r="M276" i="64"/>
  <c r="P276" i="64" s="1"/>
  <c r="L276" i="64"/>
  <c r="K276" i="64"/>
  <c r="J276" i="64"/>
  <c r="A276" i="64"/>
  <c r="S275" i="64"/>
  <c r="R275" i="64"/>
  <c r="P275" i="64"/>
  <c r="O275" i="64"/>
  <c r="N275" i="64"/>
  <c r="M275" i="64"/>
  <c r="L275" i="64"/>
  <c r="K275" i="64"/>
  <c r="J275" i="64"/>
  <c r="A275" i="64"/>
  <c r="S274" i="64"/>
  <c r="T274" i="64" s="1"/>
  <c r="R274" i="64"/>
  <c r="Q274" i="64"/>
  <c r="O274" i="64"/>
  <c r="N274" i="64"/>
  <c r="M274" i="64"/>
  <c r="P274" i="64" s="1"/>
  <c r="L274" i="64"/>
  <c r="K274" i="64"/>
  <c r="J274" i="64"/>
  <c r="A274" i="64"/>
  <c r="S273" i="64"/>
  <c r="R273" i="64"/>
  <c r="O273" i="64"/>
  <c r="N273" i="64"/>
  <c r="M273" i="64"/>
  <c r="L273" i="64"/>
  <c r="K273" i="64"/>
  <c r="J273" i="64"/>
  <c r="A273" i="64"/>
  <c r="S272" i="64"/>
  <c r="T272" i="64" s="1"/>
  <c r="R272" i="64"/>
  <c r="Q272" i="64"/>
  <c r="O272" i="64"/>
  <c r="N272" i="64"/>
  <c r="M272" i="64"/>
  <c r="P272" i="64" s="1"/>
  <c r="L272" i="64"/>
  <c r="K272" i="64"/>
  <c r="J272" i="64"/>
  <c r="A272" i="64"/>
  <c r="S271" i="64"/>
  <c r="R271" i="64"/>
  <c r="Q271" i="64"/>
  <c r="O271" i="64"/>
  <c r="N271" i="64"/>
  <c r="M271" i="64"/>
  <c r="P271" i="64" s="1"/>
  <c r="L271" i="64"/>
  <c r="K271" i="64"/>
  <c r="J271" i="64"/>
  <c r="A271" i="64"/>
  <c r="S270" i="64"/>
  <c r="T270" i="64" s="1"/>
  <c r="R270" i="64"/>
  <c r="O270" i="64"/>
  <c r="Q270" i="64" s="1"/>
  <c r="N270" i="64"/>
  <c r="M270" i="64"/>
  <c r="P270" i="64" s="1"/>
  <c r="L270" i="64"/>
  <c r="K270" i="64"/>
  <c r="J270" i="64"/>
  <c r="A270" i="64"/>
  <c r="S269" i="64"/>
  <c r="R269" i="64"/>
  <c r="T269" i="64" s="1"/>
  <c r="Q269" i="64"/>
  <c r="O269" i="64"/>
  <c r="N269" i="64"/>
  <c r="M269" i="64"/>
  <c r="P269" i="64" s="1"/>
  <c r="L269" i="64"/>
  <c r="K269" i="64"/>
  <c r="J269" i="64"/>
  <c r="A269" i="64"/>
  <c r="S268" i="64"/>
  <c r="T268" i="64" s="1"/>
  <c r="R268" i="64"/>
  <c r="O268" i="64"/>
  <c r="N268" i="64"/>
  <c r="M268" i="64"/>
  <c r="P268" i="64" s="1"/>
  <c r="L268" i="64"/>
  <c r="K268" i="64"/>
  <c r="J268" i="64"/>
  <c r="A268" i="64"/>
  <c r="S267" i="64"/>
  <c r="R267" i="64"/>
  <c r="P267" i="64"/>
  <c r="O267" i="64"/>
  <c r="N267" i="64"/>
  <c r="M267" i="64"/>
  <c r="L267" i="64"/>
  <c r="K267" i="64"/>
  <c r="J267" i="64"/>
  <c r="A267" i="64"/>
  <c r="S266" i="64"/>
  <c r="T266" i="64" s="1"/>
  <c r="R266" i="64"/>
  <c r="Q266" i="64"/>
  <c r="O266" i="64"/>
  <c r="N266" i="64"/>
  <c r="M266" i="64"/>
  <c r="P266" i="64" s="1"/>
  <c r="L266" i="64"/>
  <c r="K266" i="64"/>
  <c r="J266" i="64"/>
  <c r="A266" i="64"/>
  <c r="S265" i="64"/>
  <c r="R265" i="64"/>
  <c r="O265" i="64"/>
  <c r="N265" i="64"/>
  <c r="M265" i="64"/>
  <c r="L265" i="64"/>
  <c r="K265" i="64"/>
  <c r="J265" i="64"/>
  <c r="A265" i="64"/>
  <c r="S264" i="64"/>
  <c r="T264" i="64" s="1"/>
  <c r="R264" i="64"/>
  <c r="Q264" i="64"/>
  <c r="O264" i="64"/>
  <c r="N264" i="64"/>
  <c r="M264" i="64"/>
  <c r="P264" i="64" s="1"/>
  <c r="L264" i="64"/>
  <c r="K264" i="64"/>
  <c r="J264" i="64"/>
  <c r="A264" i="64"/>
  <c r="S263" i="64"/>
  <c r="R263" i="64"/>
  <c r="Q263" i="64"/>
  <c r="O263" i="64"/>
  <c r="N263" i="64"/>
  <c r="M263" i="64"/>
  <c r="P263" i="64" s="1"/>
  <c r="L263" i="64"/>
  <c r="K263" i="64"/>
  <c r="J263" i="64"/>
  <c r="A263" i="64"/>
  <c r="S262" i="64"/>
  <c r="T262" i="64" s="1"/>
  <c r="R262" i="64"/>
  <c r="O262" i="64"/>
  <c r="Q262" i="64" s="1"/>
  <c r="N262" i="64"/>
  <c r="M262" i="64"/>
  <c r="P262" i="64" s="1"/>
  <c r="L262" i="64"/>
  <c r="K262" i="64"/>
  <c r="J262" i="64"/>
  <c r="A262" i="64"/>
  <c r="S261" i="64"/>
  <c r="R261" i="64"/>
  <c r="T261" i="64" s="1"/>
  <c r="Q261" i="64"/>
  <c r="O261" i="64"/>
  <c r="N261" i="64"/>
  <c r="M261" i="64"/>
  <c r="P261" i="64" s="1"/>
  <c r="L261" i="64"/>
  <c r="K261" i="64"/>
  <c r="J261" i="64"/>
  <c r="A261" i="64"/>
  <c r="S260" i="64"/>
  <c r="T260" i="64" s="1"/>
  <c r="R260" i="64"/>
  <c r="O260" i="64"/>
  <c r="N260" i="64"/>
  <c r="M260" i="64"/>
  <c r="P260" i="64" s="1"/>
  <c r="L260" i="64"/>
  <c r="K260" i="64"/>
  <c r="J260" i="64"/>
  <c r="A260" i="64"/>
  <c r="S259" i="64"/>
  <c r="R259" i="64"/>
  <c r="P259" i="64"/>
  <c r="O259" i="64"/>
  <c r="N259" i="64"/>
  <c r="M259" i="64"/>
  <c r="L259" i="64"/>
  <c r="K259" i="64"/>
  <c r="J259" i="64"/>
  <c r="A259" i="64"/>
  <c r="S258" i="64"/>
  <c r="T258" i="64" s="1"/>
  <c r="R258" i="64"/>
  <c r="Q258" i="64"/>
  <c r="O258" i="64"/>
  <c r="N258" i="64"/>
  <c r="M258" i="64"/>
  <c r="P258" i="64" s="1"/>
  <c r="L258" i="64"/>
  <c r="K258" i="64"/>
  <c r="J258" i="64"/>
  <c r="A258" i="64"/>
  <c r="S257" i="64"/>
  <c r="R257" i="64"/>
  <c r="O257" i="64"/>
  <c r="N257" i="64"/>
  <c r="M257" i="64"/>
  <c r="L257" i="64"/>
  <c r="K257" i="64"/>
  <c r="J257" i="64"/>
  <c r="A257" i="64"/>
  <c r="S256" i="64"/>
  <c r="R256" i="64"/>
  <c r="T256" i="64" s="1"/>
  <c r="Q256" i="64"/>
  <c r="O256" i="64"/>
  <c r="N256" i="64"/>
  <c r="M256" i="64"/>
  <c r="L256" i="64"/>
  <c r="K256" i="64"/>
  <c r="J256" i="64"/>
  <c r="A256" i="64"/>
  <c r="S255" i="64"/>
  <c r="R255" i="64"/>
  <c r="Q255" i="64"/>
  <c r="O255" i="64"/>
  <c r="N255" i="64"/>
  <c r="M255" i="64"/>
  <c r="P255" i="64" s="1"/>
  <c r="L255" i="64"/>
  <c r="K255" i="64"/>
  <c r="J255" i="64"/>
  <c r="A255" i="64"/>
  <c r="S254" i="64"/>
  <c r="T254" i="64" s="1"/>
  <c r="R254" i="64"/>
  <c r="O254" i="64"/>
  <c r="Q254" i="64" s="1"/>
  <c r="N254" i="64"/>
  <c r="M254" i="64"/>
  <c r="L254" i="64"/>
  <c r="K254" i="64"/>
  <c r="J254" i="64"/>
  <c r="A254" i="64"/>
  <c r="S253" i="64"/>
  <c r="R253" i="64"/>
  <c r="T253" i="64" s="1"/>
  <c r="Q253" i="64"/>
  <c r="O253" i="64"/>
  <c r="N253" i="64"/>
  <c r="M253" i="64"/>
  <c r="P253" i="64" s="1"/>
  <c r="L253" i="64"/>
  <c r="K253" i="64"/>
  <c r="J253" i="64"/>
  <c r="A253" i="64"/>
  <c r="S252" i="64"/>
  <c r="R252" i="64"/>
  <c r="T252" i="64" s="1"/>
  <c r="O252" i="64"/>
  <c r="N252" i="64"/>
  <c r="M252" i="64"/>
  <c r="P252" i="64" s="1"/>
  <c r="L252" i="64"/>
  <c r="K252" i="64"/>
  <c r="J252" i="64"/>
  <c r="A252" i="64"/>
  <c r="S251" i="64"/>
  <c r="R251" i="64"/>
  <c r="P251" i="64"/>
  <c r="O251" i="64"/>
  <c r="N251" i="64"/>
  <c r="M251" i="64"/>
  <c r="Q251" i="64" s="1"/>
  <c r="L251" i="64"/>
  <c r="K251" i="64"/>
  <c r="J251" i="64"/>
  <c r="A251" i="64"/>
  <c r="S250" i="64"/>
  <c r="T250" i="64" s="1"/>
  <c r="R250" i="64"/>
  <c r="Q250" i="64"/>
  <c r="O250" i="64"/>
  <c r="N250" i="64"/>
  <c r="M250" i="64"/>
  <c r="L250" i="64"/>
  <c r="K250" i="64"/>
  <c r="J250" i="64"/>
  <c r="A250" i="64"/>
  <c r="S249" i="64"/>
  <c r="R249" i="64"/>
  <c r="O249" i="64"/>
  <c r="N249" i="64"/>
  <c r="M249" i="64"/>
  <c r="L249" i="64"/>
  <c r="K249" i="64"/>
  <c r="J249" i="64"/>
  <c r="A249" i="64"/>
  <c r="S248" i="64"/>
  <c r="R248" i="64"/>
  <c r="T248" i="64" s="1"/>
  <c r="Q248" i="64"/>
  <c r="O248" i="64"/>
  <c r="N248" i="64"/>
  <c r="M248" i="64"/>
  <c r="L248" i="64"/>
  <c r="K248" i="64"/>
  <c r="J248" i="64"/>
  <c r="A248" i="64"/>
  <c r="S247" i="64"/>
  <c r="R247" i="64"/>
  <c r="Q247" i="64"/>
  <c r="P247" i="64"/>
  <c r="O247" i="64"/>
  <c r="N247" i="64"/>
  <c r="M247" i="64"/>
  <c r="L247" i="64"/>
  <c r="K247" i="64"/>
  <c r="J247" i="64"/>
  <c r="A247" i="64"/>
  <c r="S246" i="64"/>
  <c r="T246" i="64" s="1"/>
  <c r="R246" i="64"/>
  <c r="O246" i="64"/>
  <c r="Q246" i="64" s="1"/>
  <c r="N246" i="64"/>
  <c r="M246" i="64"/>
  <c r="L246" i="64"/>
  <c r="K246" i="64"/>
  <c r="J246" i="64"/>
  <c r="A246" i="64"/>
  <c r="S245" i="64"/>
  <c r="R245" i="64"/>
  <c r="T245" i="64" s="1"/>
  <c r="Q245" i="64"/>
  <c r="O245" i="64"/>
  <c r="N245" i="64"/>
  <c r="M245" i="64"/>
  <c r="P245" i="64" s="1"/>
  <c r="L245" i="64"/>
  <c r="K245" i="64"/>
  <c r="J245" i="64"/>
  <c r="A245" i="64"/>
  <c r="S244" i="64"/>
  <c r="R244" i="64"/>
  <c r="T244" i="64" s="1"/>
  <c r="O244" i="64"/>
  <c r="N244" i="64"/>
  <c r="M244" i="64"/>
  <c r="P244" i="64" s="1"/>
  <c r="L244" i="64"/>
  <c r="K244" i="64"/>
  <c r="J244" i="64"/>
  <c r="A244" i="64"/>
  <c r="S243" i="64"/>
  <c r="R243" i="64"/>
  <c r="P243" i="64"/>
  <c r="O243" i="64"/>
  <c r="N243" i="64"/>
  <c r="M243" i="64"/>
  <c r="L243" i="64"/>
  <c r="K243" i="64"/>
  <c r="J243" i="64"/>
  <c r="A243" i="64"/>
  <c r="S242" i="64"/>
  <c r="T242" i="64" s="1"/>
  <c r="R242" i="64"/>
  <c r="Q242" i="64"/>
  <c r="O242" i="64"/>
  <c r="N242" i="64"/>
  <c r="M242" i="64"/>
  <c r="L242" i="64"/>
  <c r="K242" i="64"/>
  <c r="J242" i="64"/>
  <c r="A242" i="64"/>
  <c r="S241" i="64"/>
  <c r="R241" i="64"/>
  <c r="O241" i="64"/>
  <c r="N241" i="64"/>
  <c r="M241" i="64"/>
  <c r="L241" i="64"/>
  <c r="K241" i="64"/>
  <c r="J241" i="64"/>
  <c r="A241" i="64"/>
  <c r="S240" i="64"/>
  <c r="R240" i="64"/>
  <c r="T240" i="64" s="1"/>
  <c r="Q240" i="64"/>
  <c r="O240" i="64"/>
  <c r="N240" i="64"/>
  <c r="M240" i="64"/>
  <c r="L240" i="64"/>
  <c r="K240" i="64"/>
  <c r="J240" i="64"/>
  <c r="A240" i="64"/>
  <c r="S239" i="64"/>
  <c r="R239" i="64"/>
  <c r="Q239" i="64"/>
  <c r="P239" i="64"/>
  <c r="O239" i="64"/>
  <c r="N239" i="64"/>
  <c r="M239" i="64"/>
  <c r="L239" i="64"/>
  <c r="K239" i="64"/>
  <c r="J239" i="64"/>
  <c r="A239" i="64"/>
  <c r="T238" i="64"/>
  <c r="S238" i="64"/>
  <c r="R238" i="64"/>
  <c r="O238" i="64"/>
  <c r="Q238" i="64" s="1"/>
  <c r="N238" i="64"/>
  <c r="M238" i="64"/>
  <c r="L238" i="64"/>
  <c r="K238" i="64"/>
  <c r="J238" i="64"/>
  <c r="A238" i="64"/>
  <c r="S237" i="64"/>
  <c r="R237" i="64"/>
  <c r="T237" i="64" s="1"/>
  <c r="Q237" i="64"/>
  <c r="O237" i="64"/>
  <c r="N237" i="64"/>
  <c r="M237" i="64"/>
  <c r="P237" i="64" s="1"/>
  <c r="L237" i="64"/>
  <c r="K237" i="64"/>
  <c r="J237" i="64"/>
  <c r="A237" i="64"/>
  <c r="S236" i="64"/>
  <c r="R236" i="64"/>
  <c r="T236" i="64" s="1"/>
  <c r="O236" i="64"/>
  <c r="N236" i="64"/>
  <c r="M236" i="64"/>
  <c r="P236" i="64" s="1"/>
  <c r="L236" i="64"/>
  <c r="K236" i="64"/>
  <c r="J236" i="64"/>
  <c r="A236" i="64"/>
  <c r="S235" i="64"/>
  <c r="R235" i="64"/>
  <c r="P235" i="64"/>
  <c r="O235" i="64"/>
  <c r="N235" i="64"/>
  <c r="M235" i="64"/>
  <c r="L235" i="64"/>
  <c r="K235" i="64"/>
  <c r="J235" i="64"/>
  <c r="A235" i="64"/>
  <c r="S234" i="64"/>
  <c r="T234" i="64" s="1"/>
  <c r="R234" i="64"/>
  <c r="Q234" i="64"/>
  <c r="O234" i="64"/>
  <c r="N234" i="64"/>
  <c r="M234" i="64"/>
  <c r="L234" i="64"/>
  <c r="K234" i="64"/>
  <c r="J234" i="64"/>
  <c r="A234" i="64"/>
  <c r="S233" i="64"/>
  <c r="R233" i="64"/>
  <c r="O233" i="64"/>
  <c r="N233" i="64"/>
  <c r="M233" i="64"/>
  <c r="L233" i="64"/>
  <c r="K233" i="64"/>
  <c r="J233" i="64"/>
  <c r="A233" i="64"/>
  <c r="S232" i="64"/>
  <c r="R232" i="64"/>
  <c r="T232" i="64" s="1"/>
  <c r="Q232" i="64"/>
  <c r="O232" i="64"/>
  <c r="N232" i="64"/>
  <c r="M232" i="64"/>
  <c r="L232" i="64"/>
  <c r="K232" i="64"/>
  <c r="J232" i="64"/>
  <c r="A232" i="64"/>
  <c r="S231" i="64"/>
  <c r="R231" i="64"/>
  <c r="Q231" i="64"/>
  <c r="P231" i="64"/>
  <c r="O231" i="64"/>
  <c r="N231" i="64"/>
  <c r="M231" i="64"/>
  <c r="L231" i="64"/>
  <c r="K231" i="64"/>
  <c r="J231" i="64"/>
  <c r="A231" i="64"/>
  <c r="T230" i="64"/>
  <c r="S230" i="64"/>
  <c r="R230" i="64"/>
  <c r="O230" i="64"/>
  <c r="Q230" i="64" s="1"/>
  <c r="N230" i="64"/>
  <c r="M230" i="64"/>
  <c r="L230" i="64"/>
  <c r="K230" i="64"/>
  <c r="J230" i="64"/>
  <c r="A230" i="64"/>
  <c r="S229" i="64"/>
  <c r="R229" i="64"/>
  <c r="T229" i="64" s="1"/>
  <c r="Q229" i="64"/>
  <c r="O229" i="64"/>
  <c r="N229" i="64"/>
  <c r="M229" i="64"/>
  <c r="P229" i="64" s="1"/>
  <c r="L229" i="64"/>
  <c r="K229" i="64"/>
  <c r="J229" i="64"/>
  <c r="A229" i="64"/>
  <c r="S228" i="64"/>
  <c r="R228" i="64"/>
  <c r="T228" i="64" s="1"/>
  <c r="O228" i="64"/>
  <c r="N228" i="64"/>
  <c r="M228" i="64"/>
  <c r="P228" i="64" s="1"/>
  <c r="L228" i="64"/>
  <c r="K228" i="64"/>
  <c r="J228" i="64"/>
  <c r="A228" i="64"/>
  <c r="S227" i="64"/>
  <c r="R227" i="64"/>
  <c r="P227" i="64"/>
  <c r="O227" i="64"/>
  <c r="N227" i="64"/>
  <c r="M227" i="64"/>
  <c r="Q227" i="64" s="1"/>
  <c r="L227" i="64"/>
  <c r="K227" i="64"/>
  <c r="J227" i="64"/>
  <c r="A227" i="64"/>
  <c r="S226" i="64"/>
  <c r="T226" i="64" s="1"/>
  <c r="R226" i="64"/>
  <c r="Q226" i="64"/>
  <c r="O226" i="64"/>
  <c r="N226" i="64"/>
  <c r="M226" i="64"/>
  <c r="P226" i="64" s="1"/>
  <c r="L226" i="64"/>
  <c r="K226" i="64"/>
  <c r="J226" i="64"/>
  <c r="A226" i="64"/>
  <c r="S225" i="64"/>
  <c r="R225" i="64"/>
  <c r="T225" i="64" s="1"/>
  <c r="O225" i="64"/>
  <c r="N225" i="64"/>
  <c r="M225" i="64"/>
  <c r="L225" i="64"/>
  <c r="K225" i="64"/>
  <c r="J225" i="64"/>
  <c r="A225" i="64"/>
  <c r="S224" i="64"/>
  <c r="R224" i="64"/>
  <c r="T224" i="64" s="1"/>
  <c r="Q224" i="64"/>
  <c r="O224" i="64"/>
  <c r="N224" i="64"/>
  <c r="M224" i="64"/>
  <c r="P224" i="64" s="1"/>
  <c r="L224" i="64"/>
  <c r="K224" i="64"/>
  <c r="J224" i="64"/>
  <c r="A224" i="64"/>
  <c r="S223" i="64"/>
  <c r="R223" i="64"/>
  <c r="Q223" i="64"/>
  <c r="P223" i="64"/>
  <c r="O223" i="64"/>
  <c r="N223" i="64"/>
  <c r="M223" i="64"/>
  <c r="L223" i="64"/>
  <c r="K223" i="64"/>
  <c r="J223" i="64"/>
  <c r="A223" i="64"/>
  <c r="T222" i="64"/>
  <c r="S222" i="64"/>
  <c r="R222" i="64"/>
  <c r="O222" i="64"/>
  <c r="N222" i="64"/>
  <c r="M222" i="64"/>
  <c r="Q222" i="64" s="1"/>
  <c r="L222" i="64"/>
  <c r="K222" i="64"/>
  <c r="J222" i="64"/>
  <c r="A222" i="64"/>
  <c r="S221" i="64"/>
  <c r="R221" i="64"/>
  <c r="T221" i="64" s="1"/>
  <c r="Q221" i="64"/>
  <c r="O221" i="64"/>
  <c r="N221" i="64"/>
  <c r="P221" i="64" s="1"/>
  <c r="M221" i="64"/>
  <c r="L221" i="64"/>
  <c r="K221" i="64"/>
  <c r="J221" i="64"/>
  <c r="A221" i="64"/>
  <c r="S220" i="64"/>
  <c r="R220" i="64"/>
  <c r="T220" i="64" s="1"/>
  <c r="O220" i="64"/>
  <c r="N220" i="64"/>
  <c r="M220" i="64"/>
  <c r="L220" i="64"/>
  <c r="K220" i="64"/>
  <c r="J220" i="64"/>
  <c r="A220" i="64"/>
  <c r="S219" i="64"/>
  <c r="R219" i="64"/>
  <c r="T219" i="64" s="1"/>
  <c r="Q219" i="64"/>
  <c r="O219" i="64"/>
  <c r="N219" i="64"/>
  <c r="M219" i="64"/>
  <c r="P219" i="64" s="1"/>
  <c r="L219" i="64"/>
  <c r="K219" i="64"/>
  <c r="J219" i="64"/>
  <c r="A219" i="64"/>
  <c r="S218" i="64"/>
  <c r="R218" i="64"/>
  <c r="T218" i="64" s="1"/>
  <c r="O218" i="64"/>
  <c r="N218" i="64"/>
  <c r="M218" i="64"/>
  <c r="L218" i="64"/>
  <c r="K218" i="64"/>
  <c r="J218" i="64"/>
  <c r="A218" i="64"/>
  <c r="S217" i="64"/>
  <c r="R217" i="64"/>
  <c r="T217" i="64" s="1"/>
  <c r="Q217" i="64"/>
  <c r="O217" i="64"/>
  <c r="N217" i="64"/>
  <c r="M217" i="64"/>
  <c r="P217" i="64" s="1"/>
  <c r="L217" i="64"/>
  <c r="K217" i="64"/>
  <c r="J217" i="64"/>
  <c r="A217" i="64"/>
  <c r="S216" i="64"/>
  <c r="R216" i="64"/>
  <c r="T216" i="64" s="1"/>
  <c r="O216" i="64"/>
  <c r="N216" i="64"/>
  <c r="M216" i="64"/>
  <c r="L216" i="64"/>
  <c r="K216" i="64"/>
  <c r="J216" i="64"/>
  <c r="A216" i="64"/>
  <c r="S215" i="64"/>
  <c r="R215" i="64"/>
  <c r="T215" i="64" s="1"/>
  <c r="Q215" i="64"/>
  <c r="O215" i="64"/>
  <c r="N215" i="64"/>
  <c r="M215" i="64"/>
  <c r="P215" i="64" s="1"/>
  <c r="L215" i="64"/>
  <c r="K215" i="64"/>
  <c r="J215" i="64"/>
  <c r="A215" i="64"/>
  <c r="S214" i="64"/>
  <c r="R214" i="64"/>
  <c r="T214" i="64" s="1"/>
  <c r="O214" i="64"/>
  <c r="N214" i="64"/>
  <c r="M214" i="64"/>
  <c r="L214" i="64"/>
  <c r="K214" i="64"/>
  <c r="J214" i="64"/>
  <c r="A214" i="64"/>
  <c r="S213" i="64"/>
  <c r="R213" i="64"/>
  <c r="T213" i="64" s="1"/>
  <c r="Q213" i="64"/>
  <c r="O213" i="64"/>
  <c r="N213" i="64"/>
  <c r="M213" i="64"/>
  <c r="P213" i="64" s="1"/>
  <c r="L213" i="64"/>
  <c r="K213" i="64"/>
  <c r="J213" i="64"/>
  <c r="A213" i="64"/>
  <c r="S212" i="64"/>
  <c r="R212" i="64"/>
  <c r="T212" i="64" s="1"/>
  <c r="O212" i="64"/>
  <c r="N212" i="64"/>
  <c r="M212" i="64"/>
  <c r="L212" i="64"/>
  <c r="K212" i="64"/>
  <c r="J212" i="64"/>
  <c r="A212" i="64"/>
  <c r="S211" i="64"/>
  <c r="R211" i="64"/>
  <c r="T211" i="64" s="1"/>
  <c r="Q211" i="64"/>
  <c r="O211" i="64"/>
  <c r="N211" i="64"/>
  <c r="M211" i="64"/>
  <c r="P211" i="64" s="1"/>
  <c r="L211" i="64"/>
  <c r="K211" i="64"/>
  <c r="J211" i="64"/>
  <c r="A211" i="64"/>
  <c r="S210" i="64"/>
  <c r="R210" i="64"/>
  <c r="T210" i="64" s="1"/>
  <c r="O210" i="64"/>
  <c r="N210" i="64"/>
  <c r="M210" i="64"/>
  <c r="L210" i="64"/>
  <c r="K210" i="64"/>
  <c r="J210" i="64"/>
  <c r="A210" i="64"/>
  <c r="S209" i="64"/>
  <c r="R209" i="64"/>
  <c r="T209" i="64" s="1"/>
  <c r="Q209" i="64"/>
  <c r="O209" i="64"/>
  <c r="N209" i="64"/>
  <c r="M209" i="64"/>
  <c r="P209" i="64" s="1"/>
  <c r="L209" i="64"/>
  <c r="K209" i="64"/>
  <c r="J209" i="64"/>
  <c r="A209" i="64"/>
  <c r="S208" i="64"/>
  <c r="R208" i="64"/>
  <c r="T208" i="64" s="1"/>
  <c r="O208" i="64"/>
  <c r="N208" i="64"/>
  <c r="M208" i="64"/>
  <c r="L208" i="64"/>
  <c r="K208" i="64"/>
  <c r="J208" i="64"/>
  <c r="A208" i="64"/>
  <c r="S207" i="64"/>
  <c r="R207" i="64"/>
  <c r="T207" i="64" s="1"/>
  <c r="Q207" i="64"/>
  <c r="O207" i="64"/>
  <c r="N207" i="64"/>
  <c r="M207" i="64"/>
  <c r="P207" i="64" s="1"/>
  <c r="L207" i="64"/>
  <c r="K207" i="64"/>
  <c r="J207" i="64"/>
  <c r="A207" i="64"/>
  <c r="S206" i="64"/>
  <c r="R206" i="64"/>
  <c r="T206" i="64" s="1"/>
  <c r="O206" i="64"/>
  <c r="N206" i="64"/>
  <c r="M206" i="64"/>
  <c r="L206" i="64"/>
  <c r="K206" i="64"/>
  <c r="J206" i="64"/>
  <c r="A206" i="64"/>
  <c r="S205" i="64"/>
  <c r="R205" i="64"/>
  <c r="T205" i="64" s="1"/>
  <c r="Q205" i="64"/>
  <c r="O205" i="64"/>
  <c r="N205" i="64"/>
  <c r="M205" i="64"/>
  <c r="P205" i="64" s="1"/>
  <c r="L205" i="64"/>
  <c r="K205" i="64"/>
  <c r="J205" i="64"/>
  <c r="A205" i="64"/>
  <c r="S204" i="64"/>
  <c r="R204" i="64"/>
  <c r="T204" i="64" s="1"/>
  <c r="O204" i="64"/>
  <c r="N204" i="64"/>
  <c r="M204" i="64"/>
  <c r="L204" i="64"/>
  <c r="K204" i="64"/>
  <c r="J204" i="64"/>
  <c r="A204" i="64"/>
  <c r="S203" i="64"/>
  <c r="R203" i="64"/>
  <c r="T203" i="64" s="1"/>
  <c r="Q203" i="64"/>
  <c r="O203" i="64"/>
  <c r="N203" i="64"/>
  <c r="M203" i="64"/>
  <c r="P203" i="64" s="1"/>
  <c r="L203" i="64"/>
  <c r="K203" i="64"/>
  <c r="J203" i="64"/>
  <c r="A203" i="64"/>
  <c r="S202" i="64"/>
  <c r="R202" i="64"/>
  <c r="T202" i="64" s="1"/>
  <c r="O202" i="64"/>
  <c r="N202" i="64"/>
  <c r="M202" i="64"/>
  <c r="L202" i="64"/>
  <c r="K202" i="64"/>
  <c r="J202" i="64"/>
  <c r="A202" i="64"/>
  <c r="S201" i="64"/>
  <c r="R201" i="64"/>
  <c r="T201" i="64" s="1"/>
  <c r="Q201" i="64"/>
  <c r="O201" i="64"/>
  <c r="N201" i="64"/>
  <c r="M201" i="64"/>
  <c r="P201" i="64" s="1"/>
  <c r="L201" i="64"/>
  <c r="K201" i="64"/>
  <c r="J201" i="64"/>
  <c r="A201" i="64"/>
  <c r="S200" i="64"/>
  <c r="R200" i="64"/>
  <c r="T200" i="64" s="1"/>
  <c r="O200" i="64"/>
  <c r="N200" i="64"/>
  <c r="M200" i="64"/>
  <c r="L200" i="64"/>
  <c r="K200" i="64"/>
  <c r="J200" i="64"/>
  <c r="A200" i="64"/>
  <c r="S199" i="64"/>
  <c r="R199" i="64"/>
  <c r="T199" i="64" s="1"/>
  <c r="Q199" i="64"/>
  <c r="O199" i="64"/>
  <c r="N199" i="64"/>
  <c r="M199" i="64"/>
  <c r="P199" i="64" s="1"/>
  <c r="L199" i="64"/>
  <c r="K199" i="64"/>
  <c r="J199" i="64"/>
  <c r="A199" i="64"/>
  <c r="S198" i="64"/>
  <c r="R198" i="64"/>
  <c r="T198" i="64" s="1"/>
  <c r="O198" i="64"/>
  <c r="N198" i="64"/>
  <c r="M198" i="64"/>
  <c r="L198" i="64"/>
  <c r="K198" i="64"/>
  <c r="J198" i="64"/>
  <c r="A198" i="64"/>
  <c r="S197" i="64"/>
  <c r="R197" i="64"/>
  <c r="T197" i="64" s="1"/>
  <c r="Q197" i="64"/>
  <c r="O197" i="64"/>
  <c r="N197" i="64"/>
  <c r="M197" i="64"/>
  <c r="P197" i="64" s="1"/>
  <c r="L197" i="64"/>
  <c r="K197" i="64"/>
  <c r="J197" i="64"/>
  <c r="A197" i="64"/>
  <c r="S196" i="64"/>
  <c r="R196" i="64"/>
  <c r="T196" i="64" s="1"/>
  <c r="O196" i="64"/>
  <c r="N196" i="64"/>
  <c r="M196" i="64"/>
  <c r="L196" i="64"/>
  <c r="K196" i="64"/>
  <c r="J196" i="64"/>
  <c r="A196" i="64"/>
  <c r="S195" i="64"/>
  <c r="R195" i="64"/>
  <c r="T195" i="64" s="1"/>
  <c r="Q195" i="64"/>
  <c r="O195" i="64"/>
  <c r="N195" i="64"/>
  <c r="M195" i="64"/>
  <c r="P195" i="64" s="1"/>
  <c r="L195" i="64"/>
  <c r="K195" i="64"/>
  <c r="J195" i="64"/>
  <c r="A195" i="64"/>
  <c r="S194" i="64"/>
  <c r="R194" i="64"/>
  <c r="T194" i="64" s="1"/>
  <c r="O194" i="64"/>
  <c r="N194" i="64"/>
  <c r="M194" i="64"/>
  <c r="L194" i="64"/>
  <c r="K194" i="64"/>
  <c r="J194" i="64"/>
  <c r="A194" i="64"/>
  <c r="S193" i="64"/>
  <c r="R193" i="64"/>
  <c r="T193" i="64" s="1"/>
  <c r="Q193" i="64"/>
  <c r="O193" i="64"/>
  <c r="N193" i="64"/>
  <c r="M193" i="64"/>
  <c r="P193" i="64" s="1"/>
  <c r="L193" i="64"/>
  <c r="K193" i="64"/>
  <c r="J193" i="64"/>
  <c r="A193" i="64"/>
  <c r="S192" i="64"/>
  <c r="R192" i="64"/>
  <c r="T192" i="64" s="1"/>
  <c r="O192" i="64"/>
  <c r="N192" i="64"/>
  <c r="M192" i="64"/>
  <c r="L192" i="64"/>
  <c r="K192" i="64"/>
  <c r="J192" i="64"/>
  <c r="A192" i="64"/>
  <c r="S191" i="64"/>
  <c r="R191" i="64"/>
  <c r="T191" i="64" s="1"/>
  <c r="Q191" i="64"/>
  <c r="O191" i="64"/>
  <c r="N191" i="64"/>
  <c r="M191" i="64"/>
  <c r="P191" i="64" s="1"/>
  <c r="L191" i="64"/>
  <c r="K191" i="64"/>
  <c r="J191" i="64"/>
  <c r="A191" i="64"/>
  <c r="S190" i="64"/>
  <c r="R190" i="64"/>
  <c r="T190" i="64" s="1"/>
  <c r="O190" i="64"/>
  <c r="N190" i="64"/>
  <c r="M190" i="64"/>
  <c r="L190" i="64"/>
  <c r="K190" i="64"/>
  <c r="J190" i="64"/>
  <c r="A190" i="64"/>
  <c r="S189" i="64"/>
  <c r="R189" i="64"/>
  <c r="T189" i="64" s="1"/>
  <c r="Q189" i="64"/>
  <c r="O189" i="64"/>
  <c r="N189" i="64"/>
  <c r="M189" i="64"/>
  <c r="P189" i="64" s="1"/>
  <c r="L189" i="64"/>
  <c r="K189" i="64"/>
  <c r="J189" i="64"/>
  <c r="A189" i="64"/>
  <c r="S188" i="64"/>
  <c r="R188" i="64"/>
  <c r="T188" i="64" s="1"/>
  <c r="O188" i="64"/>
  <c r="N188" i="64"/>
  <c r="M188" i="64"/>
  <c r="L188" i="64"/>
  <c r="K188" i="64"/>
  <c r="J188" i="64"/>
  <c r="A188" i="64"/>
  <c r="S187" i="64"/>
  <c r="R187" i="64"/>
  <c r="T187" i="64" s="1"/>
  <c r="Q187" i="64"/>
  <c r="O187" i="64"/>
  <c r="N187" i="64"/>
  <c r="M187" i="64"/>
  <c r="P187" i="64" s="1"/>
  <c r="L187" i="64"/>
  <c r="K187" i="64"/>
  <c r="J187" i="64"/>
  <c r="A187" i="64"/>
  <c r="S186" i="64"/>
  <c r="R186" i="64"/>
  <c r="T186" i="64" s="1"/>
  <c r="O186" i="64"/>
  <c r="N186" i="64"/>
  <c r="M186" i="64"/>
  <c r="L186" i="64"/>
  <c r="K186" i="64"/>
  <c r="J186" i="64"/>
  <c r="A186" i="64"/>
  <c r="S185" i="64"/>
  <c r="R185" i="64"/>
  <c r="T185" i="64" s="1"/>
  <c r="Q185" i="64"/>
  <c r="O185" i="64"/>
  <c r="N185" i="64"/>
  <c r="M185" i="64"/>
  <c r="P185" i="64" s="1"/>
  <c r="L185" i="64"/>
  <c r="K185" i="64"/>
  <c r="J185" i="64"/>
  <c r="A185" i="64"/>
  <c r="S184" i="64"/>
  <c r="R184" i="64"/>
  <c r="T184" i="64" s="1"/>
  <c r="O184" i="64"/>
  <c r="N184" i="64"/>
  <c r="M184" i="64"/>
  <c r="L184" i="64"/>
  <c r="K184" i="64"/>
  <c r="J184" i="64"/>
  <c r="A184" i="64"/>
  <c r="S183" i="64"/>
  <c r="R183" i="64"/>
  <c r="T183" i="64" s="1"/>
  <c r="Q183" i="64"/>
  <c r="O183" i="64"/>
  <c r="N183" i="64"/>
  <c r="M183" i="64"/>
  <c r="P183" i="64" s="1"/>
  <c r="L183" i="64"/>
  <c r="K183" i="64"/>
  <c r="J183" i="64"/>
  <c r="A183" i="64"/>
  <c r="S182" i="64"/>
  <c r="R182" i="64"/>
  <c r="T182" i="64" s="1"/>
  <c r="O182" i="64"/>
  <c r="N182" i="64"/>
  <c r="M182" i="64"/>
  <c r="L182" i="64"/>
  <c r="K182" i="64"/>
  <c r="J182" i="64"/>
  <c r="A182" i="64"/>
  <c r="S181" i="64"/>
  <c r="R181" i="64"/>
  <c r="T181" i="64" s="1"/>
  <c r="Q181" i="64"/>
  <c r="O181" i="64"/>
  <c r="N181" i="64"/>
  <c r="M181" i="64"/>
  <c r="P181" i="64" s="1"/>
  <c r="L181" i="64"/>
  <c r="K181" i="64"/>
  <c r="J181" i="64"/>
  <c r="A181" i="64"/>
  <c r="S180" i="64"/>
  <c r="R180" i="64"/>
  <c r="T180" i="64" s="1"/>
  <c r="O180" i="64"/>
  <c r="N180" i="64"/>
  <c r="M180" i="64"/>
  <c r="L180" i="64"/>
  <c r="K180" i="64"/>
  <c r="J180" i="64"/>
  <c r="A180" i="64"/>
  <c r="S179" i="64"/>
  <c r="R179" i="64"/>
  <c r="T179" i="64" s="1"/>
  <c r="Q179" i="64"/>
  <c r="O179" i="64"/>
  <c r="N179" i="64"/>
  <c r="M179" i="64"/>
  <c r="P179" i="64" s="1"/>
  <c r="L179" i="64"/>
  <c r="K179" i="64"/>
  <c r="J179" i="64"/>
  <c r="A179" i="64"/>
  <c r="S178" i="64"/>
  <c r="R178" i="64"/>
  <c r="T178" i="64" s="1"/>
  <c r="O178" i="64"/>
  <c r="N178" i="64"/>
  <c r="M178" i="64"/>
  <c r="L178" i="64"/>
  <c r="K178" i="64"/>
  <c r="J178" i="64"/>
  <c r="A178" i="64"/>
  <c r="S177" i="64"/>
  <c r="R177" i="64"/>
  <c r="T177" i="64" s="1"/>
  <c r="Q177" i="64"/>
  <c r="O177" i="64"/>
  <c r="N177" i="64"/>
  <c r="M177" i="64"/>
  <c r="P177" i="64" s="1"/>
  <c r="L177" i="64"/>
  <c r="K177" i="64"/>
  <c r="J177" i="64"/>
  <c r="A177" i="64"/>
  <c r="S176" i="64"/>
  <c r="R176" i="64"/>
  <c r="T176" i="64" s="1"/>
  <c r="O176" i="64"/>
  <c r="N176" i="64"/>
  <c r="M176" i="64"/>
  <c r="L176" i="64"/>
  <c r="K176" i="64"/>
  <c r="J176" i="64"/>
  <c r="A176" i="64"/>
  <c r="S175" i="64"/>
  <c r="R175" i="64"/>
  <c r="T175" i="64" s="1"/>
  <c r="Q175" i="64"/>
  <c r="O175" i="64"/>
  <c r="N175" i="64"/>
  <c r="M175" i="64"/>
  <c r="P175" i="64" s="1"/>
  <c r="L175" i="64"/>
  <c r="K175" i="64"/>
  <c r="J175" i="64"/>
  <c r="A175" i="64"/>
  <c r="S174" i="64"/>
  <c r="R174" i="64"/>
  <c r="T174" i="64" s="1"/>
  <c r="O174" i="64"/>
  <c r="N174" i="64"/>
  <c r="M174" i="64"/>
  <c r="L174" i="64"/>
  <c r="K174" i="64"/>
  <c r="J174" i="64"/>
  <c r="A174" i="64"/>
  <c r="S173" i="64"/>
  <c r="R173" i="64"/>
  <c r="T173" i="64" s="1"/>
  <c r="Q173" i="64"/>
  <c r="O173" i="64"/>
  <c r="N173" i="64"/>
  <c r="M173" i="64"/>
  <c r="P173" i="64" s="1"/>
  <c r="L173" i="64"/>
  <c r="K173" i="64"/>
  <c r="J173" i="64"/>
  <c r="A173" i="64"/>
  <c r="S172" i="64"/>
  <c r="R172" i="64"/>
  <c r="T172" i="64" s="1"/>
  <c r="O172" i="64"/>
  <c r="N172" i="64"/>
  <c r="M172" i="64"/>
  <c r="L172" i="64"/>
  <c r="K172" i="64"/>
  <c r="J172" i="64"/>
  <c r="A172" i="64"/>
  <c r="S171" i="64"/>
  <c r="R171" i="64"/>
  <c r="T171" i="64" s="1"/>
  <c r="Q171" i="64"/>
  <c r="O171" i="64"/>
  <c r="N171" i="64"/>
  <c r="M171" i="64"/>
  <c r="P171" i="64" s="1"/>
  <c r="L171" i="64"/>
  <c r="K171" i="64"/>
  <c r="J171" i="64"/>
  <c r="A171" i="64"/>
  <c r="S170" i="64"/>
  <c r="R170" i="64"/>
  <c r="T170" i="64" s="1"/>
  <c r="O170" i="64"/>
  <c r="N170" i="64"/>
  <c r="M170" i="64"/>
  <c r="L170" i="64"/>
  <c r="K170" i="64"/>
  <c r="J170" i="64"/>
  <c r="A170" i="64"/>
  <c r="S169" i="64"/>
  <c r="R169" i="64"/>
  <c r="T169" i="64" s="1"/>
  <c r="Q169" i="64"/>
  <c r="O169" i="64"/>
  <c r="N169" i="64"/>
  <c r="M169" i="64"/>
  <c r="P169" i="64" s="1"/>
  <c r="L169" i="64"/>
  <c r="K169" i="64"/>
  <c r="J169" i="64"/>
  <c r="A169" i="64"/>
  <c r="S168" i="64"/>
  <c r="R168" i="64"/>
  <c r="T168" i="64" s="1"/>
  <c r="O168" i="64"/>
  <c r="N168" i="64"/>
  <c r="M168" i="64"/>
  <c r="L168" i="64"/>
  <c r="K168" i="64"/>
  <c r="J168" i="64"/>
  <c r="A168" i="64"/>
  <c r="S167" i="64"/>
  <c r="R167" i="64"/>
  <c r="T167" i="64" s="1"/>
  <c r="Q167" i="64"/>
  <c r="O167" i="64"/>
  <c r="N167" i="64"/>
  <c r="M167" i="64"/>
  <c r="P167" i="64" s="1"/>
  <c r="L167" i="64"/>
  <c r="K167" i="64"/>
  <c r="J167" i="64"/>
  <c r="A167" i="64"/>
  <c r="S166" i="64"/>
  <c r="R166" i="64"/>
  <c r="T166" i="64" s="1"/>
  <c r="O166" i="64"/>
  <c r="N166" i="64"/>
  <c r="M166" i="64"/>
  <c r="L166" i="64"/>
  <c r="K166" i="64"/>
  <c r="J166" i="64"/>
  <c r="A166" i="64"/>
  <c r="S165" i="64"/>
  <c r="R165" i="64"/>
  <c r="T165" i="64" s="1"/>
  <c r="Q165" i="64"/>
  <c r="O165" i="64"/>
  <c r="N165" i="64"/>
  <c r="M165" i="64"/>
  <c r="P165" i="64" s="1"/>
  <c r="L165" i="64"/>
  <c r="K165" i="64"/>
  <c r="J165" i="64"/>
  <c r="A165" i="64"/>
  <c r="S164" i="64"/>
  <c r="R164" i="64"/>
  <c r="T164" i="64" s="1"/>
  <c r="O164" i="64"/>
  <c r="N164" i="64"/>
  <c r="M164" i="64"/>
  <c r="L164" i="64"/>
  <c r="K164" i="64"/>
  <c r="J164" i="64"/>
  <c r="A164" i="64"/>
  <c r="S163" i="64"/>
  <c r="R163" i="64"/>
  <c r="T163" i="64" s="1"/>
  <c r="Q163" i="64"/>
  <c r="O163" i="64"/>
  <c r="N163" i="64"/>
  <c r="M163" i="64"/>
  <c r="P163" i="64" s="1"/>
  <c r="L163" i="64"/>
  <c r="K163" i="64"/>
  <c r="J163" i="64"/>
  <c r="A163" i="64"/>
  <c r="S162" i="64"/>
  <c r="R162" i="64"/>
  <c r="T162" i="64" s="1"/>
  <c r="O162" i="64"/>
  <c r="N162" i="64"/>
  <c r="M162" i="64"/>
  <c r="L162" i="64"/>
  <c r="K162" i="64"/>
  <c r="J162" i="64"/>
  <c r="A162" i="64"/>
  <c r="S161" i="64"/>
  <c r="R161" i="64"/>
  <c r="T161" i="64" s="1"/>
  <c r="Q161" i="64"/>
  <c r="O161" i="64"/>
  <c r="N161" i="64"/>
  <c r="M161" i="64"/>
  <c r="P161" i="64" s="1"/>
  <c r="L161" i="64"/>
  <c r="K161" i="64"/>
  <c r="J161" i="64"/>
  <c r="A161" i="64"/>
  <c r="S160" i="64"/>
  <c r="R160" i="64"/>
  <c r="T160" i="64" s="1"/>
  <c r="O160" i="64"/>
  <c r="N160" i="64"/>
  <c r="M160" i="64"/>
  <c r="L160" i="64"/>
  <c r="K160" i="64"/>
  <c r="J160" i="64"/>
  <c r="A160" i="64"/>
  <c r="S159" i="64"/>
  <c r="R159" i="64"/>
  <c r="T159" i="64" s="1"/>
  <c r="Q159" i="64"/>
  <c r="O159" i="64"/>
  <c r="N159" i="64"/>
  <c r="M159" i="64"/>
  <c r="P159" i="64" s="1"/>
  <c r="L159" i="64"/>
  <c r="K159" i="64"/>
  <c r="J159" i="64"/>
  <c r="A159" i="64"/>
  <c r="S158" i="64"/>
  <c r="R158" i="64"/>
  <c r="T158" i="64" s="1"/>
  <c r="O158" i="64"/>
  <c r="N158" i="64"/>
  <c r="M158" i="64"/>
  <c r="L158" i="64"/>
  <c r="K158" i="64"/>
  <c r="J158" i="64"/>
  <c r="A158" i="64"/>
  <c r="S157" i="64"/>
  <c r="R157" i="64"/>
  <c r="T157" i="64" s="1"/>
  <c r="Q157" i="64"/>
  <c r="O157" i="64"/>
  <c r="N157" i="64"/>
  <c r="M157" i="64"/>
  <c r="P157" i="64" s="1"/>
  <c r="L157" i="64"/>
  <c r="K157" i="64"/>
  <c r="J157" i="64"/>
  <c r="A157" i="64"/>
  <c r="S156" i="64"/>
  <c r="R156" i="64"/>
  <c r="T156" i="64" s="1"/>
  <c r="O156" i="64"/>
  <c r="N156" i="64"/>
  <c r="M156" i="64"/>
  <c r="L156" i="64"/>
  <c r="K156" i="64"/>
  <c r="J156" i="64"/>
  <c r="A156" i="64"/>
  <c r="S155" i="64"/>
  <c r="R155" i="64"/>
  <c r="T155" i="64" s="1"/>
  <c r="Q155" i="64"/>
  <c r="O155" i="64"/>
  <c r="N155" i="64"/>
  <c r="M155" i="64"/>
  <c r="P155" i="64" s="1"/>
  <c r="L155" i="64"/>
  <c r="K155" i="64"/>
  <c r="J155" i="64"/>
  <c r="A155" i="64"/>
  <c r="S154" i="64"/>
  <c r="R154" i="64"/>
  <c r="T154" i="64" s="1"/>
  <c r="O154" i="64"/>
  <c r="N154" i="64"/>
  <c r="M154" i="64"/>
  <c r="L154" i="64"/>
  <c r="K154" i="64"/>
  <c r="J154" i="64"/>
  <c r="A154" i="64"/>
  <c r="S153" i="64"/>
  <c r="R153" i="64"/>
  <c r="T153" i="64" s="1"/>
  <c r="Q153" i="64"/>
  <c r="O153" i="64"/>
  <c r="N153" i="64"/>
  <c r="M153" i="64"/>
  <c r="P153" i="64" s="1"/>
  <c r="L153" i="64"/>
  <c r="K153" i="64"/>
  <c r="J153" i="64"/>
  <c r="A153" i="64"/>
  <c r="S152" i="64"/>
  <c r="R152" i="64"/>
  <c r="T152" i="64" s="1"/>
  <c r="O152" i="64"/>
  <c r="N152" i="64"/>
  <c r="M152" i="64"/>
  <c r="L152" i="64"/>
  <c r="K152" i="64"/>
  <c r="J152" i="64"/>
  <c r="A152" i="64"/>
  <c r="S151" i="64"/>
  <c r="R151" i="64"/>
  <c r="T151" i="64" s="1"/>
  <c r="Q151" i="64"/>
  <c r="O151" i="64"/>
  <c r="N151" i="64"/>
  <c r="M151" i="64"/>
  <c r="P151" i="64" s="1"/>
  <c r="L151" i="64"/>
  <c r="K151" i="64"/>
  <c r="J151" i="64"/>
  <c r="A151" i="64"/>
  <c r="S150" i="64"/>
  <c r="R150" i="64"/>
  <c r="T150" i="64" s="1"/>
  <c r="O150" i="64"/>
  <c r="N150" i="64"/>
  <c r="M150" i="64"/>
  <c r="L150" i="64"/>
  <c r="K150" i="64"/>
  <c r="J150" i="64"/>
  <c r="A150" i="64"/>
  <c r="S149" i="64"/>
  <c r="R149" i="64"/>
  <c r="T149" i="64" s="1"/>
  <c r="Q149" i="64"/>
  <c r="O149" i="64"/>
  <c r="N149" i="64"/>
  <c r="M149" i="64"/>
  <c r="P149" i="64" s="1"/>
  <c r="L149" i="64"/>
  <c r="K149" i="64"/>
  <c r="J149" i="64"/>
  <c r="A149" i="64"/>
  <c r="S148" i="64"/>
  <c r="R148" i="64"/>
  <c r="T148" i="64" s="1"/>
  <c r="O148" i="64"/>
  <c r="N148" i="64"/>
  <c r="M148" i="64"/>
  <c r="L148" i="64"/>
  <c r="K148" i="64"/>
  <c r="J148" i="64"/>
  <c r="A148" i="64"/>
  <c r="S147" i="64"/>
  <c r="R147" i="64"/>
  <c r="T147" i="64" s="1"/>
  <c r="Q147" i="64"/>
  <c r="O147" i="64"/>
  <c r="N147" i="64"/>
  <c r="M147" i="64"/>
  <c r="P147" i="64" s="1"/>
  <c r="L147" i="64"/>
  <c r="K147" i="64"/>
  <c r="J147" i="64"/>
  <c r="A147" i="64"/>
  <c r="S146" i="64"/>
  <c r="R146" i="64"/>
  <c r="T146" i="64" s="1"/>
  <c r="O146" i="64"/>
  <c r="N146" i="64"/>
  <c r="M146" i="64"/>
  <c r="L146" i="64"/>
  <c r="K146" i="64"/>
  <c r="J146" i="64"/>
  <c r="A146" i="64"/>
  <c r="S145" i="64"/>
  <c r="R145" i="64"/>
  <c r="T145" i="64" s="1"/>
  <c r="Q145" i="64"/>
  <c r="O145" i="64"/>
  <c r="N145" i="64"/>
  <c r="M145" i="64"/>
  <c r="P145" i="64" s="1"/>
  <c r="L145" i="64"/>
  <c r="K145" i="64"/>
  <c r="J145" i="64"/>
  <c r="A145" i="64"/>
  <c r="S144" i="64"/>
  <c r="R144" i="64"/>
  <c r="T144" i="64" s="1"/>
  <c r="O144" i="64"/>
  <c r="N144" i="64"/>
  <c r="M144" i="64"/>
  <c r="L144" i="64"/>
  <c r="K144" i="64"/>
  <c r="J144" i="64"/>
  <c r="A144" i="64"/>
  <c r="S143" i="64"/>
  <c r="R143" i="64"/>
  <c r="T143" i="64" s="1"/>
  <c r="Q143" i="64"/>
  <c r="O143" i="64"/>
  <c r="N143" i="64"/>
  <c r="M143" i="64"/>
  <c r="P143" i="64" s="1"/>
  <c r="L143" i="64"/>
  <c r="K143" i="64"/>
  <c r="J143" i="64"/>
  <c r="A143" i="64"/>
  <c r="S142" i="64"/>
  <c r="R142" i="64"/>
  <c r="T142" i="64" s="1"/>
  <c r="O142" i="64"/>
  <c r="N142" i="64"/>
  <c r="M142" i="64"/>
  <c r="L142" i="64"/>
  <c r="K142" i="64"/>
  <c r="J142" i="64"/>
  <c r="A142" i="64"/>
  <c r="S141" i="64"/>
  <c r="R141" i="64"/>
  <c r="T141" i="64" s="1"/>
  <c r="Q141" i="64"/>
  <c r="O141" i="64"/>
  <c r="N141" i="64"/>
  <c r="M141" i="64"/>
  <c r="P141" i="64" s="1"/>
  <c r="L141" i="64"/>
  <c r="K141" i="64"/>
  <c r="J141" i="64"/>
  <c r="A141" i="64"/>
  <c r="S140" i="64"/>
  <c r="R140" i="64"/>
  <c r="T140" i="64" s="1"/>
  <c r="O140" i="64"/>
  <c r="N140" i="64"/>
  <c r="M140" i="64"/>
  <c r="L140" i="64"/>
  <c r="K140" i="64"/>
  <c r="J140" i="64"/>
  <c r="A140" i="64"/>
  <c r="S139" i="64"/>
  <c r="R139" i="64"/>
  <c r="T139" i="64" s="1"/>
  <c r="Q139" i="64"/>
  <c r="O139" i="64"/>
  <c r="N139" i="64"/>
  <c r="M139" i="64"/>
  <c r="P139" i="64" s="1"/>
  <c r="L139" i="64"/>
  <c r="K139" i="64"/>
  <c r="J139" i="64"/>
  <c r="A139" i="64"/>
  <c r="S138" i="64"/>
  <c r="R138" i="64"/>
  <c r="T138" i="64" s="1"/>
  <c r="O138" i="64"/>
  <c r="N138" i="64"/>
  <c r="M138" i="64"/>
  <c r="L138" i="64"/>
  <c r="K138" i="64"/>
  <c r="J138" i="64"/>
  <c r="A138" i="64"/>
  <c r="S137" i="64"/>
  <c r="R137" i="64"/>
  <c r="T137" i="64" s="1"/>
  <c r="Q137" i="64"/>
  <c r="O137" i="64"/>
  <c r="N137" i="64"/>
  <c r="M137" i="64"/>
  <c r="P137" i="64" s="1"/>
  <c r="L137" i="64"/>
  <c r="K137" i="64"/>
  <c r="J137" i="64"/>
  <c r="A137" i="64"/>
  <c r="S136" i="64"/>
  <c r="R136" i="64"/>
  <c r="T136" i="64" s="1"/>
  <c r="O136" i="64"/>
  <c r="N136" i="64"/>
  <c r="M136" i="64"/>
  <c r="L136" i="64"/>
  <c r="K136" i="64"/>
  <c r="J136" i="64"/>
  <c r="A136" i="64"/>
  <c r="S135" i="64"/>
  <c r="R135" i="64"/>
  <c r="T135" i="64" s="1"/>
  <c r="Q135" i="64"/>
  <c r="O135" i="64"/>
  <c r="N135" i="64"/>
  <c r="M135" i="64"/>
  <c r="P135" i="64" s="1"/>
  <c r="L135" i="64"/>
  <c r="K135" i="64"/>
  <c r="J135" i="64"/>
  <c r="A135" i="64"/>
  <c r="S134" i="64"/>
  <c r="R134" i="64"/>
  <c r="T134" i="64" s="1"/>
  <c r="O134" i="64"/>
  <c r="N134" i="64"/>
  <c r="M134" i="64"/>
  <c r="L134" i="64"/>
  <c r="K134" i="64"/>
  <c r="J134" i="64"/>
  <c r="A134" i="64"/>
  <c r="S133" i="64"/>
  <c r="R133" i="64"/>
  <c r="T133" i="64" s="1"/>
  <c r="Q133" i="64"/>
  <c r="O133" i="64"/>
  <c r="N133" i="64"/>
  <c r="M133" i="64"/>
  <c r="P133" i="64" s="1"/>
  <c r="L133" i="64"/>
  <c r="K133" i="64"/>
  <c r="J133" i="64"/>
  <c r="A133" i="64"/>
  <c r="S132" i="64"/>
  <c r="R132" i="64"/>
  <c r="T132" i="64" s="1"/>
  <c r="O132" i="64"/>
  <c r="N132" i="64"/>
  <c r="M132" i="64"/>
  <c r="L132" i="64"/>
  <c r="K132" i="64"/>
  <c r="J132" i="64"/>
  <c r="A132" i="64"/>
  <c r="S131" i="64"/>
  <c r="R131" i="64"/>
  <c r="T131" i="64" s="1"/>
  <c r="Q131" i="64"/>
  <c r="O131" i="64"/>
  <c r="N131" i="64"/>
  <c r="M131" i="64"/>
  <c r="P131" i="64" s="1"/>
  <c r="L131" i="64"/>
  <c r="K131" i="64"/>
  <c r="J131" i="64"/>
  <c r="A131" i="64"/>
  <c r="S130" i="64"/>
  <c r="R130" i="64"/>
  <c r="T130" i="64" s="1"/>
  <c r="O130" i="64"/>
  <c r="N130" i="64"/>
  <c r="M130" i="64"/>
  <c r="L130" i="64"/>
  <c r="K130" i="64"/>
  <c r="J130" i="64"/>
  <c r="A130" i="64"/>
  <c r="S129" i="64"/>
  <c r="R129" i="64"/>
  <c r="T129" i="64" s="1"/>
  <c r="Q129" i="64"/>
  <c r="O129" i="64"/>
  <c r="N129" i="64"/>
  <c r="M129" i="64"/>
  <c r="P129" i="64" s="1"/>
  <c r="L129" i="64"/>
  <c r="K129" i="64"/>
  <c r="J129" i="64"/>
  <c r="A129" i="64"/>
  <c r="S128" i="64"/>
  <c r="R128" i="64"/>
  <c r="T128" i="64" s="1"/>
  <c r="O128" i="64"/>
  <c r="N128" i="64"/>
  <c r="M128" i="64"/>
  <c r="L128" i="64"/>
  <c r="K128" i="64"/>
  <c r="J128" i="64"/>
  <c r="A128" i="64"/>
  <c r="S127" i="64"/>
  <c r="R127" i="64"/>
  <c r="T127" i="64" s="1"/>
  <c r="Q127" i="64"/>
  <c r="O127" i="64"/>
  <c r="N127" i="64"/>
  <c r="M127" i="64"/>
  <c r="P127" i="64" s="1"/>
  <c r="L127" i="64"/>
  <c r="K127" i="64"/>
  <c r="J127" i="64"/>
  <c r="A127" i="64"/>
  <c r="S126" i="64"/>
  <c r="R126" i="64"/>
  <c r="T126" i="64" s="1"/>
  <c r="O126" i="64"/>
  <c r="N126" i="64"/>
  <c r="M126" i="64"/>
  <c r="L126" i="64"/>
  <c r="K126" i="64"/>
  <c r="J126" i="64"/>
  <c r="A126" i="64"/>
  <c r="S125" i="64"/>
  <c r="R125" i="64"/>
  <c r="T125" i="64" s="1"/>
  <c r="Q125" i="64"/>
  <c r="O125" i="64"/>
  <c r="N125" i="64"/>
  <c r="M125" i="64"/>
  <c r="P125" i="64" s="1"/>
  <c r="L125" i="64"/>
  <c r="K125" i="64"/>
  <c r="J125" i="64"/>
  <c r="A125" i="64"/>
  <c r="S124" i="64"/>
  <c r="R124" i="64"/>
  <c r="T124" i="64" s="1"/>
  <c r="O124" i="64"/>
  <c r="N124" i="64"/>
  <c r="M124" i="64"/>
  <c r="L124" i="64"/>
  <c r="K124" i="64"/>
  <c r="J124" i="64"/>
  <c r="A124" i="64"/>
  <c r="S123" i="64"/>
  <c r="R123" i="64"/>
  <c r="T123" i="64" s="1"/>
  <c r="Q123" i="64"/>
  <c r="O123" i="64"/>
  <c r="N123" i="64"/>
  <c r="M123" i="64"/>
  <c r="P123" i="64" s="1"/>
  <c r="L123" i="64"/>
  <c r="K123" i="64"/>
  <c r="J123" i="64"/>
  <c r="A123" i="64"/>
  <c r="S122" i="64"/>
  <c r="R122" i="64"/>
  <c r="T122" i="64" s="1"/>
  <c r="O122" i="64"/>
  <c r="N122" i="64"/>
  <c r="M122" i="64"/>
  <c r="L122" i="64"/>
  <c r="K122" i="64"/>
  <c r="J122" i="64"/>
  <c r="A122" i="64"/>
  <c r="S121" i="64"/>
  <c r="R121" i="64"/>
  <c r="T121" i="64" s="1"/>
  <c r="Q121" i="64"/>
  <c r="O121" i="64"/>
  <c r="N121" i="64"/>
  <c r="M121" i="64"/>
  <c r="P121" i="64" s="1"/>
  <c r="L121" i="64"/>
  <c r="K121" i="64"/>
  <c r="J121" i="64"/>
  <c r="A121" i="64"/>
  <c r="S120" i="64"/>
  <c r="R120" i="64"/>
  <c r="T120" i="64" s="1"/>
  <c r="O120" i="64"/>
  <c r="N120" i="64"/>
  <c r="M120" i="64"/>
  <c r="L120" i="64"/>
  <c r="K120" i="64"/>
  <c r="J120" i="64"/>
  <c r="A120" i="64"/>
  <c r="S119" i="64"/>
  <c r="R119" i="64"/>
  <c r="T119" i="64" s="1"/>
  <c r="Q119" i="64"/>
  <c r="O119" i="64"/>
  <c r="N119" i="64"/>
  <c r="M119" i="64"/>
  <c r="P119" i="64" s="1"/>
  <c r="L119" i="64"/>
  <c r="K119" i="64"/>
  <c r="J119" i="64"/>
  <c r="A119" i="64"/>
  <c r="S118" i="64"/>
  <c r="R118" i="64"/>
  <c r="T118" i="64" s="1"/>
  <c r="O118" i="64"/>
  <c r="N118" i="64"/>
  <c r="M118" i="64"/>
  <c r="L118" i="64"/>
  <c r="K118" i="64"/>
  <c r="J118" i="64"/>
  <c r="A118" i="64"/>
  <c r="S117" i="64"/>
  <c r="R117" i="64"/>
  <c r="T117" i="64" s="1"/>
  <c r="Q117" i="64"/>
  <c r="O117" i="64"/>
  <c r="N117" i="64"/>
  <c r="M117" i="64"/>
  <c r="P117" i="64" s="1"/>
  <c r="L117" i="64"/>
  <c r="K117" i="64"/>
  <c r="J117" i="64"/>
  <c r="A117" i="64"/>
  <c r="S116" i="64"/>
  <c r="R116" i="64"/>
  <c r="T116" i="64" s="1"/>
  <c r="O116" i="64"/>
  <c r="N116" i="64"/>
  <c r="M116" i="64"/>
  <c r="L116" i="64"/>
  <c r="K116" i="64"/>
  <c r="J116" i="64"/>
  <c r="A116" i="64"/>
  <c r="S115" i="64"/>
  <c r="R115" i="64"/>
  <c r="T115" i="64" s="1"/>
  <c r="Q115" i="64"/>
  <c r="O115" i="64"/>
  <c r="N115" i="64"/>
  <c r="M115" i="64"/>
  <c r="P115" i="64" s="1"/>
  <c r="L115" i="64"/>
  <c r="K115" i="64"/>
  <c r="J115" i="64"/>
  <c r="A115" i="64"/>
  <c r="S114" i="64"/>
  <c r="R114" i="64"/>
  <c r="T114" i="64" s="1"/>
  <c r="O114" i="64"/>
  <c r="N114" i="64"/>
  <c r="M114" i="64"/>
  <c r="L114" i="64"/>
  <c r="K114" i="64"/>
  <c r="J114" i="64"/>
  <c r="A114" i="64"/>
  <c r="S113" i="64"/>
  <c r="R113" i="64"/>
  <c r="T113" i="64" s="1"/>
  <c r="Q113" i="64"/>
  <c r="O113" i="64"/>
  <c r="N113" i="64"/>
  <c r="M113" i="64"/>
  <c r="P113" i="64" s="1"/>
  <c r="L113" i="64"/>
  <c r="K113" i="64"/>
  <c r="J113" i="64"/>
  <c r="A113" i="64"/>
  <c r="S112" i="64"/>
  <c r="R112" i="64"/>
  <c r="T112" i="64" s="1"/>
  <c r="O112" i="64"/>
  <c r="N112" i="64"/>
  <c r="M112" i="64"/>
  <c r="L112" i="64"/>
  <c r="K112" i="64"/>
  <c r="J112" i="64"/>
  <c r="A112" i="64"/>
  <c r="S111" i="64"/>
  <c r="R111" i="64"/>
  <c r="T111" i="64" s="1"/>
  <c r="Q111" i="64"/>
  <c r="O111" i="64"/>
  <c r="N111" i="64"/>
  <c r="M111" i="64"/>
  <c r="P111" i="64" s="1"/>
  <c r="L111" i="64"/>
  <c r="K111" i="64"/>
  <c r="J111" i="64"/>
  <c r="A111" i="64"/>
  <c r="S110" i="64"/>
  <c r="R110" i="64"/>
  <c r="T110" i="64" s="1"/>
  <c r="O110" i="64"/>
  <c r="N110" i="64"/>
  <c r="M110" i="64"/>
  <c r="L110" i="64"/>
  <c r="K110" i="64"/>
  <c r="J110" i="64"/>
  <c r="A110" i="64"/>
  <c r="S109" i="64"/>
  <c r="R109" i="64"/>
  <c r="T109" i="64" s="1"/>
  <c r="Q109" i="64"/>
  <c r="O109" i="64"/>
  <c r="N109" i="64"/>
  <c r="M109" i="64"/>
  <c r="P109" i="64" s="1"/>
  <c r="L109" i="64"/>
  <c r="K109" i="64"/>
  <c r="J109" i="64"/>
  <c r="A109" i="64"/>
  <c r="S108" i="64"/>
  <c r="R108" i="64"/>
  <c r="T108" i="64" s="1"/>
  <c r="O108" i="64"/>
  <c r="N108" i="64"/>
  <c r="M108" i="64"/>
  <c r="L108" i="64"/>
  <c r="K108" i="64"/>
  <c r="J108" i="64"/>
  <c r="A108" i="64"/>
  <c r="S107" i="64"/>
  <c r="R107" i="64"/>
  <c r="T107" i="64" s="1"/>
  <c r="Q107" i="64"/>
  <c r="O107" i="64"/>
  <c r="N107" i="64"/>
  <c r="M107" i="64"/>
  <c r="P107" i="64" s="1"/>
  <c r="L107" i="64"/>
  <c r="K107" i="64"/>
  <c r="J107" i="64"/>
  <c r="A107" i="64"/>
  <c r="S106" i="64"/>
  <c r="R106" i="64"/>
  <c r="T106" i="64" s="1"/>
  <c r="O106" i="64"/>
  <c r="N106" i="64"/>
  <c r="M106" i="64"/>
  <c r="L106" i="64"/>
  <c r="K106" i="64"/>
  <c r="J106" i="64"/>
  <c r="A106" i="64"/>
  <c r="S105" i="64"/>
  <c r="R105" i="64"/>
  <c r="T105" i="64" s="1"/>
  <c r="Q105" i="64"/>
  <c r="O105" i="64"/>
  <c r="N105" i="64"/>
  <c r="M105" i="64"/>
  <c r="P105" i="64" s="1"/>
  <c r="L105" i="64"/>
  <c r="K105" i="64"/>
  <c r="J105" i="64"/>
  <c r="A105" i="64"/>
  <c r="S104" i="64"/>
  <c r="R104" i="64"/>
  <c r="T104" i="64" s="1"/>
  <c r="O104" i="64"/>
  <c r="N104" i="64"/>
  <c r="M104" i="64"/>
  <c r="L104" i="64"/>
  <c r="K104" i="64"/>
  <c r="J104" i="64"/>
  <c r="A104" i="64"/>
  <c r="S103" i="64"/>
  <c r="R103" i="64"/>
  <c r="T103" i="64" s="1"/>
  <c r="Q103" i="64"/>
  <c r="O103" i="64"/>
  <c r="N103" i="64"/>
  <c r="M103" i="64"/>
  <c r="P103" i="64" s="1"/>
  <c r="L103" i="64"/>
  <c r="K103" i="64"/>
  <c r="J103" i="64"/>
  <c r="A103" i="64"/>
  <c r="S102" i="64"/>
  <c r="R102" i="64"/>
  <c r="T102" i="64" s="1"/>
  <c r="O102" i="64"/>
  <c r="N102" i="64"/>
  <c r="M102" i="64"/>
  <c r="L102" i="64"/>
  <c r="K102" i="64"/>
  <c r="J102" i="64"/>
  <c r="A102" i="64"/>
  <c r="S101" i="64"/>
  <c r="R101" i="64"/>
  <c r="T101" i="64" s="1"/>
  <c r="Q101" i="64"/>
  <c r="O101" i="64"/>
  <c r="N101" i="64"/>
  <c r="M101" i="64"/>
  <c r="P101" i="64" s="1"/>
  <c r="L101" i="64"/>
  <c r="K101" i="64"/>
  <c r="J101" i="64"/>
  <c r="A101" i="64"/>
  <c r="S100" i="64"/>
  <c r="R100" i="64"/>
  <c r="T100" i="64" s="1"/>
  <c r="O100" i="64"/>
  <c r="N100" i="64"/>
  <c r="M100" i="64"/>
  <c r="L100" i="64"/>
  <c r="K100" i="64"/>
  <c r="J100" i="64"/>
  <c r="A100" i="64"/>
  <c r="S99" i="64"/>
  <c r="R99" i="64"/>
  <c r="T99" i="64" s="1"/>
  <c r="Q99" i="64"/>
  <c r="O99" i="64"/>
  <c r="N99" i="64"/>
  <c r="M99" i="64"/>
  <c r="P99" i="64" s="1"/>
  <c r="L99" i="64"/>
  <c r="K99" i="64"/>
  <c r="J99" i="64"/>
  <c r="A99" i="64"/>
  <c r="S98" i="64"/>
  <c r="R98" i="64"/>
  <c r="T98" i="64" s="1"/>
  <c r="O98" i="64"/>
  <c r="N98" i="64"/>
  <c r="M98" i="64"/>
  <c r="L98" i="64"/>
  <c r="K98" i="64"/>
  <c r="J98" i="64"/>
  <c r="A98" i="64"/>
  <c r="S97" i="64"/>
  <c r="R97" i="64"/>
  <c r="T97" i="64" s="1"/>
  <c r="Q97" i="64"/>
  <c r="O97" i="64"/>
  <c r="N97" i="64"/>
  <c r="M97" i="64"/>
  <c r="P97" i="64" s="1"/>
  <c r="L97" i="64"/>
  <c r="K97" i="64"/>
  <c r="J97" i="64"/>
  <c r="A97" i="64"/>
  <c r="S96" i="64"/>
  <c r="R96" i="64"/>
  <c r="T96" i="64" s="1"/>
  <c r="O96" i="64"/>
  <c r="N96" i="64"/>
  <c r="M96" i="64"/>
  <c r="L96" i="64"/>
  <c r="K96" i="64"/>
  <c r="J96" i="64"/>
  <c r="A96" i="64"/>
  <c r="S95" i="64"/>
  <c r="R95" i="64"/>
  <c r="T95" i="64" s="1"/>
  <c r="Q95" i="64"/>
  <c r="O95" i="64"/>
  <c r="N95" i="64"/>
  <c r="M95" i="64"/>
  <c r="P95" i="64" s="1"/>
  <c r="L95" i="64"/>
  <c r="K95" i="64"/>
  <c r="J95" i="64"/>
  <c r="A95" i="64"/>
  <c r="S94" i="64"/>
  <c r="R94" i="64"/>
  <c r="T94" i="64" s="1"/>
  <c r="O94" i="64"/>
  <c r="N94" i="64"/>
  <c r="M94" i="64"/>
  <c r="L94" i="64"/>
  <c r="K94" i="64"/>
  <c r="J94" i="64"/>
  <c r="A94" i="64"/>
  <c r="S93" i="64"/>
  <c r="R93" i="64"/>
  <c r="T93" i="64" s="1"/>
  <c r="Q93" i="64"/>
  <c r="O93" i="64"/>
  <c r="N93" i="64"/>
  <c r="M93" i="64"/>
  <c r="P93" i="64" s="1"/>
  <c r="L93" i="64"/>
  <c r="K93" i="64"/>
  <c r="J93" i="64"/>
  <c r="A93" i="64"/>
  <c r="S92" i="64"/>
  <c r="R92" i="64"/>
  <c r="T92" i="64" s="1"/>
  <c r="O92" i="64"/>
  <c r="N92" i="64"/>
  <c r="M92" i="64"/>
  <c r="L92" i="64"/>
  <c r="K92" i="64"/>
  <c r="J92" i="64"/>
  <c r="A92" i="64"/>
  <c r="S91" i="64"/>
  <c r="R91" i="64"/>
  <c r="T91" i="64" s="1"/>
  <c r="Q91" i="64"/>
  <c r="O91" i="64"/>
  <c r="N91" i="64"/>
  <c r="M91" i="64"/>
  <c r="P91" i="64" s="1"/>
  <c r="L91" i="64"/>
  <c r="K91" i="64"/>
  <c r="J91" i="64"/>
  <c r="A91" i="64"/>
  <c r="S90" i="64"/>
  <c r="R90" i="64"/>
  <c r="T90" i="64" s="1"/>
  <c r="O90" i="64"/>
  <c r="N90" i="64"/>
  <c r="M90" i="64"/>
  <c r="L90" i="64"/>
  <c r="K90" i="64"/>
  <c r="J90" i="64"/>
  <c r="A90" i="64"/>
  <c r="S89" i="64"/>
  <c r="R89" i="64"/>
  <c r="T89" i="64" s="1"/>
  <c r="Q89" i="64"/>
  <c r="O89" i="64"/>
  <c r="N89" i="64"/>
  <c r="M89" i="64"/>
  <c r="P89" i="64" s="1"/>
  <c r="L89" i="64"/>
  <c r="K89" i="64"/>
  <c r="J89" i="64"/>
  <c r="A89" i="64"/>
  <c r="S88" i="64"/>
  <c r="R88" i="64"/>
  <c r="T88" i="64" s="1"/>
  <c r="O88" i="64"/>
  <c r="N88" i="64"/>
  <c r="M88" i="64"/>
  <c r="L88" i="64"/>
  <c r="K88" i="64"/>
  <c r="J88" i="64"/>
  <c r="A88" i="64"/>
  <c r="S87" i="64"/>
  <c r="R87" i="64"/>
  <c r="T87" i="64" s="1"/>
  <c r="Q87" i="64"/>
  <c r="O87" i="64"/>
  <c r="N87" i="64"/>
  <c r="M87" i="64"/>
  <c r="P87" i="64" s="1"/>
  <c r="L87" i="64"/>
  <c r="K87" i="64"/>
  <c r="J87" i="64"/>
  <c r="A87" i="64"/>
  <c r="S86" i="64"/>
  <c r="R86" i="64"/>
  <c r="T86" i="64" s="1"/>
  <c r="O86" i="64"/>
  <c r="N86" i="64"/>
  <c r="M86" i="64"/>
  <c r="L86" i="64"/>
  <c r="K86" i="64"/>
  <c r="J86" i="64"/>
  <c r="A86" i="64"/>
  <c r="S85" i="64"/>
  <c r="R85" i="64"/>
  <c r="T85" i="64" s="1"/>
  <c r="Q85" i="64"/>
  <c r="O85" i="64"/>
  <c r="N85" i="64"/>
  <c r="M85" i="64"/>
  <c r="P85" i="64" s="1"/>
  <c r="L85" i="64"/>
  <c r="K85" i="64"/>
  <c r="J85" i="64"/>
  <c r="A85" i="64"/>
  <c r="S84" i="64"/>
  <c r="R84" i="64"/>
  <c r="T84" i="64" s="1"/>
  <c r="O84" i="64"/>
  <c r="N84" i="64"/>
  <c r="M84" i="64"/>
  <c r="L84" i="64"/>
  <c r="K84" i="64"/>
  <c r="J84" i="64"/>
  <c r="A84" i="64"/>
  <c r="S83" i="64"/>
  <c r="R83" i="64"/>
  <c r="T83" i="64" s="1"/>
  <c r="Q83" i="64"/>
  <c r="O83" i="64"/>
  <c r="N83" i="64"/>
  <c r="M83" i="64"/>
  <c r="P83" i="64" s="1"/>
  <c r="L83" i="64"/>
  <c r="K83" i="64"/>
  <c r="J83" i="64"/>
  <c r="A83" i="64"/>
  <c r="S82" i="64"/>
  <c r="R82" i="64"/>
  <c r="T82" i="64" s="1"/>
  <c r="O82" i="64"/>
  <c r="N82" i="64"/>
  <c r="M82" i="64"/>
  <c r="L82" i="64"/>
  <c r="K82" i="64"/>
  <c r="J82" i="64"/>
  <c r="A82" i="64"/>
  <c r="S81" i="64"/>
  <c r="R81" i="64"/>
  <c r="T81" i="64" s="1"/>
  <c r="Q81" i="64"/>
  <c r="O81" i="64"/>
  <c r="N81" i="64"/>
  <c r="M81" i="64"/>
  <c r="P81" i="64" s="1"/>
  <c r="L81" i="64"/>
  <c r="K81" i="64"/>
  <c r="J81" i="64"/>
  <c r="A81" i="64"/>
  <c r="S80" i="64"/>
  <c r="R80" i="64"/>
  <c r="T80" i="64" s="1"/>
  <c r="O80" i="64"/>
  <c r="N80" i="64"/>
  <c r="M80" i="64"/>
  <c r="L80" i="64"/>
  <c r="K80" i="64"/>
  <c r="J80" i="64"/>
  <c r="A80" i="64"/>
  <c r="S79" i="64"/>
  <c r="R79" i="64"/>
  <c r="T79" i="64" s="1"/>
  <c r="Q79" i="64"/>
  <c r="O79" i="64"/>
  <c r="N79" i="64"/>
  <c r="M79" i="64"/>
  <c r="P79" i="64" s="1"/>
  <c r="L79" i="64"/>
  <c r="K79" i="64"/>
  <c r="J79" i="64"/>
  <c r="A79" i="64"/>
  <c r="S78" i="64"/>
  <c r="R78" i="64"/>
  <c r="T78" i="64" s="1"/>
  <c r="O78" i="64"/>
  <c r="N78" i="64"/>
  <c r="M78" i="64"/>
  <c r="L78" i="64"/>
  <c r="K78" i="64"/>
  <c r="J78" i="64"/>
  <c r="A78" i="64"/>
  <c r="S77" i="64"/>
  <c r="R77" i="64"/>
  <c r="T77" i="64" s="1"/>
  <c r="Q77" i="64"/>
  <c r="O77" i="64"/>
  <c r="N77" i="64"/>
  <c r="M77" i="64"/>
  <c r="P77" i="64" s="1"/>
  <c r="L77" i="64"/>
  <c r="K77" i="64"/>
  <c r="J77" i="64"/>
  <c r="A77" i="64"/>
  <c r="S76" i="64"/>
  <c r="R76" i="64"/>
  <c r="T76" i="64" s="1"/>
  <c r="O76" i="64"/>
  <c r="N76" i="64"/>
  <c r="M76" i="64"/>
  <c r="L76" i="64"/>
  <c r="K76" i="64"/>
  <c r="J76" i="64"/>
  <c r="A76" i="64"/>
  <c r="S75" i="64"/>
  <c r="R75" i="64"/>
  <c r="T75" i="64" s="1"/>
  <c r="Q75" i="64"/>
  <c r="O75" i="64"/>
  <c r="N75" i="64"/>
  <c r="M75" i="64"/>
  <c r="P75" i="64" s="1"/>
  <c r="L75" i="64"/>
  <c r="K75" i="64"/>
  <c r="J75" i="64"/>
  <c r="A75" i="64"/>
  <c r="S74" i="64"/>
  <c r="R74" i="64"/>
  <c r="T74" i="64" s="1"/>
  <c r="O74" i="64"/>
  <c r="N74" i="64"/>
  <c r="M74" i="64"/>
  <c r="L74" i="64"/>
  <c r="K74" i="64"/>
  <c r="J74" i="64"/>
  <c r="A74" i="64"/>
  <c r="S73" i="64"/>
  <c r="R73" i="64"/>
  <c r="T73" i="64" s="1"/>
  <c r="O73" i="64"/>
  <c r="N73" i="64"/>
  <c r="M73" i="64"/>
  <c r="P73" i="64" s="1"/>
  <c r="L73" i="64"/>
  <c r="K73" i="64"/>
  <c r="J73" i="64"/>
  <c r="A73" i="64"/>
  <c r="S72" i="64"/>
  <c r="R72" i="64"/>
  <c r="T72" i="64" s="1"/>
  <c r="O72" i="64"/>
  <c r="N72" i="64"/>
  <c r="M72" i="64"/>
  <c r="Q72" i="64" s="1"/>
  <c r="L72" i="64"/>
  <c r="K72" i="64"/>
  <c r="J72" i="64"/>
  <c r="A72" i="64"/>
  <c r="S71" i="64"/>
  <c r="R71" i="64"/>
  <c r="T71" i="64" s="1"/>
  <c r="Q71" i="64"/>
  <c r="O71" i="64"/>
  <c r="N71" i="64"/>
  <c r="M71" i="64"/>
  <c r="P71" i="64" s="1"/>
  <c r="L71" i="64"/>
  <c r="K71" i="64"/>
  <c r="J71" i="64"/>
  <c r="A71" i="64"/>
  <c r="S70" i="64"/>
  <c r="R70" i="64"/>
  <c r="T70" i="64" s="1"/>
  <c r="O70" i="64"/>
  <c r="N70" i="64"/>
  <c r="M70" i="64"/>
  <c r="P70" i="64" s="1"/>
  <c r="L70" i="64"/>
  <c r="K70" i="64"/>
  <c r="J70" i="64"/>
  <c r="A70" i="64"/>
  <c r="S69" i="64"/>
  <c r="R69" i="64"/>
  <c r="T69" i="64" s="1"/>
  <c r="O69" i="64"/>
  <c r="N69" i="64"/>
  <c r="M69" i="64"/>
  <c r="P69" i="64" s="1"/>
  <c r="L69" i="64"/>
  <c r="K69" i="64"/>
  <c r="J69" i="64"/>
  <c r="A69" i="64"/>
  <c r="S68" i="64"/>
  <c r="R68" i="64"/>
  <c r="T68" i="64" s="1"/>
  <c r="O68" i="64"/>
  <c r="N68" i="64"/>
  <c r="M68" i="64"/>
  <c r="Q68" i="64" s="1"/>
  <c r="L68" i="64"/>
  <c r="K68" i="64"/>
  <c r="J68" i="64"/>
  <c r="A68" i="64"/>
  <c r="S67" i="64"/>
  <c r="R67" i="64"/>
  <c r="T67" i="64" s="1"/>
  <c r="Q67" i="64"/>
  <c r="O67" i="64"/>
  <c r="N67" i="64"/>
  <c r="M67" i="64"/>
  <c r="P67" i="64" s="1"/>
  <c r="L67" i="64"/>
  <c r="K67" i="64"/>
  <c r="J67" i="64"/>
  <c r="A67" i="64"/>
  <c r="S66" i="64"/>
  <c r="R66" i="64"/>
  <c r="T66" i="64" s="1"/>
  <c r="O66" i="64"/>
  <c r="N66" i="64"/>
  <c r="M66" i="64"/>
  <c r="P66" i="64" s="1"/>
  <c r="L66" i="64"/>
  <c r="K66" i="64"/>
  <c r="J66" i="64"/>
  <c r="A66" i="64"/>
  <c r="S65" i="64"/>
  <c r="R65" i="64"/>
  <c r="T65" i="64" s="1"/>
  <c r="O65" i="64"/>
  <c r="N65" i="64"/>
  <c r="M65" i="64"/>
  <c r="P65" i="64" s="1"/>
  <c r="L65" i="64"/>
  <c r="K65" i="64"/>
  <c r="J65" i="64"/>
  <c r="A65" i="64"/>
  <c r="S64" i="64"/>
  <c r="R64" i="64"/>
  <c r="T64" i="64" s="1"/>
  <c r="O64" i="64"/>
  <c r="N64" i="64"/>
  <c r="M64" i="64"/>
  <c r="Q64" i="64" s="1"/>
  <c r="L64" i="64"/>
  <c r="K64" i="64"/>
  <c r="J64" i="64"/>
  <c r="A64" i="64"/>
  <c r="S63" i="64"/>
  <c r="R63" i="64"/>
  <c r="T63" i="64" s="1"/>
  <c r="Q63" i="64"/>
  <c r="O63" i="64"/>
  <c r="N63" i="64"/>
  <c r="M63" i="64"/>
  <c r="P63" i="64" s="1"/>
  <c r="L63" i="64"/>
  <c r="K63" i="64"/>
  <c r="J63" i="64"/>
  <c r="A63" i="64"/>
  <c r="S62" i="64"/>
  <c r="R62" i="64"/>
  <c r="T62" i="64" s="1"/>
  <c r="O62" i="64"/>
  <c r="N62" i="64"/>
  <c r="M62" i="64"/>
  <c r="P62" i="64" s="1"/>
  <c r="L62" i="64"/>
  <c r="K62" i="64"/>
  <c r="J62" i="64"/>
  <c r="A62" i="64"/>
  <c r="S61" i="64"/>
  <c r="R61" i="64"/>
  <c r="T61" i="64" s="1"/>
  <c r="O61" i="64"/>
  <c r="N61" i="64"/>
  <c r="M61" i="64"/>
  <c r="P61" i="64" s="1"/>
  <c r="L61" i="64"/>
  <c r="K61" i="64"/>
  <c r="J61" i="64"/>
  <c r="A61" i="64"/>
  <c r="S60" i="64"/>
  <c r="R60" i="64"/>
  <c r="T60" i="64" s="1"/>
  <c r="O60" i="64"/>
  <c r="N60" i="64"/>
  <c r="M60" i="64"/>
  <c r="Q60" i="64" s="1"/>
  <c r="L60" i="64"/>
  <c r="K60" i="64"/>
  <c r="J60" i="64"/>
  <c r="A60" i="64"/>
  <c r="S59" i="64"/>
  <c r="R59" i="64"/>
  <c r="T59" i="64" s="1"/>
  <c r="Q59" i="64"/>
  <c r="O59" i="64"/>
  <c r="N59" i="64"/>
  <c r="M59" i="64"/>
  <c r="P59" i="64" s="1"/>
  <c r="L59" i="64"/>
  <c r="K59" i="64"/>
  <c r="J59" i="64"/>
  <c r="A59" i="64"/>
  <c r="S58" i="64"/>
  <c r="R58" i="64"/>
  <c r="T58" i="64" s="1"/>
  <c r="O58" i="64"/>
  <c r="N58" i="64"/>
  <c r="M58" i="64"/>
  <c r="P58" i="64" s="1"/>
  <c r="L58" i="64"/>
  <c r="K58" i="64"/>
  <c r="J58" i="64"/>
  <c r="A58" i="64"/>
  <c r="S57" i="64"/>
  <c r="R57" i="64"/>
  <c r="T57" i="64" s="1"/>
  <c r="O57" i="64"/>
  <c r="N57" i="64"/>
  <c r="M57" i="64"/>
  <c r="P57" i="64" s="1"/>
  <c r="L57" i="64"/>
  <c r="K57" i="64"/>
  <c r="J57" i="64"/>
  <c r="A57" i="64"/>
  <c r="S56" i="64"/>
  <c r="R56" i="64"/>
  <c r="T56" i="64" s="1"/>
  <c r="O56" i="64"/>
  <c r="N56" i="64"/>
  <c r="M56" i="64"/>
  <c r="Q56" i="64" s="1"/>
  <c r="L56" i="64"/>
  <c r="K56" i="64"/>
  <c r="J56" i="64"/>
  <c r="A56" i="64"/>
  <c r="S55" i="64"/>
  <c r="R55" i="64"/>
  <c r="T55" i="64" s="1"/>
  <c r="Q55" i="64"/>
  <c r="O55" i="64"/>
  <c r="N55" i="64"/>
  <c r="M55" i="64"/>
  <c r="P55" i="64" s="1"/>
  <c r="L55" i="64"/>
  <c r="K55" i="64"/>
  <c r="J55" i="64"/>
  <c r="A55" i="64"/>
  <c r="S54" i="64"/>
  <c r="R54" i="64"/>
  <c r="T54" i="64" s="1"/>
  <c r="O54" i="64"/>
  <c r="N54" i="64"/>
  <c r="M54" i="64"/>
  <c r="P54" i="64" s="1"/>
  <c r="L54" i="64"/>
  <c r="K54" i="64"/>
  <c r="J54" i="64"/>
  <c r="A54" i="64"/>
  <c r="S53" i="64"/>
  <c r="R53" i="64"/>
  <c r="T53" i="64" s="1"/>
  <c r="O53" i="64"/>
  <c r="N53" i="64"/>
  <c r="M53" i="64"/>
  <c r="P53" i="64" s="1"/>
  <c r="L53" i="64"/>
  <c r="K53" i="64"/>
  <c r="J53" i="64"/>
  <c r="A53" i="64"/>
  <c r="S52" i="64"/>
  <c r="R52" i="64"/>
  <c r="T52" i="64" s="1"/>
  <c r="O52" i="64"/>
  <c r="N52" i="64"/>
  <c r="M52" i="64"/>
  <c r="Q52" i="64" s="1"/>
  <c r="L52" i="64"/>
  <c r="K52" i="64"/>
  <c r="J52" i="64"/>
  <c r="A52" i="64"/>
  <c r="S51" i="64"/>
  <c r="R51" i="64"/>
  <c r="T51" i="64" s="1"/>
  <c r="Q51" i="64"/>
  <c r="O51" i="64"/>
  <c r="N51" i="64"/>
  <c r="M51" i="64"/>
  <c r="P51" i="64" s="1"/>
  <c r="L51" i="64"/>
  <c r="K51" i="64"/>
  <c r="J51" i="64"/>
  <c r="A51" i="64"/>
  <c r="S50" i="64"/>
  <c r="R50" i="64"/>
  <c r="T50" i="64" s="1"/>
  <c r="O50" i="64"/>
  <c r="N50" i="64"/>
  <c r="M50" i="64"/>
  <c r="P50" i="64" s="1"/>
  <c r="L50" i="64"/>
  <c r="K50" i="64"/>
  <c r="J50" i="64"/>
  <c r="A50" i="64"/>
  <c r="S49" i="64"/>
  <c r="R49" i="64"/>
  <c r="T49" i="64" s="1"/>
  <c r="O49" i="64"/>
  <c r="N49" i="64"/>
  <c r="M49" i="64"/>
  <c r="P49" i="64" s="1"/>
  <c r="L49" i="64"/>
  <c r="K49" i="64"/>
  <c r="J49" i="64"/>
  <c r="A49" i="64"/>
  <c r="S48" i="64"/>
  <c r="R48" i="64"/>
  <c r="T48" i="64" s="1"/>
  <c r="O48" i="64"/>
  <c r="N48" i="64"/>
  <c r="M48" i="64"/>
  <c r="Q48" i="64" s="1"/>
  <c r="L48" i="64"/>
  <c r="K48" i="64"/>
  <c r="J48" i="64"/>
  <c r="A48" i="64"/>
  <c r="S47" i="64"/>
  <c r="R47" i="64"/>
  <c r="T47" i="64" s="1"/>
  <c r="Q47" i="64"/>
  <c r="O47" i="64"/>
  <c r="N47" i="64"/>
  <c r="M47" i="64"/>
  <c r="P47" i="64" s="1"/>
  <c r="L47" i="64"/>
  <c r="K47" i="64"/>
  <c r="J47" i="64"/>
  <c r="A47" i="64"/>
  <c r="S46" i="64"/>
  <c r="R46" i="64"/>
  <c r="T46" i="64" s="1"/>
  <c r="O46" i="64"/>
  <c r="N46" i="64"/>
  <c r="M46" i="64"/>
  <c r="P46" i="64" s="1"/>
  <c r="L46" i="64"/>
  <c r="K46" i="64"/>
  <c r="J46" i="64"/>
  <c r="A46" i="64"/>
  <c r="S45" i="64"/>
  <c r="R45" i="64"/>
  <c r="T45" i="64" s="1"/>
  <c r="O45" i="64"/>
  <c r="N45" i="64"/>
  <c r="M45" i="64"/>
  <c r="P45" i="64" s="1"/>
  <c r="L45" i="64"/>
  <c r="K45" i="64"/>
  <c r="J45" i="64"/>
  <c r="A45" i="64"/>
  <c r="S44" i="64"/>
  <c r="R44" i="64"/>
  <c r="T44" i="64" s="1"/>
  <c r="O44" i="64"/>
  <c r="N44" i="64"/>
  <c r="M44" i="64"/>
  <c r="Q44" i="64" s="1"/>
  <c r="L44" i="64"/>
  <c r="K44" i="64"/>
  <c r="J44" i="64"/>
  <c r="A44" i="64"/>
  <c r="S43" i="64"/>
  <c r="R43" i="64"/>
  <c r="T43" i="64" s="1"/>
  <c r="Q43" i="64"/>
  <c r="O43" i="64"/>
  <c r="N43" i="64"/>
  <c r="M43" i="64"/>
  <c r="P43" i="64" s="1"/>
  <c r="L43" i="64"/>
  <c r="K43" i="64"/>
  <c r="J43" i="64"/>
  <c r="A43" i="64"/>
  <c r="T42" i="64"/>
  <c r="S42" i="64"/>
  <c r="R42" i="64"/>
  <c r="P42" i="64"/>
  <c r="O42" i="64"/>
  <c r="N42" i="64"/>
  <c r="M42" i="64"/>
  <c r="Q42" i="64" s="1"/>
  <c r="L42" i="64"/>
  <c r="K42" i="64"/>
  <c r="J42" i="64"/>
  <c r="A42" i="64"/>
  <c r="S41" i="64"/>
  <c r="T41" i="64" s="1"/>
  <c r="R41" i="64"/>
  <c r="P41" i="64"/>
  <c r="O41" i="64"/>
  <c r="N41" i="64"/>
  <c r="M41" i="64"/>
  <c r="L41" i="64"/>
  <c r="K41" i="64"/>
  <c r="J41" i="64"/>
  <c r="A41" i="64"/>
  <c r="S40" i="64"/>
  <c r="T40" i="64" s="1"/>
  <c r="R40" i="64"/>
  <c r="P40" i="64"/>
  <c r="O40" i="64"/>
  <c r="N40" i="64"/>
  <c r="M40" i="64"/>
  <c r="Q40" i="64" s="1"/>
  <c r="L40" i="64"/>
  <c r="K40" i="64"/>
  <c r="J40" i="64"/>
  <c r="A40" i="64"/>
  <c r="N39" i="64"/>
  <c r="P39" i="64" s="1"/>
  <c r="M39" i="64"/>
  <c r="L39" i="64"/>
  <c r="K39" i="64"/>
  <c r="J39" i="64"/>
  <c r="N38" i="64"/>
  <c r="M38" i="64"/>
  <c r="P38" i="64" s="1"/>
  <c r="L38" i="64"/>
  <c r="K38" i="64"/>
  <c r="J38" i="64"/>
  <c r="P37" i="64"/>
  <c r="N37" i="64"/>
  <c r="M37" i="64"/>
  <c r="L37" i="64"/>
  <c r="K37" i="64"/>
  <c r="J37" i="64"/>
  <c r="N36" i="64"/>
  <c r="M36" i="64"/>
  <c r="P36" i="64" s="1"/>
  <c r="L36" i="64"/>
  <c r="K36" i="64"/>
  <c r="J36" i="64"/>
  <c r="N35" i="64"/>
  <c r="P35" i="64" s="1"/>
  <c r="M35" i="64"/>
  <c r="L35" i="64"/>
  <c r="K35" i="64"/>
  <c r="J35" i="64"/>
  <c r="N34" i="64"/>
  <c r="M34" i="64"/>
  <c r="P34" i="64" s="1"/>
  <c r="L34" i="64"/>
  <c r="K34" i="64"/>
  <c r="J34" i="64"/>
  <c r="P33" i="64"/>
  <c r="N33" i="64"/>
  <c r="M33" i="64"/>
  <c r="L33" i="64"/>
  <c r="K33" i="64"/>
  <c r="J33" i="64"/>
  <c r="N32" i="64"/>
  <c r="M32" i="64"/>
  <c r="P32" i="64" s="1"/>
  <c r="L32" i="64"/>
  <c r="K32" i="64"/>
  <c r="J32" i="64"/>
  <c r="N31" i="64"/>
  <c r="P31" i="64" s="1"/>
  <c r="M31" i="64"/>
  <c r="L31" i="64"/>
  <c r="K31" i="64"/>
  <c r="J31" i="64"/>
  <c r="N30" i="64"/>
  <c r="M30" i="64"/>
  <c r="P30" i="64" s="1"/>
  <c r="L30" i="64"/>
  <c r="K30" i="64"/>
  <c r="J30" i="64"/>
  <c r="P29" i="64"/>
  <c r="N29" i="64"/>
  <c r="M29" i="64"/>
  <c r="L29" i="64"/>
  <c r="K29" i="64"/>
  <c r="J29" i="64"/>
  <c r="N28" i="64"/>
  <c r="M28" i="64"/>
  <c r="P28" i="64" s="1"/>
  <c r="J28" i="64"/>
  <c r="N27" i="64"/>
  <c r="M27" i="64"/>
  <c r="P27" i="64" s="1"/>
  <c r="J27" i="64"/>
  <c r="N26" i="64"/>
  <c r="M26" i="64"/>
  <c r="P26" i="64" s="1"/>
  <c r="J26" i="64"/>
  <c r="N25" i="64"/>
  <c r="M25" i="64"/>
  <c r="P25" i="64" s="1"/>
  <c r="J25" i="64"/>
  <c r="N24" i="64"/>
  <c r="M24" i="64"/>
  <c r="P24" i="64" s="1"/>
  <c r="J24" i="64"/>
  <c r="N23" i="64"/>
  <c r="M23" i="64"/>
  <c r="P23" i="64" s="1"/>
  <c r="J23" i="64"/>
  <c r="N22" i="64"/>
  <c r="M22" i="64"/>
  <c r="P22" i="64" s="1"/>
  <c r="J22" i="64"/>
  <c r="N21" i="64"/>
  <c r="M21" i="64"/>
  <c r="P21" i="64" s="1"/>
  <c r="J21" i="64"/>
  <c r="N20" i="64"/>
  <c r="M20" i="64"/>
  <c r="P20" i="64" s="1"/>
  <c r="J20" i="64"/>
  <c r="N19" i="64"/>
  <c r="M19" i="64"/>
  <c r="P19" i="64" s="1"/>
  <c r="J19" i="64"/>
  <c r="N18" i="64"/>
  <c r="M18" i="64"/>
  <c r="P18" i="64" s="1"/>
  <c r="J18" i="64"/>
  <c r="N17" i="64"/>
  <c r="M17" i="64"/>
  <c r="P17" i="64" s="1"/>
  <c r="J17" i="64"/>
  <c r="N16" i="64"/>
  <c r="M16" i="64"/>
  <c r="P16" i="64" s="1"/>
  <c r="J16" i="64"/>
  <c r="J15" i="64"/>
  <c r="J14" i="64"/>
  <c r="J13" i="64"/>
  <c r="J12" i="64"/>
  <c r="J11" i="64"/>
  <c r="J10" i="64"/>
  <c r="J9" i="64"/>
  <c r="J8" i="64"/>
  <c r="J7" i="64"/>
  <c r="J6" i="64"/>
  <c r="E33" i="63"/>
  <c r="B33" i="63"/>
  <c r="D33" i="63" s="1"/>
  <c r="F33" i="63" s="1"/>
  <c r="E32" i="63"/>
  <c r="D32" i="63"/>
  <c r="F32" i="63" s="1"/>
  <c r="B32" i="63"/>
  <c r="C32" i="63" s="1"/>
  <c r="D31" i="63"/>
  <c r="C31" i="63"/>
  <c r="B31" i="63"/>
  <c r="E31" i="63" s="1"/>
  <c r="B30" i="63"/>
  <c r="E29" i="63"/>
  <c r="B29" i="63"/>
  <c r="E28" i="63"/>
  <c r="D28" i="63"/>
  <c r="F28" i="63" s="1"/>
  <c r="B28" i="63"/>
  <c r="C28" i="63" s="1"/>
  <c r="E27" i="63"/>
  <c r="D27" i="63"/>
  <c r="F27" i="63" s="1"/>
  <c r="C27" i="63"/>
  <c r="B27" i="63"/>
  <c r="B26" i="63"/>
  <c r="B25" i="63"/>
  <c r="E24" i="63"/>
  <c r="D24" i="63"/>
  <c r="F24" i="63" s="1"/>
  <c r="B24" i="63"/>
  <c r="C24" i="63" s="1"/>
  <c r="D23" i="63"/>
  <c r="C23" i="63"/>
  <c r="B23" i="63"/>
  <c r="E23" i="63" s="1"/>
  <c r="C22" i="63"/>
  <c r="B22" i="63"/>
  <c r="B21" i="63"/>
  <c r="E20" i="63"/>
  <c r="D20" i="63"/>
  <c r="F20" i="63" s="1"/>
  <c r="B20" i="63"/>
  <c r="C20" i="63" s="1"/>
  <c r="E19" i="63"/>
  <c r="D19" i="63"/>
  <c r="F19" i="63" s="1"/>
  <c r="C19" i="63"/>
  <c r="B19" i="63"/>
  <c r="B18" i="63"/>
  <c r="B17" i="63"/>
  <c r="E16" i="63"/>
  <c r="D16" i="63"/>
  <c r="B16" i="63"/>
  <c r="C16" i="63" s="1"/>
  <c r="D15" i="63"/>
  <c r="C15" i="63"/>
  <c r="B15" i="63"/>
  <c r="E15" i="63" s="1"/>
  <c r="B14" i="63"/>
  <c r="B13" i="63"/>
  <c r="E12" i="63"/>
  <c r="D12" i="63"/>
  <c r="B12" i="63"/>
  <c r="C12" i="63" s="1"/>
  <c r="E11" i="63"/>
  <c r="D11" i="63"/>
  <c r="F11" i="63" s="1"/>
  <c r="C11" i="63"/>
  <c r="B11" i="63"/>
  <c r="C10" i="63"/>
  <c r="B10" i="63"/>
  <c r="B9" i="63"/>
  <c r="E8" i="63"/>
  <c r="D8" i="63"/>
  <c r="B8" i="63"/>
  <c r="C8" i="63" s="1"/>
  <c r="D7" i="63"/>
  <c r="C7" i="63"/>
  <c r="B7" i="63"/>
  <c r="E7" i="63" s="1"/>
  <c r="B6" i="63"/>
  <c r="E5" i="63"/>
  <c r="B5" i="63"/>
  <c r="E4" i="63"/>
  <c r="D4" i="63"/>
  <c r="F4" i="63" s="1"/>
  <c r="B4" i="63"/>
  <c r="C4" i="63" s="1"/>
  <c r="H32" i="62"/>
  <c r="G32" i="62"/>
  <c r="F32" i="62"/>
  <c r="L32" i="62" s="1"/>
  <c r="E32" i="62"/>
  <c r="K32" i="62" s="1"/>
  <c r="M32" i="62" s="1"/>
  <c r="D32" i="62"/>
  <c r="J32" i="62" s="1"/>
  <c r="C32" i="62"/>
  <c r="H31" i="62"/>
  <c r="E31" i="62"/>
  <c r="K31" i="62" s="1"/>
  <c r="C31" i="62"/>
  <c r="J30" i="62"/>
  <c r="H30" i="62"/>
  <c r="G30" i="62"/>
  <c r="F30" i="62"/>
  <c r="L30" i="62" s="1"/>
  <c r="E30" i="62"/>
  <c r="K30" i="62" s="1"/>
  <c r="M30" i="62" s="1"/>
  <c r="D30" i="62"/>
  <c r="C30" i="62"/>
  <c r="K29" i="62"/>
  <c r="H29" i="62"/>
  <c r="E29" i="62"/>
  <c r="D29" i="62"/>
  <c r="J29" i="62" s="1"/>
  <c r="C29" i="62"/>
  <c r="M28" i="62"/>
  <c r="H28" i="62"/>
  <c r="G28" i="62"/>
  <c r="F28" i="62"/>
  <c r="L28" i="62" s="1"/>
  <c r="E28" i="62"/>
  <c r="K28" i="62" s="1"/>
  <c r="D28" i="62"/>
  <c r="J28" i="62" s="1"/>
  <c r="C28" i="62"/>
  <c r="D27" i="62"/>
  <c r="J27" i="62" s="1"/>
  <c r="C27" i="62"/>
  <c r="H27" i="62" s="1"/>
  <c r="J26" i="62"/>
  <c r="H26" i="62"/>
  <c r="G26" i="62"/>
  <c r="F26" i="62"/>
  <c r="L26" i="62" s="1"/>
  <c r="E26" i="62"/>
  <c r="K26" i="62" s="1"/>
  <c r="D26" i="62"/>
  <c r="C26" i="62"/>
  <c r="H25" i="62"/>
  <c r="C25" i="62"/>
  <c r="M24" i="62"/>
  <c r="J24" i="62"/>
  <c r="H24" i="62"/>
  <c r="G24" i="62"/>
  <c r="F24" i="62"/>
  <c r="L24" i="62" s="1"/>
  <c r="E24" i="62"/>
  <c r="K24" i="62" s="1"/>
  <c r="D24" i="62"/>
  <c r="C24" i="62"/>
  <c r="C23" i="62"/>
  <c r="H22" i="62"/>
  <c r="G22" i="62"/>
  <c r="F22" i="62"/>
  <c r="L22" i="62" s="1"/>
  <c r="E22" i="62"/>
  <c r="K22" i="62" s="1"/>
  <c r="M22" i="62" s="1"/>
  <c r="D22" i="62"/>
  <c r="J22" i="62" s="1"/>
  <c r="C22" i="62"/>
  <c r="H21" i="62"/>
  <c r="E21" i="62"/>
  <c r="K21" i="62" s="1"/>
  <c r="D21" i="62"/>
  <c r="J21" i="62" s="1"/>
  <c r="C21" i="62"/>
  <c r="H20" i="62"/>
  <c r="G20" i="62"/>
  <c r="F20" i="62"/>
  <c r="L20" i="62" s="1"/>
  <c r="E20" i="62"/>
  <c r="K20" i="62" s="1"/>
  <c r="D20" i="62"/>
  <c r="J20" i="62" s="1"/>
  <c r="C20" i="62"/>
  <c r="C19" i="62"/>
  <c r="M18" i="62"/>
  <c r="J18" i="62"/>
  <c r="H18" i="62"/>
  <c r="G18" i="62"/>
  <c r="F18" i="62"/>
  <c r="L18" i="62" s="1"/>
  <c r="E18" i="62"/>
  <c r="K18" i="62" s="1"/>
  <c r="D18" i="62"/>
  <c r="C18" i="62"/>
  <c r="C17" i="62"/>
  <c r="H16" i="62"/>
  <c r="G16" i="62"/>
  <c r="F16" i="62"/>
  <c r="L16" i="62" s="1"/>
  <c r="E16" i="62"/>
  <c r="K16" i="62" s="1"/>
  <c r="M16" i="62" s="1"/>
  <c r="D16" i="62"/>
  <c r="J16" i="62" s="1"/>
  <c r="C16" i="62"/>
  <c r="H15" i="62"/>
  <c r="E15" i="62"/>
  <c r="K15" i="62" s="1"/>
  <c r="C15" i="62"/>
  <c r="J14" i="62"/>
  <c r="H14" i="62"/>
  <c r="G14" i="62"/>
  <c r="F14" i="62"/>
  <c r="L14" i="62" s="1"/>
  <c r="E14" i="62"/>
  <c r="K14" i="62" s="1"/>
  <c r="M14" i="62" s="1"/>
  <c r="D14" i="62"/>
  <c r="C14" i="62"/>
  <c r="K13" i="62"/>
  <c r="H13" i="62"/>
  <c r="E13" i="62"/>
  <c r="D13" i="62"/>
  <c r="J13" i="62" s="1"/>
  <c r="C13" i="62"/>
  <c r="M12" i="62"/>
  <c r="H12" i="62"/>
  <c r="G12" i="62"/>
  <c r="F12" i="62"/>
  <c r="L12" i="62" s="1"/>
  <c r="E12" i="62"/>
  <c r="K12" i="62" s="1"/>
  <c r="D12" i="62"/>
  <c r="J12" i="62" s="1"/>
  <c r="C12" i="62"/>
  <c r="D11" i="62"/>
  <c r="J11" i="62" s="1"/>
  <c r="C11" i="62"/>
  <c r="H11" i="62" s="1"/>
  <c r="J10" i="62"/>
  <c r="H10" i="62"/>
  <c r="G10" i="62"/>
  <c r="F10" i="62"/>
  <c r="L10" i="62" s="1"/>
  <c r="E10" i="62"/>
  <c r="K10" i="62" s="1"/>
  <c r="D10" i="62"/>
  <c r="C10" i="62"/>
  <c r="H9" i="62"/>
  <c r="C9" i="62"/>
  <c r="M8" i="62"/>
  <c r="J8" i="62"/>
  <c r="H8" i="62"/>
  <c r="G8" i="62"/>
  <c r="F8" i="62"/>
  <c r="L8" i="62" s="1"/>
  <c r="E8" i="62"/>
  <c r="K8" i="62" s="1"/>
  <c r="D8" i="62"/>
  <c r="C8" i="62"/>
  <c r="E7" i="62"/>
  <c r="K7" i="62" s="1"/>
  <c r="C7" i="62"/>
  <c r="N6" i="62"/>
  <c r="H6" i="62"/>
  <c r="G6" i="62"/>
  <c r="F6" i="62"/>
  <c r="L6" i="62" s="1"/>
  <c r="E6" i="62"/>
  <c r="K6" i="62" s="1"/>
  <c r="M6" i="62" s="1"/>
  <c r="O6" i="62" s="1"/>
  <c r="D6" i="62"/>
  <c r="J6" i="62" s="1"/>
  <c r="C6" i="62"/>
  <c r="H5" i="62"/>
  <c r="E5" i="62"/>
  <c r="K5" i="62" s="1"/>
  <c r="D5" i="62"/>
  <c r="J5" i="62" s="1"/>
  <c r="C5" i="62"/>
  <c r="H4" i="62"/>
  <c r="G4" i="62"/>
  <c r="F4" i="62"/>
  <c r="L4" i="62" s="1"/>
  <c r="E4" i="62"/>
  <c r="K4" i="62" s="1"/>
  <c r="D4" i="62"/>
  <c r="J4" i="62" s="1"/>
  <c r="C4" i="62"/>
  <c r="C3" i="62"/>
  <c r="F503" i="61"/>
  <c r="F502" i="61"/>
  <c r="F501" i="61"/>
  <c r="F500" i="61"/>
  <c r="F499" i="61"/>
  <c r="F498" i="61"/>
  <c r="F497" i="61"/>
  <c r="F496" i="61"/>
  <c r="F495" i="61"/>
  <c r="F494" i="61"/>
  <c r="G494" i="61" s="1"/>
  <c r="H494" i="61" s="1"/>
  <c r="F493" i="61"/>
  <c r="F492" i="61"/>
  <c r="F491" i="61"/>
  <c r="F490" i="61"/>
  <c r="F489" i="61"/>
  <c r="F488" i="61"/>
  <c r="F487" i="61"/>
  <c r="F486" i="61"/>
  <c r="F485" i="61"/>
  <c r="F484" i="61"/>
  <c r="F483" i="61"/>
  <c r="F482" i="61"/>
  <c r="F481" i="61"/>
  <c r="F480" i="61"/>
  <c r="G480" i="61" s="1"/>
  <c r="H480" i="61" s="1"/>
  <c r="F479" i="61"/>
  <c r="F478" i="61"/>
  <c r="F477" i="61"/>
  <c r="F476" i="61"/>
  <c r="F475" i="61"/>
  <c r="G475" i="61" s="1"/>
  <c r="H475" i="61" s="1"/>
  <c r="F474" i="61"/>
  <c r="F473" i="61"/>
  <c r="F472" i="61"/>
  <c r="F471" i="61"/>
  <c r="F470" i="61"/>
  <c r="F469" i="61"/>
  <c r="F468" i="61"/>
  <c r="F467" i="61"/>
  <c r="F466" i="61"/>
  <c r="F465" i="61"/>
  <c r="F464" i="61"/>
  <c r="F463" i="61"/>
  <c r="F462" i="61"/>
  <c r="F461" i="61"/>
  <c r="F460" i="61"/>
  <c r="F459" i="61"/>
  <c r="F458" i="61"/>
  <c r="F457" i="61"/>
  <c r="G457" i="61" s="1"/>
  <c r="H457" i="61" s="1"/>
  <c r="F456" i="61"/>
  <c r="F455" i="61"/>
  <c r="F454" i="61"/>
  <c r="F453" i="61"/>
  <c r="F452" i="61"/>
  <c r="F451" i="61"/>
  <c r="F450" i="61"/>
  <c r="F449" i="61"/>
  <c r="F448" i="61"/>
  <c r="F447" i="61"/>
  <c r="F446" i="61"/>
  <c r="H445" i="61"/>
  <c r="G445" i="61"/>
  <c r="F445" i="61"/>
  <c r="F444" i="61"/>
  <c r="F443" i="61"/>
  <c r="F442" i="61"/>
  <c r="F441" i="61"/>
  <c r="F440" i="61"/>
  <c r="F439" i="61"/>
  <c r="F438" i="61"/>
  <c r="F437" i="61"/>
  <c r="F436" i="61"/>
  <c r="F435" i="61"/>
  <c r="F434" i="61"/>
  <c r="F433" i="61"/>
  <c r="F432" i="61"/>
  <c r="F431" i="61"/>
  <c r="F430" i="61"/>
  <c r="F429" i="61"/>
  <c r="F428" i="61"/>
  <c r="F427" i="61"/>
  <c r="F426" i="61"/>
  <c r="F425" i="61"/>
  <c r="F424" i="61"/>
  <c r="F423" i="61"/>
  <c r="F422" i="61"/>
  <c r="F421" i="61"/>
  <c r="F420" i="61"/>
  <c r="F419" i="61"/>
  <c r="F418" i="61"/>
  <c r="F417" i="61"/>
  <c r="F416" i="61"/>
  <c r="F415" i="61"/>
  <c r="F414" i="61"/>
  <c r="F413" i="61"/>
  <c r="F412" i="61"/>
  <c r="F411" i="61"/>
  <c r="F410" i="61"/>
  <c r="F409" i="61"/>
  <c r="F408" i="61"/>
  <c r="F407" i="61"/>
  <c r="F406" i="61"/>
  <c r="F405" i="61"/>
  <c r="F404" i="61"/>
  <c r="F403" i="61"/>
  <c r="F402" i="61"/>
  <c r="F401" i="61"/>
  <c r="F400" i="61"/>
  <c r="F399" i="61"/>
  <c r="F398" i="61"/>
  <c r="F397" i="61"/>
  <c r="F396" i="61"/>
  <c r="F395" i="61"/>
  <c r="F394" i="61"/>
  <c r="F393" i="61"/>
  <c r="F392" i="61"/>
  <c r="G392" i="61" s="1"/>
  <c r="H392" i="61" s="1"/>
  <c r="F391" i="61"/>
  <c r="F390" i="61"/>
  <c r="F389" i="61"/>
  <c r="F388" i="61"/>
  <c r="F387" i="61"/>
  <c r="F386" i="61"/>
  <c r="F385" i="61"/>
  <c r="F384" i="61"/>
  <c r="F383" i="61"/>
  <c r="F382" i="61"/>
  <c r="F381" i="61"/>
  <c r="F380" i="61"/>
  <c r="F379" i="61"/>
  <c r="F378" i="61"/>
  <c r="F377" i="61"/>
  <c r="F376" i="61"/>
  <c r="F375" i="61"/>
  <c r="F374" i="61"/>
  <c r="F373" i="61"/>
  <c r="F372" i="61"/>
  <c r="F371" i="61"/>
  <c r="F370" i="61"/>
  <c r="F369" i="61"/>
  <c r="F368" i="61"/>
  <c r="F367" i="61"/>
  <c r="F366" i="61"/>
  <c r="F365" i="61"/>
  <c r="F364" i="61"/>
  <c r="F363" i="61"/>
  <c r="G363" i="61" s="1"/>
  <c r="H363" i="61" s="1"/>
  <c r="F362" i="61"/>
  <c r="F361" i="61"/>
  <c r="F360" i="61"/>
  <c r="F359" i="61"/>
  <c r="F358" i="61"/>
  <c r="G358" i="61" s="1"/>
  <c r="H358" i="61" s="1"/>
  <c r="F357" i="61"/>
  <c r="F356" i="61"/>
  <c r="F355" i="61"/>
  <c r="F354" i="61"/>
  <c r="F353" i="61"/>
  <c r="F352" i="61"/>
  <c r="F351" i="61"/>
  <c r="F350" i="61"/>
  <c r="G350" i="61" s="1"/>
  <c r="H350" i="61" s="1"/>
  <c r="F349" i="61"/>
  <c r="F348" i="61"/>
  <c r="F347" i="61"/>
  <c r="H346" i="61"/>
  <c r="F346" i="61"/>
  <c r="G346" i="61" s="1"/>
  <c r="F345" i="61"/>
  <c r="G345" i="61" s="1"/>
  <c r="H345" i="61" s="1"/>
  <c r="F344" i="61"/>
  <c r="F343" i="61"/>
  <c r="F342" i="61"/>
  <c r="F341" i="61"/>
  <c r="F340" i="61"/>
  <c r="F339" i="61"/>
  <c r="F338" i="61"/>
  <c r="F337" i="61"/>
  <c r="F336" i="61"/>
  <c r="F335" i="61"/>
  <c r="F334" i="61"/>
  <c r="F333" i="61"/>
  <c r="F332" i="61"/>
  <c r="F331" i="61"/>
  <c r="F330" i="61"/>
  <c r="F329" i="61"/>
  <c r="F328" i="61"/>
  <c r="G328" i="61" s="1"/>
  <c r="H328" i="61" s="1"/>
  <c r="F327" i="61"/>
  <c r="F326" i="61"/>
  <c r="F325" i="61"/>
  <c r="F324" i="61"/>
  <c r="F323" i="61"/>
  <c r="F322" i="61"/>
  <c r="F321" i="61"/>
  <c r="F320" i="61"/>
  <c r="F319" i="61"/>
  <c r="F318" i="61"/>
  <c r="F317" i="61"/>
  <c r="F316" i="61"/>
  <c r="F315" i="61"/>
  <c r="F314" i="61"/>
  <c r="F313" i="61"/>
  <c r="F312" i="61"/>
  <c r="F311" i="61"/>
  <c r="F310" i="61"/>
  <c r="F309" i="61"/>
  <c r="F308" i="61"/>
  <c r="F307" i="61"/>
  <c r="F306" i="61"/>
  <c r="F305" i="61"/>
  <c r="F304" i="61"/>
  <c r="G304" i="61" s="1"/>
  <c r="H304" i="61" s="1"/>
  <c r="F303" i="61"/>
  <c r="F302" i="61"/>
  <c r="F301" i="61"/>
  <c r="F300" i="61"/>
  <c r="F299" i="61"/>
  <c r="F298" i="61"/>
  <c r="F297" i="61"/>
  <c r="F296" i="61"/>
  <c r="F295" i="61"/>
  <c r="F294" i="61"/>
  <c r="F293" i="61"/>
  <c r="F292" i="61"/>
  <c r="F291" i="61"/>
  <c r="G291" i="61" s="1"/>
  <c r="H291" i="61" s="1"/>
  <c r="F290" i="61"/>
  <c r="F289" i="61"/>
  <c r="F288" i="61"/>
  <c r="G288" i="61" s="1"/>
  <c r="H288" i="61" s="1"/>
  <c r="F287" i="61"/>
  <c r="G287" i="61" s="1"/>
  <c r="H287" i="61" s="1"/>
  <c r="F286" i="61"/>
  <c r="F285" i="61"/>
  <c r="F284" i="61"/>
  <c r="F283" i="61"/>
  <c r="F282" i="61"/>
  <c r="F281" i="61"/>
  <c r="F280" i="61"/>
  <c r="F279" i="61"/>
  <c r="F278" i="61"/>
  <c r="G277" i="61"/>
  <c r="H277" i="61" s="1"/>
  <c r="F277" i="61"/>
  <c r="F276" i="61"/>
  <c r="F275" i="61"/>
  <c r="F274" i="61"/>
  <c r="F273" i="61"/>
  <c r="F272" i="61"/>
  <c r="F271" i="61"/>
  <c r="F270" i="61"/>
  <c r="F269" i="61"/>
  <c r="F268" i="61"/>
  <c r="F267" i="61"/>
  <c r="F266" i="61"/>
  <c r="F265" i="61"/>
  <c r="F264" i="61"/>
  <c r="F263" i="61"/>
  <c r="F262" i="61"/>
  <c r="F261" i="61"/>
  <c r="F260" i="61"/>
  <c r="F259" i="61"/>
  <c r="F258" i="61"/>
  <c r="F257" i="61"/>
  <c r="F256" i="61"/>
  <c r="F255" i="61"/>
  <c r="F254" i="61"/>
  <c r="F253" i="61"/>
  <c r="F252" i="61"/>
  <c r="F251" i="61"/>
  <c r="F250" i="61"/>
  <c r="F249" i="61"/>
  <c r="F248" i="61"/>
  <c r="F247" i="61"/>
  <c r="F246" i="61"/>
  <c r="G245" i="61"/>
  <c r="H245" i="61" s="1"/>
  <c r="F245" i="61"/>
  <c r="F244" i="61"/>
  <c r="F243" i="61"/>
  <c r="F242" i="61"/>
  <c r="F241" i="61"/>
  <c r="F240" i="61"/>
  <c r="F239" i="61"/>
  <c r="F238" i="61"/>
  <c r="F237" i="61"/>
  <c r="F236" i="61"/>
  <c r="F235" i="61"/>
  <c r="F234" i="61"/>
  <c r="F233" i="61"/>
  <c r="F232" i="61"/>
  <c r="F231" i="61"/>
  <c r="F230" i="61"/>
  <c r="F229" i="61"/>
  <c r="F228" i="61"/>
  <c r="F227" i="61"/>
  <c r="F226" i="61"/>
  <c r="F225" i="61"/>
  <c r="F224" i="61"/>
  <c r="F223" i="61"/>
  <c r="F222" i="61"/>
  <c r="F221" i="61"/>
  <c r="F220" i="61"/>
  <c r="F219" i="61"/>
  <c r="F218" i="61"/>
  <c r="F217" i="61"/>
  <c r="F216" i="61"/>
  <c r="F215" i="61"/>
  <c r="F214" i="61"/>
  <c r="F213" i="61"/>
  <c r="F212" i="61"/>
  <c r="F211" i="61"/>
  <c r="F210" i="61"/>
  <c r="F209" i="61"/>
  <c r="F208" i="61"/>
  <c r="F207" i="61"/>
  <c r="F206" i="61"/>
  <c r="F205" i="61"/>
  <c r="F204" i="61"/>
  <c r="F203" i="61"/>
  <c r="G203" i="61" s="1"/>
  <c r="H203" i="61" s="1"/>
  <c r="F202" i="61"/>
  <c r="F201" i="61"/>
  <c r="F200" i="61"/>
  <c r="F199" i="61"/>
  <c r="F198" i="61"/>
  <c r="G197" i="61"/>
  <c r="H197" i="61" s="1"/>
  <c r="F197" i="61"/>
  <c r="F196" i="61"/>
  <c r="F195" i="61"/>
  <c r="F194" i="61"/>
  <c r="F193" i="61"/>
  <c r="F192" i="61"/>
  <c r="F191" i="61"/>
  <c r="F190" i="61"/>
  <c r="F189" i="61"/>
  <c r="F188" i="61"/>
  <c r="F187" i="61"/>
  <c r="F186" i="61"/>
  <c r="F185" i="61"/>
  <c r="F184" i="61"/>
  <c r="F183" i="61"/>
  <c r="F182" i="61"/>
  <c r="F181" i="61"/>
  <c r="F180" i="61"/>
  <c r="G180" i="61" s="1"/>
  <c r="H180" i="61" s="1"/>
  <c r="F179" i="61"/>
  <c r="F178" i="61"/>
  <c r="F177" i="61"/>
  <c r="F176" i="61"/>
  <c r="F175" i="61"/>
  <c r="F174" i="61"/>
  <c r="F173" i="61"/>
  <c r="F172" i="61"/>
  <c r="F171" i="61"/>
  <c r="F170" i="61"/>
  <c r="G170" i="61" s="1"/>
  <c r="H170" i="61" s="1"/>
  <c r="F169" i="61"/>
  <c r="F168" i="61"/>
  <c r="F167" i="61"/>
  <c r="F166" i="61"/>
  <c r="F165" i="61"/>
  <c r="F164" i="61"/>
  <c r="F163" i="61"/>
  <c r="F162" i="61"/>
  <c r="F161" i="61"/>
  <c r="F160" i="61"/>
  <c r="G159" i="61"/>
  <c r="H159" i="61" s="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G133" i="61"/>
  <c r="H133" i="61" s="1"/>
  <c r="F133" i="61"/>
  <c r="F132" i="61"/>
  <c r="F131" i="61"/>
  <c r="G131" i="61" s="1"/>
  <c r="H131" i="61" s="1"/>
  <c r="F130" i="61"/>
  <c r="F129" i="61"/>
  <c r="F128" i="61"/>
  <c r="F127" i="61"/>
  <c r="F126" i="61"/>
  <c r="G126" i="61" s="1"/>
  <c r="H126" i="61" s="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G94" i="61" s="1"/>
  <c r="H94" i="61" s="1"/>
  <c r="F93" i="61"/>
  <c r="F92" i="61"/>
  <c r="F91" i="61"/>
  <c r="H90" i="61"/>
  <c r="F90" i="61"/>
  <c r="G90" i="61" s="1"/>
  <c r="H89" i="61"/>
  <c r="G89" i="61"/>
  <c r="F89" i="61"/>
  <c r="F88" i="61"/>
  <c r="F87" i="61"/>
  <c r="F86" i="61"/>
  <c r="F85" i="61"/>
  <c r="F84" i="61"/>
  <c r="F83" i="61"/>
  <c r="F82" i="61"/>
  <c r="F81" i="61"/>
  <c r="F80" i="61"/>
  <c r="F79" i="61"/>
  <c r="G79" i="61" s="1"/>
  <c r="H79" i="61" s="1"/>
  <c r="F78" i="61"/>
  <c r="F77" i="61"/>
  <c r="F76" i="61"/>
  <c r="F75" i="61"/>
  <c r="G75" i="61" s="1"/>
  <c r="H75" i="61" s="1"/>
  <c r="F74" i="61"/>
  <c r="F73" i="61"/>
  <c r="F72" i="61"/>
  <c r="G71" i="61"/>
  <c r="H71" i="61" s="1"/>
  <c r="F71" i="61"/>
  <c r="F70" i="61"/>
  <c r="F69" i="61"/>
  <c r="F68" i="61"/>
  <c r="F67" i="61"/>
  <c r="F66" i="61"/>
  <c r="F65" i="61"/>
  <c r="F64" i="61"/>
  <c r="F63" i="61"/>
  <c r="F62" i="61"/>
  <c r="F61" i="61"/>
  <c r="F60" i="61"/>
  <c r="F59" i="61"/>
  <c r="F58" i="61"/>
  <c r="F57" i="61"/>
  <c r="G57" i="61" s="1"/>
  <c r="H57" i="61" s="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G28" i="61" s="1"/>
  <c r="H28" i="61" s="1"/>
  <c r="F27" i="61"/>
  <c r="F26" i="61"/>
  <c r="F25" i="61"/>
  <c r="F24" i="61"/>
  <c r="F23" i="61"/>
  <c r="F22" i="61"/>
  <c r="F21" i="61"/>
  <c r="F20" i="61"/>
  <c r="G20" i="61" s="1"/>
  <c r="H20" i="61" s="1"/>
  <c r="F19" i="61"/>
  <c r="F18" i="61"/>
  <c r="F17" i="61"/>
  <c r="F16" i="61"/>
  <c r="F15" i="61"/>
  <c r="F14" i="61"/>
  <c r="F13" i="61"/>
  <c r="F12" i="61"/>
  <c r="F11" i="61"/>
  <c r="F10" i="61"/>
  <c r="F9" i="61"/>
  <c r="F8" i="61"/>
  <c r="F7" i="61"/>
  <c r="F6" i="61"/>
  <c r="G5" i="61"/>
  <c r="H5" i="61" s="1"/>
  <c r="F5" i="61"/>
  <c r="F4" i="61"/>
  <c r="O502" i="60"/>
  <c r="N502" i="60"/>
  <c r="M502" i="60"/>
  <c r="L502" i="60"/>
  <c r="K502" i="60"/>
  <c r="J502" i="60"/>
  <c r="O501" i="60"/>
  <c r="N501" i="60"/>
  <c r="M501" i="60"/>
  <c r="L501" i="60"/>
  <c r="K501" i="60"/>
  <c r="J501" i="60"/>
  <c r="O500" i="60"/>
  <c r="P500" i="60" s="1"/>
  <c r="N500" i="60"/>
  <c r="M500" i="60"/>
  <c r="L500" i="60"/>
  <c r="K500" i="60"/>
  <c r="J500" i="60"/>
  <c r="O499" i="60"/>
  <c r="N499" i="60"/>
  <c r="M499" i="60"/>
  <c r="L499" i="60"/>
  <c r="K499" i="60"/>
  <c r="J499" i="60"/>
  <c r="O498" i="60"/>
  <c r="N498" i="60"/>
  <c r="M498" i="60"/>
  <c r="L498" i="60"/>
  <c r="K498" i="60"/>
  <c r="J498" i="60"/>
  <c r="O497" i="60"/>
  <c r="P497" i="60" s="1"/>
  <c r="N497" i="60"/>
  <c r="M497" i="60"/>
  <c r="L497" i="60"/>
  <c r="Q497" i="60" s="1"/>
  <c r="K497" i="60"/>
  <c r="J497" i="60"/>
  <c r="O496" i="60"/>
  <c r="N496" i="60"/>
  <c r="M496" i="60"/>
  <c r="L496" i="60"/>
  <c r="K496" i="60"/>
  <c r="J496" i="60"/>
  <c r="O495" i="60"/>
  <c r="N495" i="60"/>
  <c r="M495" i="60"/>
  <c r="L495" i="60"/>
  <c r="K495" i="60"/>
  <c r="J495" i="60"/>
  <c r="O494" i="60"/>
  <c r="N494" i="60"/>
  <c r="M494" i="60"/>
  <c r="L494" i="60"/>
  <c r="K494" i="60"/>
  <c r="J494" i="60"/>
  <c r="O493" i="60"/>
  <c r="P493" i="60" s="1"/>
  <c r="N493" i="60"/>
  <c r="M493" i="60"/>
  <c r="L493" i="60"/>
  <c r="Q493" i="60" s="1"/>
  <c r="K493" i="60"/>
  <c r="J493" i="60"/>
  <c r="O492" i="60"/>
  <c r="P492" i="60" s="1"/>
  <c r="N492" i="60"/>
  <c r="M492" i="60"/>
  <c r="L492" i="60"/>
  <c r="K492" i="60"/>
  <c r="J492" i="60"/>
  <c r="O491" i="60"/>
  <c r="N491" i="60"/>
  <c r="M491" i="60"/>
  <c r="L491" i="60"/>
  <c r="K491" i="60"/>
  <c r="J491" i="60"/>
  <c r="O490" i="60"/>
  <c r="N490" i="60"/>
  <c r="M490" i="60"/>
  <c r="L490" i="60"/>
  <c r="K490" i="60"/>
  <c r="J490" i="60"/>
  <c r="O489" i="60"/>
  <c r="N489" i="60"/>
  <c r="M489" i="60"/>
  <c r="L489" i="60"/>
  <c r="K489" i="60"/>
  <c r="J489" i="60"/>
  <c r="O488" i="60"/>
  <c r="N488" i="60"/>
  <c r="M488" i="60"/>
  <c r="L488" i="60"/>
  <c r="K488" i="60"/>
  <c r="J488" i="60"/>
  <c r="O487" i="60"/>
  <c r="N487" i="60"/>
  <c r="M487" i="60"/>
  <c r="L487" i="60"/>
  <c r="K487" i="60"/>
  <c r="J487" i="60"/>
  <c r="O486" i="60"/>
  <c r="N486" i="60"/>
  <c r="M486" i="60"/>
  <c r="L486" i="60"/>
  <c r="K486" i="60"/>
  <c r="J486" i="60"/>
  <c r="O485" i="60"/>
  <c r="N485" i="60"/>
  <c r="M485" i="60"/>
  <c r="L485" i="60"/>
  <c r="K485" i="60"/>
  <c r="J485" i="60"/>
  <c r="O484" i="60"/>
  <c r="N484" i="60"/>
  <c r="M484" i="60"/>
  <c r="L484" i="60"/>
  <c r="K484" i="60"/>
  <c r="J484" i="60"/>
  <c r="O483" i="60"/>
  <c r="N483" i="60"/>
  <c r="M483" i="60"/>
  <c r="L483" i="60"/>
  <c r="K483" i="60"/>
  <c r="J483" i="60"/>
  <c r="O482" i="60"/>
  <c r="N482" i="60"/>
  <c r="M482" i="60"/>
  <c r="L482" i="60"/>
  <c r="K482" i="60"/>
  <c r="J482" i="60"/>
  <c r="O481" i="60"/>
  <c r="N481" i="60"/>
  <c r="M481" i="60"/>
  <c r="L481" i="60"/>
  <c r="K481" i="60"/>
  <c r="J481" i="60"/>
  <c r="O480" i="60"/>
  <c r="N480" i="60"/>
  <c r="M480" i="60"/>
  <c r="L480" i="60"/>
  <c r="K480" i="60"/>
  <c r="J480" i="60"/>
  <c r="O479" i="60"/>
  <c r="P479" i="60" s="1"/>
  <c r="N479" i="60"/>
  <c r="M479" i="60"/>
  <c r="L479" i="60"/>
  <c r="K479" i="60"/>
  <c r="J479" i="60"/>
  <c r="O478" i="60"/>
  <c r="N478" i="60"/>
  <c r="M478" i="60"/>
  <c r="L478" i="60"/>
  <c r="K478" i="60"/>
  <c r="J478" i="60"/>
  <c r="O477" i="60"/>
  <c r="N477" i="60"/>
  <c r="M477" i="60"/>
  <c r="L477" i="60"/>
  <c r="K477" i="60"/>
  <c r="J477" i="60"/>
  <c r="O476" i="60"/>
  <c r="N476" i="60"/>
  <c r="M476" i="60"/>
  <c r="L476" i="60"/>
  <c r="K476" i="60"/>
  <c r="J476" i="60"/>
  <c r="O475" i="60"/>
  <c r="P475" i="60" s="1"/>
  <c r="N475" i="60"/>
  <c r="M475" i="60"/>
  <c r="L475" i="60"/>
  <c r="K475" i="60"/>
  <c r="J475" i="60"/>
  <c r="N474" i="60"/>
  <c r="M474" i="60"/>
  <c r="O474" i="60" s="1"/>
  <c r="L474" i="60"/>
  <c r="K474" i="60"/>
  <c r="J474" i="60"/>
  <c r="O473" i="60"/>
  <c r="N473" i="60"/>
  <c r="M473" i="60"/>
  <c r="L473" i="60"/>
  <c r="K473" i="60"/>
  <c r="J473" i="60"/>
  <c r="O472" i="60"/>
  <c r="N472" i="60"/>
  <c r="M472" i="60"/>
  <c r="L472" i="60"/>
  <c r="K472" i="60"/>
  <c r="J472" i="60"/>
  <c r="N471" i="60"/>
  <c r="M471" i="60"/>
  <c r="O471" i="60" s="1"/>
  <c r="P471" i="60" s="1"/>
  <c r="L471" i="60"/>
  <c r="K471" i="60"/>
  <c r="J471" i="60"/>
  <c r="N470" i="60"/>
  <c r="M470" i="60"/>
  <c r="O470" i="60" s="1"/>
  <c r="L470" i="60"/>
  <c r="K470" i="60"/>
  <c r="J470" i="60"/>
  <c r="O469" i="60"/>
  <c r="N469" i="60"/>
  <c r="M469" i="60"/>
  <c r="L469" i="60"/>
  <c r="K469" i="60"/>
  <c r="J469" i="60"/>
  <c r="O468" i="60"/>
  <c r="N468" i="60"/>
  <c r="M468" i="60"/>
  <c r="L468" i="60"/>
  <c r="K468" i="60"/>
  <c r="J468" i="60"/>
  <c r="N467" i="60"/>
  <c r="M467" i="60"/>
  <c r="O467" i="60" s="1"/>
  <c r="L467" i="60"/>
  <c r="K467" i="60"/>
  <c r="J467" i="60"/>
  <c r="N466" i="60"/>
  <c r="M466" i="60"/>
  <c r="O466" i="60" s="1"/>
  <c r="L466" i="60"/>
  <c r="K466" i="60"/>
  <c r="J466" i="60"/>
  <c r="O465" i="60"/>
  <c r="N465" i="60"/>
  <c r="M465" i="60"/>
  <c r="L465" i="60"/>
  <c r="K465" i="60"/>
  <c r="J465" i="60"/>
  <c r="O464" i="60"/>
  <c r="N464" i="60"/>
  <c r="M464" i="60"/>
  <c r="L464" i="60"/>
  <c r="K464" i="60"/>
  <c r="J464" i="60"/>
  <c r="N463" i="60"/>
  <c r="M463" i="60"/>
  <c r="O463" i="60" s="1"/>
  <c r="L463" i="60"/>
  <c r="K463" i="60"/>
  <c r="J463" i="60"/>
  <c r="N462" i="60"/>
  <c r="M462" i="60"/>
  <c r="O462" i="60" s="1"/>
  <c r="L462" i="60"/>
  <c r="K462" i="60"/>
  <c r="J462" i="60"/>
  <c r="O461" i="60"/>
  <c r="N461" i="60"/>
  <c r="M461" i="60"/>
  <c r="L461" i="60"/>
  <c r="K461" i="60"/>
  <c r="J461" i="60"/>
  <c r="O460" i="60"/>
  <c r="N460" i="60"/>
  <c r="M460" i="60"/>
  <c r="L460" i="60"/>
  <c r="K460" i="60"/>
  <c r="J460" i="60"/>
  <c r="N459" i="60"/>
  <c r="M459" i="60"/>
  <c r="O459" i="60" s="1"/>
  <c r="L459" i="60"/>
  <c r="K459" i="60"/>
  <c r="J459" i="60"/>
  <c r="N458" i="60"/>
  <c r="M458" i="60"/>
  <c r="O458" i="60" s="1"/>
  <c r="L458" i="60"/>
  <c r="K458" i="60"/>
  <c r="J458" i="60"/>
  <c r="O457" i="60"/>
  <c r="N457" i="60"/>
  <c r="M457" i="60"/>
  <c r="L457" i="60"/>
  <c r="K457" i="60"/>
  <c r="J457" i="60"/>
  <c r="O456" i="60"/>
  <c r="N456" i="60"/>
  <c r="M456" i="60"/>
  <c r="L456" i="60"/>
  <c r="K456" i="60"/>
  <c r="J456" i="60"/>
  <c r="N455" i="60"/>
  <c r="M455" i="60"/>
  <c r="O455" i="60" s="1"/>
  <c r="L455" i="60"/>
  <c r="K455" i="60"/>
  <c r="J455" i="60"/>
  <c r="N454" i="60"/>
  <c r="M454" i="60"/>
  <c r="O454" i="60" s="1"/>
  <c r="L454" i="60"/>
  <c r="K454" i="60"/>
  <c r="J454" i="60"/>
  <c r="O453" i="60"/>
  <c r="N453" i="60"/>
  <c r="M453" i="60"/>
  <c r="L453" i="60"/>
  <c r="K453" i="60"/>
  <c r="J453" i="60"/>
  <c r="O452" i="60"/>
  <c r="N452" i="60"/>
  <c r="M452" i="60"/>
  <c r="L452" i="60"/>
  <c r="K452" i="60"/>
  <c r="J452" i="60"/>
  <c r="N451" i="60"/>
  <c r="M451" i="60"/>
  <c r="O451" i="60" s="1"/>
  <c r="L451" i="60"/>
  <c r="K451" i="60"/>
  <c r="J451" i="60"/>
  <c r="N450" i="60"/>
  <c r="M450" i="60"/>
  <c r="O450" i="60" s="1"/>
  <c r="L450" i="60"/>
  <c r="K450" i="60"/>
  <c r="J450" i="60"/>
  <c r="N449" i="60"/>
  <c r="M449" i="60"/>
  <c r="O449" i="60" s="1"/>
  <c r="L449" i="60"/>
  <c r="K449" i="60"/>
  <c r="J449" i="60"/>
  <c r="O448" i="60"/>
  <c r="N448" i="60"/>
  <c r="M448" i="60"/>
  <c r="L448" i="60"/>
  <c r="K448" i="60"/>
  <c r="J448" i="60"/>
  <c r="O447" i="60"/>
  <c r="N447" i="60"/>
  <c r="M447" i="60"/>
  <c r="L447" i="60"/>
  <c r="K447" i="60"/>
  <c r="J447" i="60"/>
  <c r="O446" i="60"/>
  <c r="N446" i="60"/>
  <c r="M446" i="60"/>
  <c r="L446" i="60"/>
  <c r="K446" i="60"/>
  <c r="J446" i="60"/>
  <c r="N445" i="60"/>
  <c r="M445" i="60"/>
  <c r="O445" i="60" s="1"/>
  <c r="P445" i="60" s="1"/>
  <c r="L445" i="60"/>
  <c r="K445" i="60"/>
  <c r="J445" i="60"/>
  <c r="N444" i="60"/>
  <c r="M444" i="60"/>
  <c r="O444" i="60" s="1"/>
  <c r="P444" i="60" s="1"/>
  <c r="L444" i="60"/>
  <c r="K444" i="60"/>
  <c r="J444" i="60"/>
  <c r="O443" i="60"/>
  <c r="N443" i="60"/>
  <c r="M443" i="60"/>
  <c r="L443" i="60"/>
  <c r="K443" i="60"/>
  <c r="J443" i="60"/>
  <c r="N442" i="60"/>
  <c r="M442" i="60"/>
  <c r="O442" i="60" s="1"/>
  <c r="P442" i="60" s="1"/>
  <c r="L442" i="60"/>
  <c r="K442" i="60"/>
  <c r="J442" i="60"/>
  <c r="N441" i="60"/>
  <c r="M441" i="60"/>
  <c r="O441" i="60" s="1"/>
  <c r="L441" i="60"/>
  <c r="K441" i="60"/>
  <c r="J441" i="60"/>
  <c r="O440" i="60"/>
  <c r="N440" i="60"/>
  <c r="M440" i="60"/>
  <c r="L440" i="60"/>
  <c r="K440" i="60"/>
  <c r="J440" i="60"/>
  <c r="O439" i="60"/>
  <c r="N439" i="60"/>
  <c r="M439" i="60"/>
  <c r="L439" i="60"/>
  <c r="K439" i="60"/>
  <c r="J439" i="60"/>
  <c r="O438" i="60"/>
  <c r="N438" i="60"/>
  <c r="M438" i="60"/>
  <c r="L438" i="60"/>
  <c r="K438" i="60"/>
  <c r="J438" i="60"/>
  <c r="N437" i="60"/>
  <c r="M437" i="60"/>
  <c r="O437" i="60" s="1"/>
  <c r="L437" i="60"/>
  <c r="K437" i="60"/>
  <c r="J437" i="60"/>
  <c r="N436" i="60"/>
  <c r="M436" i="60"/>
  <c r="O436" i="60" s="1"/>
  <c r="L436" i="60"/>
  <c r="K436" i="60"/>
  <c r="J436" i="60"/>
  <c r="O435" i="60"/>
  <c r="N435" i="60"/>
  <c r="M435" i="60"/>
  <c r="L435" i="60"/>
  <c r="K435" i="60"/>
  <c r="J435" i="60"/>
  <c r="N434" i="60"/>
  <c r="M434" i="60"/>
  <c r="O434" i="60" s="1"/>
  <c r="P434" i="60" s="1"/>
  <c r="L434" i="60"/>
  <c r="Q434" i="60" s="1"/>
  <c r="K434" i="60"/>
  <c r="J434" i="60"/>
  <c r="N433" i="60"/>
  <c r="M433" i="60"/>
  <c r="O433" i="60" s="1"/>
  <c r="L433" i="60"/>
  <c r="K433" i="60"/>
  <c r="J433" i="60"/>
  <c r="O432" i="60"/>
  <c r="N432" i="60"/>
  <c r="M432" i="60"/>
  <c r="L432" i="60"/>
  <c r="K432" i="60"/>
  <c r="J432" i="60"/>
  <c r="O431" i="60"/>
  <c r="N431" i="60"/>
  <c r="M431" i="60"/>
  <c r="L431" i="60"/>
  <c r="K431" i="60"/>
  <c r="J431" i="60"/>
  <c r="O430" i="60"/>
  <c r="N430" i="60"/>
  <c r="M430" i="60"/>
  <c r="L430" i="60"/>
  <c r="K430" i="60"/>
  <c r="J430" i="60"/>
  <c r="N429" i="60"/>
  <c r="M429" i="60"/>
  <c r="O429" i="60" s="1"/>
  <c r="L429" i="60"/>
  <c r="K429" i="60"/>
  <c r="J429" i="60"/>
  <c r="N428" i="60"/>
  <c r="M428" i="60"/>
  <c r="O428" i="60" s="1"/>
  <c r="L428" i="60"/>
  <c r="K428" i="60"/>
  <c r="J428" i="60"/>
  <c r="O427" i="60"/>
  <c r="N427" i="60"/>
  <c r="M427" i="60"/>
  <c r="L427" i="60"/>
  <c r="K427" i="60"/>
  <c r="J427" i="60"/>
  <c r="N426" i="60"/>
  <c r="M426" i="60"/>
  <c r="O426" i="60" s="1"/>
  <c r="L426" i="60"/>
  <c r="K426" i="60"/>
  <c r="J426" i="60"/>
  <c r="N425" i="60"/>
  <c r="M425" i="60"/>
  <c r="O425" i="60" s="1"/>
  <c r="L425" i="60"/>
  <c r="K425" i="60"/>
  <c r="J425" i="60"/>
  <c r="N424" i="60"/>
  <c r="M424" i="60"/>
  <c r="O424" i="60" s="1"/>
  <c r="L424" i="60"/>
  <c r="K424" i="60"/>
  <c r="J424" i="60"/>
  <c r="N423" i="60"/>
  <c r="M423" i="60"/>
  <c r="O423" i="60" s="1"/>
  <c r="L423" i="60"/>
  <c r="K423" i="60"/>
  <c r="J423" i="60"/>
  <c r="N422" i="60"/>
  <c r="M422" i="60"/>
  <c r="O422" i="60" s="1"/>
  <c r="L422" i="60"/>
  <c r="K422" i="60"/>
  <c r="J422" i="60"/>
  <c r="N421" i="60"/>
  <c r="M421" i="60"/>
  <c r="O421" i="60" s="1"/>
  <c r="L421" i="60"/>
  <c r="K421" i="60"/>
  <c r="J421" i="60"/>
  <c r="N420" i="60"/>
  <c r="M420" i="60"/>
  <c r="O420" i="60" s="1"/>
  <c r="L420" i="60"/>
  <c r="K420" i="60"/>
  <c r="J420" i="60"/>
  <c r="N419" i="60"/>
  <c r="M419" i="60"/>
  <c r="O419" i="60" s="1"/>
  <c r="L419" i="60"/>
  <c r="K419" i="60"/>
  <c r="J419" i="60"/>
  <c r="N418" i="60"/>
  <c r="M418" i="60"/>
  <c r="O418" i="60" s="1"/>
  <c r="L418" i="60"/>
  <c r="K418" i="60"/>
  <c r="J418" i="60"/>
  <c r="N417" i="60"/>
  <c r="M417" i="60"/>
  <c r="O417" i="60" s="1"/>
  <c r="L417" i="60"/>
  <c r="K417" i="60"/>
  <c r="J417" i="60"/>
  <c r="N416" i="60"/>
  <c r="M416" i="60"/>
  <c r="O416" i="60" s="1"/>
  <c r="L416" i="60"/>
  <c r="K416" i="60"/>
  <c r="J416" i="60"/>
  <c r="N415" i="60"/>
  <c r="M415" i="60"/>
  <c r="O415" i="60" s="1"/>
  <c r="L415" i="60"/>
  <c r="K415" i="60"/>
  <c r="J415" i="60"/>
  <c r="N414" i="60"/>
  <c r="M414" i="60"/>
  <c r="O414" i="60" s="1"/>
  <c r="L414" i="60"/>
  <c r="K414" i="60"/>
  <c r="J414" i="60"/>
  <c r="N413" i="60"/>
  <c r="M413" i="60"/>
  <c r="O413" i="60" s="1"/>
  <c r="L413" i="60"/>
  <c r="K413" i="60"/>
  <c r="J413" i="60"/>
  <c r="N412" i="60"/>
  <c r="M412" i="60"/>
  <c r="O412" i="60" s="1"/>
  <c r="L412" i="60"/>
  <c r="K412" i="60"/>
  <c r="J412" i="60"/>
  <c r="N411" i="60"/>
  <c r="M411" i="60"/>
  <c r="O411" i="60" s="1"/>
  <c r="L411" i="60"/>
  <c r="K411" i="60"/>
  <c r="J411" i="60"/>
  <c r="N410" i="60"/>
  <c r="M410" i="60"/>
  <c r="O410" i="60" s="1"/>
  <c r="L410" i="60"/>
  <c r="K410" i="60"/>
  <c r="J410" i="60"/>
  <c r="N409" i="60"/>
  <c r="M409" i="60"/>
  <c r="O409" i="60" s="1"/>
  <c r="L409" i="60"/>
  <c r="K409" i="60"/>
  <c r="J409" i="60"/>
  <c r="N408" i="60"/>
  <c r="M408" i="60"/>
  <c r="O408" i="60" s="1"/>
  <c r="L408" i="60"/>
  <c r="K408" i="60"/>
  <c r="J408" i="60"/>
  <c r="N407" i="60"/>
  <c r="M407" i="60"/>
  <c r="O407" i="60" s="1"/>
  <c r="L407" i="60"/>
  <c r="K407" i="60"/>
  <c r="J407" i="60"/>
  <c r="N406" i="60"/>
  <c r="M406" i="60"/>
  <c r="O406" i="60" s="1"/>
  <c r="L406" i="60"/>
  <c r="K406" i="60"/>
  <c r="J406" i="60"/>
  <c r="N405" i="60"/>
  <c r="M405" i="60"/>
  <c r="L405" i="60"/>
  <c r="K405" i="60"/>
  <c r="J405" i="60"/>
  <c r="N404" i="60"/>
  <c r="M404" i="60"/>
  <c r="L404" i="60"/>
  <c r="K404" i="60"/>
  <c r="J404" i="60"/>
  <c r="N403" i="60"/>
  <c r="M403" i="60"/>
  <c r="L403" i="60"/>
  <c r="K403" i="60"/>
  <c r="J403" i="60"/>
  <c r="N402" i="60"/>
  <c r="M402" i="60"/>
  <c r="O402" i="60" s="1"/>
  <c r="L402" i="60"/>
  <c r="K402" i="60"/>
  <c r="J402" i="60"/>
  <c r="N401" i="60"/>
  <c r="M401" i="60"/>
  <c r="L401" i="60"/>
  <c r="K401" i="60"/>
  <c r="J401" i="60"/>
  <c r="N400" i="60"/>
  <c r="M400" i="60"/>
  <c r="O400" i="60" s="1"/>
  <c r="L400" i="60"/>
  <c r="K400" i="60"/>
  <c r="J400" i="60"/>
  <c r="N399" i="60"/>
  <c r="M399" i="60"/>
  <c r="L399" i="60"/>
  <c r="K399" i="60"/>
  <c r="J399" i="60"/>
  <c r="N398" i="60"/>
  <c r="M398" i="60"/>
  <c r="O398" i="60" s="1"/>
  <c r="L398" i="60"/>
  <c r="K398" i="60"/>
  <c r="J398" i="60"/>
  <c r="N397" i="60"/>
  <c r="M397" i="60"/>
  <c r="L397" i="60"/>
  <c r="K397" i="60"/>
  <c r="J397" i="60"/>
  <c r="N396" i="60"/>
  <c r="M396" i="60"/>
  <c r="L396" i="60"/>
  <c r="K396" i="60"/>
  <c r="J396" i="60"/>
  <c r="N395" i="60"/>
  <c r="M395" i="60"/>
  <c r="O395" i="60" s="1"/>
  <c r="L395" i="60"/>
  <c r="K395" i="60"/>
  <c r="J395" i="60"/>
  <c r="N394" i="60"/>
  <c r="M394" i="60"/>
  <c r="O394" i="60" s="1"/>
  <c r="L394" i="60"/>
  <c r="K394" i="60"/>
  <c r="J394" i="60"/>
  <c r="N393" i="60"/>
  <c r="M393" i="60"/>
  <c r="L393" i="60"/>
  <c r="K393" i="60"/>
  <c r="J393" i="60"/>
  <c r="N392" i="60"/>
  <c r="M392" i="60"/>
  <c r="O392" i="60" s="1"/>
  <c r="L392" i="60"/>
  <c r="K392" i="60"/>
  <c r="J392" i="60"/>
  <c r="N391" i="60"/>
  <c r="M391" i="60"/>
  <c r="L391" i="60"/>
  <c r="K391" i="60"/>
  <c r="J391" i="60"/>
  <c r="N390" i="60"/>
  <c r="M390" i="60"/>
  <c r="O390" i="60" s="1"/>
  <c r="L390" i="60"/>
  <c r="K390" i="60"/>
  <c r="J390" i="60"/>
  <c r="N389" i="60"/>
  <c r="M389" i="60"/>
  <c r="L389" i="60"/>
  <c r="K389" i="60"/>
  <c r="J389" i="60"/>
  <c r="N388" i="60"/>
  <c r="M388" i="60"/>
  <c r="L388" i="60"/>
  <c r="K388" i="60"/>
  <c r="J388" i="60"/>
  <c r="N387" i="60"/>
  <c r="M387" i="60"/>
  <c r="O387" i="60" s="1"/>
  <c r="L387" i="60"/>
  <c r="K387" i="60"/>
  <c r="J387" i="60"/>
  <c r="N386" i="60"/>
  <c r="M386" i="60"/>
  <c r="O386" i="60" s="1"/>
  <c r="L386" i="60"/>
  <c r="K386" i="60"/>
  <c r="J386" i="60"/>
  <c r="N385" i="60"/>
  <c r="M385" i="60"/>
  <c r="L385" i="60"/>
  <c r="K385" i="60"/>
  <c r="J385" i="60"/>
  <c r="N384" i="60"/>
  <c r="M384" i="60"/>
  <c r="O384" i="60" s="1"/>
  <c r="L384" i="60"/>
  <c r="K384" i="60"/>
  <c r="J384" i="60"/>
  <c r="N383" i="60"/>
  <c r="M383" i="60"/>
  <c r="L383" i="60"/>
  <c r="K383" i="60"/>
  <c r="J383" i="60"/>
  <c r="N382" i="60"/>
  <c r="M382" i="60"/>
  <c r="O382" i="60" s="1"/>
  <c r="L382" i="60"/>
  <c r="K382" i="60"/>
  <c r="J382" i="60"/>
  <c r="N381" i="60"/>
  <c r="M381" i="60"/>
  <c r="L381" i="60"/>
  <c r="K381" i="60"/>
  <c r="J381" i="60"/>
  <c r="N380" i="60"/>
  <c r="M380" i="60"/>
  <c r="L380" i="60"/>
  <c r="K380" i="60"/>
  <c r="J380" i="60"/>
  <c r="N379" i="60"/>
  <c r="M379" i="60"/>
  <c r="O379" i="60" s="1"/>
  <c r="L379" i="60"/>
  <c r="K379" i="60"/>
  <c r="J379" i="60"/>
  <c r="N378" i="60"/>
  <c r="M378" i="60"/>
  <c r="O378" i="60" s="1"/>
  <c r="L378" i="60"/>
  <c r="K378" i="60"/>
  <c r="J378" i="60"/>
  <c r="N377" i="60"/>
  <c r="M377" i="60"/>
  <c r="L377" i="60"/>
  <c r="K377" i="60"/>
  <c r="J377" i="60"/>
  <c r="N376" i="60"/>
  <c r="M376" i="60"/>
  <c r="O376" i="60" s="1"/>
  <c r="L376" i="60"/>
  <c r="K376" i="60"/>
  <c r="J376" i="60"/>
  <c r="N375" i="60"/>
  <c r="M375" i="60"/>
  <c r="L375" i="60"/>
  <c r="K375" i="60"/>
  <c r="J375" i="60"/>
  <c r="N374" i="60"/>
  <c r="M374" i="60"/>
  <c r="O374" i="60" s="1"/>
  <c r="L374" i="60"/>
  <c r="K374" i="60"/>
  <c r="J374" i="60"/>
  <c r="N373" i="60"/>
  <c r="M373" i="60"/>
  <c r="L373" i="60"/>
  <c r="K373" i="60"/>
  <c r="J373" i="60"/>
  <c r="N372" i="60"/>
  <c r="M372" i="60"/>
  <c r="L372" i="60"/>
  <c r="K372" i="60"/>
  <c r="J372" i="60"/>
  <c r="N371" i="60"/>
  <c r="M371" i="60"/>
  <c r="O371" i="60" s="1"/>
  <c r="L371" i="60"/>
  <c r="K371" i="60"/>
  <c r="J371" i="60"/>
  <c r="N370" i="60"/>
  <c r="M370" i="60"/>
  <c r="O370" i="60" s="1"/>
  <c r="L370" i="60"/>
  <c r="K370" i="60"/>
  <c r="J370" i="60"/>
  <c r="N369" i="60"/>
  <c r="M369" i="60"/>
  <c r="L369" i="60"/>
  <c r="K369" i="60"/>
  <c r="J369" i="60"/>
  <c r="N368" i="60"/>
  <c r="M368" i="60"/>
  <c r="O368" i="60" s="1"/>
  <c r="L368" i="60"/>
  <c r="K368" i="60"/>
  <c r="J368" i="60"/>
  <c r="N367" i="60"/>
  <c r="M367" i="60"/>
  <c r="L367" i="60"/>
  <c r="K367" i="60"/>
  <c r="J367" i="60"/>
  <c r="N366" i="60"/>
  <c r="M366" i="60"/>
  <c r="O366" i="60" s="1"/>
  <c r="L366" i="60"/>
  <c r="K366" i="60"/>
  <c r="J366" i="60"/>
  <c r="N365" i="60"/>
  <c r="M365" i="60"/>
  <c r="L365" i="60"/>
  <c r="K365" i="60"/>
  <c r="J365" i="60"/>
  <c r="N364" i="60"/>
  <c r="M364" i="60"/>
  <c r="L364" i="60"/>
  <c r="K364" i="60"/>
  <c r="J364" i="60"/>
  <c r="N363" i="60"/>
  <c r="M363" i="60"/>
  <c r="O363" i="60" s="1"/>
  <c r="L363" i="60"/>
  <c r="K363" i="60"/>
  <c r="J363" i="60"/>
  <c r="N362" i="60"/>
  <c r="M362" i="60"/>
  <c r="L362" i="60"/>
  <c r="K362" i="60"/>
  <c r="J362" i="60"/>
  <c r="N361" i="60"/>
  <c r="M361" i="60"/>
  <c r="L361" i="60"/>
  <c r="K361" i="60"/>
  <c r="J361" i="60"/>
  <c r="N360" i="60"/>
  <c r="M360" i="60"/>
  <c r="O360" i="60" s="1"/>
  <c r="L360" i="60"/>
  <c r="K360" i="60"/>
  <c r="J360" i="60"/>
  <c r="N359" i="60"/>
  <c r="M359" i="60"/>
  <c r="L359" i="60"/>
  <c r="K359" i="60"/>
  <c r="J359" i="60"/>
  <c r="N358" i="60"/>
  <c r="M358" i="60"/>
  <c r="O358" i="60" s="1"/>
  <c r="L358" i="60"/>
  <c r="K358" i="60"/>
  <c r="J358" i="60"/>
  <c r="N357" i="60"/>
  <c r="M357" i="60"/>
  <c r="L357" i="60"/>
  <c r="K357" i="60"/>
  <c r="J357" i="60"/>
  <c r="N356" i="60"/>
  <c r="M356" i="60"/>
  <c r="L356" i="60"/>
  <c r="K356" i="60"/>
  <c r="J356" i="60"/>
  <c r="N355" i="60"/>
  <c r="M355" i="60"/>
  <c r="O355" i="60" s="1"/>
  <c r="L355" i="60"/>
  <c r="K355" i="60"/>
  <c r="J355" i="60"/>
  <c r="N354" i="60"/>
  <c r="M354" i="60"/>
  <c r="L354" i="60"/>
  <c r="K354" i="60"/>
  <c r="J354" i="60"/>
  <c r="N353" i="60"/>
  <c r="M353" i="60"/>
  <c r="L353" i="60"/>
  <c r="K353" i="60"/>
  <c r="J353" i="60"/>
  <c r="N352" i="60"/>
  <c r="M352" i="60"/>
  <c r="O352" i="60" s="1"/>
  <c r="L352" i="60"/>
  <c r="K352" i="60"/>
  <c r="J352" i="60"/>
  <c r="N351" i="60"/>
  <c r="M351" i="60"/>
  <c r="L351" i="60"/>
  <c r="K351" i="60"/>
  <c r="J351" i="60"/>
  <c r="N350" i="60"/>
  <c r="M350" i="60"/>
  <c r="O350" i="60" s="1"/>
  <c r="L350" i="60"/>
  <c r="K350" i="60"/>
  <c r="J350" i="60"/>
  <c r="N349" i="60"/>
  <c r="M349" i="60"/>
  <c r="L349" i="60"/>
  <c r="K349" i="60"/>
  <c r="J349" i="60"/>
  <c r="N348" i="60"/>
  <c r="M348" i="60"/>
  <c r="L348" i="60"/>
  <c r="K348" i="60"/>
  <c r="J348" i="60"/>
  <c r="N347" i="60"/>
  <c r="M347" i="60"/>
  <c r="L347" i="60"/>
  <c r="K347" i="60"/>
  <c r="J347" i="60"/>
  <c r="N346" i="60"/>
  <c r="M346" i="60"/>
  <c r="L346" i="60"/>
  <c r="K346" i="60"/>
  <c r="J346" i="60"/>
  <c r="N345" i="60"/>
  <c r="M345" i="60"/>
  <c r="L345" i="60"/>
  <c r="K345" i="60"/>
  <c r="J345" i="60"/>
  <c r="N344" i="60"/>
  <c r="M344" i="60"/>
  <c r="O344" i="60" s="1"/>
  <c r="L344" i="60"/>
  <c r="K344" i="60"/>
  <c r="J344" i="60"/>
  <c r="N343" i="60"/>
  <c r="M343" i="60"/>
  <c r="L343" i="60"/>
  <c r="K343" i="60"/>
  <c r="J343" i="60"/>
  <c r="N342" i="60"/>
  <c r="M342" i="60"/>
  <c r="O342" i="60" s="1"/>
  <c r="L342" i="60"/>
  <c r="K342" i="60"/>
  <c r="J342" i="60"/>
  <c r="N341" i="60"/>
  <c r="M341" i="60"/>
  <c r="L341" i="60"/>
  <c r="K341" i="60"/>
  <c r="J341" i="60"/>
  <c r="N340" i="60"/>
  <c r="M340" i="60"/>
  <c r="L340" i="60"/>
  <c r="K340" i="60"/>
  <c r="J340" i="60"/>
  <c r="N339" i="60"/>
  <c r="M339" i="60"/>
  <c r="L339" i="60"/>
  <c r="K339" i="60"/>
  <c r="J339" i="60"/>
  <c r="N338" i="60"/>
  <c r="M338" i="60"/>
  <c r="L338" i="60"/>
  <c r="K338" i="60"/>
  <c r="J338" i="60"/>
  <c r="N337" i="60"/>
  <c r="M337" i="60"/>
  <c r="L337" i="60"/>
  <c r="K337" i="60"/>
  <c r="J337" i="60"/>
  <c r="N336" i="60"/>
  <c r="M336" i="60"/>
  <c r="O336" i="60" s="1"/>
  <c r="L336" i="60"/>
  <c r="K336" i="60"/>
  <c r="J336" i="60"/>
  <c r="N335" i="60"/>
  <c r="M335" i="60"/>
  <c r="L335" i="60"/>
  <c r="K335" i="60"/>
  <c r="J335" i="60"/>
  <c r="N334" i="60"/>
  <c r="M334" i="60"/>
  <c r="O334" i="60" s="1"/>
  <c r="L334" i="60"/>
  <c r="K334" i="60"/>
  <c r="J334" i="60"/>
  <c r="N333" i="60"/>
  <c r="M333" i="60"/>
  <c r="O333" i="60" s="1"/>
  <c r="L333" i="60"/>
  <c r="K333" i="60"/>
  <c r="J333" i="60"/>
  <c r="N332" i="60"/>
  <c r="M332" i="60"/>
  <c r="L332" i="60"/>
  <c r="K332" i="60"/>
  <c r="J332" i="60"/>
  <c r="N331" i="60"/>
  <c r="M331" i="60"/>
  <c r="L331" i="60"/>
  <c r="K331" i="60"/>
  <c r="J331" i="60"/>
  <c r="N330" i="60"/>
  <c r="M330" i="60"/>
  <c r="O330" i="60" s="1"/>
  <c r="L330" i="60"/>
  <c r="K330" i="60"/>
  <c r="J330" i="60"/>
  <c r="N329" i="60"/>
  <c r="M329" i="60"/>
  <c r="L329" i="60"/>
  <c r="K329" i="60"/>
  <c r="J329" i="60"/>
  <c r="N328" i="60"/>
  <c r="M328" i="60"/>
  <c r="O328" i="60" s="1"/>
  <c r="L328" i="60"/>
  <c r="K328" i="60"/>
  <c r="J328" i="60"/>
  <c r="N327" i="60"/>
  <c r="M327" i="60"/>
  <c r="L327" i="60"/>
  <c r="K327" i="60"/>
  <c r="J327" i="60"/>
  <c r="N326" i="60"/>
  <c r="M326" i="60"/>
  <c r="O326" i="60" s="1"/>
  <c r="L326" i="60"/>
  <c r="K326" i="60"/>
  <c r="J326" i="60"/>
  <c r="N325" i="60"/>
  <c r="M325" i="60"/>
  <c r="O325" i="60" s="1"/>
  <c r="L325" i="60"/>
  <c r="K325" i="60"/>
  <c r="J325" i="60"/>
  <c r="N324" i="60"/>
  <c r="M324" i="60"/>
  <c r="L324" i="60"/>
  <c r="K324" i="60"/>
  <c r="J324" i="60"/>
  <c r="N323" i="60"/>
  <c r="M323" i="60"/>
  <c r="L323" i="60"/>
  <c r="K323" i="60"/>
  <c r="J323" i="60"/>
  <c r="N322" i="60"/>
  <c r="M322" i="60"/>
  <c r="L322" i="60"/>
  <c r="K322" i="60"/>
  <c r="J322" i="60"/>
  <c r="N321" i="60"/>
  <c r="M321" i="60"/>
  <c r="L321" i="60"/>
  <c r="K321" i="60"/>
  <c r="J321" i="60"/>
  <c r="N320" i="60"/>
  <c r="M320" i="60"/>
  <c r="O320" i="60" s="1"/>
  <c r="L320" i="60"/>
  <c r="K320" i="60"/>
  <c r="J320" i="60"/>
  <c r="N319" i="60"/>
  <c r="M319" i="60"/>
  <c r="L319" i="60"/>
  <c r="K319" i="60"/>
  <c r="J319" i="60"/>
  <c r="N318" i="60"/>
  <c r="M318" i="60"/>
  <c r="O318" i="60" s="1"/>
  <c r="L318" i="60"/>
  <c r="K318" i="60"/>
  <c r="J318" i="60"/>
  <c r="N317" i="60"/>
  <c r="M317" i="60"/>
  <c r="O317" i="60" s="1"/>
  <c r="L317" i="60"/>
  <c r="K317" i="60"/>
  <c r="J317" i="60"/>
  <c r="N316" i="60"/>
  <c r="M316" i="60"/>
  <c r="L316" i="60"/>
  <c r="K316" i="60"/>
  <c r="J316" i="60"/>
  <c r="N315" i="60"/>
  <c r="M315" i="60"/>
  <c r="L315" i="60"/>
  <c r="K315" i="60"/>
  <c r="J315" i="60"/>
  <c r="N314" i="60"/>
  <c r="M314" i="60"/>
  <c r="O314" i="60" s="1"/>
  <c r="L314" i="60"/>
  <c r="K314" i="60"/>
  <c r="J314" i="60"/>
  <c r="N313" i="60"/>
  <c r="M313" i="60"/>
  <c r="L313" i="60"/>
  <c r="K313" i="60"/>
  <c r="J313" i="60"/>
  <c r="N312" i="60"/>
  <c r="M312" i="60"/>
  <c r="O312" i="60" s="1"/>
  <c r="L312" i="60"/>
  <c r="K312" i="60"/>
  <c r="J312" i="60"/>
  <c r="N311" i="60"/>
  <c r="M311" i="60"/>
  <c r="L311" i="60"/>
  <c r="K311" i="60"/>
  <c r="J311" i="60"/>
  <c r="N310" i="60"/>
  <c r="M310" i="60"/>
  <c r="O310" i="60" s="1"/>
  <c r="L310" i="60"/>
  <c r="K310" i="60"/>
  <c r="J310" i="60"/>
  <c r="N309" i="60"/>
  <c r="M309" i="60"/>
  <c r="O309" i="60" s="1"/>
  <c r="L309" i="60"/>
  <c r="K309" i="60"/>
  <c r="J309" i="60"/>
  <c r="N308" i="60"/>
  <c r="M308" i="60"/>
  <c r="L308" i="60"/>
  <c r="K308" i="60"/>
  <c r="J308" i="60"/>
  <c r="N307" i="60"/>
  <c r="M307" i="60"/>
  <c r="L307" i="60"/>
  <c r="K307" i="60"/>
  <c r="J307" i="60"/>
  <c r="N306" i="60"/>
  <c r="M306" i="60"/>
  <c r="O306" i="60" s="1"/>
  <c r="P306" i="60" s="1"/>
  <c r="L306" i="60"/>
  <c r="Q306" i="60" s="1"/>
  <c r="K306" i="60"/>
  <c r="J306" i="60"/>
  <c r="N305" i="60"/>
  <c r="M305" i="60"/>
  <c r="L305" i="60"/>
  <c r="K305" i="60"/>
  <c r="J305" i="60"/>
  <c r="N304" i="60"/>
  <c r="M304" i="60"/>
  <c r="O304" i="60" s="1"/>
  <c r="L304" i="60"/>
  <c r="K304" i="60"/>
  <c r="J304" i="60"/>
  <c r="N303" i="60"/>
  <c r="M303" i="60"/>
  <c r="L303" i="60"/>
  <c r="K303" i="60"/>
  <c r="J303" i="60"/>
  <c r="N302" i="60"/>
  <c r="M302" i="60"/>
  <c r="O302" i="60" s="1"/>
  <c r="L302" i="60"/>
  <c r="K302" i="60"/>
  <c r="J302" i="60"/>
  <c r="N301" i="60"/>
  <c r="M301" i="60"/>
  <c r="L301" i="60"/>
  <c r="K301" i="60"/>
  <c r="J301" i="60"/>
  <c r="N300" i="60"/>
  <c r="M300" i="60"/>
  <c r="L300" i="60"/>
  <c r="K300" i="60"/>
  <c r="J300" i="60"/>
  <c r="N299" i="60"/>
  <c r="M299" i="60"/>
  <c r="L299" i="60"/>
  <c r="K299" i="60"/>
  <c r="J299" i="60"/>
  <c r="N298" i="60"/>
  <c r="M298" i="60"/>
  <c r="O298" i="60" s="1"/>
  <c r="L298" i="60"/>
  <c r="K298" i="60"/>
  <c r="J298" i="60"/>
  <c r="N297" i="60"/>
  <c r="M297" i="60"/>
  <c r="L297" i="60"/>
  <c r="K297" i="60"/>
  <c r="J297" i="60"/>
  <c r="N296" i="60"/>
  <c r="M296" i="60"/>
  <c r="L296" i="60"/>
  <c r="K296" i="60"/>
  <c r="J296" i="60"/>
  <c r="N295" i="60"/>
  <c r="M295" i="60"/>
  <c r="L295" i="60"/>
  <c r="K295" i="60"/>
  <c r="J295" i="60"/>
  <c r="N294" i="60"/>
  <c r="M294" i="60"/>
  <c r="L294" i="60"/>
  <c r="K294" i="60"/>
  <c r="J294" i="60"/>
  <c r="N293" i="60"/>
  <c r="M293" i="60"/>
  <c r="L293" i="60"/>
  <c r="K293" i="60"/>
  <c r="J293" i="60"/>
  <c r="N292" i="60"/>
  <c r="M292" i="60"/>
  <c r="O292" i="60" s="1"/>
  <c r="P292" i="60" s="1"/>
  <c r="L292" i="60"/>
  <c r="Q292" i="60" s="1"/>
  <c r="K292" i="60"/>
  <c r="J292" i="60"/>
  <c r="N291" i="60"/>
  <c r="M291" i="60"/>
  <c r="O291" i="60" s="1"/>
  <c r="L291" i="60"/>
  <c r="K291" i="60"/>
  <c r="J291" i="60"/>
  <c r="N290" i="60"/>
  <c r="M290" i="60"/>
  <c r="O290" i="60" s="1"/>
  <c r="P290" i="60" s="1"/>
  <c r="L290" i="60"/>
  <c r="K290" i="60"/>
  <c r="J290" i="60"/>
  <c r="N289" i="60"/>
  <c r="M289" i="60"/>
  <c r="L289" i="60"/>
  <c r="K289" i="60"/>
  <c r="J289" i="60"/>
  <c r="N288" i="60"/>
  <c r="M288" i="60"/>
  <c r="L288" i="60"/>
  <c r="K288" i="60"/>
  <c r="J288" i="60"/>
  <c r="N287" i="60"/>
  <c r="M287" i="60"/>
  <c r="O287" i="60" s="1"/>
  <c r="P287" i="60" s="1"/>
  <c r="L287" i="60"/>
  <c r="Q287" i="60" s="1"/>
  <c r="K287" i="60"/>
  <c r="J287" i="60"/>
  <c r="N286" i="60"/>
  <c r="M286" i="60"/>
  <c r="L286" i="60"/>
  <c r="K286" i="60"/>
  <c r="J286" i="60"/>
  <c r="N285" i="60"/>
  <c r="M285" i="60"/>
  <c r="L285" i="60"/>
  <c r="K285" i="60"/>
  <c r="J285" i="60"/>
  <c r="N284" i="60"/>
  <c r="M284" i="60"/>
  <c r="O284" i="60" s="1"/>
  <c r="L284" i="60"/>
  <c r="K284" i="60"/>
  <c r="J284" i="60"/>
  <c r="N283" i="60"/>
  <c r="M283" i="60"/>
  <c r="O283" i="60" s="1"/>
  <c r="L283" i="60"/>
  <c r="K283" i="60"/>
  <c r="J283" i="60"/>
  <c r="N282" i="60"/>
  <c r="M282" i="60"/>
  <c r="O282" i="60" s="1"/>
  <c r="L282" i="60"/>
  <c r="K282" i="60"/>
  <c r="J282" i="60"/>
  <c r="N281" i="60"/>
  <c r="M281" i="60"/>
  <c r="L281" i="60"/>
  <c r="K281" i="60"/>
  <c r="J281" i="60"/>
  <c r="N280" i="60"/>
  <c r="M280" i="60"/>
  <c r="L280" i="60"/>
  <c r="K280" i="60"/>
  <c r="J280" i="60"/>
  <c r="N279" i="60"/>
  <c r="M279" i="60"/>
  <c r="O279" i="60" s="1"/>
  <c r="P279" i="60" s="1"/>
  <c r="L279" i="60"/>
  <c r="Q279" i="60" s="1"/>
  <c r="K279" i="60"/>
  <c r="J279" i="60"/>
  <c r="N278" i="60"/>
  <c r="M278" i="60"/>
  <c r="L278" i="60"/>
  <c r="K278" i="60"/>
  <c r="J278" i="60"/>
  <c r="N277" i="60"/>
  <c r="M277" i="60"/>
  <c r="L277" i="60"/>
  <c r="K277" i="60"/>
  <c r="J277" i="60"/>
  <c r="N276" i="60"/>
  <c r="M276" i="60"/>
  <c r="O276" i="60" s="1"/>
  <c r="L276" i="60"/>
  <c r="K276" i="60"/>
  <c r="J276" i="60"/>
  <c r="N275" i="60"/>
  <c r="M275" i="60"/>
  <c r="O275" i="60" s="1"/>
  <c r="L275" i="60"/>
  <c r="K275" i="60"/>
  <c r="J275" i="60"/>
  <c r="N274" i="60"/>
  <c r="M274" i="60"/>
  <c r="O274" i="60" s="1"/>
  <c r="L274" i="60"/>
  <c r="K274" i="60"/>
  <c r="J274" i="60"/>
  <c r="N273" i="60"/>
  <c r="M273" i="60"/>
  <c r="L273" i="60"/>
  <c r="K273" i="60"/>
  <c r="J273" i="60"/>
  <c r="N272" i="60"/>
  <c r="M272" i="60"/>
  <c r="L272" i="60"/>
  <c r="K272" i="60"/>
  <c r="J272" i="60"/>
  <c r="N271" i="60"/>
  <c r="M271" i="60"/>
  <c r="O271" i="60" s="1"/>
  <c r="L271" i="60"/>
  <c r="K271" i="60"/>
  <c r="J271" i="60"/>
  <c r="N270" i="60"/>
  <c r="M270" i="60"/>
  <c r="L270" i="60"/>
  <c r="K270" i="60"/>
  <c r="J270" i="60"/>
  <c r="N269" i="60"/>
  <c r="M269" i="60"/>
  <c r="L269" i="60"/>
  <c r="K269" i="60"/>
  <c r="J269" i="60"/>
  <c r="N268" i="60"/>
  <c r="M268" i="60"/>
  <c r="O268" i="60" s="1"/>
  <c r="L268" i="60"/>
  <c r="K268" i="60"/>
  <c r="J268" i="60"/>
  <c r="N267" i="60"/>
  <c r="M267" i="60"/>
  <c r="O267" i="60" s="1"/>
  <c r="L267" i="60"/>
  <c r="K267" i="60"/>
  <c r="J267" i="60"/>
  <c r="N266" i="60"/>
  <c r="M266" i="60"/>
  <c r="O266" i="60" s="1"/>
  <c r="L266" i="60"/>
  <c r="K266" i="60"/>
  <c r="J266" i="60"/>
  <c r="N265" i="60"/>
  <c r="M265" i="60"/>
  <c r="L265" i="60"/>
  <c r="K265" i="60"/>
  <c r="J265" i="60"/>
  <c r="N264" i="60"/>
  <c r="M264" i="60"/>
  <c r="O264" i="60" s="1"/>
  <c r="L264" i="60"/>
  <c r="K264" i="60"/>
  <c r="J264" i="60"/>
  <c r="N263" i="60"/>
  <c r="M263" i="60"/>
  <c r="O263" i="60" s="1"/>
  <c r="L263" i="60"/>
  <c r="K263" i="60"/>
  <c r="J263" i="60"/>
  <c r="N262" i="60"/>
  <c r="M262" i="60"/>
  <c r="L262" i="60"/>
  <c r="K262" i="60"/>
  <c r="J262" i="60"/>
  <c r="N261" i="60"/>
  <c r="M261" i="60"/>
  <c r="L261" i="60"/>
  <c r="K261" i="60"/>
  <c r="J261" i="60"/>
  <c r="N260" i="60"/>
  <c r="M260" i="60"/>
  <c r="O260" i="60" s="1"/>
  <c r="L260" i="60"/>
  <c r="K260" i="60"/>
  <c r="J260" i="60"/>
  <c r="N259" i="60"/>
  <c r="M259" i="60"/>
  <c r="O259" i="60" s="1"/>
  <c r="L259" i="60"/>
  <c r="K259" i="60"/>
  <c r="J259" i="60"/>
  <c r="N258" i="60"/>
  <c r="M258" i="60"/>
  <c r="O258" i="60" s="1"/>
  <c r="L258" i="60"/>
  <c r="K258" i="60"/>
  <c r="J258" i="60"/>
  <c r="N257" i="60"/>
  <c r="M257" i="60"/>
  <c r="L257" i="60"/>
  <c r="K257" i="60"/>
  <c r="J257" i="60"/>
  <c r="N256" i="60"/>
  <c r="M256" i="60"/>
  <c r="O256" i="60" s="1"/>
  <c r="L256" i="60"/>
  <c r="K256" i="60"/>
  <c r="J256" i="60"/>
  <c r="N255" i="60"/>
  <c r="M255" i="60"/>
  <c r="O255" i="60" s="1"/>
  <c r="L255" i="60"/>
  <c r="K255" i="60"/>
  <c r="J255" i="60"/>
  <c r="N254" i="60"/>
  <c r="M254" i="60"/>
  <c r="L254" i="60"/>
  <c r="K254" i="60"/>
  <c r="J254" i="60"/>
  <c r="N253" i="60"/>
  <c r="M253" i="60"/>
  <c r="L253" i="60"/>
  <c r="K253" i="60"/>
  <c r="J253" i="60"/>
  <c r="N252" i="60"/>
  <c r="M252" i="60"/>
  <c r="O252" i="60" s="1"/>
  <c r="L252" i="60"/>
  <c r="K252" i="60"/>
  <c r="J252" i="60"/>
  <c r="N251" i="60"/>
  <c r="M251" i="60"/>
  <c r="O251" i="60" s="1"/>
  <c r="L251" i="60"/>
  <c r="K251" i="60"/>
  <c r="J251" i="60"/>
  <c r="N250" i="60"/>
  <c r="M250" i="60"/>
  <c r="O250" i="60" s="1"/>
  <c r="L250" i="60"/>
  <c r="K250" i="60"/>
  <c r="J250" i="60"/>
  <c r="N249" i="60"/>
  <c r="M249" i="60"/>
  <c r="L249" i="60"/>
  <c r="K249" i="60"/>
  <c r="J249" i="60"/>
  <c r="N248" i="60"/>
  <c r="M248" i="60"/>
  <c r="L248" i="60"/>
  <c r="K248" i="60"/>
  <c r="J248" i="60"/>
  <c r="N247" i="60"/>
  <c r="M247" i="60"/>
  <c r="O247" i="60" s="1"/>
  <c r="L247" i="60"/>
  <c r="K247" i="60"/>
  <c r="J247" i="60"/>
  <c r="N246" i="60"/>
  <c r="M246" i="60"/>
  <c r="L246" i="60"/>
  <c r="K246" i="60"/>
  <c r="J246" i="60"/>
  <c r="N245" i="60"/>
  <c r="M245" i="60"/>
  <c r="L245" i="60"/>
  <c r="K245" i="60"/>
  <c r="J245" i="60"/>
  <c r="N244" i="60"/>
  <c r="M244" i="60"/>
  <c r="O244" i="60" s="1"/>
  <c r="L244" i="60"/>
  <c r="K244" i="60"/>
  <c r="J244" i="60"/>
  <c r="N243" i="60"/>
  <c r="M243" i="60"/>
  <c r="O243" i="60" s="1"/>
  <c r="L243" i="60"/>
  <c r="K243" i="60"/>
  <c r="J243" i="60"/>
  <c r="N242" i="60"/>
  <c r="M242" i="60"/>
  <c r="O242" i="60" s="1"/>
  <c r="L242" i="60"/>
  <c r="K242" i="60"/>
  <c r="J242" i="60"/>
  <c r="N241" i="60"/>
  <c r="M241" i="60"/>
  <c r="L241" i="60"/>
  <c r="K241" i="60"/>
  <c r="J241" i="60"/>
  <c r="N240" i="60"/>
  <c r="M240" i="60"/>
  <c r="L240" i="60"/>
  <c r="K240" i="60"/>
  <c r="J240" i="60"/>
  <c r="N239" i="60"/>
  <c r="M239" i="60"/>
  <c r="O239" i="60" s="1"/>
  <c r="L239" i="60"/>
  <c r="K239" i="60"/>
  <c r="J239" i="60"/>
  <c r="N238" i="60"/>
  <c r="M238" i="60"/>
  <c r="L238" i="60"/>
  <c r="K238" i="60"/>
  <c r="J238" i="60"/>
  <c r="N237" i="60"/>
  <c r="M237" i="60"/>
  <c r="L237" i="60"/>
  <c r="K237" i="60"/>
  <c r="J237" i="60"/>
  <c r="N236" i="60"/>
  <c r="M236" i="60"/>
  <c r="O236" i="60" s="1"/>
  <c r="L236" i="60"/>
  <c r="K236" i="60"/>
  <c r="J236" i="60"/>
  <c r="N235" i="60"/>
  <c r="M235" i="60"/>
  <c r="O235" i="60" s="1"/>
  <c r="L235" i="60"/>
  <c r="K235" i="60"/>
  <c r="J235" i="60"/>
  <c r="N234" i="60"/>
  <c r="M234" i="60"/>
  <c r="O234" i="60" s="1"/>
  <c r="L234" i="60"/>
  <c r="K234" i="60"/>
  <c r="J234" i="60"/>
  <c r="N233" i="60"/>
  <c r="M233" i="60"/>
  <c r="L233" i="60"/>
  <c r="K233" i="60"/>
  <c r="J233" i="60"/>
  <c r="N232" i="60"/>
  <c r="M232" i="60"/>
  <c r="L232" i="60"/>
  <c r="K232" i="60"/>
  <c r="J232" i="60"/>
  <c r="N231" i="60"/>
  <c r="M231" i="60"/>
  <c r="O231" i="60" s="1"/>
  <c r="P231" i="60" s="1"/>
  <c r="L231" i="60"/>
  <c r="Q231" i="60" s="1"/>
  <c r="K231" i="60"/>
  <c r="J231" i="60"/>
  <c r="N230" i="60"/>
  <c r="M230" i="60"/>
  <c r="L230" i="60"/>
  <c r="K230" i="60"/>
  <c r="J230" i="60"/>
  <c r="N229" i="60"/>
  <c r="M229" i="60"/>
  <c r="L229" i="60"/>
  <c r="K229" i="60"/>
  <c r="J229" i="60"/>
  <c r="N228" i="60"/>
  <c r="M228" i="60"/>
  <c r="O228" i="60" s="1"/>
  <c r="L228" i="60"/>
  <c r="K228" i="60"/>
  <c r="J228" i="60"/>
  <c r="N227" i="60"/>
  <c r="M227" i="60"/>
  <c r="O227" i="60" s="1"/>
  <c r="L227" i="60"/>
  <c r="K227" i="60"/>
  <c r="J227" i="60"/>
  <c r="N226" i="60"/>
  <c r="M226" i="60"/>
  <c r="O226" i="60" s="1"/>
  <c r="L226" i="60"/>
  <c r="K226" i="60"/>
  <c r="J226" i="60"/>
  <c r="N225" i="60"/>
  <c r="M225" i="60"/>
  <c r="L225" i="60"/>
  <c r="K225" i="60"/>
  <c r="J225" i="60"/>
  <c r="N224" i="60"/>
  <c r="M224" i="60"/>
  <c r="L224" i="60"/>
  <c r="K224" i="60"/>
  <c r="J224" i="60"/>
  <c r="N223" i="60"/>
  <c r="M223" i="60"/>
  <c r="O223" i="60" s="1"/>
  <c r="L223" i="60"/>
  <c r="K223" i="60"/>
  <c r="J223" i="60"/>
  <c r="N222" i="60"/>
  <c r="M222" i="60"/>
  <c r="L222" i="60"/>
  <c r="K222" i="60"/>
  <c r="J222" i="60"/>
  <c r="N221" i="60"/>
  <c r="M221" i="60"/>
  <c r="L221" i="60"/>
  <c r="K221" i="60"/>
  <c r="J221" i="60"/>
  <c r="N220" i="60"/>
  <c r="M220" i="60"/>
  <c r="O220" i="60" s="1"/>
  <c r="L220" i="60"/>
  <c r="K220" i="60"/>
  <c r="J220" i="60"/>
  <c r="N219" i="60"/>
  <c r="M219" i="60"/>
  <c r="O219" i="60" s="1"/>
  <c r="L219" i="60"/>
  <c r="K219" i="60"/>
  <c r="J219" i="60"/>
  <c r="N218" i="60"/>
  <c r="M218" i="60"/>
  <c r="O218" i="60" s="1"/>
  <c r="L218" i="60"/>
  <c r="K218" i="60"/>
  <c r="J218" i="60"/>
  <c r="N217" i="60"/>
  <c r="M217" i="60"/>
  <c r="L217" i="60"/>
  <c r="K217" i="60"/>
  <c r="J217" i="60"/>
  <c r="N216" i="60"/>
  <c r="M216" i="60"/>
  <c r="L216" i="60"/>
  <c r="K216" i="60"/>
  <c r="J216" i="60"/>
  <c r="N215" i="60"/>
  <c r="M215" i="60"/>
  <c r="O215" i="60" s="1"/>
  <c r="P215" i="60" s="1"/>
  <c r="L215" i="60"/>
  <c r="Q215" i="60" s="1"/>
  <c r="K215" i="60"/>
  <c r="J215" i="60"/>
  <c r="N214" i="60"/>
  <c r="M214" i="60"/>
  <c r="L214" i="60"/>
  <c r="K214" i="60"/>
  <c r="J214" i="60"/>
  <c r="N213" i="60"/>
  <c r="M213" i="60"/>
  <c r="L213" i="60"/>
  <c r="K213" i="60"/>
  <c r="J213" i="60"/>
  <c r="N212" i="60"/>
  <c r="M212" i="60"/>
  <c r="O212" i="60" s="1"/>
  <c r="L212" i="60"/>
  <c r="K212" i="60"/>
  <c r="J212" i="60"/>
  <c r="N211" i="60"/>
  <c r="M211" i="60"/>
  <c r="O211" i="60" s="1"/>
  <c r="L211" i="60"/>
  <c r="K211" i="60"/>
  <c r="J211" i="60"/>
  <c r="N210" i="60"/>
  <c r="M210" i="60"/>
  <c r="O210" i="60" s="1"/>
  <c r="L210" i="60"/>
  <c r="K210" i="60"/>
  <c r="J210" i="60"/>
  <c r="N209" i="60"/>
  <c r="M209" i="60"/>
  <c r="L209" i="60"/>
  <c r="K209" i="60"/>
  <c r="J209" i="60"/>
  <c r="N208" i="60"/>
  <c r="M208" i="60"/>
  <c r="L208" i="60"/>
  <c r="K208" i="60"/>
  <c r="J208" i="60"/>
  <c r="N207" i="60"/>
  <c r="M207" i="60"/>
  <c r="O207" i="60" s="1"/>
  <c r="L207" i="60"/>
  <c r="K207" i="60"/>
  <c r="J207" i="60"/>
  <c r="N206" i="60"/>
  <c r="M206" i="60"/>
  <c r="L206" i="60"/>
  <c r="K206" i="60"/>
  <c r="J206" i="60"/>
  <c r="N205" i="60"/>
  <c r="M205" i="60"/>
  <c r="L205" i="60"/>
  <c r="K205" i="60"/>
  <c r="J205" i="60"/>
  <c r="N204" i="60"/>
  <c r="M204" i="60"/>
  <c r="O204" i="60" s="1"/>
  <c r="L204" i="60"/>
  <c r="K204" i="60"/>
  <c r="J204" i="60"/>
  <c r="N203" i="60"/>
  <c r="M203" i="60"/>
  <c r="O203" i="60" s="1"/>
  <c r="P203" i="60" s="1"/>
  <c r="L203" i="60"/>
  <c r="K203" i="60"/>
  <c r="J203" i="60"/>
  <c r="N202" i="60"/>
  <c r="M202" i="60"/>
  <c r="O202" i="60" s="1"/>
  <c r="P202" i="60" s="1"/>
  <c r="L202" i="60"/>
  <c r="K202" i="60"/>
  <c r="J202" i="60"/>
  <c r="N201" i="60"/>
  <c r="M201" i="60"/>
  <c r="L201" i="60"/>
  <c r="K201" i="60"/>
  <c r="J201" i="60"/>
  <c r="N200" i="60"/>
  <c r="M200" i="60"/>
  <c r="O200" i="60" s="1"/>
  <c r="L200" i="60"/>
  <c r="K200" i="60"/>
  <c r="J200" i="60"/>
  <c r="N199" i="60"/>
  <c r="M199" i="60"/>
  <c r="O199" i="60" s="1"/>
  <c r="L199" i="60"/>
  <c r="K199" i="60"/>
  <c r="J199" i="60"/>
  <c r="N198" i="60"/>
  <c r="M198" i="60"/>
  <c r="L198" i="60"/>
  <c r="K198" i="60"/>
  <c r="J198" i="60"/>
  <c r="N197" i="60"/>
  <c r="M197" i="60"/>
  <c r="L197" i="60"/>
  <c r="K197" i="60"/>
  <c r="J197" i="60"/>
  <c r="N196" i="60"/>
  <c r="M196" i="60"/>
  <c r="O196" i="60" s="1"/>
  <c r="L196" i="60"/>
  <c r="K196" i="60"/>
  <c r="J196" i="60"/>
  <c r="N195" i="60"/>
  <c r="M195" i="60"/>
  <c r="O195" i="60" s="1"/>
  <c r="L195" i="60"/>
  <c r="K195" i="60"/>
  <c r="J195" i="60"/>
  <c r="N194" i="60"/>
  <c r="M194" i="60"/>
  <c r="O194" i="60" s="1"/>
  <c r="L194" i="60"/>
  <c r="K194" i="60"/>
  <c r="J194" i="60"/>
  <c r="N193" i="60"/>
  <c r="M193" i="60"/>
  <c r="L193" i="60"/>
  <c r="K193" i="60"/>
  <c r="J193" i="60"/>
  <c r="N192" i="60"/>
  <c r="M192" i="60"/>
  <c r="O192" i="60" s="1"/>
  <c r="L192" i="60"/>
  <c r="K192" i="60"/>
  <c r="J192" i="60"/>
  <c r="N191" i="60"/>
  <c r="M191" i="60"/>
  <c r="O191" i="60" s="1"/>
  <c r="L191" i="60"/>
  <c r="K191" i="60"/>
  <c r="J191" i="60"/>
  <c r="N190" i="60"/>
  <c r="M190" i="60"/>
  <c r="L190" i="60"/>
  <c r="K190" i="60"/>
  <c r="J190" i="60"/>
  <c r="N189" i="60"/>
  <c r="M189" i="60"/>
  <c r="L189" i="60"/>
  <c r="K189" i="60"/>
  <c r="J189" i="60"/>
  <c r="N188" i="60"/>
  <c r="M188" i="60"/>
  <c r="O188" i="60" s="1"/>
  <c r="L188" i="60"/>
  <c r="K188" i="60"/>
  <c r="J188" i="60"/>
  <c r="N187" i="60"/>
  <c r="M187" i="60"/>
  <c r="O187" i="60" s="1"/>
  <c r="L187" i="60"/>
  <c r="K187" i="60"/>
  <c r="J187" i="60"/>
  <c r="N186" i="60"/>
  <c r="M186" i="60"/>
  <c r="O186" i="60" s="1"/>
  <c r="L186" i="60"/>
  <c r="K186" i="60"/>
  <c r="J186" i="60"/>
  <c r="N185" i="60"/>
  <c r="M185" i="60"/>
  <c r="L185" i="60"/>
  <c r="K185" i="60"/>
  <c r="J185" i="60"/>
  <c r="N184" i="60"/>
  <c r="M184" i="60"/>
  <c r="O184" i="60" s="1"/>
  <c r="L184" i="60"/>
  <c r="K184" i="60"/>
  <c r="J184" i="60"/>
  <c r="N183" i="60"/>
  <c r="M183" i="60"/>
  <c r="O183" i="60" s="1"/>
  <c r="P183" i="60" s="1"/>
  <c r="L183" i="60"/>
  <c r="Q183" i="60" s="1"/>
  <c r="K183" i="60"/>
  <c r="J183" i="60"/>
  <c r="N182" i="60"/>
  <c r="M182" i="60"/>
  <c r="L182" i="60"/>
  <c r="K182" i="60"/>
  <c r="J182" i="60"/>
  <c r="N181" i="60"/>
  <c r="M181" i="60"/>
  <c r="L181" i="60"/>
  <c r="K181" i="60"/>
  <c r="J181" i="60"/>
  <c r="N180" i="60"/>
  <c r="M180" i="60"/>
  <c r="O180" i="60" s="1"/>
  <c r="L180" i="60"/>
  <c r="K180" i="60"/>
  <c r="J180" i="60"/>
  <c r="N179" i="60"/>
  <c r="M179" i="60"/>
  <c r="O179" i="60" s="1"/>
  <c r="L179" i="60"/>
  <c r="K179" i="60"/>
  <c r="J179" i="60"/>
  <c r="N178" i="60"/>
  <c r="M178" i="60"/>
  <c r="O178" i="60" s="1"/>
  <c r="P178" i="60" s="1"/>
  <c r="L178" i="60"/>
  <c r="K178" i="60"/>
  <c r="J178" i="60"/>
  <c r="N177" i="60"/>
  <c r="M177" i="60"/>
  <c r="L177" i="60"/>
  <c r="K177" i="60"/>
  <c r="J177" i="60"/>
  <c r="N176" i="60"/>
  <c r="M176" i="60"/>
  <c r="O176" i="60" s="1"/>
  <c r="L176" i="60"/>
  <c r="K176" i="60"/>
  <c r="J176" i="60"/>
  <c r="N175" i="60"/>
  <c r="M175" i="60"/>
  <c r="O175" i="60" s="1"/>
  <c r="L175" i="60"/>
  <c r="K175" i="60"/>
  <c r="J175" i="60"/>
  <c r="N174" i="60"/>
  <c r="M174" i="60"/>
  <c r="L174" i="60"/>
  <c r="K174" i="60"/>
  <c r="J174" i="60"/>
  <c r="N173" i="60"/>
  <c r="M173" i="60"/>
  <c r="L173" i="60"/>
  <c r="K173" i="60"/>
  <c r="J173" i="60"/>
  <c r="N172" i="60"/>
  <c r="M172" i="60"/>
  <c r="O172" i="60" s="1"/>
  <c r="L172" i="60"/>
  <c r="K172" i="60"/>
  <c r="J172" i="60"/>
  <c r="N171" i="60"/>
  <c r="M171" i="60"/>
  <c r="O171" i="60" s="1"/>
  <c r="L171" i="60"/>
  <c r="K171" i="60"/>
  <c r="J171" i="60"/>
  <c r="N170" i="60"/>
  <c r="M170" i="60"/>
  <c r="O170" i="60" s="1"/>
  <c r="L170" i="60"/>
  <c r="K170" i="60"/>
  <c r="J170" i="60"/>
  <c r="N169" i="60"/>
  <c r="M169" i="60"/>
  <c r="L169" i="60"/>
  <c r="K169" i="60"/>
  <c r="J169" i="60"/>
  <c r="N168" i="60"/>
  <c r="M168" i="60"/>
  <c r="O168" i="60" s="1"/>
  <c r="L168" i="60"/>
  <c r="K168" i="60"/>
  <c r="J168" i="60"/>
  <c r="N167" i="60"/>
  <c r="M167" i="60"/>
  <c r="O167" i="60" s="1"/>
  <c r="L167" i="60"/>
  <c r="K167" i="60"/>
  <c r="J167" i="60"/>
  <c r="N166" i="60"/>
  <c r="M166" i="60"/>
  <c r="L166" i="60"/>
  <c r="K166" i="60"/>
  <c r="J166" i="60"/>
  <c r="N165" i="60"/>
  <c r="M165" i="60"/>
  <c r="L165" i="60"/>
  <c r="K165" i="60"/>
  <c r="J165" i="60"/>
  <c r="N164" i="60"/>
  <c r="M164" i="60"/>
  <c r="O164" i="60" s="1"/>
  <c r="L164" i="60"/>
  <c r="K164" i="60"/>
  <c r="J164" i="60"/>
  <c r="N163" i="60"/>
  <c r="M163" i="60"/>
  <c r="O163" i="60" s="1"/>
  <c r="L163" i="60"/>
  <c r="K163" i="60"/>
  <c r="J163" i="60"/>
  <c r="N162" i="60"/>
  <c r="M162" i="60"/>
  <c r="O162" i="60" s="1"/>
  <c r="L162" i="60"/>
  <c r="K162" i="60"/>
  <c r="J162" i="60"/>
  <c r="N161" i="60"/>
  <c r="M161" i="60"/>
  <c r="L161" i="60"/>
  <c r="K161" i="60"/>
  <c r="J161" i="60"/>
  <c r="N160" i="60"/>
  <c r="M160" i="60"/>
  <c r="O160" i="60" s="1"/>
  <c r="L160" i="60"/>
  <c r="K160" i="60"/>
  <c r="J160" i="60"/>
  <c r="N159" i="60"/>
  <c r="M159" i="60"/>
  <c r="O159" i="60" s="1"/>
  <c r="L159" i="60"/>
  <c r="K159" i="60"/>
  <c r="J159" i="60"/>
  <c r="N158" i="60"/>
  <c r="M158" i="60"/>
  <c r="L158" i="60"/>
  <c r="K158" i="60"/>
  <c r="J158" i="60"/>
  <c r="N157" i="60"/>
  <c r="M157" i="60"/>
  <c r="L157" i="60"/>
  <c r="K157" i="60"/>
  <c r="J157" i="60"/>
  <c r="N156" i="60"/>
  <c r="M156" i="60"/>
  <c r="O156" i="60" s="1"/>
  <c r="L156" i="60"/>
  <c r="K156" i="60"/>
  <c r="J156" i="60"/>
  <c r="N155" i="60"/>
  <c r="M155" i="60"/>
  <c r="O155" i="60" s="1"/>
  <c r="L155" i="60"/>
  <c r="K155" i="60"/>
  <c r="J155" i="60"/>
  <c r="N154" i="60"/>
  <c r="M154" i="60"/>
  <c r="O154" i="60" s="1"/>
  <c r="L154" i="60"/>
  <c r="K154" i="60"/>
  <c r="J154" i="60"/>
  <c r="N153" i="60"/>
  <c r="M153" i="60"/>
  <c r="L153" i="60"/>
  <c r="K153" i="60"/>
  <c r="J153" i="60"/>
  <c r="N152" i="60"/>
  <c r="M152" i="60"/>
  <c r="O152" i="60" s="1"/>
  <c r="L152" i="60"/>
  <c r="K152" i="60"/>
  <c r="J152" i="60"/>
  <c r="N151" i="60"/>
  <c r="M151" i="60"/>
  <c r="O151" i="60" s="1"/>
  <c r="L151" i="60"/>
  <c r="K151" i="60"/>
  <c r="J151" i="60"/>
  <c r="O150" i="60"/>
  <c r="N150" i="60"/>
  <c r="M150" i="60"/>
  <c r="L150" i="60"/>
  <c r="K150" i="60"/>
  <c r="J150" i="60"/>
  <c r="N149" i="60"/>
  <c r="M149" i="60"/>
  <c r="O149" i="60" s="1"/>
  <c r="L149" i="60"/>
  <c r="K149" i="60"/>
  <c r="J149" i="60"/>
  <c r="N148" i="60"/>
  <c r="M148" i="60"/>
  <c r="O148" i="60" s="1"/>
  <c r="L148" i="60"/>
  <c r="K148" i="60"/>
  <c r="J148" i="60"/>
  <c r="N147" i="60"/>
  <c r="M147" i="60"/>
  <c r="O147" i="60" s="1"/>
  <c r="L147" i="60"/>
  <c r="K147" i="60"/>
  <c r="J147" i="60"/>
  <c r="N146" i="60"/>
  <c r="M146" i="60"/>
  <c r="O146" i="60" s="1"/>
  <c r="L146" i="60"/>
  <c r="K146" i="60"/>
  <c r="J146" i="60"/>
  <c r="N145" i="60"/>
  <c r="M145" i="60"/>
  <c r="O145" i="60" s="1"/>
  <c r="L145" i="60"/>
  <c r="K145" i="60"/>
  <c r="J145" i="60"/>
  <c r="N144" i="60"/>
  <c r="M144" i="60"/>
  <c r="O144" i="60" s="1"/>
  <c r="L144" i="60"/>
  <c r="K144" i="60"/>
  <c r="J144" i="60"/>
  <c r="N143" i="60"/>
  <c r="M143" i="60"/>
  <c r="O143" i="60" s="1"/>
  <c r="L143" i="60"/>
  <c r="K143" i="60"/>
  <c r="J143" i="60"/>
  <c r="N142" i="60"/>
  <c r="M142" i="60"/>
  <c r="O142" i="60" s="1"/>
  <c r="L142" i="60"/>
  <c r="K142" i="60"/>
  <c r="J142" i="60"/>
  <c r="N141" i="60"/>
  <c r="M141" i="60"/>
  <c r="O141" i="60" s="1"/>
  <c r="L141" i="60"/>
  <c r="K141" i="60"/>
  <c r="J141" i="60"/>
  <c r="N140" i="60"/>
  <c r="M140" i="60"/>
  <c r="O140" i="60" s="1"/>
  <c r="L140" i="60"/>
  <c r="K140" i="60"/>
  <c r="J140" i="60"/>
  <c r="N139" i="60"/>
  <c r="M139" i="60"/>
  <c r="O139" i="60" s="1"/>
  <c r="L139" i="60"/>
  <c r="K139" i="60"/>
  <c r="J139" i="60"/>
  <c r="N138" i="60"/>
  <c r="M138" i="60"/>
  <c r="O138" i="60" s="1"/>
  <c r="L138" i="60"/>
  <c r="K138" i="60"/>
  <c r="J138" i="60"/>
  <c r="N137" i="60"/>
  <c r="M137" i="60"/>
  <c r="O137" i="60" s="1"/>
  <c r="L137" i="60"/>
  <c r="K137" i="60"/>
  <c r="J137" i="60"/>
  <c r="N136" i="60"/>
  <c r="M136" i="60"/>
  <c r="O136" i="60" s="1"/>
  <c r="L136" i="60"/>
  <c r="K136" i="60"/>
  <c r="J136" i="60"/>
  <c r="N135" i="60"/>
  <c r="M135" i="60"/>
  <c r="O135" i="60" s="1"/>
  <c r="L135" i="60"/>
  <c r="K135" i="60"/>
  <c r="J135" i="60"/>
  <c r="N134" i="60"/>
  <c r="M134" i="60"/>
  <c r="O134" i="60" s="1"/>
  <c r="L134" i="60"/>
  <c r="K134" i="60"/>
  <c r="J134" i="60"/>
  <c r="N133" i="60"/>
  <c r="M133" i="60"/>
  <c r="O133" i="60" s="1"/>
  <c r="L133" i="60"/>
  <c r="K133" i="60"/>
  <c r="J133" i="60"/>
  <c r="N132" i="60"/>
  <c r="M132" i="60"/>
  <c r="O132" i="60" s="1"/>
  <c r="L132" i="60"/>
  <c r="K132" i="60"/>
  <c r="J132" i="60"/>
  <c r="N131" i="60"/>
  <c r="M131" i="60"/>
  <c r="O131" i="60" s="1"/>
  <c r="L131" i="60"/>
  <c r="K131" i="60"/>
  <c r="J131" i="60"/>
  <c r="N130" i="60"/>
  <c r="M130" i="60"/>
  <c r="O130" i="60" s="1"/>
  <c r="L130" i="60"/>
  <c r="K130" i="60"/>
  <c r="J130" i="60"/>
  <c r="N129" i="60"/>
  <c r="M129" i="60"/>
  <c r="O129" i="60" s="1"/>
  <c r="L129" i="60"/>
  <c r="K129" i="60"/>
  <c r="J129" i="60"/>
  <c r="N128" i="60"/>
  <c r="M128" i="60"/>
  <c r="O128" i="60" s="1"/>
  <c r="L128" i="60"/>
  <c r="K128" i="60"/>
  <c r="J128" i="60"/>
  <c r="N127" i="60"/>
  <c r="M127" i="60"/>
  <c r="O127" i="60" s="1"/>
  <c r="L127" i="60"/>
  <c r="K127" i="60"/>
  <c r="J127" i="60"/>
  <c r="N126" i="60"/>
  <c r="M126" i="60"/>
  <c r="O126" i="60" s="1"/>
  <c r="L126" i="60"/>
  <c r="K126" i="60"/>
  <c r="J126" i="60"/>
  <c r="N125" i="60"/>
  <c r="M125" i="60"/>
  <c r="O125" i="60" s="1"/>
  <c r="L125" i="60"/>
  <c r="K125" i="60"/>
  <c r="J125" i="60"/>
  <c r="N124" i="60"/>
  <c r="M124" i="60"/>
  <c r="O124" i="60" s="1"/>
  <c r="L124" i="60"/>
  <c r="K124" i="60"/>
  <c r="J124" i="60"/>
  <c r="N123" i="60"/>
  <c r="M123" i="60"/>
  <c r="O123" i="60" s="1"/>
  <c r="L123" i="60"/>
  <c r="K123" i="60"/>
  <c r="J123" i="60"/>
  <c r="N122" i="60"/>
  <c r="M122" i="60"/>
  <c r="O122" i="60" s="1"/>
  <c r="L122" i="60"/>
  <c r="K122" i="60"/>
  <c r="J122" i="60"/>
  <c r="N121" i="60"/>
  <c r="M121" i="60"/>
  <c r="O121" i="60" s="1"/>
  <c r="L121" i="60"/>
  <c r="K121" i="60"/>
  <c r="J121" i="60"/>
  <c r="N120" i="60"/>
  <c r="M120" i="60"/>
  <c r="O120" i="60" s="1"/>
  <c r="L120" i="60"/>
  <c r="K120" i="60"/>
  <c r="J120" i="60"/>
  <c r="N119" i="60"/>
  <c r="M119" i="60"/>
  <c r="O119" i="60" s="1"/>
  <c r="L119" i="60"/>
  <c r="K119" i="60"/>
  <c r="J119" i="60"/>
  <c r="N118" i="60"/>
  <c r="M118" i="60"/>
  <c r="O118" i="60" s="1"/>
  <c r="L118" i="60"/>
  <c r="K118" i="60"/>
  <c r="J118" i="60"/>
  <c r="N117" i="60"/>
  <c r="M117" i="60"/>
  <c r="O117" i="60" s="1"/>
  <c r="L117" i="60"/>
  <c r="K117" i="60"/>
  <c r="J117" i="60"/>
  <c r="N116" i="60"/>
  <c r="M116" i="60"/>
  <c r="O116" i="60" s="1"/>
  <c r="L116" i="60"/>
  <c r="K116" i="60"/>
  <c r="J116" i="60"/>
  <c r="N115" i="60"/>
  <c r="M115" i="60"/>
  <c r="O115" i="60" s="1"/>
  <c r="L115" i="60"/>
  <c r="K115" i="60"/>
  <c r="J115" i="60"/>
  <c r="N114" i="60"/>
  <c r="M114" i="60"/>
  <c r="O114" i="60" s="1"/>
  <c r="L114" i="60"/>
  <c r="K114" i="60"/>
  <c r="J114" i="60"/>
  <c r="N113" i="60"/>
  <c r="M113" i="60"/>
  <c r="O113" i="60" s="1"/>
  <c r="L113" i="60"/>
  <c r="K113" i="60"/>
  <c r="J113" i="60"/>
  <c r="N112" i="60"/>
  <c r="M112" i="60"/>
  <c r="O112" i="60" s="1"/>
  <c r="L112" i="60"/>
  <c r="K112" i="60"/>
  <c r="J112" i="60"/>
  <c r="N111" i="60"/>
  <c r="M111" i="60"/>
  <c r="O111" i="60" s="1"/>
  <c r="L111" i="60"/>
  <c r="K111" i="60"/>
  <c r="J111" i="60"/>
  <c r="N110" i="60"/>
  <c r="M110" i="60"/>
  <c r="O110" i="60" s="1"/>
  <c r="L110" i="60"/>
  <c r="K110" i="60"/>
  <c r="J110" i="60"/>
  <c r="N109" i="60"/>
  <c r="M109" i="60"/>
  <c r="O109" i="60" s="1"/>
  <c r="L109" i="60"/>
  <c r="K109" i="60"/>
  <c r="J109" i="60"/>
  <c r="N108" i="60"/>
  <c r="M108" i="60"/>
  <c r="O108" i="60" s="1"/>
  <c r="L108" i="60"/>
  <c r="K108" i="60"/>
  <c r="J108" i="60"/>
  <c r="N107" i="60"/>
  <c r="M107" i="60"/>
  <c r="O107" i="60" s="1"/>
  <c r="L107" i="60"/>
  <c r="K107" i="60"/>
  <c r="J107" i="60"/>
  <c r="N106" i="60"/>
  <c r="M106" i="60"/>
  <c r="O106" i="60" s="1"/>
  <c r="L106" i="60"/>
  <c r="K106" i="60"/>
  <c r="J106" i="60"/>
  <c r="N105" i="60"/>
  <c r="M105" i="60"/>
  <c r="O105" i="60" s="1"/>
  <c r="L105" i="60"/>
  <c r="K105" i="60"/>
  <c r="J105" i="60"/>
  <c r="N104" i="60"/>
  <c r="M104" i="60"/>
  <c r="O104" i="60" s="1"/>
  <c r="L104" i="60"/>
  <c r="K104" i="60"/>
  <c r="J104" i="60"/>
  <c r="N103" i="60"/>
  <c r="M103" i="60"/>
  <c r="O103" i="60" s="1"/>
  <c r="L103" i="60"/>
  <c r="K103" i="60"/>
  <c r="J103" i="60"/>
  <c r="N102" i="60"/>
  <c r="M102" i="60"/>
  <c r="O102" i="60" s="1"/>
  <c r="L102" i="60"/>
  <c r="K102" i="60"/>
  <c r="J102" i="60"/>
  <c r="N101" i="60"/>
  <c r="M101" i="60"/>
  <c r="O101" i="60" s="1"/>
  <c r="L101" i="60"/>
  <c r="K101" i="60"/>
  <c r="J101" i="60"/>
  <c r="N100" i="60"/>
  <c r="M100" i="60"/>
  <c r="O100" i="60" s="1"/>
  <c r="L100" i="60"/>
  <c r="K100" i="60"/>
  <c r="J100" i="60"/>
  <c r="N99" i="60"/>
  <c r="M99" i="60"/>
  <c r="O99" i="60" s="1"/>
  <c r="L99" i="60"/>
  <c r="K99" i="60"/>
  <c r="J99" i="60"/>
  <c r="N98" i="60"/>
  <c r="M98" i="60"/>
  <c r="O98" i="60" s="1"/>
  <c r="L98" i="60"/>
  <c r="K98" i="60"/>
  <c r="J98" i="60"/>
  <c r="N97" i="60"/>
  <c r="M97" i="60"/>
  <c r="O97" i="60" s="1"/>
  <c r="L97" i="60"/>
  <c r="K97" i="60"/>
  <c r="J97" i="60"/>
  <c r="N96" i="60"/>
  <c r="M96" i="60"/>
  <c r="O96" i="60" s="1"/>
  <c r="L96" i="60"/>
  <c r="K96" i="60"/>
  <c r="J96" i="60"/>
  <c r="N95" i="60"/>
  <c r="M95" i="60"/>
  <c r="O95" i="60" s="1"/>
  <c r="L95" i="60"/>
  <c r="K95" i="60"/>
  <c r="J95" i="60"/>
  <c r="N94" i="60"/>
  <c r="M94" i="60"/>
  <c r="O94" i="60" s="1"/>
  <c r="L94" i="60"/>
  <c r="K94" i="60"/>
  <c r="J94" i="60"/>
  <c r="N93" i="60"/>
  <c r="M93" i="60"/>
  <c r="O93" i="60" s="1"/>
  <c r="L93" i="60"/>
  <c r="K93" i="60"/>
  <c r="J93" i="60"/>
  <c r="N92" i="60"/>
  <c r="M92" i="60"/>
  <c r="O92" i="60" s="1"/>
  <c r="L92" i="60"/>
  <c r="K92" i="60"/>
  <c r="J92" i="60"/>
  <c r="N91" i="60"/>
  <c r="M91" i="60"/>
  <c r="O91" i="60" s="1"/>
  <c r="L91" i="60"/>
  <c r="K91" i="60"/>
  <c r="J91" i="60"/>
  <c r="N90" i="60"/>
  <c r="M90" i="60"/>
  <c r="O90" i="60" s="1"/>
  <c r="L90" i="60"/>
  <c r="K90" i="60"/>
  <c r="J90" i="60"/>
  <c r="N89" i="60"/>
  <c r="M89" i="60"/>
  <c r="O89" i="60" s="1"/>
  <c r="L89" i="60"/>
  <c r="K89" i="60"/>
  <c r="J89" i="60"/>
  <c r="N88" i="60"/>
  <c r="M88" i="60"/>
  <c r="O88" i="60" s="1"/>
  <c r="L88" i="60"/>
  <c r="K88" i="60"/>
  <c r="J88" i="60"/>
  <c r="N87" i="60"/>
  <c r="M87" i="60"/>
  <c r="O87" i="60" s="1"/>
  <c r="L87" i="60"/>
  <c r="K87" i="60"/>
  <c r="J87" i="60"/>
  <c r="N86" i="60"/>
  <c r="M86" i="60"/>
  <c r="O86" i="60" s="1"/>
  <c r="L86" i="60"/>
  <c r="K86" i="60"/>
  <c r="J86" i="60"/>
  <c r="N85" i="60"/>
  <c r="M85" i="60"/>
  <c r="O85" i="60" s="1"/>
  <c r="L85" i="60"/>
  <c r="K85" i="60"/>
  <c r="J85" i="60"/>
  <c r="N84" i="60"/>
  <c r="M84" i="60"/>
  <c r="O84" i="60" s="1"/>
  <c r="L84" i="60"/>
  <c r="K84" i="60"/>
  <c r="J84" i="60"/>
  <c r="N83" i="60"/>
  <c r="M83" i="60"/>
  <c r="O83" i="60" s="1"/>
  <c r="L83" i="60"/>
  <c r="K83" i="60"/>
  <c r="J83" i="60"/>
  <c r="N82" i="60"/>
  <c r="M82" i="60"/>
  <c r="O82" i="60" s="1"/>
  <c r="L82" i="60"/>
  <c r="K82" i="60"/>
  <c r="J82" i="60"/>
  <c r="N81" i="60"/>
  <c r="M81" i="60"/>
  <c r="O81" i="60" s="1"/>
  <c r="L81" i="60"/>
  <c r="K81" i="60"/>
  <c r="J81" i="60"/>
  <c r="N80" i="60"/>
  <c r="M80" i="60"/>
  <c r="O80" i="60" s="1"/>
  <c r="L80" i="60"/>
  <c r="K80" i="60"/>
  <c r="J80" i="60"/>
  <c r="N79" i="60"/>
  <c r="M79" i="60"/>
  <c r="O79" i="60" s="1"/>
  <c r="L79" i="60"/>
  <c r="K79" i="60"/>
  <c r="J79" i="60"/>
  <c r="N78" i="60"/>
  <c r="M78" i="60"/>
  <c r="O78" i="60" s="1"/>
  <c r="L78" i="60"/>
  <c r="K78" i="60"/>
  <c r="J78" i="60"/>
  <c r="N77" i="60"/>
  <c r="M77" i="60"/>
  <c r="O77" i="60" s="1"/>
  <c r="L77" i="60"/>
  <c r="K77" i="60"/>
  <c r="J77" i="60"/>
  <c r="N76" i="60"/>
  <c r="M76" i="60"/>
  <c r="O76" i="60" s="1"/>
  <c r="L76" i="60"/>
  <c r="K76" i="60"/>
  <c r="J76" i="60"/>
  <c r="N75" i="60"/>
  <c r="M75" i="60"/>
  <c r="O75" i="60" s="1"/>
  <c r="L75" i="60"/>
  <c r="K75" i="60"/>
  <c r="J75" i="60"/>
  <c r="N74" i="60"/>
  <c r="M74" i="60"/>
  <c r="O74" i="60" s="1"/>
  <c r="L74" i="60"/>
  <c r="K74" i="60"/>
  <c r="J74" i="60"/>
  <c r="N73" i="60"/>
  <c r="M73" i="60"/>
  <c r="O73" i="60" s="1"/>
  <c r="L73" i="60"/>
  <c r="K73" i="60"/>
  <c r="J73" i="60"/>
  <c r="N72" i="60"/>
  <c r="M72" i="60"/>
  <c r="O72" i="60" s="1"/>
  <c r="L72" i="60"/>
  <c r="K72" i="60"/>
  <c r="J72" i="60"/>
  <c r="N71" i="60"/>
  <c r="M71" i="60"/>
  <c r="O71" i="60" s="1"/>
  <c r="L71" i="60"/>
  <c r="K71" i="60"/>
  <c r="J71" i="60"/>
  <c r="N70" i="60"/>
  <c r="M70" i="60"/>
  <c r="O70" i="60" s="1"/>
  <c r="L70" i="60"/>
  <c r="K70" i="60"/>
  <c r="J70" i="60"/>
  <c r="N69" i="60"/>
  <c r="M69" i="60"/>
  <c r="O69" i="60" s="1"/>
  <c r="L69" i="60"/>
  <c r="K69" i="60"/>
  <c r="J69" i="60"/>
  <c r="N68" i="60"/>
  <c r="M68" i="60"/>
  <c r="O68" i="60" s="1"/>
  <c r="L68" i="60"/>
  <c r="K68" i="60"/>
  <c r="J68" i="60"/>
  <c r="N67" i="60"/>
  <c r="M67" i="60"/>
  <c r="O67" i="60" s="1"/>
  <c r="L67" i="60"/>
  <c r="K67" i="60"/>
  <c r="J67" i="60"/>
  <c r="N66" i="60"/>
  <c r="M66" i="60"/>
  <c r="O66" i="60" s="1"/>
  <c r="L66" i="60"/>
  <c r="K66" i="60"/>
  <c r="J66" i="60"/>
  <c r="N65" i="60"/>
  <c r="M65" i="60"/>
  <c r="O65" i="60" s="1"/>
  <c r="L65" i="60"/>
  <c r="K65" i="60"/>
  <c r="J65" i="60"/>
  <c r="N64" i="60"/>
  <c r="M64" i="60"/>
  <c r="O64" i="60" s="1"/>
  <c r="L64" i="60"/>
  <c r="K64" i="60"/>
  <c r="J64" i="60"/>
  <c r="N63" i="60"/>
  <c r="M63" i="60"/>
  <c r="O63" i="60" s="1"/>
  <c r="L63" i="60"/>
  <c r="K63" i="60"/>
  <c r="J63" i="60"/>
  <c r="N62" i="60"/>
  <c r="M62" i="60"/>
  <c r="O62" i="60" s="1"/>
  <c r="L62" i="60"/>
  <c r="K62" i="60"/>
  <c r="J62" i="60"/>
  <c r="N61" i="60"/>
  <c r="M61" i="60"/>
  <c r="O61" i="60" s="1"/>
  <c r="L61" i="60"/>
  <c r="K61" i="60"/>
  <c r="J61" i="60"/>
  <c r="N60" i="60"/>
  <c r="M60" i="60"/>
  <c r="O60" i="60" s="1"/>
  <c r="L60" i="60"/>
  <c r="K60" i="60"/>
  <c r="J60" i="60"/>
  <c r="N59" i="60"/>
  <c r="M59" i="60"/>
  <c r="O59" i="60" s="1"/>
  <c r="L59" i="60"/>
  <c r="K59" i="60"/>
  <c r="J59" i="60"/>
  <c r="N58" i="60"/>
  <c r="M58" i="60"/>
  <c r="O58" i="60" s="1"/>
  <c r="L58" i="60"/>
  <c r="K58" i="60"/>
  <c r="J58" i="60"/>
  <c r="N57" i="60"/>
  <c r="M57" i="60"/>
  <c r="O57" i="60" s="1"/>
  <c r="L57" i="60"/>
  <c r="K57" i="60"/>
  <c r="J57" i="60"/>
  <c r="N56" i="60"/>
  <c r="M56" i="60"/>
  <c r="O56" i="60" s="1"/>
  <c r="L56" i="60"/>
  <c r="K56" i="60"/>
  <c r="J56" i="60"/>
  <c r="N55" i="60"/>
  <c r="M55" i="60"/>
  <c r="O55" i="60" s="1"/>
  <c r="L55" i="60"/>
  <c r="K55" i="60"/>
  <c r="J55" i="60"/>
  <c r="N54" i="60"/>
  <c r="M54" i="60"/>
  <c r="O54" i="60" s="1"/>
  <c r="L54" i="60"/>
  <c r="K54" i="60"/>
  <c r="J54" i="60"/>
  <c r="N53" i="60"/>
  <c r="M53" i="60"/>
  <c r="O53" i="60" s="1"/>
  <c r="L53" i="60"/>
  <c r="K53" i="60"/>
  <c r="J53" i="60"/>
  <c r="N52" i="60"/>
  <c r="M52" i="60"/>
  <c r="O52" i="60" s="1"/>
  <c r="L52" i="60"/>
  <c r="K52" i="60"/>
  <c r="J52" i="60"/>
  <c r="N51" i="60"/>
  <c r="M51" i="60"/>
  <c r="O51" i="60" s="1"/>
  <c r="L51" i="60"/>
  <c r="K51" i="60"/>
  <c r="J51" i="60"/>
  <c r="N50" i="60"/>
  <c r="M50" i="60"/>
  <c r="O50" i="60" s="1"/>
  <c r="L50" i="60"/>
  <c r="K50" i="60"/>
  <c r="J50" i="60"/>
  <c r="N49" i="60"/>
  <c r="M49" i="60"/>
  <c r="O49" i="60" s="1"/>
  <c r="L49" i="60"/>
  <c r="K49" i="60"/>
  <c r="J49" i="60"/>
  <c r="N48" i="60"/>
  <c r="M48" i="60"/>
  <c r="O48" i="60" s="1"/>
  <c r="L48" i="60"/>
  <c r="K48" i="60"/>
  <c r="J48" i="60"/>
  <c r="N47" i="60"/>
  <c r="M47" i="60"/>
  <c r="O47" i="60" s="1"/>
  <c r="L47" i="60"/>
  <c r="K47" i="60"/>
  <c r="J47" i="60"/>
  <c r="N46" i="60"/>
  <c r="M46" i="60"/>
  <c r="O46" i="60" s="1"/>
  <c r="L46" i="60"/>
  <c r="K46" i="60"/>
  <c r="J46" i="60"/>
  <c r="N45" i="60"/>
  <c r="M45" i="60"/>
  <c r="O45" i="60" s="1"/>
  <c r="L45" i="60"/>
  <c r="K45" i="60"/>
  <c r="J45" i="60"/>
  <c r="N44" i="60"/>
  <c r="M44" i="60"/>
  <c r="O44" i="60" s="1"/>
  <c r="L44" i="60"/>
  <c r="K44" i="60"/>
  <c r="J44" i="60"/>
  <c r="N43" i="60"/>
  <c r="M43" i="60"/>
  <c r="O43" i="60" s="1"/>
  <c r="L43" i="60"/>
  <c r="K43" i="60"/>
  <c r="J43" i="60"/>
  <c r="N42" i="60"/>
  <c r="M42" i="60"/>
  <c r="O42" i="60" s="1"/>
  <c r="L42" i="60"/>
  <c r="K42" i="60"/>
  <c r="J42" i="60"/>
  <c r="N41" i="60"/>
  <c r="M41" i="60"/>
  <c r="O41" i="60" s="1"/>
  <c r="L41" i="60"/>
  <c r="K41" i="60"/>
  <c r="J41" i="60"/>
  <c r="N40" i="60"/>
  <c r="M40" i="60"/>
  <c r="O40" i="60" s="1"/>
  <c r="L40" i="60"/>
  <c r="K40" i="60"/>
  <c r="J40" i="60"/>
  <c r="N39" i="60"/>
  <c r="M39" i="60"/>
  <c r="O39" i="60" s="1"/>
  <c r="L39" i="60"/>
  <c r="K39" i="60"/>
  <c r="J39" i="60"/>
  <c r="N38" i="60"/>
  <c r="M38" i="60"/>
  <c r="O38" i="60" s="1"/>
  <c r="L38" i="60"/>
  <c r="K38" i="60"/>
  <c r="J38" i="60"/>
  <c r="N37" i="60"/>
  <c r="M37" i="60"/>
  <c r="O37" i="60" s="1"/>
  <c r="L37" i="60"/>
  <c r="K37" i="60"/>
  <c r="J37" i="60"/>
  <c r="N36" i="60"/>
  <c r="M36" i="60"/>
  <c r="O36" i="60" s="1"/>
  <c r="L36" i="60"/>
  <c r="K36" i="60"/>
  <c r="J36" i="60"/>
  <c r="N35" i="60"/>
  <c r="M35" i="60"/>
  <c r="O35" i="60" s="1"/>
  <c r="L35" i="60"/>
  <c r="K35" i="60"/>
  <c r="J35" i="60"/>
  <c r="N34" i="60"/>
  <c r="M34" i="60"/>
  <c r="O34" i="60" s="1"/>
  <c r="L34" i="60"/>
  <c r="K34" i="60"/>
  <c r="J34" i="60"/>
  <c r="N33" i="60"/>
  <c r="M33" i="60"/>
  <c r="O33" i="60" s="1"/>
  <c r="L33" i="60"/>
  <c r="K33" i="60"/>
  <c r="J33" i="60"/>
  <c r="N32" i="60"/>
  <c r="M32" i="60"/>
  <c r="O32" i="60" s="1"/>
  <c r="L32" i="60"/>
  <c r="K32" i="60"/>
  <c r="J32" i="60"/>
  <c r="N31" i="60"/>
  <c r="M31" i="60"/>
  <c r="O31" i="60" s="1"/>
  <c r="L31" i="60"/>
  <c r="K31" i="60"/>
  <c r="J31" i="60"/>
  <c r="N30" i="60"/>
  <c r="M30" i="60"/>
  <c r="O30" i="60" s="1"/>
  <c r="L30" i="60"/>
  <c r="K30" i="60"/>
  <c r="J30" i="60"/>
  <c r="N29" i="60"/>
  <c r="M29" i="60"/>
  <c r="O29" i="60" s="1"/>
  <c r="L29" i="60"/>
  <c r="K29" i="60"/>
  <c r="J29" i="60"/>
  <c r="N28" i="60"/>
  <c r="M28" i="60"/>
  <c r="O28" i="60" s="1"/>
  <c r="L28" i="60"/>
  <c r="K28" i="60"/>
  <c r="J28" i="60"/>
  <c r="N27" i="60"/>
  <c r="M27" i="60"/>
  <c r="O27" i="60" s="1"/>
  <c r="L27" i="60"/>
  <c r="K27" i="60"/>
  <c r="J27" i="60"/>
  <c r="N26" i="60"/>
  <c r="M26" i="60"/>
  <c r="O26" i="60" s="1"/>
  <c r="L26" i="60"/>
  <c r="K26" i="60"/>
  <c r="J26" i="60"/>
  <c r="N25" i="60"/>
  <c r="M25" i="60"/>
  <c r="O25" i="60" s="1"/>
  <c r="L25" i="60"/>
  <c r="K25" i="60"/>
  <c r="J25" i="60"/>
  <c r="N24" i="60"/>
  <c r="M24" i="60"/>
  <c r="O24" i="60" s="1"/>
  <c r="L24" i="60"/>
  <c r="K24" i="60"/>
  <c r="J24" i="60"/>
  <c r="N23" i="60"/>
  <c r="M23" i="60"/>
  <c r="O23" i="60" s="1"/>
  <c r="L23" i="60"/>
  <c r="K23" i="60"/>
  <c r="J23" i="60"/>
  <c r="N22" i="60"/>
  <c r="M22" i="60"/>
  <c r="O22" i="60" s="1"/>
  <c r="L22" i="60"/>
  <c r="K22" i="60"/>
  <c r="J22" i="60"/>
  <c r="N21" i="60"/>
  <c r="M21" i="60"/>
  <c r="O21" i="60" s="1"/>
  <c r="L21" i="60"/>
  <c r="K21" i="60"/>
  <c r="J21" i="60"/>
  <c r="N20" i="60"/>
  <c r="M20" i="60"/>
  <c r="O20" i="60" s="1"/>
  <c r="L20" i="60"/>
  <c r="K20" i="60"/>
  <c r="J20" i="60"/>
  <c r="N19" i="60"/>
  <c r="M19" i="60"/>
  <c r="O19" i="60" s="1"/>
  <c r="L19" i="60"/>
  <c r="K19" i="60"/>
  <c r="J19" i="60"/>
  <c r="N18" i="60"/>
  <c r="M18" i="60"/>
  <c r="O18" i="60" s="1"/>
  <c r="L18" i="60"/>
  <c r="K18" i="60"/>
  <c r="J18" i="60"/>
  <c r="N17" i="60"/>
  <c r="M17" i="60"/>
  <c r="O17" i="60" s="1"/>
  <c r="L17" i="60"/>
  <c r="K17" i="60"/>
  <c r="J17" i="60"/>
  <c r="N16" i="60"/>
  <c r="M16" i="60"/>
  <c r="O16" i="60" s="1"/>
  <c r="L16" i="60"/>
  <c r="K16" i="60"/>
  <c r="J16" i="60"/>
  <c r="N15" i="60"/>
  <c r="M15" i="60"/>
  <c r="O15" i="60" s="1"/>
  <c r="L15" i="60"/>
  <c r="K15" i="60"/>
  <c r="J15" i="60"/>
  <c r="N14" i="60"/>
  <c r="M14" i="60"/>
  <c r="O14" i="60" s="1"/>
  <c r="L14" i="60"/>
  <c r="K14" i="60"/>
  <c r="J14" i="60"/>
  <c r="N13" i="60"/>
  <c r="M13" i="60"/>
  <c r="O13" i="60" s="1"/>
  <c r="L13" i="60"/>
  <c r="K13" i="60"/>
  <c r="J13" i="60"/>
  <c r="N12" i="60"/>
  <c r="M12" i="60"/>
  <c r="O12" i="60" s="1"/>
  <c r="L12" i="60"/>
  <c r="K12" i="60"/>
  <c r="J12" i="60"/>
  <c r="N11" i="60"/>
  <c r="M11" i="60"/>
  <c r="O11" i="60" s="1"/>
  <c r="L11" i="60"/>
  <c r="K11" i="60"/>
  <c r="J11" i="60"/>
  <c r="N10" i="60"/>
  <c r="M10" i="60"/>
  <c r="O10" i="60" s="1"/>
  <c r="L10" i="60"/>
  <c r="K10" i="60"/>
  <c r="J10" i="60"/>
  <c r="N9" i="60"/>
  <c r="M9" i="60"/>
  <c r="O9" i="60" s="1"/>
  <c r="L9" i="60"/>
  <c r="K9" i="60"/>
  <c r="J9" i="60"/>
  <c r="N8" i="60"/>
  <c r="M8" i="60"/>
  <c r="O8" i="60" s="1"/>
  <c r="L8" i="60"/>
  <c r="K8" i="60"/>
  <c r="J8" i="60"/>
  <c r="N7" i="60"/>
  <c r="M7" i="60"/>
  <c r="O7" i="60" s="1"/>
  <c r="L7" i="60"/>
  <c r="K7" i="60"/>
  <c r="J7" i="60"/>
  <c r="N6" i="60"/>
  <c r="M6" i="60"/>
  <c r="O6" i="60" s="1"/>
  <c r="L6" i="60"/>
  <c r="K6" i="60"/>
  <c r="J6" i="60"/>
  <c r="N5" i="60"/>
  <c r="M5" i="60"/>
  <c r="O5" i="60" s="1"/>
  <c r="L5" i="60"/>
  <c r="K5" i="60"/>
  <c r="J5" i="60"/>
  <c r="N4" i="60"/>
  <c r="M4" i="60"/>
  <c r="O4" i="60" s="1"/>
  <c r="L4" i="60"/>
  <c r="K4" i="60"/>
  <c r="J4" i="60"/>
  <c r="N3" i="60"/>
  <c r="M3" i="60"/>
  <c r="O3" i="60" s="1"/>
  <c r="L3" i="60"/>
  <c r="K3" i="60"/>
  <c r="J3" i="60"/>
  <c r="B1" i="60"/>
  <c r="B75" i="59"/>
  <c r="B74" i="59"/>
  <c r="B73" i="59"/>
  <c r="B72" i="59"/>
  <c r="B71" i="59"/>
  <c r="B70" i="59"/>
  <c r="H50" i="59"/>
  <c r="H52" i="59" s="1"/>
  <c r="H48" i="59"/>
  <c r="O37" i="59"/>
  <c r="M37" i="59"/>
  <c r="AJ42" i="64" s="1"/>
  <c r="AL42" i="64" s="1"/>
  <c r="F11" i="48" s="1"/>
  <c r="F37" i="59"/>
  <c r="Z42" i="64" s="1"/>
  <c r="AB42" i="64" s="1"/>
  <c r="H54" i="59" s="1"/>
  <c r="H56" i="59" s="1"/>
  <c r="K35" i="59"/>
  <c r="K34" i="59"/>
  <c r="K33" i="59"/>
  <c r="K32" i="59"/>
  <c r="K31" i="59"/>
  <c r="K30" i="59"/>
  <c r="K29" i="59"/>
  <c r="K28" i="59"/>
  <c r="J22" i="59"/>
  <c r="D22" i="59"/>
  <c r="G22" i="59" s="1"/>
  <c r="M22" i="59" s="1"/>
  <c r="G19" i="59"/>
  <c r="M19" i="59" s="1"/>
  <c r="G18" i="59"/>
  <c r="M18" i="59" s="1"/>
  <c r="G17" i="59"/>
  <c r="M17" i="59" s="1"/>
  <c r="G16" i="59"/>
  <c r="M16" i="59" s="1"/>
  <c r="G15" i="59"/>
  <c r="M15" i="59" s="1"/>
  <c r="G14" i="59"/>
  <c r="M14" i="59" s="1"/>
  <c r="G13" i="59"/>
  <c r="M13" i="59" s="1"/>
  <c r="G12" i="59"/>
  <c r="M12" i="59" s="1"/>
  <c r="G11" i="59"/>
  <c r="M11" i="59" s="1"/>
  <c r="G10" i="59"/>
  <c r="M10" i="59" s="1"/>
  <c r="G9" i="59"/>
  <c r="M9" i="59" s="1"/>
  <c r="G8" i="59"/>
  <c r="M8" i="59" s="1"/>
  <c r="G7" i="59"/>
  <c r="M7" i="59" s="1"/>
  <c r="F69" i="58"/>
  <c r="F71" i="58" s="1"/>
  <c r="D69" i="58"/>
  <c r="D71" i="58" s="1"/>
  <c r="F67" i="58"/>
  <c r="D67" i="58"/>
  <c r="B67" i="58"/>
  <c r="H65" i="58"/>
  <c r="G65" i="58"/>
  <c r="F65" i="58"/>
  <c r="E65" i="58"/>
  <c r="D65" i="58"/>
  <c r="C65" i="58"/>
  <c r="B65" i="58"/>
  <c r="A65" i="58"/>
  <c r="H64" i="58"/>
  <c r="G64" i="58"/>
  <c r="F64" i="58"/>
  <c r="E64" i="58"/>
  <c r="D64" i="58"/>
  <c r="C64" i="58"/>
  <c r="B64" i="58"/>
  <c r="A64" i="58"/>
  <c r="H63" i="58"/>
  <c r="G63" i="58"/>
  <c r="F63" i="58"/>
  <c r="E63" i="58"/>
  <c r="D63" i="58"/>
  <c r="C63" i="58"/>
  <c r="B63" i="58"/>
  <c r="A63" i="58"/>
  <c r="H62" i="58"/>
  <c r="G62" i="58"/>
  <c r="F62" i="58"/>
  <c r="E62" i="58"/>
  <c r="D62" i="58"/>
  <c r="C62" i="58"/>
  <c r="B62" i="58"/>
  <c r="A62" i="58"/>
  <c r="H61" i="58"/>
  <c r="G61" i="58"/>
  <c r="F61" i="58"/>
  <c r="E61" i="58"/>
  <c r="D61" i="58"/>
  <c r="C61" i="58"/>
  <c r="B61" i="58"/>
  <c r="A61" i="58"/>
  <c r="H60" i="58"/>
  <c r="G60" i="58"/>
  <c r="F60" i="58"/>
  <c r="E60" i="58"/>
  <c r="D60" i="58"/>
  <c r="C60" i="58"/>
  <c r="B60" i="58"/>
  <c r="A60" i="58"/>
  <c r="H59" i="58"/>
  <c r="G59" i="58"/>
  <c r="F59" i="58"/>
  <c r="E59" i="58"/>
  <c r="D59" i="58"/>
  <c r="C59" i="58"/>
  <c r="B59" i="58"/>
  <c r="A59" i="58"/>
  <c r="H58" i="58"/>
  <c r="G58" i="58"/>
  <c r="F58" i="58"/>
  <c r="E58" i="58"/>
  <c r="D58" i="58"/>
  <c r="C58" i="58"/>
  <c r="B58" i="58"/>
  <c r="A58" i="58"/>
  <c r="H57" i="58"/>
  <c r="G57" i="58"/>
  <c r="F57" i="58"/>
  <c r="E57" i="58"/>
  <c r="D57" i="58"/>
  <c r="C57" i="58"/>
  <c r="B57" i="58"/>
  <c r="A57" i="58"/>
  <c r="H56" i="58"/>
  <c r="G56" i="58"/>
  <c r="F56" i="58"/>
  <c r="E56" i="58"/>
  <c r="D56" i="58"/>
  <c r="C56" i="58"/>
  <c r="B56" i="58"/>
  <c r="A56" i="58"/>
  <c r="H55" i="58"/>
  <c r="G55" i="58"/>
  <c r="F55" i="58"/>
  <c r="E55" i="58"/>
  <c r="D55" i="58"/>
  <c r="C55" i="58"/>
  <c r="B55" i="58"/>
  <c r="A55" i="58"/>
  <c r="H54" i="58"/>
  <c r="G54" i="58"/>
  <c r="F54" i="58"/>
  <c r="E54" i="58"/>
  <c r="D54" i="58"/>
  <c r="C54" i="58"/>
  <c r="B54" i="58"/>
  <c r="A54" i="58"/>
  <c r="H53" i="58"/>
  <c r="G53" i="58"/>
  <c r="F53" i="58"/>
  <c r="E53" i="58"/>
  <c r="D53" i="58"/>
  <c r="C53" i="58"/>
  <c r="B53" i="58"/>
  <c r="A53" i="58"/>
  <c r="H52" i="58"/>
  <c r="G52" i="58"/>
  <c r="F52" i="58"/>
  <c r="E52" i="58"/>
  <c r="D52" i="58"/>
  <c r="C52" i="58"/>
  <c r="B52" i="58"/>
  <c r="A52" i="58"/>
  <c r="H51" i="58"/>
  <c r="G51" i="58"/>
  <c r="F51" i="58"/>
  <c r="E51" i="58"/>
  <c r="D51" i="58"/>
  <c r="C51" i="58"/>
  <c r="B51" i="58"/>
  <c r="A51" i="58"/>
  <c r="H50" i="58"/>
  <c r="G50" i="58"/>
  <c r="F50" i="58"/>
  <c r="E50" i="58"/>
  <c r="D50" i="58"/>
  <c r="C50" i="58"/>
  <c r="B50" i="58"/>
  <c r="A50" i="58"/>
  <c r="H49" i="58"/>
  <c r="G49" i="58"/>
  <c r="F49" i="58"/>
  <c r="E49" i="58"/>
  <c r="D49" i="58"/>
  <c r="C49" i="58"/>
  <c r="B49" i="58"/>
  <c r="A49" i="58"/>
  <c r="H48" i="58"/>
  <c r="G48" i="58"/>
  <c r="F48" i="58"/>
  <c r="E48" i="58"/>
  <c r="D48" i="58"/>
  <c r="C48" i="58"/>
  <c r="B48" i="58"/>
  <c r="A48" i="58"/>
  <c r="H47" i="58"/>
  <c r="G47" i="58"/>
  <c r="F47" i="58"/>
  <c r="E47" i="58"/>
  <c r="D47" i="58"/>
  <c r="C47" i="58"/>
  <c r="B47" i="58"/>
  <c r="A47" i="58"/>
  <c r="H46" i="58"/>
  <c r="G46" i="58"/>
  <c r="F46" i="58"/>
  <c r="E46" i="58"/>
  <c r="D46" i="58"/>
  <c r="C46" i="58"/>
  <c r="B46" i="58"/>
  <c r="A46" i="58"/>
  <c r="H45" i="58"/>
  <c r="G45" i="58"/>
  <c r="F45" i="58"/>
  <c r="E45" i="58"/>
  <c r="D45" i="58"/>
  <c r="C45" i="58"/>
  <c r="B45" i="58"/>
  <c r="A45" i="58"/>
  <c r="H44" i="58"/>
  <c r="G44" i="58"/>
  <c r="F44" i="58"/>
  <c r="E44" i="58"/>
  <c r="D44" i="58"/>
  <c r="C44" i="58"/>
  <c r="B44" i="58"/>
  <c r="A44" i="58"/>
  <c r="H43" i="58"/>
  <c r="G43" i="58"/>
  <c r="F43" i="58"/>
  <c r="E43" i="58"/>
  <c r="D43" i="58"/>
  <c r="C43" i="58"/>
  <c r="B43" i="58"/>
  <c r="A43" i="58"/>
  <c r="H42" i="58"/>
  <c r="G42" i="58"/>
  <c r="F42" i="58"/>
  <c r="E42" i="58"/>
  <c r="D42" i="58"/>
  <c r="C42" i="58"/>
  <c r="B42" i="58"/>
  <c r="A42" i="58"/>
  <c r="H41" i="58"/>
  <c r="G41" i="58"/>
  <c r="F41" i="58"/>
  <c r="E41" i="58"/>
  <c r="D41" i="58"/>
  <c r="C41" i="58"/>
  <c r="B41" i="58"/>
  <c r="A41" i="58"/>
  <c r="H40" i="58"/>
  <c r="G40" i="58"/>
  <c r="F40" i="58"/>
  <c r="E40" i="58"/>
  <c r="D40" i="58"/>
  <c r="C40" i="58"/>
  <c r="B40" i="58"/>
  <c r="A40" i="58"/>
  <c r="H39" i="58"/>
  <c r="G39" i="58"/>
  <c r="F39" i="58"/>
  <c r="E39" i="58"/>
  <c r="D39" i="58"/>
  <c r="C39" i="58"/>
  <c r="B39" i="58"/>
  <c r="A39" i="58"/>
  <c r="H38" i="58"/>
  <c r="G38" i="58"/>
  <c r="F38" i="58"/>
  <c r="E38" i="58"/>
  <c r="D38" i="58"/>
  <c r="C38" i="58"/>
  <c r="B38" i="58"/>
  <c r="A38" i="58"/>
  <c r="H37" i="58"/>
  <c r="G37" i="58"/>
  <c r="F37" i="58"/>
  <c r="E37" i="58"/>
  <c r="D37" i="58"/>
  <c r="C37" i="58"/>
  <c r="B37" i="58"/>
  <c r="A37" i="58"/>
  <c r="H36" i="58"/>
  <c r="G36" i="58"/>
  <c r="F36" i="58"/>
  <c r="E36" i="58"/>
  <c r="D36" i="58"/>
  <c r="C36" i="58"/>
  <c r="B36" i="58"/>
  <c r="A36" i="58"/>
  <c r="H35" i="58"/>
  <c r="G35" i="58"/>
  <c r="F35" i="58"/>
  <c r="E35" i="58"/>
  <c r="D35" i="58"/>
  <c r="C35" i="58"/>
  <c r="B35" i="58"/>
  <c r="A35" i="58"/>
  <c r="H34" i="58"/>
  <c r="G34" i="58"/>
  <c r="F34" i="58"/>
  <c r="E34" i="58"/>
  <c r="D34" i="58"/>
  <c r="C34" i="58"/>
  <c r="B34" i="58"/>
  <c r="A34" i="58"/>
  <c r="H33" i="58"/>
  <c r="G33" i="58"/>
  <c r="F33" i="58"/>
  <c r="E33" i="58"/>
  <c r="D33" i="58"/>
  <c r="C33" i="58"/>
  <c r="B33" i="58"/>
  <c r="A33" i="58"/>
  <c r="H32" i="58"/>
  <c r="G32" i="58"/>
  <c r="F32" i="58"/>
  <c r="E32" i="58"/>
  <c r="D32" i="58"/>
  <c r="C32" i="58"/>
  <c r="B32" i="58"/>
  <c r="A32" i="58"/>
  <c r="H31" i="58"/>
  <c r="G31" i="58"/>
  <c r="F31" i="58"/>
  <c r="E31" i="58"/>
  <c r="D31" i="58"/>
  <c r="C31" i="58"/>
  <c r="B31" i="58"/>
  <c r="A31" i="58"/>
  <c r="H30" i="58"/>
  <c r="G30" i="58"/>
  <c r="F30" i="58"/>
  <c r="E30" i="58"/>
  <c r="D30" i="58"/>
  <c r="C30" i="58"/>
  <c r="B30" i="58"/>
  <c r="A30" i="58"/>
  <c r="H29" i="58"/>
  <c r="G29" i="58"/>
  <c r="F29" i="58"/>
  <c r="E29" i="58"/>
  <c r="D29" i="58"/>
  <c r="C29" i="58"/>
  <c r="B29" i="58"/>
  <c r="A29" i="58"/>
  <c r="H28" i="58"/>
  <c r="G28" i="58"/>
  <c r="F28" i="58"/>
  <c r="E28" i="58"/>
  <c r="D28" i="58"/>
  <c r="C28" i="58"/>
  <c r="B28" i="58"/>
  <c r="A28" i="58"/>
  <c r="H27" i="58"/>
  <c r="G27" i="58"/>
  <c r="F27" i="58"/>
  <c r="E27" i="58"/>
  <c r="D27" i="58"/>
  <c r="C27" i="58"/>
  <c r="B27" i="58"/>
  <c r="A27" i="58"/>
  <c r="H26" i="58"/>
  <c r="G26" i="58"/>
  <c r="F26" i="58"/>
  <c r="E26" i="58"/>
  <c r="D26" i="58"/>
  <c r="C26" i="58"/>
  <c r="B26" i="58"/>
  <c r="A26" i="58"/>
  <c r="H25" i="58"/>
  <c r="G25" i="58"/>
  <c r="F25" i="58"/>
  <c r="E25" i="58"/>
  <c r="D25" i="58"/>
  <c r="C25" i="58"/>
  <c r="B25" i="58"/>
  <c r="A25" i="58"/>
  <c r="H24" i="58"/>
  <c r="G24" i="58"/>
  <c r="F24" i="58"/>
  <c r="E24" i="58"/>
  <c r="D24" i="58"/>
  <c r="C24" i="58"/>
  <c r="B24" i="58"/>
  <c r="A24" i="58"/>
  <c r="H23" i="58"/>
  <c r="G23" i="58"/>
  <c r="F23" i="58"/>
  <c r="E23" i="58"/>
  <c r="D23" i="58"/>
  <c r="C23" i="58"/>
  <c r="B23" i="58"/>
  <c r="A23" i="58"/>
  <c r="H22" i="58"/>
  <c r="G22" i="58"/>
  <c r="F22" i="58"/>
  <c r="E22" i="58"/>
  <c r="D22" i="58"/>
  <c r="C22" i="58"/>
  <c r="B22" i="58"/>
  <c r="A22" i="58"/>
  <c r="H21" i="58"/>
  <c r="G21" i="58"/>
  <c r="F21" i="58"/>
  <c r="E21" i="58"/>
  <c r="D21" i="58"/>
  <c r="C21" i="58"/>
  <c r="B21" i="58"/>
  <c r="A21" i="58"/>
  <c r="H20" i="58"/>
  <c r="G20" i="58"/>
  <c r="F20" i="58"/>
  <c r="E20" i="58"/>
  <c r="D20" i="58"/>
  <c r="C20" i="58"/>
  <c r="B20" i="58"/>
  <c r="A20" i="58"/>
  <c r="H19" i="58"/>
  <c r="G19" i="58"/>
  <c r="F19" i="58"/>
  <c r="E19" i="58"/>
  <c r="D19" i="58"/>
  <c r="C19" i="58"/>
  <c r="B19" i="58"/>
  <c r="A19" i="58"/>
  <c r="H18" i="58"/>
  <c r="G18" i="58"/>
  <c r="F18" i="58"/>
  <c r="E18" i="58"/>
  <c r="D18" i="58"/>
  <c r="C18" i="58"/>
  <c r="B18" i="58"/>
  <c r="A18" i="58"/>
  <c r="H17" i="58"/>
  <c r="G17" i="58"/>
  <c r="F17" i="58"/>
  <c r="E17" i="58"/>
  <c r="D17" i="58"/>
  <c r="C17" i="58"/>
  <c r="B17" i="58"/>
  <c r="A17" i="58"/>
  <c r="H16" i="58"/>
  <c r="G16" i="58"/>
  <c r="F16" i="58"/>
  <c r="E16" i="58"/>
  <c r="D16" i="58"/>
  <c r="C16" i="58"/>
  <c r="B16" i="58"/>
  <c r="A16" i="58"/>
  <c r="H15" i="58"/>
  <c r="G15" i="58"/>
  <c r="F15" i="58"/>
  <c r="E15" i="58"/>
  <c r="D15" i="58"/>
  <c r="C15" i="58"/>
  <c r="B15" i="58"/>
  <c r="A15" i="58"/>
  <c r="H14" i="58"/>
  <c r="G14" i="58"/>
  <c r="F14" i="58"/>
  <c r="E14" i="58"/>
  <c r="D14" i="58"/>
  <c r="C14" i="58"/>
  <c r="B14" i="58"/>
  <c r="A14" i="58"/>
  <c r="H13" i="58"/>
  <c r="G13" i="58"/>
  <c r="F13" i="58"/>
  <c r="E13" i="58"/>
  <c r="D13" i="58"/>
  <c r="C13" i="58"/>
  <c r="B13" i="58"/>
  <c r="A13" i="58"/>
  <c r="H12" i="58"/>
  <c r="G12" i="58"/>
  <c r="F12" i="58"/>
  <c r="E12" i="58"/>
  <c r="D12" i="58"/>
  <c r="C12" i="58"/>
  <c r="B12" i="58"/>
  <c r="A12" i="58"/>
  <c r="H11" i="58"/>
  <c r="G11" i="58"/>
  <c r="F11" i="58"/>
  <c r="E11" i="58"/>
  <c r="D11" i="58"/>
  <c r="C11" i="58"/>
  <c r="B11" i="58"/>
  <c r="A11" i="58"/>
  <c r="H10" i="58"/>
  <c r="G10" i="58"/>
  <c r="F10" i="58"/>
  <c r="E10" i="58"/>
  <c r="D10" i="58"/>
  <c r="C10" i="58"/>
  <c r="B10" i="58"/>
  <c r="A10" i="58"/>
  <c r="H9" i="58"/>
  <c r="G9" i="58"/>
  <c r="F9" i="58"/>
  <c r="E9" i="58"/>
  <c r="D9" i="58"/>
  <c r="C9" i="58"/>
  <c r="B9" i="58"/>
  <c r="A9" i="58"/>
  <c r="H8" i="58"/>
  <c r="G8" i="58"/>
  <c r="F8" i="58"/>
  <c r="E8" i="58"/>
  <c r="D8" i="58"/>
  <c r="C8" i="58"/>
  <c r="B8" i="58"/>
  <c r="A8" i="58"/>
  <c r="H7" i="58"/>
  <c r="G7" i="58"/>
  <c r="F7" i="58"/>
  <c r="E7" i="58"/>
  <c r="D7" i="58"/>
  <c r="C7" i="58"/>
  <c r="B7" i="58"/>
  <c r="A7" i="58"/>
  <c r="H6" i="58"/>
  <c r="G6" i="58"/>
  <c r="L21" i="53" s="1"/>
  <c r="F6" i="58"/>
  <c r="E6" i="58"/>
  <c r="L19" i="53" s="1"/>
  <c r="D6" i="58"/>
  <c r="C6" i="58"/>
  <c r="C67" i="58" s="1"/>
  <c r="B6" i="58"/>
  <c r="A6" i="58"/>
  <c r="H5" i="58"/>
  <c r="A5" i="58"/>
  <c r="G4" i="58"/>
  <c r="F4" i="58"/>
  <c r="E4" i="58"/>
  <c r="D4" i="58"/>
  <c r="C4" i="58"/>
  <c r="B4" i="58"/>
  <c r="A5" i="57"/>
  <c r="A6" i="57" s="1"/>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4" i="57"/>
  <c r="H2" i="57"/>
  <c r="G5" i="58" s="1"/>
  <c r="G2" i="57"/>
  <c r="F5" i="58" s="1"/>
  <c r="F2" i="57"/>
  <c r="E5" i="58" s="1"/>
  <c r="E2" i="57"/>
  <c r="D5" i="58" s="1"/>
  <c r="D2" i="57"/>
  <c r="C5" i="58" s="1"/>
  <c r="C2" i="57"/>
  <c r="B5" i="58" s="1"/>
  <c r="D11" i="42" s="1"/>
  <c r="G8" i="56"/>
  <c r="G69" i="58" s="1"/>
  <c r="G7" i="56"/>
  <c r="G6" i="56"/>
  <c r="E69" i="58" s="1"/>
  <c r="G5" i="56"/>
  <c r="G4" i="56"/>
  <c r="C69" i="58" s="1"/>
  <c r="C71" i="58" s="1"/>
  <c r="G3" i="56"/>
  <c r="B69" i="58" s="1"/>
  <c r="B71" i="58" s="1"/>
  <c r="A57" i="54"/>
  <c r="F31" i="53"/>
  <c r="J21" i="53"/>
  <c r="H21" i="53" s="1"/>
  <c r="F21" i="53"/>
  <c r="P21" i="53" s="1"/>
  <c r="B21" i="53"/>
  <c r="A21" i="53"/>
  <c r="D21" i="53" s="1"/>
  <c r="P20" i="53"/>
  <c r="L20" i="53"/>
  <c r="N20" i="53" s="1"/>
  <c r="J20" i="53"/>
  <c r="H20" i="53"/>
  <c r="F20" i="53"/>
  <c r="B20" i="53"/>
  <c r="A20" i="53"/>
  <c r="D20" i="53" s="1"/>
  <c r="J19" i="53"/>
  <c r="H19" i="53" s="1"/>
  <c r="F19" i="53"/>
  <c r="P19" i="53" s="1"/>
  <c r="B19" i="53"/>
  <c r="A19" i="53"/>
  <c r="D19" i="53" s="1"/>
  <c r="L18" i="53"/>
  <c r="P18" i="53" s="1"/>
  <c r="J18" i="53"/>
  <c r="H18" i="53"/>
  <c r="F18" i="53"/>
  <c r="D18" i="53"/>
  <c r="B18" i="53"/>
  <c r="A18" i="53"/>
  <c r="J17" i="53"/>
  <c r="H17" i="53" s="1"/>
  <c r="F17" i="53"/>
  <c r="D17" i="53"/>
  <c r="B17" i="53"/>
  <c r="A17" i="53"/>
  <c r="L16" i="53"/>
  <c r="J16" i="53"/>
  <c r="H16" i="53"/>
  <c r="F16" i="53"/>
  <c r="B16" i="53"/>
  <c r="A16" i="53"/>
  <c r="D16" i="53" s="1"/>
  <c r="B15" i="53"/>
  <c r="B13" i="53"/>
  <c r="B11" i="53"/>
  <c r="B3" i="53"/>
  <c r="B2" i="53"/>
  <c r="B1" i="53"/>
  <c r="K16" i="52"/>
  <c r="C16" i="52"/>
  <c r="K14" i="52"/>
  <c r="M16" i="52" s="1"/>
  <c r="E38" i="52" s="1"/>
  <c r="C14" i="52"/>
  <c r="C1" i="52"/>
  <c r="B58" i="51"/>
  <c r="N50" i="51"/>
  <c r="J50" i="51"/>
  <c r="N49" i="51"/>
  <c r="J49" i="51"/>
  <c r="N48" i="51"/>
  <c r="J48" i="51"/>
  <c r="N47" i="51"/>
  <c r="J47" i="51"/>
  <c r="N46" i="51"/>
  <c r="J46" i="51"/>
  <c r="N45" i="51"/>
  <c r="J45" i="51"/>
  <c r="N44" i="51"/>
  <c r="J44" i="51"/>
  <c r="N43" i="51"/>
  <c r="N51" i="51" s="1"/>
  <c r="J43" i="51"/>
  <c r="B20" i="51"/>
  <c r="N16" i="51"/>
  <c r="N12" i="51"/>
  <c r="N11" i="51"/>
  <c r="N13" i="51" s="1"/>
  <c r="B11" i="51"/>
  <c r="B9" i="51"/>
  <c r="A1" i="51"/>
  <c r="M14" i="50"/>
  <c r="F14" i="50"/>
  <c r="D14" i="50"/>
  <c r="H14" i="50" s="1"/>
  <c r="B14" i="50"/>
  <c r="A14" i="50"/>
  <c r="M13" i="50"/>
  <c r="H13" i="50"/>
  <c r="F13" i="50"/>
  <c r="D13" i="50"/>
  <c r="B13" i="50"/>
  <c r="A13" i="50"/>
  <c r="M12" i="50"/>
  <c r="F12" i="50"/>
  <c r="D12" i="50"/>
  <c r="H12" i="50" s="1"/>
  <c r="B12" i="50"/>
  <c r="A12" i="50"/>
  <c r="M11" i="50"/>
  <c r="F11" i="50"/>
  <c r="D11" i="50"/>
  <c r="H11" i="50" s="1"/>
  <c r="B11" i="50"/>
  <c r="A11" i="50"/>
  <c r="M10" i="50"/>
  <c r="F10" i="50"/>
  <c r="D10" i="50"/>
  <c r="H10" i="50" s="1"/>
  <c r="B10" i="50"/>
  <c r="A10" i="50"/>
  <c r="M9" i="50"/>
  <c r="H9" i="50"/>
  <c r="F9" i="50"/>
  <c r="D9" i="50"/>
  <c r="B9" i="50"/>
  <c r="A9" i="50"/>
  <c r="B1" i="50"/>
  <c r="E7" i="49"/>
  <c r="A1" i="49"/>
  <c r="C38" i="48"/>
  <c r="B57" i="51" s="1"/>
  <c r="C27" i="48"/>
  <c r="F9" i="48"/>
  <c r="A1" i="48"/>
  <c r="A1" i="47"/>
  <c r="H26" i="46"/>
  <c r="H25" i="46"/>
  <c r="H24" i="46"/>
  <c r="H23" i="46"/>
  <c r="H22" i="46"/>
  <c r="H21" i="46"/>
  <c r="H20" i="46"/>
  <c r="H19" i="46"/>
  <c r="H18" i="46"/>
  <c r="H17" i="46"/>
  <c r="H16" i="46"/>
  <c r="H15" i="46"/>
  <c r="H14" i="46"/>
  <c r="K18" i="45" s="1"/>
  <c r="H13" i="46"/>
  <c r="H12" i="46"/>
  <c r="K15" i="45" s="1"/>
  <c r="H11" i="46"/>
  <c r="H10" i="46"/>
  <c r="H9" i="46"/>
  <c r="H8" i="46"/>
  <c r="H7" i="46"/>
  <c r="H6" i="46"/>
  <c r="H4" i="46"/>
  <c r="I18" i="45"/>
  <c r="G18" i="45"/>
  <c r="E18" i="45"/>
  <c r="B18" i="45"/>
  <c r="A18" i="45"/>
  <c r="K17" i="45"/>
  <c r="I17" i="45"/>
  <c r="G17" i="45"/>
  <c r="E17" i="45"/>
  <c r="B17" i="45"/>
  <c r="A17" i="45"/>
  <c r="K16" i="45"/>
  <c r="I16" i="45"/>
  <c r="G16" i="45"/>
  <c r="E16" i="45"/>
  <c r="B16" i="45"/>
  <c r="A16" i="45"/>
  <c r="I15" i="45"/>
  <c r="G15" i="45"/>
  <c r="E15" i="45"/>
  <c r="B15" i="45"/>
  <c r="A15" i="45"/>
  <c r="K14" i="45"/>
  <c r="I14" i="45"/>
  <c r="G14" i="45"/>
  <c r="E14" i="45"/>
  <c r="B14" i="45"/>
  <c r="A14" i="45"/>
  <c r="K13" i="45"/>
  <c r="K20" i="45" s="1"/>
  <c r="I13" i="45"/>
  <c r="G13" i="45"/>
  <c r="G20" i="45" s="1"/>
  <c r="E13" i="45"/>
  <c r="B13" i="45"/>
  <c r="A13" i="45"/>
  <c r="I11" i="45"/>
  <c r="I8" i="45"/>
  <c r="E8" i="45"/>
  <c r="B3" i="45"/>
  <c r="E6" i="47" s="1"/>
  <c r="B1" i="45"/>
  <c r="I16" i="44"/>
  <c r="I24" i="44" s="1"/>
  <c r="G21" i="43" s="1"/>
  <c r="C33" i="43" s="1"/>
  <c r="C16" i="44"/>
  <c r="I14" i="44"/>
  <c r="F14" i="44"/>
  <c r="C14" i="44"/>
  <c r="A14" i="44"/>
  <c r="I13" i="44"/>
  <c r="F13" i="44"/>
  <c r="C13" i="44"/>
  <c r="A13" i="44"/>
  <c r="I12" i="44"/>
  <c r="F12" i="44"/>
  <c r="F16" i="44" s="1"/>
  <c r="I21" i="44" s="1"/>
  <c r="C12" i="44"/>
  <c r="A12" i="44"/>
  <c r="A1" i="44"/>
  <c r="G10" i="43"/>
  <c r="G6" i="43"/>
  <c r="A1" i="43"/>
  <c r="E38" i="42"/>
  <c r="E37" i="42"/>
  <c r="D29" i="42"/>
  <c r="M14" i="42"/>
  <c r="J14" i="42"/>
  <c r="P14" i="42" s="1"/>
  <c r="G14" i="42"/>
  <c r="B14" i="42"/>
  <c r="A14" i="42"/>
  <c r="M13" i="42"/>
  <c r="J13" i="42"/>
  <c r="G13" i="42"/>
  <c r="P13" i="42" s="1"/>
  <c r="B13" i="42"/>
  <c r="A13" i="42"/>
  <c r="D13" i="42" s="1"/>
  <c r="S13" i="42" s="1"/>
  <c r="V13" i="42" s="1"/>
  <c r="P12" i="42"/>
  <c r="M12" i="42"/>
  <c r="J12" i="42"/>
  <c r="G12" i="42"/>
  <c r="B12" i="42"/>
  <c r="A12" i="42"/>
  <c r="M11" i="42"/>
  <c r="J11" i="42"/>
  <c r="G11" i="42"/>
  <c r="P11" i="42" s="1"/>
  <c r="B11" i="42"/>
  <c r="A11" i="42"/>
  <c r="M10" i="42"/>
  <c r="J10" i="42"/>
  <c r="P10" i="42" s="1"/>
  <c r="G10" i="42"/>
  <c r="B10" i="42"/>
  <c r="A10" i="42"/>
  <c r="D10" i="42" s="1"/>
  <c r="S10" i="42" s="1"/>
  <c r="V10" i="42" s="1"/>
  <c r="M9" i="42"/>
  <c r="J9" i="42"/>
  <c r="G9" i="42"/>
  <c r="P9" i="42" s="1"/>
  <c r="B9" i="42"/>
  <c r="A9" i="42"/>
  <c r="D9" i="42" s="1"/>
  <c r="B7" i="42"/>
  <c r="B3" i="42"/>
  <c r="B1" i="42"/>
  <c r="J42" i="41"/>
  <c r="L41" i="41"/>
  <c r="J41" i="41"/>
  <c r="H41" i="41"/>
  <c r="F41" i="41"/>
  <c r="N41" i="41" s="1"/>
  <c r="D41" i="41"/>
  <c r="L40" i="41"/>
  <c r="J40" i="41"/>
  <c r="H40" i="41"/>
  <c r="H42" i="41" s="1"/>
  <c r="F40" i="41"/>
  <c r="N40" i="41" s="1"/>
  <c r="D40" i="41"/>
  <c r="N39" i="41"/>
  <c r="L39" i="41"/>
  <c r="L42" i="41" s="1"/>
  <c r="J39" i="41"/>
  <c r="H39" i="41"/>
  <c r="F39" i="41"/>
  <c r="F42" i="41" s="1"/>
  <c r="D39" i="41"/>
  <c r="D42" i="41" s="1"/>
  <c r="B38" i="41"/>
  <c r="A38" i="41"/>
  <c r="D36" i="41"/>
  <c r="L35" i="41"/>
  <c r="J35" i="41"/>
  <c r="N35" i="41" s="1"/>
  <c r="H35" i="41"/>
  <c r="F35" i="41"/>
  <c r="D35" i="41"/>
  <c r="L34" i="41"/>
  <c r="L36" i="41" s="1"/>
  <c r="J34" i="41"/>
  <c r="H34" i="41"/>
  <c r="F34" i="41"/>
  <c r="N34" i="41" s="1"/>
  <c r="D34" i="41"/>
  <c r="L33" i="41"/>
  <c r="J33" i="41"/>
  <c r="J36" i="41" s="1"/>
  <c r="H33" i="41"/>
  <c r="H36" i="41" s="1"/>
  <c r="F33" i="41"/>
  <c r="N33" i="41" s="1"/>
  <c r="N36" i="41" s="1"/>
  <c r="D33" i="41"/>
  <c r="B32" i="41"/>
  <c r="A32" i="41"/>
  <c r="H30" i="41"/>
  <c r="L29" i="41"/>
  <c r="H29" i="41"/>
  <c r="F29" i="41"/>
  <c r="D29" i="41"/>
  <c r="L28" i="41"/>
  <c r="H28" i="41"/>
  <c r="F28" i="41"/>
  <c r="D28" i="41"/>
  <c r="L27" i="41"/>
  <c r="L30" i="41" s="1"/>
  <c r="H27" i="41"/>
  <c r="F27" i="41"/>
  <c r="F30" i="41" s="1"/>
  <c r="D27" i="41"/>
  <c r="D30" i="41" s="1"/>
  <c r="B26" i="41"/>
  <c r="A26" i="41"/>
  <c r="L24" i="41"/>
  <c r="L23" i="41"/>
  <c r="J23" i="41"/>
  <c r="H23" i="41"/>
  <c r="D23" i="41"/>
  <c r="L22" i="41"/>
  <c r="J22" i="41"/>
  <c r="H22" i="41"/>
  <c r="D22" i="41"/>
  <c r="D24" i="41" s="1"/>
  <c r="L21" i="41"/>
  <c r="J21" i="41"/>
  <c r="J24" i="41" s="1"/>
  <c r="H21" i="41"/>
  <c r="H24" i="41" s="1"/>
  <c r="D21" i="41"/>
  <c r="B20" i="41"/>
  <c r="A20" i="41"/>
  <c r="J18" i="41"/>
  <c r="L17" i="41"/>
  <c r="J17" i="41"/>
  <c r="H17" i="41"/>
  <c r="L16" i="41"/>
  <c r="J16" i="41"/>
  <c r="H16" i="41"/>
  <c r="H18" i="41" s="1"/>
  <c r="L15" i="41"/>
  <c r="L18" i="41" s="1"/>
  <c r="J15" i="41"/>
  <c r="H15" i="41"/>
  <c r="B14" i="41"/>
  <c r="A14" i="41"/>
  <c r="F11" i="41"/>
  <c r="D11" i="41"/>
  <c r="F10" i="41"/>
  <c r="D10" i="41"/>
  <c r="D12" i="41" s="1"/>
  <c r="F9" i="41"/>
  <c r="D9" i="41"/>
  <c r="B8" i="41"/>
  <c r="A8" i="41"/>
  <c r="H6" i="41"/>
  <c r="J6" i="41" s="1"/>
  <c r="L6" i="41" s="1"/>
  <c r="F6" i="41"/>
  <c r="B3" i="41"/>
  <c r="B2" i="41"/>
  <c r="B44" i="41" s="1"/>
  <c r="E5" i="40"/>
  <c r="A1" i="40"/>
  <c r="C39" i="39"/>
  <c r="F16" i="54" s="1"/>
  <c r="F7" i="38" s="1"/>
  <c r="H7" i="38" s="1"/>
  <c r="A1" i="39"/>
  <c r="D10" i="38"/>
  <c r="D8" i="38"/>
  <c r="D7" i="38"/>
  <c r="A1" i="38"/>
  <c r="Q85" i="60" l="1"/>
  <c r="P85" i="60"/>
  <c r="N21" i="53"/>
  <c r="Q74" i="60"/>
  <c r="P74" i="60"/>
  <c r="Q130" i="60"/>
  <c r="P130" i="60"/>
  <c r="H16" i="50"/>
  <c r="Q47" i="60"/>
  <c r="P47" i="60"/>
  <c r="Q87" i="60"/>
  <c r="P87" i="60"/>
  <c r="A3" i="47"/>
  <c r="A4" i="48"/>
  <c r="F7" i="48" s="1"/>
  <c r="B7" i="50" s="1"/>
  <c r="S11" i="42"/>
  <c r="V11" i="42" s="1"/>
  <c r="P41" i="60"/>
  <c r="Q41" i="60"/>
  <c r="Q73" i="60"/>
  <c r="P73" i="60"/>
  <c r="Q89" i="60"/>
  <c r="P89" i="60"/>
  <c r="S9" i="42"/>
  <c r="V9" i="42" s="1"/>
  <c r="C32" i="43"/>
  <c r="G15" i="43"/>
  <c r="G18" i="43" s="1"/>
  <c r="H23" i="53"/>
  <c r="H37" i="59"/>
  <c r="N22" i="51"/>
  <c r="F13" i="48"/>
  <c r="Q86" i="60"/>
  <c r="P86" i="60"/>
  <c r="N42" i="41"/>
  <c r="D32" i="42"/>
  <c r="N30" i="51"/>
  <c r="N23" i="51"/>
  <c r="N36" i="51"/>
  <c r="Q67" i="60"/>
  <c r="P67" i="60"/>
  <c r="Q107" i="60"/>
  <c r="P107" i="60"/>
  <c r="N19" i="53"/>
  <c r="Q88" i="60"/>
  <c r="P88" i="60"/>
  <c r="Q88" i="64"/>
  <c r="P88" i="64"/>
  <c r="Q104" i="64"/>
  <c r="P104" i="64"/>
  <c r="Q120" i="64"/>
  <c r="P120" i="64"/>
  <c r="Q136" i="64"/>
  <c r="P136" i="64"/>
  <c r="Q152" i="64"/>
  <c r="P152" i="64"/>
  <c r="Q168" i="64"/>
  <c r="P168" i="64"/>
  <c r="Q184" i="64"/>
  <c r="P184" i="64"/>
  <c r="Q200" i="64"/>
  <c r="P200" i="64"/>
  <c r="Q216" i="64"/>
  <c r="P216" i="64"/>
  <c r="Q225" i="64"/>
  <c r="P225" i="64"/>
  <c r="Q281" i="64"/>
  <c r="P281" i="64"/>
  <c r="P397" i="64"/>
  <c r="Q397" i="64"/>
  <c r="P429" i="64"/>
  <c r="Q429" i="64"/>
  <c r="P461" i="64"/>
  <c r="Q461" i="64"/>
  <c r="P473" i="64"/>
  <c r="Q473" i="64"/>
  <c r="P489" i="64"/>
  <c r="Q489" i="64"/>
  <c r="P505" i="64"/>
  <c r="Q505" i="64"/>
  <c r="Q521" i="64"/>
  <c r="P521" i="64"/>
  <c r="Q537" i="64"/>
  <c r="P537" i="64"/>
  <c r="Q553" i="64"/>
  <c r="P553" i="64"/>
  <c r="Q587" i="64"/>
  <c r="P587" i="64"/>
  <c r="Q603" i="64"/>
  <c r="P603" i="64"/>
  <c r="Q615" i="64"/>
  <c r="P615" i="64"/>
  <c r="P710" i="64"/>
  <c r="Q710" i="64"/>
  <c r="P799" i="64"/>
  <c r="Q799" i="64"/>
  <c r="Q821" i="64"/>
  <c r="P821" i="64"/>
  <c r="N16" i="53"/>
  <c r="L17" i="53"/>
  <c r="N17" i="53" s="1"/>
  <c r="E67" i="58"/>
  <c r="E71" i="58" s="1"/>
  <c r="D12" i="42" s="1"/>
  <c r="S12" i="42" s="1"/>
  <c r="V12" i="42" s="1"/>
  <c r="B1" i="62"/>
  <c r="C1" i="63"/>
  <c r="C1" i="61"/>
  <c r="F23" i="53"/>
  <c r="F12" i="41"/>
  <c r="H18" i="50"/>
  <c r="P16" i="53"/>
  <c r="J23" i="53"/>
  <c r="Q273" i="60"/>
  <c r="F36" i="41"/>
  <c r="N18" i="53"/>
  <c r="G67" i="58"/>
  <c r="G71" i="58" s="1"/>
  <c r="D14" i="42" s="1"/>
  <c r="S14" i="42" s="1"/>
  <c r="V14" i="42" s="1"/>
  <c r="O153" i="60"/>
  <c r="O161" i="60"/>
  <c r="O169" i="60"/>
  <c r="O177" i="60"/>
  <c r="O185" i="60"/>
  <c r="Q190" i="60"/>
  <c r="O193" i="60"/>
  <c r="O201" i="60"/>
  <c r="O209" i="60"/>
  <c r="O217" i="60"/>
  <c r="O225" i="60"/>
  <c r="O233" i="60"/>
  <c r="O241" i="60"/>
  <c r="O249" i="60"/>
  <c r="O257" i="60"/>
  <c r="O265" i="60"/>
  <c r="O273" i="60"/>
  <c r="P273" i="60" s="1"/>
  <c r="O281" i="60"/>
  <c r="O289" i="60"/>
  <c r="O158" i="60"/>
  <c r="O166" i="60"/>
  <c r="O174" i="60"/>
  <c r="O182" i="60"/>
  <c r="O190" i="60"/>
  <c r="P190" i="60" s="1"/>
  <c r="O198" i="60"/>
  <c r="Q203" i="60"/>
  <c r="O206" i="60"/>
  <c r="P206" i="60" s="1"/>
  <c r="O214" i="60"/>
  <c r="O222" i="60"/>
  <c r="O230" i="60"/>
  <c r="O238" i="60"/>
  <c r="O246" i="60"/>
  <c r="O254" i="60"/>
  <c r="O262" i="60"/>
  <c r="O270" i="60"/>
  <c r="O278" i="60"/>
  <c r="O286" i="60"/>
  <c r="O297" i="60"/>
  <c r="O305" i="60"/>
  <c r="O313" i="60"/>
  <c r="O321" i="60"/>
  <c r="O329" i="60"/>
  <c r="O337" i="60"/>
  <c r="O345" i="60"/>
  <c r="O353" i="60"/>
  <c r="O361" i="60"/>
  <c r="O369" i="60"/>
  <c r="O377" i="60"/>
  <c r="O385" i="60"/>
  <c r="O393" i="60"/>
  <c r="O401" i="60"/>
  <c r="Q425" i="60"/>
  <c r="P425" i="60"/>
  <c r="Q248" i="60"/>
  <c r="Q398" i="60"/>
  <c r="P398" i="60"/>
  <c r="Q406" i="60"/>
  <c r="P406" i="60"/>
  <c r="O208" i="60"/>
  <c r="O216" i="60"/>
  <c r="Q221" i="60"/>
  <c r="O224" i="60"/>
  <c r="O232" i="60"/>
  <c r="O240" i="60"/>
  <c r="O248" i="60"/>
  <c r="P248" i="60" s="1"/>
  <c r="O272" i="60"/>
  <c r="O280" i="60"/>
  <c r="O288" i="60"/>
  <c r="B11" i="45"/>
  <c r="C29" i="48"/>
  <c r="O157" i="60"/>
  <c r="O165" i="60"/>
  <c r="O173" i="60"/>
  <c r="Q178" i="60"/>
  <c r="O181" i="60"/>
  <c r="O189" i="60"/>
  <c r="O197" i="60"/>
  <c r="Q202" i="60"/>
  <c r="O205" i="60"/>
  <c r="O213" i="60"/>
  <c r="O221" i="60"/>
  <c r="P221" i="60" s="1"/>
  <c r="O229" i="60"/>
  <c r="O237" i="60"/>
  <c r="O245" i="60"/>
  <c r="O253" i="60"/>
  <c r="O261" i="60"/>
  <c r="O269" i="60"/>
  <c r="O277" i="60"/>
  <c r="O285" i="60"/>
  <c r="Q290" i="60"/>
  <c r="O293" i="60"/>
  <c r="O296" i="60"/>
  <c r="O299" i="60"/>
  <c r="O307" i="60"/>
  <c r="O315" i="60"/>
  <c r="P315" i="60" s="1"/>
  <c r="O323" i="60"/>
  <c r="O331" i="60"/>
  <c r="O339" i="60"/>
  <c r="O347" i="60"/>
  <c r="O403" i="60"/>
  <c r="P441" i="60"/>
  <c r="Q441" i="60"/>
  <c r="O295" i="60"/>
  <c r="O301" i="60"/>
  <c r="O341" i="60"/>
  <c r="O349" i="60"/>
  <c r="O357" i="60"/>
  <c r="O365" i="60"/>
  <c r="O373" i="60"/>
  <c r="O381" i="60"/>
  <c r="O389" i="60"/>
  <c r="O397" i="60"/>
  <c r="O405" i="60"/>
  <c r="Q421" i="60"/>
  <c r="P421" i="60"/>
  <c r="Q444" i="60"/>
  <c r="Q303" i="60"/>
  <c r="O322" i="60"/>
  <c r="P322" i="60" s="1"/>
  <c r="O338" i="60"/>
  <c r="O346" i="60"/>
  <c r="O354" i="60"/>
  <c r="O362" i="60"/>
  <c r="Q386" i="60"/>
  <c r="P386" i="60"/>
  <c r="O294" i="60"/>
  <c r="O303" i="60"/>
  <c r="P303" i="60" s="1"/>
  <c r="O311" i="60"/>
  <c r="O319" i="60"/>
  <c r="O327" i="60"/>
  <c r="O335" i="60"/>
  <c r="O343" i="60"/>
  <c r="O351" i="60"/>
  <c r="O359" i="60"/>
  <c r="O367" i="60"/>
  <c r="O375" i="60"/>
  <c r="O383" i="60"/>
  <c r="O391" i="60"/>
  <c r="O399" i="60"/>
  <c r="Q442" i="60"/>
  <c r="G236" i="61"/>
  <c r="H236" i="61" s="1"/>
  <c r="O300" i="60"/>
  <c r="O308" i="60"/>
  <c r="O316" i="60"/>
  <c r="O324" i="60"/>
  <c r="O332" i="60"/>
  <c r="O340" i="60"/>
  <c r="O348" i="60"/>
  <c r="O356" i="60"/>
  <c r="O364" i="60"/>
  <c r="O372" i="60"/>
  <c r="O380" i="60"/>
  <c r="O388" i="60"/>
  <c r="O396" i="60"/>
  <c r="O404" i="60"/>
  <c r="Q420" i="60"/>
  <c r="P420" i="60"/>
  <c r="Q445" i="60"/>
  <c r="P449" i="60"/>
  <c r="Q449" i="60"/>
  <c r="G65" i="61"/>
  <c r="H65" i="61" s="1"/>
  <c r="G481" i="61"/>
  <c r="H481" i="61" s="1"/>
  <c r="Q492" i="60"/>
  <c r="Q500" i="60"/>
  <c r="G40" i="61"/>
  <c r="H40" i="61" s="1"/>
  <c r="G175" i="61"/>
  <c r="H175" i="61" s="1"/>
  <c r="G24" i="61"/>
  <c r="H24" i="61" s="1"/>
  <c r="G183" i="61"/>
  <c r="H183" i="61" s="1"/>
  <c r="M5" i="62"/>
  <c r="Q471" i="60"/>
  <c r="Q475" i="60"/>
  <c r="Q479" i="60"/>
  <c r="G100" i="61"/>
  <c r="H100" i="61" s="1"/>
  <c r="G433" i="61"/>
  <c r="H433" i="61" s="1"/>
  <c r="G212" i="61"/>
  <c r="H212" i="61" s="1"/>
  <c r="G50" i="61"/>
  <c r="H50" i="61" s="1"/>
  <c r="G116" i="61"/>
  <c r="H116" i="61" s="1"/>
  <c r="G192" i="61"/>
  <c r="H192" i="61" s="1"/>
  <c r="G367" i="61"/>
  <c r="H367" i="61" s="1"/>
  <c r="G17" i="62"/>
  <c r="F17" i="62"/>
  <c r="L17" i="62" s="1"/>
  <c r="H17" i="62"/>
  <c r="E17" i="62"/>
  <c r="K17" i="62" s="1"/>
  <c r="M17" i="62" s="1"/>
  <c r="D17" i="62"/>
  <c r="J17" i="62" s="1"/>
  <c r="G32" i="61"/>
  <c r="H32" i="61" s="1"/>
  <c r="G228" i="61"/>
  <c r="H228" i="61" s="1"/>
  <c r="G122" i="61"/>
  <c r="H122" i="61" s="1"/>
  <c r="G211" i="61"/>
  <c r="H211" i="61" s="1"/>
  <c r="G251" i="61"/>
  <c r="H251" i="61" s="1"/>
  <c r="G315" i="61"/>
  <c r="H315" i="61" s="1"/>
  <c r="G368" i="61"/>
  <c r="H368" i="61" s="1"/>
  <c r="G432" i="61"/>
  <c r="H432" i="61" s="1"/>
  <c r="G471" i="61"/>
  <c r="H471" i="61" s="1"/>
  <c r="G190" i="61"/>
  <c r="H190" i="61" s="1"/>
  <c r="G351" i="61"/>
  <c r="H351" i="61" s="1"/>
  <c r="G403" i="61"/>
  <c r="H403" i="61" s="1"/>
  <c r="G472" i="61"/>
  <c r="H472" i="61" s="1"/>
  <c r="G502" i="61"/>
  <c r="H502" i="61" s="1"/>
  <c r="G91" i="61"/>
  <c r="H91" i="61" s="1"/>
  <c r="G130" i="61"/>
  <c r="H130" i="61" s="1"/>
  <c r="G219" i="61"/>
  <c r="H219" i="61" s="1"/>
  <c r="G256" i="61"/>
  <c r="H256" i="61" s="1"/>
  <c r="G299" i="61"/>
  <c r="H299" i="61" s="1"/>
  <c r="G352" i="61"/>
  <c r="H352" i="61" s="1"/>
  <c r="G438" i="61"/>
  <c r="H438" i="61" s="1"/>
  <c r="G473" i="61"/>
  <c r="H473" i="61" s="1"/>
  <c r="M4" i="62"/>
  <c r="M10" i="62"/>
  <c r="G102" i="61"/>
  <c r="H102" i="61" s="1"/>
  <c r="G198" i="61"/>
  <c r="H198" i="61" s="1"/>
  <c r="G329" i="61"/>
  <c r="H329" i="61" s="1"/>
  <c r="G375" i="61"/>
  <c r="H375" i="61" s="1"/>
  <c r="G439" i="61"/>
  <c r="H439" i="61" s="1"/>
  <c r="G491" i="61"/>
  <c r="H491" i="61" s="1"/>
  <c r="C504" i="61"/>
  <c r="G324" i="61" s="1"/>
  <c r="H324" i="61" s="1"/>
  <c r="M26" i="62"/>
  <c r="G106" i="61"/>
  <c r="H106" i="61" s="1"/>
  <c r="G195" i="61"/>
  <c r="H195" i="61" s="1"/>
  <c r="G202" i="61"/>
  <c r="H202" i="61" s="1"/>
  <c r="G312" i="61"/>
  <c r="H312" i="61" s="1"/>
  <c r="G347" i="61"/>
  <c r="H347" i="61" s="1"/>
  <c r="G376" i="61"/>
  <c r="H376" i="61" s="1"/>
  <c r="G422" i="61"/>
  <c r="H422" i="61" s="1"/>
  <c r="G463" i="61"/>
  <c r="H463" i="61" s="1"/>
  <c r="G492" i="61"/>
  <c r="H492" i="61" s="1"/>
  <c r="G174" i="61"/>
  <c r="H174" i="61" s="1"/>
  <c r="G206" i="61"/>
  <c r="H206" i="61" s="1"/>
  <c r="G313" i="61"/>
  <c r="H313" i="61" s="1"/>
  <c r="G359" i="61"/>
  <c r="H359" i="61" s="1"/>
  <c r="G371" i="61"/>
  <c r="H371" i="61" s="1"/>
  <c r="G423" i="61"/>
  <c r="H423" i="61" s="1"/>
  <c r="G446" i="61"/>
  <c r="H446" i="61" s="1"/>
  <c r="G464" i="61"/>
  <c r="H464" i="61" s="1"/>
  <c r="G107" i="61"/>
  <c r="H107" i="61" s="1"/>
  <c r="G114" i="61"/>
  <c r="H114" i="61" s="1"/>
  <c r="G178" i="61"/>
  <c r="H178" i="61" s="1"/>
  <c r="G242" i="61"/>
  <c r="H242" i="61" s="1"/>
  <c r="G246" i="61"/>
  <c r="H246" i="61" s="1"/>
  <c r="G262" i="61"/>
  <c r="H262" i="61" s="1"/>
  <c r="G274" i="61"/>
  <c r="H274" i="61" s="1"/>
  <c r="G282" i="61"/>
  <c r="H282" i="61" s="1"/>
  <c r="G331" i="61"/>
  <c r="H331" i="61" s="1"/>
  <c r="G366" i="61"/>
  <c r="H366" i="61" s="1"/>
  <c r="G384" i="61"/>
  <c r="H384" i="61" s="1"/>
  <c r="G430" i="61"/>
  <c r="H430" i="61" s="1"/>
  <c r="G487" i="61"/>
  <c r="H487" i="61" s="1"/>
  <c r="M29" i="62"/>
  <c r="G7" i="62"/>
  <c r="F7" i="62"/>
  <c r="L7" i="62" s="1"/>
  <c r="E11" i="62"/>
  <c r="K11" i="62" s="1"/>
  <c r="G23" i="62"/>
  <c r="F23" i="62"/>
  <c r="L23" i="62" s="1"/>
  <c r="E27" i="62"/>
  <c r="K27" i="62" s="1"/>
  <c r="D9" i="63"/>
  <c r="C9" i="63"/>
  <c r="Q78" i="64"/>
  <c r="P78" i="64"/>
  <c r="Q94" i="64"/>
  <c r="P94" i="64"/>
  <c r="Q110" i="64"/>
  <c r="P110" i="64"/>
  <c r="Q126" i="64"/>
  <c r="P126" i="64"/>
  <c r="Q142" i="64"/>
  <c r="P142" i="64"/>
  <c r="Q158" i="64"/>
  <c r="P158" i="64"/>
  <c r="Q174" i="64"/>
  <c r="P174" i="64"/>
  <c r="Q190" i="64"/>
  <c r="P190" i="64"/>
  <c r="Q206" i="64"/>
  <c r="P206" i="64"/>
  <c r="Q243" i="64"/>
  <c r="Q257" i="64"/>
  <c r="P257" i="64"/>
  <c r="Q267" i="64"/>
  <c r="Q321" i="64"/>
  <c r="P321" i="64"/>
  <c r="Q331" i="64"/>
  <c r="Q345" i="64"/>
  <c r="P345" i="64"/>
  <c r="G306" i="61"/>
  <c r="H306" i="61" s="1"/>
  <c r="G354" i="61"/>
  <c r="H354" i="61" s="1"/>
  <c r="G370" i="61"/>
  <c r="H370" i="61" s="1"/>
  <c r="D7" i="62"/>
  <c r="J7" i="62" s="1"/>
  <c r="G13" i="62"/>
  <c r="F13" i="62"/>
  <c r="L13" i="62" s="1"/>
  <c r="M13" i="62" s="1"/>
  <c r="D23" i="62"/>
  <c r="J23" i="62" s="1"/>
  <c r="G29" i="62"/>
  <c r="F29" i="62"/>
  <c r="L29" i="62" s="1"/>
  <c r="F7" i="63"/>
  <c r="E9" i="63"/>
  <c r="D13" i="63"/>
  <c r="C13" i="63"/>
  <c r="D17" i="63"/>
  <c r="F17" i="63" s="1"/>
  <c r="C17" i="63"/>
  <c r="Q84" i="64"/>
  <c r="P84" i="64"/>
  <c r="Q100" i="64"/>
  <c r="P100" i="64"/>
  <c r="Q116" i="64"/>
  <c r="P116" i="64"/>
  <c r="Q132" i="64"/>
  <c r="P132" i="64"/>
  <c r="Q148" i="64"/>
  <c r="P148" i="64"/>
  <c r="Q164" i="64"/>
  <c r="P164" i="64"/>
  <c r="Q180" i="64"/>
  <c r="P180" i="64"/>
  <c r="Q196" i="64"/>
  <c r="P196" i="64"/>
  <c r="Q212" i="64"/>
  <c r="P212" i="64"/>
  <c r="Q235" i="64"/>
  <c r="Q297" i="64"/>
  <c r="P297" i="64"/>
  <c r="G3" i="62"/>
  <c r="F3" i="62"/>
  <c r="L3" i="62" s="1"/>
  <c r="G19" i="62"/>
  <c r="F19" i="62"/>
  <c r="L19" i="62" s="1"/>
  <c r="M20" i="62"/>
  <c r="E23" i="62"/>
  <c r="K23" i="62" s="1"/>
  <c r="E6" i="63"/>
  <c r="D6" i="63"/>
  <c r="E13" i="63"/>
  <c r="F15" i="63"/>
  <c r="E17" i="63"/>
  <c r="D21" i="63"/>
  <c r="C21" i="63"/>
  <c r="D25" i="63"/>
  <c r="C25" i="63"/>
  <c r="F31" i="63"/>
  <c r="Q74" i="64"/>
  <c r="P74" i="64"/>
  <c r="Q90" i="64"/>
  <c r="P90" i="64"/>
  <c r="Q106" i="64"/>
  <c r="P106" i="64"/>
  <c r="Q122" i="64"/>
  <c r="P122" i="64"/>
  <c r="Q138" i="64"/>
  <c r="P138" i="64"/>
  <c r="Q154" i="64"/>
  <c r="P154" i="64"/>
  <c r="Q170" i="64"/>
  <c r="P170" i="64"/>
  <c r="Q186" i="64"/>
  <c r="P186" i="64"/>
  <c r="Q202" i="64"/>
  <c r="P202" i="64"/>
  <c r="Q218" i="64"/>
  <c r="P218" i="64"/>
  <c r="Q273" i="64"/>
  <c r="P273" i="64"/>
  <c r="Q337" i="64"/>
  <c r="P337" i="64"/>
  <c r="D3" i="62"/>
  <c r="J3" i="62" s="1"/>
  <c r="H7" i="62"/>
  <c r="G9" i="62"/>
  <c r="F9" i="62"/>
  <c r="L9" i="62" s="1"/>
  <c r="D19" i="62"/>
  <c r="J19" i="62" s="1"/>
  <c r="H23" i="62"/>
  <c r="G25" i="62"/>
  <c r="F25" i="62"/>
  <c r="L25" i="62" s="1"/>
  <c r="C6" i="63"/>
  <c r="E10" i="63"/>
  <c r="D10" i="63"/>
  <c r="E21" i="63"/>
  <c r="F23" i="63"/>
  <c r="E25" i="63"/>
  <c r="D29" i="63"/>
  <c r="F29" i="63" s="1"/>
  <c r="C29" i="63"/>
  <c r="Q45" i="64"/>
  <c r="Q49" i="64"/>
  <c r="Q53" i="64"/>
  <c r="Q57" i="64"/>
  <c r="Q61" i="64"/>
  <c r="Q65" i="64"/>
  <c r="Q69" i="64"/>
  <c r="Q73" i="64"/>
  <c r="Q80" i="64"/>
  <c r="P80" i="64"/>
  <c r="Q96" i="64"/>
  <c r="P96" i="64"/>
  <c r="Q112" i="64"/>
  <c r="P112" i="64"/>
  <c r="Q128" i="64"/>
  <c r="P128" i="64"/>
  <c r="Q144" i="64"/>
  <c r="P144" i="64"/>
  <c r="Q160" i="64"/>
  <c r="P160" i="64"/>
  <c r="Q176" i="64"/>
  <c r="P176" i="64"/>
  <c r="Q192" i="64"/>
  <c r="P192" i="64"/>
  <c r="Q208" i="64"/>
  <c r="P208" i="64"/>
  <c r="Q249" i="64"/>
  <c r="P249" i="64"/>
  <c r="Q259" i="64"/>
  <c r="Q313" i="64"/>
  <c r="P313" i="64"/>
  <c r="Q323" i="64"/>
  <c r="Q347" i="64"/>
  <c r="E3" i="62"/>
  <c r="K3" i="62" s="1"/>
  <c r="M3" i="62" s="1"/>
  <c r="D9" i="62"/>
  <c r="J9" i="62" s="1"/>
  <c r="G15" i="62"/>
  <c r="F15" i="62"/>
  <c r="L15" i="62" s="1"/>
  <c r="M15" i="62" s="1"/>
  <c r="E19" i="62"/>
  <c r="K19" i="62" s="1"/>
  <c r="M19" i="62" s="1"/>
  <c r="D25" i="62"/>
  <c r="J25" i="62" s="1"/>
  <c r="G31" i="62"/>
  <c r="F31" i="62"/>
  <c r="L31" i="62" s="1"/>
  <c r="E14" i="63"/>
  <c r="D14" i="63"/>
  <c r="E18" i="63"/>
  <c r="D18" i="63"/>
  <c r="F18" i="63" s="1"/>
  <c r="Q86" i="64"/>
  <c r="P86" i="64"/>
  <c r="Q102" i="64"/>
  <c r="P102" i="64"/>
  <c r="Q118" i="64"/>
  <c r="P118" i="64"/>
  <c r="Q134" i="64"/>
  <c r="P134" i="64"/>
  <c r="Q150" i="64"/>
  <c r="P150" i="64"/>
  <c r="Q166" i="64"/>
  <c r="P166" i="64"/>
  <c r="Q182" i="64"/>
  <c r="P182" i="64"/>
  <c r="Q198" i="64"/>
  <c r="P198" i="64"/>
  <c r="Q214" i="64"/>
  <c r="P214" i="64"/>
  <c r="Q289" i="64"/>
  <c r="P289" i="64"/>
  <c r="G298" i="61"/>
  <c r="H298" i="61" s="1"/>
  <c r="G314" i="61"/>
  <c r="H314" i="61" s="1"/>
  <c r="G330" i="61"/>
  <c r="H330" i="61" s="1"/>
  <c r="G362" i="61"/>
  <c r="H362" i="61" s="1"/>
  <c r="G378" i="61"/>
  <c r="H378" i="61" s="1"/>
  <c r="G458" i="61"/>
  <c r="H458" i="61" s="1"/>
  <c r="H3" i="62"/>
  <c r="G5" i="62"/>
  <c r="F5" i="62"/>
  <c r="L5" i="62" s="1"/>
  <c r="E9" i="62"/>
  <c r="K9" i="62" s="1"/>
  <c r="M9" i="62" s="1"/>
  <c r="D15" i="62"/>
  <c r="J15" i="62" s="1"/>
  <c r="H19" i="62"/>
  <c r="G21" i="62"/>
  <c r="F21" i="62"/>
  <c r="L21" i="62" s="1"/>
  <c r="E25" i="62"/>
  <c r="K25" i="62" s="1"/>
  <c r="M25" i="62" s="1"/>
  <c r="D31" i="62"/>
  <c r="J31" i="62" s="1"/>
  <c r="F8" i="63"/>
  <c r="C14" i="63"/>
  <c r="C18" i="63"/>
  <c r="E22" i="63"/>
  <c r="D22" i="63"/>
  <c r="F22" i="63" s="1"/>
  <c r="E26" i="63"/>
  <c r="D26" i="63"/>
  <c r="E30" i="63"/>
  <c r="D30" i="63"/>
  <c r="F30" i="63" s="1"/>
  <c r="Q46" i="64"/>
  <c r="Q50" i="64"/>
  <c r="Q54" i="64"/>
  <c r="Q58" i="64"/>
  <c r="Q62" i="64"/>
  <c r="Q66" i="64"/>
  <c r="Q70" i="64"/>
  <c r="Q76" i="64"/>
  <c r="P76" i="64"/>
  <c r="Q92" i="64"/>
  <c r="P92" i="64"/>
  <c r="Q108" i="64"/>
  <c r="P108" i="64"/>
  <c r="Q124" i="64"/>
  <c r="P124" i="64"/>
  <c r="Q140" i="64"/>
  <c r="P140" i="64"/>
  <c r="Q156" i="64"/>
  <c r="P156" i="64"/>
  <c r="Q172" i="64"/>
  <c r="P172" i="64"/>
  <c r="Q188" i="64"/>
  <c r="P188" i="64"/>
  <c r="Q204" i="64"/>
  <c r="P204" i="64"/>
  <c r="Q220" i="64"/>
  <c r="P220" i="64"/>
  <c r="Q241" i="64"/>
  <c r="P241" i="64"/>
  <c r="Q265" i="64"/>
  <c r="P265" i="64"/>
  <c r="Q275" i="64"/>
  <c r="Q329" i="64"/>
  <c r="P329" i="64"/>
  <c r="Q339" i="64"/>
  <c r="G11" i="62"/>
  <c r="F11" i="62"/>
  <c r="L11" i="62" s="1"/>
  <c r="G27" i="62"/>
  <c r="F27" i="62"/>
  <c r="L27" i="62" s="1"/>
  <c r="D5" i="63"/>
  <c r="F5" i="63" s="1"/>
  <c r="C5" i="63"/>
  <c r="F12" i="63"/>
  <c r="F16" i="63"/>
  <c r="C26" i="63"/>
  <c r="C30" i="63"/>
  <c r="Q41" i="64"/>
  <c r="P44" i="64"/>
  <c r="P48" i="64"/>
  <c r="P52" i="64"/>
  <c r="P56" i="64"/>
  <c r="P60" i="64"/>
  <c r="P64" i="64"/>
  <c r="P68" i="64"/>
  <c r="P72" i="64"/>
  <c r="Q82" i="64"/>
  <c r="P82" i="64"/>
  <c r="Q98" i="64"/>
  <c r="P98" i="64"/>
  <c r="Q114" i="64"/>
  <c r="P114" i="64"/>
  <c r="Q130" i="64"/>
  <c r="P130" i="64"/>
  <c r="Q146" i="64"/>
  <c r="P146" i="64"/>
  <c r="Q162" i="64"/>
  <c r="P162" i="64"/>
  <c r="Q178" i="64"/>
  <c r="P178" i="64"/>
  <c r="Q194" i="64"/>
  <c r="P194" i="64"/>
  <c r="Q210" i="64"/>
  <c r="P210" i="64"/>
  <c r="Q233" i="64"/>
  <c r="P233" i="64"/>
  <c r="Q305" i="64"/>
  <c r="P305" i="64"/>
  <c r="Q315" i="64"/>
  <c r="P365" i="64"/>
  <c r="Q365" i="64"/>
  <c r="P373" i="64"/>
  <c r="Q373" i="64"/>
  <c r="P381" i="64"/>
  <c r="Q381" i="64"/>
  <c r="P389" i="64"/>
  <c r="Q389" i="64"/>
  <c r="P417" i="64"/>
  <c r="Q417" i="64"/>
  <c r="P449" i="64"/>
  <c r="Q449" i="64"/>
  <c r="Q527" i="64"/>
  <c r="P527" i="64"/>
  <c r="Q543" i="64"/>
  <c r="P543" i="64"/>
  <c r="Q559" i="64"/>
  <c r="P559" i="64"/>
  <c r="Q563" i="64"/>
  <c r="P563" i="64"/>
  <c r="Q567" i="64"/>
  <c r="P567" i="64"/>
  <c r="Q571" i="64"/>
  <c r="P571" i="64"/>
  <c r="Q581" i="64"/>
  <c r="P581" i="64"/>
  <c r="Q597" i="64"/>
  <c r="P597" i="64"/>
  <c r="Q362" i="64"/>
  <c r="P362" i="64"/>
  <c r="Q370" i="64"/>
  <c r="P370" i="64"/>
  <c r="Q378" i="64"/>
  <c r="P378" i="64"/>
  <c r="Q386" i="64"/>
  <c r="P386" i="64"/>
  <c r="Q394" i="64"/>
  <c r="P394" i="64"/>
  <c r="P405" i="64"/>
  <c r="Q405" i="64"/>
  <c r="P437" i="64"/>
  <c r="Q437" i="64"/>
  <c r="P469" i="64"/>
  <c r="Q469" i="64"/>
  <c r="P485" i="64"/>
  <c r="Q485" i="64"/>
  <c r="P501" i="64"/>
  <c r="Q501" i="64"/>
  <c r="P517" i="64"/>
  <c r="Q517" i="64"/>
  <c r="T227" i="64"/>
  <c r="P234" i="64"/>
  <c r="T235" i="64"/>
  <c r="P242" i="64"/>
  <c r="T243" i="64"/>
  <c r="P250" i="64"/>
  <c r="T251" i="64"/>
  <c r="T259" i="64"/>
  <c r="T267" i="64"/>
  <c r="T275" i="64"/>
  <c r="T283" i="64"/>
  <c r="T291" i="64"/>
  <c r="Q354" i="64"/>
  <c r="P354" i="64"/>
  <c r="P425" i="64"/>
  <c r="Q425" i="64"/>
  <c r="P457" i="64"/>
  <c r="Q457" i="64"/>
  <c r="Q228" i="64"/>
  <c r="Q236" i="64"/>
  <c r="Q244" i="64"/>
  <c r="Q252" i="64"/>
  <c r="Q260" i="64"/>
  <c r="Q268" i="64"/>
  <c r="Q276" i="64"/>
  <c r="Q284" i="64"/>
  <c r="Q292" i="64"/>
  <c r="Q300" i="64"/>
  <c r="Q308" i="64"/>
  <c r="Q316" i="64"/>
  <c r="Q324" i="64"/>
  <c r="Q332" i="64"/>
  <c r="Q340" i="64"/>
  <c r="Q348" i="64"/>
  <c r="P413" i="64"/>
  <c r="Q413" i="64"/>
  <c r="P445" i="64"/>
  <c r="Q445" i="64"/>
  <c r="P481" i="64"/>
  <c r="Q481" i="64"/>
  <c r="P497" i="64"/>
  <c r="Q497" i="64"/>
  <c r="P513" i="64"/>
  <c r="Q513" i="64"/>
  <c r="P232" i="64"/>
  <c r="T233" i="64"/>
  <c r="P240" i="64"/>
  <c r="T241" i="64"/>
  <c r="P248" i="64"/>
  <c r="T249" i="64"/>
  <c r="P256" i="64"/>
  <c r="T257" i="64"/>
  <c r="T265" i="64"/>
  <c r="T273" i="64"/>
  <c r="T281" i="64"/>
  <c r="T289" i="64"/>
  <c r="P401" i="64"/>
  <c r="Q401" i="64"/>
  <c r="P433" i="64"/>
  <c r="Q433" i="64"/>
  <c r="P465" i="64"/>
  <c r="Q465" i="64"/>
  <c r="C33" i="63"/>
  <c r="P421" i="64"/>
  <c r="Q421" i="64"/>
  <c r="P453" i="64"/>
  <c r="Q453" i="64"/>
  <c r="P477" i="64"/>
  <c r="Q477" i="64"/>
  <c r="P493" i="64"/>
  <c r="Q493" i="64"/>
  <c r="P509" i="64"/>
  <c r="Q509" i="64"/>
  <c r="P222" i="64"/>
  <c r="T223" i="64"/>
  <c r="P230" i="64"/>
  <c r="T231" i="64"/>
  <c r="P238" i="64"/>
  <c r="T239" i="64"/>
  <c r="P246" i="64"/>
  <c r="T247" i="64"/>
  <c r="P254" i="64"/>
  <c r="T255" i="64"/>
  <c r="T263" i="64"/>
  <c r="T271" i="64"/>
  <c r="T279" i="64"/>
  <c r="T287" i="64"/>
  <c r="P409" i="64"/>
  <c r="Q409" i="64"/>
  <c r="P441" i="64"/>
  <c r="Q441" i="64"/>
  <c r="Q533" i="64"/>
  <c r="P533" i="64"/>
  <c r="Q549" i="64"/>
  <c r="P549" i="64"/>
  <c r="Q575" i="64"/>
  <c r="P575" i="64"/>
  <c r="Q591" i="64"/>
  <c r="P591" i="64"/>
  <c r="Q607" i="64"/>
  <c r="P607" i="64"/>
  <c r="Q613" i="64"/>
  <c r="P613" i="64"/>
  <c r="P363" i="64"/>
  <c r="P371" i="64"/>
  <c r="P379" i="64"/>
  <c r="P387" i="64"/>
  <c r="P395" i="64"/>
  <c r="Q523" i="64"/>
  <c r="P523" i="64"/>
  <c r="Q539" i="64"/>
  <c r="P539" i="64"/>
  <c r="Q555" i="64"/>
  <c r="P555" i="64"/>
  <c r="Q585" i="64"/>
  <c r="P585" i="64"/>
  <c r="Q601" i="64"/>
  <c r="P601" i="64"/>
  <c r="Q529" i="64"/>
  <c r="P529" i="64"/>
  <c r="Q545" i="64"/>
  <c r="P545" i="64"/>
  <c r="Q579" i="64"/>
  <c r="P579" i="64"/>
  <c r="Q595" i="64"/>
  <c r="P595" i="64"/>
  <c r="Q611" i="64"/>
  <c r="P611" i="64"/>
  <c r="Q619" i="64"/>
  <c r="P619" i="64"/>
  <c r="Q632" i="64"/>
  <c r="P632" i="64"/>
  <c r="P356" i="64"/>
  <c r="P358" i="64"/>
  <c r="P360" i="64"/>
  <c r="P361" i="64"/>
  <c r="P368" i="64"/>
  <c r="P369" i="64"/>
  <c r="P376" i="64"/>
  <c r="P377" i="64"/>
  <c r="P384" i="64"/>
  <c r="P385" i="64"/>
  <c r="P392" i="64"/>
  <c r="P393" i="64"/>
  <c r="Q398" i="64"/>
  <c r="Q402" i="64"/>
  <c r="Q406" i="64"/>
  <c r="Q410" i="64"/>
  <c r="Q414" i="64"/>
  <c r="Q418" i="64"/>
  <c r="Q422" i="64"/>
  <c r="Q426" i="64"/>
  <c r="Q430" i="64"/>
  <c r="Q434" i="64"/>
  <c r="Q438" i="64"/>
  <c r="Q442" i="64"/>
  <c r="Q446" i="64"/>
  <c r="Q450" i="64"/>
  <c r="Q454" i="64"/>
  <c r="Q458" i="64"/>
  <c r="Q462" i="64"/>
  <c r="Q466" i="64"/>
  <c r="Q535" i="64"/>
  <c r="P535" i="64"/>
  <c r="Q551" i="64"/>
  <c r="P551" i="64"/>
  <c r="Q561" i="64"/>
  <c r="P561" i="64"/>
  <c r="Q565" i="64"/>
  <c r="P565" i="64"/>
  <c r="Q569" i="64"/>
  <c r="P569" i="64"/>
  <c r="Q573" i="64"/>
  <c r="P573" i="64"/>
  <c r="Q589" i="64"/>
  <c r="P589" i="64"/>
  <c r="Q605" i="64"/>
  <c r="P605" i="64"/>
  <c r="P624" i="64"/>
  <c r="Q624" i="64"/>
  <c r="Q525" i="64"/>
  <c r="P525" i="64"/>
  <c r="Q541" i="64"/>
  <c r="P541" i="64"/>
  <c r="Q557" i="64"/>
  <c r="P557" i="64"/>
  <c r="Q583" i="64"/>
  <c r="P583" i="64"/>
  <c r="Q599" i="64"/>
  <c r="P599" i="64"/>
  <c r="Q617" i="64"/>
  <c r="P617" i="64"/>
  <c r="P367" i="64"/>
  <c r="P375" i="64"/>
  <c r="P383" i="64"/>
  <c r="P391" i="64"/>
  <c r="Q399" i="64"/>
  <c r="Q403" i="64"/>
  <c r="Q407" i="64"/>
  <c r="Q411" i="64"/>
  <c r="Q415" i="64"/>
  <c r="Q419" i="64"/>
  <c r="Q423" i="64"/>
  <c r="Q427" i="64"/>
  <c r="Q431" i="64"/>
  <c r="Q435" i="64"/>
  <c r="Q439" i="64"/>
  <c r="Q443" i="64"/>
  <c r="Q447" i="64"/>
  <c r="Q451" i="64"/>
  <c r="Q455" i="64"/>
  <c r="Q459" i="64"/>
  <c r="Q463" i="64"/>
  <c r="Q467" i="64"/>
  <c r="Q471" i="64"/>
  <c r="Q475" i="64"/>
  <c r="Q479" i="64"/>
  <c r="Q483" i="64"/>
  <c r="Q487" i="64"/>
  <c r="Q491" i="64"/>
  <c r="Q495" i="64"/>
  <c r="Q499" i="64"/>
  <c r="Q503" i="64"/>
  <c r="Q507" i="64"/>
  <c r="Q511" i="64"/>
  <c r="Q515" i="64"/>
  <c r="Q519" i="64"/>
  <c r="Q531" i="64"/>
  <c r="P531" i="64"/>
  <c r="Q547" i="64"/>
  <c r="P547" i="64"/>
  <c r="Q577" i="64"/>
  <c r="P577" i="64"/>
  <c r="Q593" i="64"/>
  <c r="P593" i="64"/>
  <c r="Q609" i="64"/>
  <c r="P609" i="64"/>
  <c r="P711" i="64"/>
  <c r="Q711" i="64"/>
  <c r="P719" i="64"/>
  <c r="Q719" i="64"/>
  <c r="P727" i="64"/>
  <c r="Q727" i="64"/>
  <c r="P735" i="64"/>
  <c r="Q735" i="64"/>
  <c r="P743" i="64"/>
  <c r="Q743" i="64"/>
  <c r="P751" i="64"/>
  <c r="Q751" i="64"/>
  <c r="P759" i="64"/>
  <c r="Q759" i="64"/>
  <c r="P767" i="64"/>
  <c r="Q767" i="64"/>
  <c r="P787" i="64"/>
  <c r="Q787" i="64"/>
  <c r="P811" i="64"/>
  <c r="Q811" i="64"/>
  <c r="P621" i="64"/>
  <c r="P629" i="64"/>
  <c r="P775" i="64"/>
  <c r="Q775" i="64"/>
  <c r="P795" i="64"/>
  <c r="Q795" i="64"/>
  <c r="P807" i="64"/>
  <c r="Q807" i="64"/>
  <c r="P620" i="64"/>
  <c r="P628" i="64"/>
  <c r="P706" i="64"/>
  <c r="Q706" i="64"/>
  <c r="P783" i="64"/>
  <c r="Q783" i="64"/>
  <c r="Q622" i="64"/>
  <c r="Q630" i="64"/>
  <c r="P707" i="64"/>
  <c r="Q707" i="64"/>
  <c r="P715" i="64"/>
  <c r="Q715" i="64"/>
  <c r="P723" i="64"/>
  <c r="Q723" i="64"/>
  <c r="P731" i="64"/>
  <c r="Q731" i="64"/>
  <c r="P739" i="64"/>
  <c r="Q739" i="64"/>
  <c r="P747" i="64"/>
  <c r="Q747" i="64"/>
  <c r="P755" i="64"/>
  <c r="Q755" i="64"/>
  <c r="P763" i="64"/>
  <c r="Q763" i="64"/>
  <c r="P771" i="64"/>
  <c r="Q771" i="64"/>
  <c r="P803" i="64"/>
  <c r="Q803" i="64"/>
  <c r="P626" i="64"/>
  <c r="P791" i="64"/>
  <c r="Q791" i="64"/>
  <c r="P779" i="64"/>
  <c r="Q779" i="64"/>
  <c r="Q714" i="64"/>
  <c r="Q718" i="64"/>
  <c r="Q722" i="64"/>
  <c r="Q726" i="64"/>
  <c r="Q730" i="64"/>
  <c r="Q734" i="64"/>
  <c r="Q738" i="64"/>
  <c r="Q742" i="64"/>
  <c r="Q746" i="64"/>
  <c r="Q750" i="64"/>
  <c r="Q754" i="64"/>
  <c r="Q758" i="64"/>
  <c r="Q762" i="64"/>
  <c r="Q766" i="64"/>
  <c r="Q770" i="64"/>
  <c r="Q774" i="64"/>
  <c r="Q778" i="64"/>
  <c r="Q782" i="64"/>
  <c r="Q786" i="64"/>
  <c r="Q790" i="64"/>
  <c r="Q794" i="64"/>
  <c r="Q798" i="64"/>
  <c r="Q802" i="64"/>
  <c r="Q806" i="64"/>
  <c r="Q810" i="64"/>
  <c r="Q827" i="64"/>
  <c r="P827" i="64"/>
  <c r="P634" i="64"/>
  <c r="P636" i="64"/>
  <c r="Q817" i="64"/>
  <c r="P817" i="64"/>
  <c r="Q823" i="64"/>
  <c r="P823" i="64"/>
  <c r="P773" i="64"/>
  <c r="P777" i="64"/>
  <c r="P781" i="64"/>
  <c r="P785" i="64"/>
  <c r="P789" i="64"/>
  <c r="P793" i="64"/>
  <c r="P797" i="64"/>
  <c r="P801" i="64"/>
  <c r="Q813" i="64"/>
  <c r="P813" i="64"/>
  <c r="Q829" i="64"/>
  <c r="P829" i="64"/>
  <c r="Q708" i="64"/>
  <c r="Q712" i="64"/>
  <c r="Q716" i="64"/>
  <c r="Q720" i="64"/>
  <c r="Q724" i="64"/>
  <c r="Q728" i="64"/>
  <c r="Q732" i="64"/>
  <c r="Q736" i="64"/>
  <c r="Q740" i="64"/>
  <c r="Q744" i="64"/>
  <c r="Q748" i="64"/>
  <c r="Q752" i="64"/>
  <c r="Q756" i="64"/>
  <c r="Q760" i="64"/>
  <c r="Q764" i="64"/>
  <c r="Q768" i="64"/>
  <c r="Q819" i="64"/>
  <c r="P819" i="64"/>
  <c r="Q825" i="64"/>
  <c r="P825" i="64"/>
  <c r="Q709" i="64"/>
  <c r="Q713" i="64"/>
  <c r="Q717" i="64"/>
  <c r="Q721" i="64"/>
  <c r="Q725" i="64"/>
  <c r="Q729" i="64"/>
  <c r="Q733" i="64"/>
  <c r="Q737" i="64"/>
  <c r="Q741" i="64"/>
  <c r="Q745" i="64"/>
  <c r="Q749" i="64"/>
  <c r="Q753" i="64"/>
  <c r="Q757" i="64"/>
  <c r="Q761" i="64"/>
  <c r="Q765" i="64"/>
  <c r="Q769" i="64"/>
  <c r="Q773" i="64"/>
  <c r="Q777" i="64"/>
  <c r="Q781" i="64"/>
  <c r="Q785" i="64"/>
  <c r="Q789" i="64"/>
  <c r="Q793" i="64"/>
  <c r="Q797" i="64"/>
  <c r="Q801" i="64"/>
  <c r="Q815" i="64"/>
  <c r="P815" i="64"/>
  <c r="Q831" i="64"/>
  <c r="P831" i="64"/>
  <c r="P938" i="64"/>
  <c r="Q938" i="64"/>
  <c r="P946" i="64"/>
  <c r="Q946" i="64"/>
  <c r="P954" i="64"/>
  <c r="Q954" i="64"/>
  <c r="P962" i="64"/>
  <c r="Q962" i="64"/>
  <c r="P969" i="64"/>
  <c r="Q969" i="64"/>
  <c r="P833" i="64"/>
  <c r="P835" i="64"/>
  <c r="P837" i="64"/>
  <c r="P839" i="64"/>
  <c r="P841" i="64"/>
  <c r="P843" i="64"/>
  <c r="P845" i="64"/>
  <c r="P847" i="64"/>
  <c r="P849" i="64"/>
  <c r="P851" i="64"/>
  <c r="P853" i="64"/>
  <c r="P855" i="64"/>
  <c r="P857" i="64"/>
  <c r="P859" i="64"/>
  <c r="P864" i="64"/>
  <c r="P865" i="64"/>
  <c r="P872" i="64"/>
  <c r="P873" i="64"/>
  <c r="P880" i="64"/>
  <c r="P881" i="64"/>
  <c r="P888" i="64"/>
  <c r="P889" i="64"/>
  <c r="Q867" i="64"/>
  <c r="Q875" i="64"/>
  <c r="Q883" i="64"/>
  <c r="P899" i="64"/>
  <c r="P940" i="64"/>
  <c r="Q940" i="64"/>
  <c r="P965" i="64"/>
  <c r="Q965" i="64"/>
  <c r="P861" i="64"/>
  <c r="P869" i="64"/>
  <c r="P877" i="64"/>
  <c r="P885" i="64"/>
  <c r="P897" i="64"/>
  <c r="P973" i="64"/>
  <c r="Q973" i="64"/>
  <c r="Q977" i="64"/>
  <c r="Q981" i="64"/>
  <c r="Q985" i="64"/>
  <c r="Q989" i="64"/>
  <c r="Q993" i="64"/>
  <c r="Q997" i="64"/>
  <c r="Q1001" i="64"/>
  <c r="Q1005" i="64"/>
  <c r="T1009" i="64"/>
  <c r="T969" i="64"/>
  <c r="P971" i="64"/>
  <c r="T973" i="64"/>
  <c r="P975" i="64"/>
  <c r="T977" i="64"/>
  <c r="P979" i="64"/>
  <c r="T981" i="64"/>
  <c r="P983" i="64"/>
  <c r="T985" i="64"/>
  <c r="P987" i="64"/>
  <c r="T989" i="64"/>
  <c r="P991" i="64"/>
  <c r="T993" i="64"/>
  <c r="P995" i="64"/>
  <c r="T997" i="64"/>
  <c r="P999" i="64"/>
  <c r="T1001" i="64"/>
  <c r="P1003" i="64"/>
  <c r="T1005" i="64"/>
  <c r="P1007" i="64"/>
  <c r="Q1012" i="64"/>
  <c r="P1023" i="64"/>
  <c r="Q936" i="64"/>
  <c r="Q1008" i="64"/>
  <c r="P1008" i="64"/>
  <c r="Q942" i="64"/>
  <c r="Q950" i="64"/>
  <c r="Q958" i="64"/>
  <c r="Q967" i="64"/>
  <c r="Q971" i="64"/>
  <c r="Q975" i="64"/>
  <c r="Q979" i="64"/>
  <c r="Q983" i="64"/>
  <c r="Q987" i="64"/>
  <c r="Q991" i="64"/>
  <c r="Q995" i="64"/>
  <c r="Q999" i="64"/>
  <c r="Q1003" i="64"/>
  <c r="Q1007" i="64"/>
  <c r="P1009" i="64"/>
  <c r="Q948" i="64"/>
  <c r="Q956" i="64"/>
  <c r="Q964" i="64"/>
  <c r="Q968" i="64"/>
  <c r="Q972" i="64"/>
  <c r="Q976" i="64"/>
  <c r="Q980" i="64"/>
  <c r="Q984" i="64"/>
  <c r="Q988" i="64"/>
  <c r="Q992" i="64"/>
  <c r="Q996" i="64"/>
  <c r="Q1000" i="64"/>
  <c r="Q1004" i="64"/>
  <c r="Q1010" i="64"/>
  <c r="P1010" i="64"/>
  <c r="P1048" i="64"/>
  <c r="Q1048" i="64"/>
  <c r="P998" i="64"/>
  <c r="P1011" i="64"/>
  <c r="T1046" i="64"/>
  <c r="Q1103" i="64"/>
  <c r="P1103" i="64"/>
  <c r="X50" i="69"/>
  <c r="Z50" i="69" s="1"/>
  <c r="X22" i="69"/>
  <c r="V22" i="69"/>
  <c r="P1046" i="64"/>
  <c r="Q1052" i="64"/>
  <c r="Q1056" i="64"/>
  <c r="Q1060" i="64"/>
  <c r="Q1064" i="64"/>
  <c r="P1070" i="64"/>
  <c r="Q1070" i="64"/>
  <c r="Q1077" i="64"/>
  <c r="Q1085" i="64"/>
  <c r="Q1095" i="64"/>
  <c r="P1095" i="64"/>
  <c r="Q1117" i="64"/>
  <c r="Q1135" i="64"/>
  <c r="Q1136" i="64"/>
  <c r="T1048" i="64"/>
  <c r="P1050" i="64"/>
  <c r="T1052" i="64"/>
  <c r="P1054" i="64"/>
  <c r="T1056" i="64"/>
  <c r="P1058" i="64"/>
  <c r="T1060" i="64"/>
  <c r="P1062" i="64"/>
  <c r="T1064" i="64"/>
  <c r="P1066" i="64"/>
  <c r="Q1078" i="64"/>
  <c r="P1078" i="64"/>
  <c r="T1081" i="64"/>
  <c r="T1089" i="64"/>
  <c r="T1097" i="64"/>
  <c r="P22" i="66"/>
  <c r="P52" i="66"/>
  <c r="Q1087" i="64"/>
  <c r="P1087" i="64"/>
  <c r="K1115" i="64"/>
  <c r="O1115" i="64"/>
  <c r="Q1115" i="64" s="1"/>
  <c r="R50" i="66"/>
  <c r="R22" i="66"/>
  <c r="P1012" i="64"/>
  <c r="P1014" i="64"/>
  <c r="P1016" i="64"/>
  <c r="P1018" i="64"/>
  <c r="P1020" i="64"/>
  <c r="P1022" i="64"/>
  <c r="P1024" i="64"/>
  <c r="P1026" i="64"/>
  <c r="P1028" i="64"/>
  <c r="P1030" i="64"/>
  <c r="P1032" i="64"/>
  <c r="P1034" i="64"/>
  <c r="P1036" i="64"/>
  <c r="P1079" i="64"/>
  <c r="Q1109" i="64"/>
  <c r="Q1127" i="64"/>
  <c r="Q1050" i="64"/>
  <c r="Q1054" i="64"/>
  <c r="Q1058" i="64"/>
  <c r="Q1062" i="64"/>
  <c r="Q1066" i="64"/>
  <c r="K1082" i="64"/>
  <c r="O1082" i="64"/>
  <c r="Q1082" i="64" s="1"/>
  <c r="Q1092" i="64"/>
  <c r="Q1100" i="64"/>
  <c r="K1107" i="64"/>
  <c r="O1107" i="64"/>
  <c r="Q1107" i="64" s="1"/>
  <c r="Q1124" i="64"/>
  <c r="P1068" i="64"/>
  <c r="Q1068" i="64"/>
  <c r="Q1111" i="64"/>
  <c r="P1111" i="64"/>
  <c r="X30" i="67"/>
  <c r="Q1047" i="64"/>
  <c r="Q1051" i="64"/>
  <c r="Q1055" i="64"/>
  <c r="Q1059" i="64"/>
  <c r="Q1063" i="64"/>
  <c r="T1072" i="64"/>
  <c r="K1083" i="64"/>
  <c r="O1083" i="64"/>
  <c r="Q1083" i="64" s="1"/>
  <c r="K1091" i="64"/>
  <c r="O1091" i="64"/>
  <c r="Q1091" i="64" s="1"/>
  <c r="K1099" i="64"/>
  <c r="O1099" i="64"/>
  <c r="Q1099" i="64" s="1"/>
  <c r="Q1116" i="64"/>
  <c r="Q1140" i="64"/>
  <c r="K56" i="68"/>
  <c r="X28" i="68"/>
  <c r="X29" i="68"/>
  <c r="X17" i="68"/>
  <c r="X19" i="68" s="1"/>
  <c r="Q1072" i="64"/>
  <c r="Q1074" i="64"/>
  <c r="Q1076" i="64"/>
  <c r="K1079" i="64"/>
  <c r="P1086" i="64"/>
  <c r="K1095" i="64"/>
  <c r="K1103" i="64"/>
  <c r="K1111" i="64"/>
  <c r="P1118" i="64"/>
  <c r="K1119" i="64"/>
  <c r="O1123" i="64"/>
  <c r="Q1123" i="64" s="1"/>
  <c r="K1127" i="64"/>
  <c r="O1131" i="64"/>
  <c r="Q1131" i="64" s="1"/>
  <c r="K1135" i="64"/>
  <c r="Q1137" i="64"/>
  <c r="O1139" i="64"/>
  <c r="Q1139" i="64" s="1"/>
  <c r="Q1145" i="64"/>
  <c r="P1145" i="64"/>
  <c r="Q1156" i="64"/>
  <c r="O1159" i="64"/>
  <c r="Q1159" i="64" s="1"/>
  <c r="Q1166" i="64"/>
  <c r="P1166" i="64"/>
  <c r="R33" i="65"/>
  <c r="Z46" i="65"/>
  <c r="C56" i="65"/>
  <c r="P28" i="65"/>
  <c r="V44" i="65"/>
  <c r="Z44" i="65" s="1"/>
  <c r="V45" i="65"/>
  <c r="V19" i="66"/>
  <c r="V30" i="67"/>
  <c r="T28" i="67"/>
  <c r="T30" i="67" s="1"/>
  <c r="G56" i="67"/>
  <c r="T29" i="67"/>
  <c r="T17" i="67"/>
  <c r="T19" i="67" s="1"/>
  <c r="V27" i="68"/>
  <c r="V52" i="68"/>
  <c r="I56" i="69"/>
  <c r="V17" i="69"/>
  <c r="V19" i="69" s="1"/>
  <c r="T36" i="70"/>
  <c r="T54" i="70"/>
  <c r="O1112" i="64"/>
  <c r="Q1112" i="64" s="1"/>
  <c r="K1116" i="64"/>
  <c r="O1120" i="64"/>
  <c r="Q1120" i="64" s="1"/>
  <c r="K1124" i="64"/>
  <c r="O1128" i="64"/>
  <c r="Q1128" i="64" s="1"/>
  <c r="K1132" i="64"/>
  <c r="O1136" i="64"/>
  <c r="K1140" i="64"/>
  <c r="O1143" i="64"/>
  <c r="Q1143" i="64" s="1"/>
  <c r="O1154" i="64"/>
  <c r="Q1154" i="64" s="1"/>
  <c r="K1154" i="64"/>
  <c r="G54" i="65"/>
  <c r="G50" i="65"/>
  <c r="E56" i="65"/>
  <c r="R28" i="65"/>
  <c r="X44" i="65"/>
  <c r="X45" i="65"/>
  <c r="X19" i="66"/>
  <c r="X44" i="66"/>
  <c r="X45" i="66"/>
  <c r="Z45" i="66" s="1"/>
  <c r="V28" i="67"/>
  <c r="I56" i="67"/>
  <c r="V29" i="67"/>
  <c r="V17" i="67"/>
  <c r="V19" i="67" s="1"/>
  <c r="T50" i="67"/>
  <c r="T22" i="67"/>
  <c r="V52" i="67"/>
  <c r="X27" i="68"/>
  <c r="Z45" i="68"/>
  <c r="T22" i="68"/>
  <c r="T50" i="68"/>
  <c r="R22" i="68"/>
  <c r="T22" i="69"/>
  <c r="Z48" i="69"/>
  <c r="K56" i="69"/>
  <c r="X17" i="69"/>
  <c r="X19" i="69" s="1"/>
  <c r="X28" i="69"/>
  <c r="Z28" i="69" s="1"/>
  <c r="P44" i="70"/>
  <c r="Z44" i="70" s="1"/>
  <c r="P45" i="70"/>
  <c r="P1150" i="64"/>
  <c r="Q1163" i="64"/>
  <c r="P1163" i="64"/>
  <c r="I54" i="65"/>
  <c r="I50" i="65"/>
  <c r="T52" i="65"/>
  <c r="P46" i="66"/>
  <c r="Z46" i="66" s="1"/>
  <c r="C40" i="66"/>
  <c r="C62" i="66" s="1"/>
  <c r="P50" i="66" s="1"/>
  <c r="Z50" i="66" s="1"/>
  <c r="K56" i="67"/>
  <c r="X29" i="67"/>
  <c r="X17" i="67"/>
  <c r="X19" i="67" s="1"/>
  <c r="V50" i="67"/>
  <c r="V22" i="67"/>
  <c r="V50" i="68"/>
  <c r="R44" i="70"/>
  <c r="R45" i="70"/>
  <c r="P1077" i="64"/>
  <c r="K1078" i="64"/>
  <c r="P1085" i="64"/>
  <c r="K1086" i="64"/>
  <c r="K1094" i="64"/>
  <c r="K1102" i="64"/>
  <c r="K1110" i="64"/>
  <c r="P1133" i="64"/>
  <c r="P1141" i="64"/>
  <c r="Q1153" i="64"/>
  <c r="P1153" i="64"/>
  <c r="K54" i="65"/>
  <c r="K50" i="65"/>
  <c r="V52" i="65"/>
  <c r="E54" i="67"/>
  <c r="E50" i="67"/>
  <c r="R27" i="67"/>
  <c r="X28" i="67"/>
  <c r="K54" i="68"/>
  <c r="V22" i="68" s="1"/>
  <c r="Z33" i="69"/>
  <c r="P54" i="69"/>
  <c r="R23" i="69"/>
  <c r="P23" i="69"/>
  <c r="P43" i="70"/>
  <c r="K56" i="70"/>
  <c r="X27" i="70"/>
  <c r="X30" i="70" s="1"/>
  <c r="P1090" i="64"/>
  <c r="P1098" i="64"/>
  <c r="P1106" i="64"/>
  <c r="Q1147" i="64"/>
  <c r="P1147" i="64"/>
  <c r="O1162" i="64"/>
  <c r="Q1162" i="64" s="1"/>
  <c r="K1162" i="64"/>
  <c r="O1167" i="64"/>
  <c r="Q1167" i="64" s="1"/>
  <c r="X43" i="66"/>
  <c r="Z43" i="66" s="1"/>
  <c r="C50" i="66"/>
  <c r="Z44" i="67"/>
  <c r="R33" i="69"/>
  <c r="Z52" i="69"/>
  <c r="X52" i="69"/>
  <c r="P34" i="70"/>
  <c r="R43" i="70"/>
  <c r="Z52" i="70"/>
  <c r="P1119" i="64"/>
  <c r="P1127" i="64"/>
  <c r="P1135" i="64"/>
  <c r="Q1148" i="64"/>
  <c r="O1151" i="64"/>
  <c r="Q1151" i="64" s="1"/>
  <c r="P1158" i="64"/>
  <c r="K1165" i="64"/>
  <c r="X27" i="65"/>
  <c r="P27" i="66"/>
  <c r="E50" i="66"/>
  <c r="X34" i="66"/>
  <c r="X33" i="66"/>
  <c r="X35" i="66"/>
  <c r="X50" i="67"/>
  <c r="R34" i="68"/>
  <c r="R33" i="68"/>
  <c r="R35" i="68"/>
  <c r="P30" i="69"/>
  <c r="R34" i="70"/>
  <c r="Z50" i="70"/>
  <c r="P1084" i="64"/>
  <c r="P1092" i="64"/>
  <c r="P1100" i="64"/>
  <c r="P1108" i="64"/>
  <c r="P1116" i="64"/>
  <c r="P1124" i="64"/>
  <c r="P1132" i="64"/>
  <c r="P1140" i="64"/>
  <c r="O1146" i="64"/>
  <c r="Q1146" i="64" s="1"/>
  <c r="K1146" i="64"/>
  <c r="Q1161" i="64"/>
  <c r="P1161" i="64"/>
  <c r="R27" i="66"/>
  <c r="Z44" i="66"/>
  <c r="G56" i="66"/>
  <c r="T27" i="66"/>
  <c r="T30" i="66" s="1"/>
  <c r="R52" i="66"/>
  <c r="P30" i="67"/>
  <c r="P30" i="68"/>
  <c r="G56" i="68"/>
  <c r="T27" i="68"/>
  <c r="T30" i="68" s="1"/>
  <c r="V33" i="69"/>
  <c r="V27" i="69"/>
  <c r="Z27" i="69" s="1"/>
  <c r="Z30" i="69" s="1"/>
  <c r="R30" i="69"/>
  <c r="R34" i="69"/>
  <c r="P44" i="69"/>
  <c r="Z44" i="69" s="1"/>
  <c r="P45" i="69"/>
  <c r="Z45" i="69" s="1"/>
  <c r="X28" i="70"/>
  <c r="Z28" i="70" s="1"/>
  <c r="P33" i="70"/>
  <c r="Q1155" i="64"/>
  <c r="P1155" i="64"/>
  <c r="P33" i="65"/>
  <c r="Z45" i="65"/>
  <c r="P48" i="66"/>
  <c r="Z48" i="66" s="1"/>
  <c r="V34" i="66"/>
  <c r="V33" i="66"/>
  <c r="V35" i="66"/>
  <c r="P33" i="67"/>
  <c r="P34" i="67"/>
  <c r="X33" i="68"/>
  <c r="Z48" i="68"/>
  <c r="I50" i="68"/>
  <c r="P34" i="68"/>
  <c r="P33" i="68"/>
  <c r="P35" i="68"/>
  <c r="X33" i="69"/>
  <c r="X27" i="69"/>
  <c r="T30" i="69"/>
  <c r="V29" i="69"/>
  <c r="Z29" i="69" s="1"/>
  <c r="P34" i="69"/>
  <c r="P35" i="69"/>
  <c r="R33" i="70"/>
  <c r="X22" i="70"/>
  <c r="X50" i="70"/>
  <c r="V22" i="70"/>
  <c r="O1150" i="64"/>
  <c r="Q1150" i="64" s="1"/>
  <c r="O1158" i="64"/>
  <c r="Q1158" i="64" s="1"/>
  <c r="P48" i="65"/>
  <c r="Z48" i="65" s="1"/>
  <c r="P27" i="65"/>
  <c r="T36" i="69"/>
  <c r="V54" i="70"/>
  <c r="P1168" i="64"/>
  <c r="R27" i="65"/>
  <c r="M50" i="65"/>
  <c r="M56" i="65" s="1"/>
  <c r="Y16" i="42" l="1"/>
  <c r="Y18" i="42"/>
  <c r="AT42" i="64"/>
  <c r="AV42" i="64" s="1"/>
  <c r="E9" i="49" s="1"/>
  <c r="G23" i="43"/>
  <c r="R30" i="65"/>
  <c r="X30" i="69"/>
  <c r="X36" i="66"/>
  <c r="X54" i="66"/>
  <c r="X34" i="70"/>
  <c r="X33" i="70"/>
  <c r="X35" i="70"/>
  <c r="Z35" i="70" s="1"/>
  <c r="V22" i="65"/>
  <c r="V50" i="65"/>
  <c r="R34" i="65"/>
  <c r="R35" i="65"/>
  <c r="F25" i="63"/>
  <c r="G495" i="61"/>
  <c r="H495" i="61" s="1"/>
  <c r="G424" i="61"/>
  <c r="H424" i="61" s="1"/>
  <c r="G320" i="61"/>
  <c r="H320" i="61" s="1"/>
  <c r="G258" i="61"/>
  <c r="H258" i="61" s="1"/>
  <c r="G171" i="61"/>
  <c r="H171" i="61" s="1"/>
  <c r="G412" i="61"/>
  <c r="H412" i="61" s="1"/>
  <c r="G307" i="61"/>
  <c r="H307" i="61" s="1"/>
  <c r="G411" i="61"/>
  <c r="H411" i="61" s="1"/>
  <c r="G294" i="61"/>
  <c r="H294" i="61" s="1"/>
  <c r="G99" i="61"/>
  <c r="H99" i="61" s="1"/>
  <c r="M21" i="62"/>
  <c r="G428" i="61"/>
  <c r="H428" i="61" s="1"/>
  <c r="G323" i="61"/>
  <c r="H323" i="61" s="1"/>
  <c r="G427" i="61"/>
  <c r="H427" i="61" s="1"/>
  <c r="G293" i="61"/>
  <c r="H293" i="61" s="1"/>
  <c r="G194" i="61"/>
  <c r="H194" i="61" s="1"/>
  <c r="G454" i="61"/>
  <c r="H454" i="61" s="1"/>
  <c r="G339" i="61"/>
  <c r="H339" i="61" s="1"/>
  <c r="G414" i="61"/>
  <c r="H414" i="61" s="1"/>
  <c r="G283" i="61"/>
  <c r="H283" i="61" s="1"/>
  <c r="G186" i="61"/>
  <c r="H186" i="61" s="1"/>
  <c r="G214" i="61"/>
  <c r="H214" i="61" s="1"/>
  <c r="G164" i="61"/>
  <c r="H164" i="61" s="1"/>
  <c r="G44" i="61"/>
  <c r="H44" i="61" s="1"/>
  <c r="G150" i="61"/>
  <c r="H150" i="61" s="1"/>
  <c r="G425" i="61"/>
  <c r="H425" i="61" s="1"/>
  <c r="G74" i="61"/>
  <c r="H74" i="61" s="1"/>
  <c r="G452" i="61"/>
  <c r="H452" i="61" s="1"/>
  <c r="G176" i="61"/>
  <c r="H176" i="61" s="1"/>
  <c r="G8" i="61"/>
  <c r="H8" i="61" s="1"/>
  <c r="G459" i="61"/>
  <c r="H459" i="61" s="1"/>
  <c r="G167" i="61"/>
  <c r="H167" i="61" s="1"/>
  <c r="G407" i="61"/>
  <c r="H407" i="61" s="1"/>
  <c r="G34" i="61"/>
  <c r="H34" i="61" s="1"/>
  <c r="N23" i="53"/>
  <c r="N13" i="53" s="1"/>
  <c r="G132" i="61"/>
  <c r="H132" i="61" s="1"/>
  <c r="V18" i="42"/>
  <c r="V16" i="42"/>
  <c r="V20" i="42" s="1"/>
  <c r="P17" i="53"/>
  <c r="X54" i="68"/>
  <c r="X54" i="69"/>
  <c r="P54" i="67"/>
  <c r="P36" i="67"/>
  <c r="V30" i="69"/>
  <c r="Z34" i="70"/>
  <c r="Z43" i="70"/>
  <c r="Z27" i="67"/>
  <c r="X34" i="69"/>
  <c r="X36" i="69" s="1"/>
  <c r="X35" i="69"/>
  <c r="X30" i="68"/>
  <c r="G56" i="65"/>
  <c r="T28" i="65"/>
  <c r="Z28" i="65" s="1"/>
  <c r="T29" i="65"/>
  <c r="T17" i="65"/>
  <c r="T19" i="65" s="1"/>
  <c r="H9" i="41"/>
  <c r="H11" i="41"/>
  <c r="H10" i="41"/>
  <c r="P34" i="65"/>
  <c r="P35" i="65"/>
  <c r="M23" i="62"/>
  <c r="F13" i="63"/>
  <c r="G406" i="61"/>
  <c r="H406" i="61" s="1"/>
  <c r="G302" i="61"/>
  <c r="H302" i="61" s="1"/>
  <c r="G254" i="61"/>
  <c r="H254" i="61" s="1"/>
  <c r="G146" i="61"/>
  <c r="H146" i="61" s="1"/>
  <c r="G499" i="61"/>
  <c r="H499" i="61" s="1"/>
  <c r="G383" i="61"/>
  <c r="H383" i="61" s="1"/>
  <c r="G295" i="61"/>
  <c r="H295" i="61" s="1"/>
  <c r="G400" i="61"/>
  <c r="H400" i="61" s="1"/>
  <c r="G234" i="61"/>
  <c r="H234" i="61" s="1"/>
  <c r="G82" i="61"/>
  <c r="H82" i="61" s="1"/>
  <c r="G399" i="61"/>
  <c r="H399" i="61" s="1"/>
  <c r="G311" i="61"/>
  <c r="H311" i="61" s="1"/>
  <c r="G416" i="61"/>
  <c r="H416" i="61" s="1"/>
  <c r="G280" i="61"/>
  <c r="H280" i="61" s="1"/>
  <c r="G187" i="61"/>
  <c r="H187" i="61" s="1"/>
  <c r="G444" i="61"/>
  <c r="H444" i="61" s="1"/>
  <c r="G327" i="61"/>
  <c r="H327" i="61" s="1"/>
  <c r="G408" i="61"/>
  <c r="H408" i="61" s="1"/>
  <c r="G275" i="61"/>
  <c r="H275" i="61" s="1"/>
  <c r="G179" i="61"/>
  <c r="H179" i="61" s="1"/>
  <c r="G207" i="61"/>
  <c r="H207" i="61" s="1"/>
  <c r="G470" i="61"/>
  <c r="H470" i="61" s="1"/>
  <c r="G151" i="61"/>
  <c r="H151" i="61" s="1"/>
  <c r="G143" i="61"/>
  <c r="H143" i="61" s="1"/>
  <c r="G343" i="61"/>
  <c r="H343" i="61" s="1"/>
  <c r="G68" i="61"/>
  <c r="H68" i="61" s="1"/>
  <c r="G401" i="61"/>
  <c r="H401" i="61" s="1"/>
  <c r="G168" i="61"/>
  <c r="H168" i="61" s="1"/>
  <c r="G4" i="61"/>
  <c r="H4" i="61" s="1"/>
  <c r="G431" i="61"/>
  <c r="H431" i="61" s="1"/>
  <c r="G160" i="61"/>
  <c r="H160" i="61" s="1"/>
  <c r="G332" i="61"/>
  <c r="H332" i="61" s="1"/>
  <c r="G18" i="61"/>
  <c r="H18" i="61" s="1"/>
  <c r="G268" i="61"/>
  <c r="H268" i="61" s="1"/>
  <c r="Q359" i="60"/>
  <c r="P359" i="60"/>
  <c r="G111" i="61"/>
  <c r="H111" i="61" s="1"/>
  <c r="G118" i="61"/>
  <c r="H118" i="61" s="1"/>
  <c r="G64" i="61"/>
  <c r="H64" i="61" s="1"/>
  <c r="Z33" i="70"/>
  <c r="Z36" i="70" s="1"/>
  <c r="P36" i="70"/>
  <c r="P54" i="70"/>
  <c r="V54" i="69"/>
  <c r="R54" i="68"/>
  <c r="R36" i="68"/>
  <c r="R29" i="66"/>
  <c r="E56" i="66"/>
  <c r="R28" i="66"/>
  <c r="R17" i="66"/>
  <c r="R19" i="66" s="1"/>
  <c r="F16" i="41"/>
  <c r="F15" i="41"/>
  <c r="F17" i="41"/>
  <c r="F47" i="41" s="1"/>
  <c r="P29" i="66"/>
  <c r="C56" i="66"/>
  <c r="P28" i="66"/>
  <c r="Z28" i="66" s="1"/>
  <c r="P17" i="66"/>
  <c r="P19" i="66" s="1"/>
  <c r="D16" i="41"/>
  <c r="D17" i="41"/>
  <c r="D15" i="41"/>
  <c r="T50" i="65"/>
  <c r="Z50" i="65" s="1"/>
  <c r="T22" i="65"/>
  <c r="R22" i="65"/>
  <c r="T34" i="67"/>
  <c r="T35" i="67"/>
  <c r="T33" i="67"/>
  <c r="Z52" i="66"/>
  <c r="F21" i="63"/>
  <c r="G450" i="61"/>
  <c r="H450" i="61" s="1"/>
  <c r="M11" i="62"/>
  <c r="G395" i="61"/>
  <c r="H395" i="61" s="1"/>
  <c r="G296" i="61"/>
  <c r="H296" i="61" s="1"/>
  <c r="G250" i="61"/>
  <c r="H250" i="61" s="1"/>
  <c r="G139" i="61"/>
  <c r="H139" i="61" s="1"/>
  <c r="G486" i="61"/>
  <c r="H486" i="61" s="1"/>
  <c r="G377" i="61"/>
  <c r="H377" i="61" s="1"/>
  <c r="G238" i="61"/>
  <c r="H238" i="61" s="1"/>
  <c r="G382" i="61"/>
  <c r="H382" i="61" s="1"/>
  <c r="G227" i="61"/>
  <c r="H227" i="61" s="1"/>
  <c r="G393" i="61"/>
  <c r="H393" i="61" s="1"/>
  <c r="G300" i="61"/>
  <c r="H300" i="61" s="1"/>
  <c r="G503" i="61"/>
  <c r="H503" i="61" s="1"/>
  <c r="G398" i="61"/>
  <c r="H398" i="61" s="1"/>
  <c r="G272" i="61"/>
  <c r="H272" i="61" s="1"/>
  <c r="G162" i="61"/>
  <c r="H162" i="61" s="1"/>
  <c r="G415" i="61"/>
  <c r="H415" i="61" s="1"/>
  <c r="G316" i="61"/>
  <c r="H316" i="61" s="1"/>
  <c r="G489" i="61"/>
  <c r="H489" i="61" s="1"/>
  <c r="G390" i="61"/>
  <c r="H390" i="61" s="1"/>
  <c r="G267" i="61"/>
  <c r="H267" i="61" s="1"/>
  <c r="G154" i="61"/>
  <c r="H154" i="61" s="1"/>
  <c r="G199" i="61"/>
  <c r="H199" i="61" s="1"/>
  <c r="G419" i="61"/>
  <c r="H419" i="61" s="1"/>
  <c r="G144" i="61"/>
  <c r="H144" i="61" s="1"/>
  <c r="G135" i="61"/>
  <c r="H135" i="61" s="1"/>
  <c r="G252" i="61"/>
  <c r="H252" i="61" s="1"/>
  <c r="G48" i="61"/>
  <c r="H48" i="61" s="1"/>
  <c r="G305" i="61"/>
  <c r="H305" i="61" s="1"/>
  <c r="G148" i="61"/>
  <c r="H148" i="61" s="1"/>
  <c r="G385" i="61"/>
  <c r="H385" i="61" s="1"/>
  <c r="G140" i="61"/>
  <c r="H140" i="61" s="1"/>
  <c r="G303" i="61"/>
  <c r="H303" i="61" s="1"/>
  <c r="G215" i="61"/>
  <c r="H215" i="61" s="1"/>
  <c r="G103" i="61"/>
  <c r="H103" i="61" s="1"/>
  <c r="Q322" i="60"/>
  <c r="G58" i="61"/>
  <c r="H58" i="61" s="1"/>
  <c r="R36" i="70"/>
  <c r="R54" i="70"/>
  <c r="P54" i="68"/>
  <c r="P36" i="68"/>
  <c r="V54" i="66"/>
  <c r="V36" i="66"/>
  <c r="R28" i="67"/>
  <c r="Z28" i="67" s="1"/>
  <c r="E56" i="67"/>
  <c r="R29" i="67"/>
  <c r="Z29" i="67" s="1"/>
  <c r="R17" i="67"/>
  <c r="R19" i="67" s="1"/>
  <c r="F21" i="41"/>
  <c r="F22" i="41"/>
  <c r="N22" i="41" s="1"/>
  <c r="F23" i="41"/>
  <c r="N23" i="41" s="1"/>
  <c r="X35" i="67"/>
  <c r="X34" i="67"/>
  <c r="X33" i="67"/>
  <c r="T27" i="65"/>
  <c r="T30" i="65" s="1"/>
  <c r="V35" i="69"/>
  <c r="V34" i="69"/>
  <c r="V36" i="69" s="1"/>
  <c r="F14" i="63"/>
  <c r="F10" i="63"/>
  <c r="M7" i="62"/>
  <c r="G498" i="61"/>
  <c r="H498" i="61" s="1"/>
  <c r="G490" i="61"/>
  <c r="H490" i="61" s="1"/>
  <c r="G482" i="61"/>
  <c r="H482" i="61" s="1"/>
  <c r="G474" i="61"/>
  <c r="H474" i="61" s="1"/>
  <c r="G466" i="61"/>
  <c r="H466" i="61" s="1"/>
  <c r="G442" i="61"/>
  <c r="H442" i="61" s="1"/>
  <c r="G434" i="61"/>
  <c r="H434" i="61" s="1"/>
  <c r="G426" i="61"/>
  <c r="H426" i="61" s="1"/>
  <c r="G418" i="61"/>
  <c r="H418" i="61" s="1"/>
  <c r="G410" i="61"/>
  <c r="H410" i="61" s="1"/>
  <c r="G402" i="61"/>
  <c r="H402" i="61" s="1"/>
  <c r="G394" i="61"/>
  <c r="H394" i="61" s="1"/>
  <c r="G386" i="61"/>
  <c r="H386" i="61" s="1"/>
  <c r="G493" i="61"/>
  <c r="H493" i="61" s="1"/>
  <c r="G477" i="61"/>
  <c r="H477" i="61" s="1"/>
  <c r="G461" i="61"/>
  <c r="H461" i="61" s="1"/>
  <c r="G429" i="61"/>
  <c r="H429" i="61" s="1"/>
  <c r="G413" i="61"/>
  <c r="H413" i="61" s="1"/>
  <c r="G397" i="61"/>
  <c r="H397" i="61" s="1"/>
  <c r="G381" i="61"/>
  <c r="H381" i="61" s="1"/>
  <c r="G365" i="61"/>
  <c r="H365" i="61" s="1"/>
  <c r="G349" i="61"/>
  <c r="H349" i="61" s="1"/>
  <c r="G333" i="61"/>
  <c r="H333" i="61" s="1"/>
  <c r="G317" i="61"/>
  <c r="H317" i="61" s="1"/>
  <c r="G301" i="61"/>
  <c r="H301" i="61" s="1"/>
  <c r="G286" i="61"/>
  <c r="H286" i="61" s="1"/>
  <c r="G278" i="61"/>
  <c r="H278" i="61" s="1"/>
  <c r="G501" i="61"/>
  <c r="H501" i="61" s="1"/>
  <c r="G485" i="61"/>
  <c r="H485" i="61" s="1"/>
  <c r="G469" i="61"/>
  <c r="H469" i="61" s="1"/>
  <c r="G453" i="61"/>
  <c r="H453" i="61" s="1"/>
  <c r="G437" i="61"/>
  <c r="H437" i="61" s="1"/>
  <c r="G421" i="61"/>
  <c r="H421" i="61" s="1"/>
  <c r="G405" i="61"/>
  <c r="H405" i="61" s="1"/>
  <c r="G389" i="61"/>
  <c r="H389" i="61" s="1"/>
  <c r="G373" i="61"/>
  <c r="H373" i="61" s="1"/>
  <c r="G357" i="61"/>
  <c r="H357" i="61" s="1"/>
  <c r="G341" i="61"/>
  <c r="H341" i="61" s="1"/>
  <c r="G325" i="61"/>
  <c r="H325" i="61" s="1"/>
  <c r="G309" i="61"/>
  <c r="H309" i="61" s="1"/>
  <c r="G290" i="61"/>
  <c r="H290" i="61" s="1"/>
  <c r="G217" i="61"/>
  <c r="H217" i="61" s="1"/>
  <c r="G185" i="61"/>
  <c r="H185" i="61" s="1"/>
  <c r="G153" i="61"/>
  <c r="H153" i="61" s="1"/>
  <c r="G121" i="61"/>
  <c r="H121" i="61" s="1"/>
  <c r="G285" i="61"/>
  <c r="H285" i="61" s="1"/>
  <c r="G269" i="61"/>
  <c r="H269" i="61" s="1"/>
  <c r="G261" i="61"/>
  <c r="H261" i="61" s="1"/>
  <c r="G253" i="61"/>
  <c r="H253" i="61" s="1"/>
  <c r="G213" i="61"/>
  <c r="H213" i="61" s="1"/>
  <c r="G181" i="61"/>
  <c r="H181" i="61" s="1"/>
  <c r="G149" i="61"/>
  <c r="H149" i="61" s="1"/>
  <c r="G117" i="61"/>
  <c r="H117" i="61" s="1"/>
  <c r="G417" i="61"/>
  <c r="H417" i="61" s="1"/>
  <c r="G353" i="61"/>
  <c r="H353" i="61" s="1"/>
  <c r="G281" i="61"/>
  <c r="H281" i="61" s="1"/>
  <c r="G273" i="61"/>
  <c r="H273" i="61" s="1"/>
  <c r="G265" i="61"/>
  <c r="H265" i="61" s="1"/>
  <c r="G257" i="61"/>
  <c r="H257" i="61" s="1"/>
  <c r="G249" i="61"/>
  <c r="H249" i="61" s="1"/>
  <c r="G241" i="61"/>
  <c r="H241" i="61" s="1"/>
  <c r="G223" i="61"/>
  <c r="H223" i="61" s="1"/>
  <c r="G220" i="61"/>
  <c r="H220" i="61" s="1"/>
  <c r="G216" i="61"/>
  <c r="H216" i="61" s="1"/>
  <c r="G209" i="61"/>
  <c r="H209" i="61" s="1"/>
  <c r="G191" i="61"/>
  <c r="H191" i="61" s="1"/>
  <c r="G188" i="61"/>
  <c r="H188" i="61" s="1"/>
  <c r="G184" i="61"/>
  <c r="H184" i="61" s="1"/>
  <c r="G177" i="61"/>
  <c r="H177" i="61" s="1"/>
  <c r="G156" i="61"/>
  <c r="H156" i="61" s="1"/>
  <c r="G152" i="61"/>
  <c r="H152" i="61" s="1"/>
  <c r="G145" i="61"/>
  <c r="H145" i="61" s="1"/>
  <c r="G127" i="61"/>
  <c r="H127" i="61" s="1"/>
  <c r="G124" i="61"/>
  <c r="H124" i="61" s="1"/>
  <c r="G120" i="61"/>
  <c r="H120" i="61" s="1"/>
  <c r="G113" i="61"/>
  <c r="H113" i="61" s="1"/>
  <c r="G95" i="61"/>
  <c r="H95" i="61" s="1"/>
  <c r="G92" i="61"/>
  <c r="H92" i="61" s="1"/>
  <c r="G88" i="61"/>
  <c r="H88" i="61" s="1"/>
  <c r="G85" i="61"/>
  <c r="H85" i="61" s="1"/>
  <c r="G70" i="61"/>
  <c r="H70" i="61" s="1"/>
  <c r="G62" i="61"/>
  <c r="H62" i="61" s="1"/>
  <c r="G54" i="61"/>
  <c r="H54" i="61" s="1"/>
  <c r="G46" i="61"/>
  <c r="H46" i="61" s="1"/>
  <c r="G38" i="61"/>
  <c r="H38" i="61" s="1"/>
  <c r="G497" i="61"/>
  <c r="H497" i="61" s="1"/>
  <c r="G404" i="61"/>
  <c r="H404" i="61" s="1"/>
  <c r="G340" i="61"/>
  <c r="H340" i="61" s="1"/>
  <c r="G289" i="61"/>
  <c r="H289" i="61" s="1"/>
  <c r="G237" i="61"/>
  <c r="H237" i="61" s="1"/>
  <c r="G205" i="61"/>
  <c r="H205" i="61" s="1"/>
  <c r="G173" i="61"/>
  <c r="H173" i="61" s="1"/>
  <c r="G141" i="61"/>
  <c r="H141" i="61" s="1"/>
  <c r="G109" i="61"/>
  <c r="H109" i="61" s="1"/>
  <c r="G78" i="61"/>
  <c r="H78" i="61" s="1"/>
  <c r="G67" i="61"/>
  <c r="H67" i="61" s="1"/>
  <c r="G59" i="61"/>
  <c r="H59" i="61" s="1"/>
  <c r="G51" i="61"/>
  <c r="H51" i="61" s="1"/>
  <c r="G43" i="61"/>
  <c r="H43" i="61" s="1"/>
  <c r="G35" i="61"/>
  <c r="H35" i="61" s="1"/>
  <c r="G27" i="61"/>
  <c r="H27" i="61" s="1"/>
  <c r="G19" i="61"/>
  <c r="H19" i="61" s="1"/>
  <c r="G11" i="61"/>
  <c r="H11" i="61" s="1"/>
  <c r="G233" i="61"/>
  <c r="H233" i="61" s="1"/>
  <c r="G201" i="61"/>
  <c r="H201" i="61" s="1"/>
  <c r="G169" i="61"/>
  <c r="H169" i="61" s="1"/>
  <c r="G137" i="61"/>
  <c r="H137" i="61" s="1"/>
  <c r="G105" i="61"/>
  <c r="H105" i="61" s="1"/>
  <c r="G449" i="61"/>
  <c r="H449" i="61" s="1"/>
  <c r="G420" i="61"/>
  <c r="H420" i="61" s="1"/>
  <c r="G356" i="61"/>
  <c r="H356" i="61" s="1"/>
  <c r="G292" i="61"/>
  <c r="H292" i="61" s="1"/>
  <c r="G279" i="61"/>
  <c r="H279" i="61" s="1"/>
  <c r="G271" i="61"/>
  <c r="H271" i="61" s="1"/>
  <c r="G263" i="61"/>
  <c r="H263" i="61" s="1"/>
  <c r="G255" i="61"/>
  <c r="H255" i="61" s="1"/>
  <c r="G247" i="61"/>
  <c r="H247" i="61" s="1"/>
  <c r="G229" i="61"/>
  <c r="H229" i="61" s="1"/>
  <c r="G165" i="61"/>
  <c r="H165" i="61" s="1"/>
  <c r="G101" i="61"/>
  <c r="H101" i="61" s="1"/>
  <c r="G84" i="61"/>
  <c r="H84" i="61" s="1"/>
  <c r="G69" i="61"/>
  <c r="H69" i="61" s="1"/>
  <c r="G61" i="61"/>
  <c r="H61" i="61" s="1"/>
  <c r="G53" i="61"/>
  <c r="H53" i="61" s="1"/>
  <c r="G45" i="61"/>
  <c r="H45" i="61" s="1"/>
  <c r="G37" i="61"/>
  <c r="H37" i="61" s="1"/>
  <c r="G29" i="61"/>
  <c r="H29" i="61" s="1"/>
  <c r="G21" i="61"/>
  <c r="H21" i="61" s="1"/>
  <c r="G13" i="61"/>
  <c r="H13" i="61" s="1"/>
  <c r="G225" i="61"/>
  <c r="H225" i="61" s="1"/>
  <c r="G193" i="61"/>
  <c r="H193" i="61" s="1"/>
  <c r="G161" i="61"/>
  <c r="H161" i="61" s="1"/>
  <c r="G129" i="61"/>
  <c r="H129" i="61" s="1"/>
  <c r="G97" i="61"/>
  <c r="H97" i="61" s="1"/>
  <c r="G77" i="61"/>
  <c r="H77" i="61" s="1"/>
  <c r="G308" i="61"/>
  <c r="H308" i="61" s="1"/>
  <c r="G63" i="61"/>
  <c r="H63" i="61" s="1"/>
  <c r="G500" i="61"/>
  <c r="H500" i="61" s="1"/>
  <c r="G157" i="61"/>
  <c r="H157" i="61" s="1"/>
  <c r="G31" i="61"/>
  <c r="H31" i="61" s="1"/>
  <c r="G15" i="61"/>
  <c r="H15" i="61" s="1"/>
  <c r="G93" i="61"/>
  <c r="H93" i="61" s="1"/>
  <c r="G55" i="61"/>
  <c r="H55" i="61" s="1"/>
  <c r="G372" i="61"/>
  <c r="H372" i="61" s="1"/>
  <c r="G30" i="61"/>
  <c r="H30" i="61" s="1"/>
  <c r="G14" i="61"/>
  <c r="H14" i="61" s="1"/>
  <c r="G189" i="61"/>
  <c r="H189" i="61" s="1"/>
  <c r="G47" i="61"/>
  <c r="H47" i="61" s="1"/>
  <c r="G86" i="61"/>
  <c r="H86" i="61" s="1"/>
  <c r="G23" i="61"/>
  <c r="H23" i="61" s="1"/>
  <c r="G7" i="61"/>
  <c r="H7" i="61" s="1"/>
  <c r="G465" i="61"/>
  <c r="H465" i="61" s="1"/>
  <c r="G125" i="61"/>
  <c r="H125" i="61" s="1"/>
  <c r="G39" i="61"/>
  <c r="H39" i="61" s="1"/>
  <c r="G22" i="61"/>
  <c r="H22" i="61" s="1"/>
  <c r="G221" i="61"/>
  <c r="H221" i="61" s="1"/>
  <c r="G6" i="61"/>
  <c r="H6" i="61" s="1"/>
  <c r="G436" i="61"/>
  <c r="H436" i="61" s="1"/>
  <c r="G387" i="61"/>
  <c r="H387" i="61" s="1"/>
  <c r="G230" i="61"/>
  <c r="H230" i="61" s="1"/>
  <c r="G479" i="61"/>
  <c r="H479" i="61" s="1"/>
  <c r="G374" i="61"/>
  <c r="H374" i="61" s="1"/>
  <c r="G264" i="61"/>
  <c r="H264" i="61" s="1"/>
  <c r="G155" i="61"/>
  <c r="H155" i="61" s="1"/>
  <c r="G409" i="61"/>
  <c r="H409" i="61" s="1"/>
  <c r="G222" i="61"/>
  <c r="H222" i="61" s="1"/>
  <c r="G483" i="61"/>
  <c r="H483" i="61" s="1"/>
  <c r="G379" i="61"/>
  <c r="H379" i="61" s="1"/>
  <c r="G259" i="61"/>
  <c r="H259" i="61" s="1"/>
  <c r="G147" i="61"/>
  <c r="H147" i="61" s="1"/>
  <c r="G172" i="61"/>
  <c r="H172" i="61" s="1"/>
  <c r="G396" i="61"/>
  <c r="H396" i="61" s="1"/>
  <c r="G136" i="61"/>
  <c r="H136" i="61" s="1"/>
  <c r="G484" i="61"/>
  <c r="H484" i="61" s="1"/>
  <c r="G108" i="61"/>
  <c r="H108" i="61" s="1"/>
  <c r="G240" i="61"/>
  <c r="H240" i="61" s="1"/>
  <c r="G42" i="61"/>
  <c r="H42" i="61" s="1"/>
  <c r="G297" i="61"/>
  <c r="H297" i="61" s="1"/>
  <c r="G87" i="61"/>
  <c r="H87" i="61" s="1"/>
  <c r="G355" i="61"/>
  <c r="H355" i="61" s="1"/>
  <c r="G80" i="61"/>
  <c r="H80" i="61" s="1"/>
  <c r="G244" i="61"/>
  <c r="H244" i="61" s="1"/>
  <c r="G12" i="61"/>
  <c r="H12" i="61" s="1"/>
  <c r="G33" i="61"/>
  <c r="H33" i="61" s="1"/>
  <c r="Q206" i="60"/>
  <c r="L23" i="53"/>
  <c r="N24" i="51"/>
  <c r="R30" i="66"/>
  <c r="V28" i="65"/>
  <c r="V29" i="65"/>
  <c r="V17" i="65"/>
  <c r="V19" i="65" s="1"/>
  <c r="I56" i="65"/>
  <c r="J10" i="41"/>
  <c r="J46" i="41" s="1"/>
  <c r="J11" i="41"/>
  <c r="J9" i="41"/>
  <c r="V34" i="67"/>
  <c r="V35" i="67"/>
  <c r="V33" i="67"/>
  <c r="P30" i="65"/>
  <c r="T34" i="66"/>
  <c r="T33" i="66"/>
  <c r="T35" i="66"/>
  <c r="P30" i="66"/>
  <c r="Z27" i="66"/>
  <c r="G388" i="61"/>
  <c r="H388" i="61" s="1"/>
  <c r="G49" i="61"/>
  <c r="H49" i="61" s="1"/>
  <c r="G232" i="61"/>
  <c r="H232" i="61" s="1"/>
  <c r="G36" i="61"/>
  <c r="H36" i="61" s="1"/>
  <c r="G239" i="61"/>
  <c r="H239" i="61" s="1"/>
  <c r="G81" i="61"/>
  <c r="H81" i="61" s="1"/>
  <c r="G276" i="61"/>
  <c r="H276" i="61" s="1"/>
  <c r="G72" i="61"/>
  <c r="H72" i="61" s="1"/>
  <c r="G119" i="61"/>
  <c r="H119" i="61" s="1"/>
  <c r="G369" i="61"/>
  <c r="H369" i="61" s="1"/>
  <c r="G17" i="61"/>
  <c r="H17" i="61" s="1"/>
  <c r="L504" i="60"/>
  <c r="P295" i="60" s="1"/>
  <c r="Q295" i="60" s="1"/>
  <c r="H20" i="50"/>
  <c r="F21" i="48" s="1"/>
  <c r="X22" i="65"/>
  <c r="X50" i="65"/>
  <c r="Z35" i="69"/>
  <c r="Z27" i="70"/>
  <c r="Z30" i="70" s="1"/>
  <c r="P36" i="69"/>
  <c r="R36" i="65"/>
  <c r="R54" i="65"/>
  <c r="Z34" i="69"/>
  <c r="I56" i="68"/>
  <c r="V28" i="68"/>
  <c r="Z28" i="68" s="1"/>
  <c r="V29" i="68"/>
  <c r="Z29" i="68" s="1"/>
  <c r="V17" i="68"/>
  <c r="V19" i="68" s="1"/>
  <c r="J27" i="41"/>
  <c r="J29" i="41"/>
  <c r="N29" i="41" s="1"/>
  <c r="J28" i="41"/>
  <c r="N28" i="41" s="1"/>
  <c r="R54" i="69"/>
  <c r="Z54" i="69" s="1"/>
  <c r="R36" i="69"/>
  <c r="X52" i="65"/>
  <c r="Z52" i="65" s="1"/>
  <c r="Z45" i="70"/>
  <c r="G338" i="61"/>
  <c r="H338" i="61" s="1"/>
  <c r="F9" i="63"/>
  <c r="G9" i="63" s="1"/>
  <c r="H9" i="63" s="1"/>
  <c r="G476" i="61"/>
  <c r="H476" i="61" s="1"/>
  <c r="G360" i="61"/>
  <c r="H360" i="61" s="1"/>
  <c r="G270" i="61"/>
  <c r="H270" i="61" s="1"/>
  <c r="G235" i="61"/>
  <c r="H235" i="61" s="1"/>
  <c r="G83" i="61"/>
  <c r="H83" i="61" s="1"/>
  <c r="G441" i="61"/>
  <c r="H441" i="61" s="1"/>
  <c r="G348" i="61"/>
  <c r="H348" i="61" s="1"/>
  <c r="G142" i="61"/>
  <c r="H142" i="61" s="1"/>
  <c r="G451" i="61"/>
  <c r="H451" i="61" s="1"/>
  <c r="G336" i="61"/>
  <c r="H336" i="61" s="1"/>
  <c r="G163" i="61"/>
  <c r="H163" i="61" s="1"/>
  <c r="G462" i="61"/>
  <c r="H462" i="61" s="1"/>
  <c r="G364" i="61"/>
  <c r="H364" i="61" s="1"/>
  <c r="G166" i="61"/>
  <c r="H166" i="61" s="1"/>
  <c r="G467" i="61"/>
  <c r="H467" i="61" s="1"/>
  <c r="G334" i="61"/>
  <c r="H334" i="61" s="1"/>
  <c r="G248" i="61"/>
  <c r="H248" i="61" s="1"/>
  <c r="G123" i="61"/>
  <c r="H123" i="61" s="1"/>
  <c r="G496" i="61"/>
  <c r="H496" i="61" s="1"/>
  <c r="G391" i="61"/>
  <c r="H391" i="61" s="1"/>
  <c r="G158" i="61"/>
  <c r="H158" i="61" s="1"/>
  <c r="G460" i="61"/>
  <c r="H460" i="61" s="1"/>
  <c r="G344" i="61"/>
  <c r="H344" i="61" s="1"/>
  <c r="G243" i="61"/>
  <c r="H243" i="61" s="1"/>
  <c r="G115" i="61"/>
  <c r="H115" i="61" s="1"/>
  <c r="G16" i="61"/>
  <c r="H16" i="61" s="1"/>
  <c r="G337" i="61"/>
  <c r="H337" i="61" s="1"/>
  <c r="G76" i="61"/>
  <c r="H76" i="61" s="1"/>
  <c r="G321" i="61"/>
  <c r="H321" i="61" s="1"/>
  <c r="G26" i="61"/>
  <c r="H26" i="61" s="1"/>
  <c r="G204" i="61"/>
  <c r="H204" i="61" s="1"/>
  <c r="G25" i="61"/>
  <c r="H25" i="61" s="1"/>
  <c r="G231" i="61"/>
  <c r="H231" i="61" s="1"/>
  <c r="G73" i="61"/>
  <c r="H73" i="61" s="1"/>
  <c r="G196" i="61"/>
  <c r="H196" i="61" s="1"/>
  <c r="G66" i="61"/>
  <c r="H66" i="61" s="1"/>
  <c r="G112" i="61"/>
  <c r="H112" i="61" s="1"/>
  <c r="Q396" i="60"/>
  <c r="P396" i="60"/>
  <c r="Q327" i="60"/>
  <c r="P327" i="60"/>
  <c r="G96" i="61"/>
  <c r="H96" i="61" s="1"/>
  <c r="G208" i="61"/>
  <c r="H208" i="61" s="1"/>
  <c r="G361" i="61"/>
  <c r="H361" i="61" s="1"/>
  <c r="P54" i="65"/>
  <c r="X22" i="68"/>
  <c r="X50" i="68"/>
  <c r="T34" i="68"/>
  <c r="T33" i="68"/>
  <c r="T35" i="68"/>
  <c r="R50" i="67"/>
  <c r="Z50" i="67" s="1"/>
  <c r="R52" i="67"/>
  <c r="Z52" i="67" s="1"/>
  <c r="R22" i="67"/>
  <c r="P22" i="67"/>
  <c r="X52" i="68"/>
  <c r="Z52" i="68" s="1"/>
  <c r="Z27" i="68"/>
  <c r="X30" i="65"/>
  <c r="V27" i="65"/>
  <c r="Z27" i="65" s="1"/>
  <c r="Z36" i="69"/>
  <c r="X28" i="65"/>
  <c r="X29" i="65"/>
  <c r="X17" i="65"/>
  <c r="X19" i="65" s="1"/>
  <c r="K56" i="65"/>
  <c r="L11" i="41"/>
  <c r="L47" i="41" s="1"/>
  <c r="L9" i="41"/>
  <c r="L10" i="41"/>
  <c r="L46" i="41" s="1"/>
  <c r="Z50" i="68"/>
  <c r="X35" i="68"/>
  <c r="X36" i="68" s="1"/>
  <c r="X34" i="68"/>
  <c r="F26" i="63"/>
  <c r="G26" i="63" s="1"/>
  <c r="H26" i="63" s="1"/>
  <c r="F6" i="63"/>
  <c r="G6" i="63" s="1"/>
  <c r="H6" i="63" s="1"/>
  <c r="G322" i="61"/>
  <c r="H322" i="61" s="1"/>
  <c r="M27" i="62"/>
  <c r="G447" i="61"/>
  <c r="H447" i="61" s="1"/>
  <c r="G342" i="61"/>
  <c r="H342" i="61" s="1"/>
  <c r="G266" i="61"/>
  <c r="H266" i="61" s="1"/>
  <c r="G210" i="61"/>
  <c r="H210" i="61" s="1"/>
  <c r="G435" i="61"/>
  <c r="H435" i="61" s="1"/>
  <c r="G319" i="61"/>
  <c r="H319" i="61" s="1"/>
  <c r="G110" i="61"/>
  <c r="H110" i="61" s="1"/>
  <c r="G440" i="61"/>
  <c r="H440" i="61" s="1"/>
  <c r="G318" i="61"/>
  <c r="H318" i="61" s="1"/>
  <c r="G138" i="61"/>
  <c r="H138" i="61" s="1"/>
  <c r="G456" i="61"/>
  <c r="H456" i="61" s="1"/>
  <c r="G335" i="61"/>
  <c r="H335" i="61" s="1"/>
  <c r="G134" i="61"/>
  <c r="H134" i="61" s="1"/>
  <c r="G455" i="61"/>
  <c r="H455" i="61" s="1"/>
  <c r="G310" i="61"/>
  <c r="H310" i="61" s="1"/>
  <c r="G226" i="61"/>
  <c r="H226" i="61" s="1"/>
  <c r="G98" i="61"/>
  <c r="H98" i="61" s="1"/>
  <c r="G478" i="61"/>
  <c r="H478" i="61" s="1"/>
  <c r="G380" i="61"/>
  <c r="H380" i="61" s="1"/>
  <c r="M31" i="62"/>
  <c r="G443" i="61"/>
  <c r="H443" i="61" s="1"/>
  <c r="G326" i="61"/>
  <c r="H326" i="61" s="1"/>
  <c r="G218" i="61"/>
  <c r="H218" i="61" s="1"/>
  <c r="G448" i="61"/>
  <c r="H448" i="61" s="1"/>
  <c r="G260" i="61"/>
  <c r="H260" i="61" s="1"/>
  <c r="G56" i="61"/>
  <c r="H56" i="61" s="1"/>
  <c r="G284" i="61"/>
  <c r="H284" i="61" s="1"/>
  <c r="G10" i="61"/>
  <c r="H10" i="61" s="1"/>
  <c r="G468" i="61"/>
  <c r="H468" i="61" s="1"/>
  <c r="G128" i="61"/>
  <c r="H128" i="61" s="1"/>
  <c r="G9" i="61"/>
  <c r="H9" i="61" s="1"/>
  <c r="G224" i="61"/>
  <c r="H224" i="61" s="1"/>
  <c r="G41" i="61"/>
  <c r="H41" i="61" s="1"/>
  <c r="G182" i="61"/>
  <c r="H182" i="61" s="1"/>
  <c r="G60" i="61"/>
  <c r="H60" i="61" s="1"/>
  <c r="G488" i="61"/>
  <c r="H488" i="61" s="1"/>
  <c r="G104" i="61"/>
  <c r="H104" i="61" s="1"/>
  <c r="Q324" i="60"/>
  <c r="P324" i="60"/>
  <c r="G52" i="61"/>
  <c r="H52" i="61" s="1"/>
  <c r="G200" i="61"/>
  <c r="H200" i="61" s="1"/>
  <c r="Q315" i="60"/>
  <c r="P23" i="53"/>
  <c r="E16" i="52" s="1"/>
  <c r="P305" i="60" l="1"/>
  <c r="Q305" i="60" s="1"/>
  <c r="P341" i="60"/>
  <c r="Q341" i="60" s="1"/>
  <c r="P331" i="60"/>
  <c r="Q331" i="60" s="1"/>
  <c r="P254" i="60"/>
  <c r="Q254" i="60" s="1"/>
  <c r="P338" i="60"/>
  <c r="Q338" i="60" s="1"/>
  <c r="P157" i="60"/>
  <c r="Q157" i="60" s="1"/>
  <c r="P217" i="60"/>
  <c r="Q217" i="60" s="1"/>
  <c r="P337" i="60"/>
  <c r="Q337" i="60" s="1"/>
  <c r="P193" i="60"/>
  <c r="Q193" i="60" s="1"/>
  <c r="P353" i="60"/>
  <c r="Q353" i="60" s="1"/>
  <c r="Z30" i="68"/>
  <c r="P361" i="60"/>
  <c r="Q361" i="60" s="1"/>
  <c r="P205" i="60"/>
  <c r="Q205" i="60" s="1"/>
  <c r="P391" i="60"/>
  <c r="Q391" i="60" s="1"/>
  <c r="P246" i="60"/>
  <c r="Q246" i="60" s="1"/>
  <c r="P399" i="60"/>
  <c r="Q399" i="60" s="1"/>
  <c r="P299" i="60"/>
  <c r="Q299" i="60" s="1"/>
  <c r="P165" i="60"/>
  <c r="Q165" i="60" s="1"/>
  <c r="P286" i="60"/>
  <c r="Q286" i="60" s="1"/>
  <c r="P308" i="60"/>
  <c r="Q308" i="60" s="1"/>
  <c r="D18" i="41"/>
  <c r="N15" i="41"/>
  <c r="D45" i="41"/>
  <c r="F18" i="41"/>
  <c r="F45" i="41"/>
  <c r="P189" i="60"/>
  <c r="Q189" i="60" s="1"/>
  <c r="H46" i="41"/>
  <c r="N10" i="41"/>
  <c r="P249" i="60"/>
  <c r="Q249" i="60" s="1"/>
  <c r="P311" i="60"/>
  <c r="Q311" i="60" s="1"/>
  <c r="P229" i="60"/>
  <c r="Q229" i="60" s="1"/>
  <c r="P161" i="60"/>
  <c r="Q161" i="60" s="1"/>
  <c r="P347" i="60"/>
  <c r="Q347" i="60" s="1"/>
  <c r="P237" i="60"/>
  <c r="Q237" i="60" s="1"/>
  <c r="P169" i="60"/>
  <c r="Q169" i="60" s="1"/>
  <c r="P278" i="60"/>
  <c r="Q278" i="60" s="1"/>
  <c r="P349" i="60"/>
  <c r="Q349" i="60" s="1"/>
  <c r="P339" i="60"/>
  <c r="Q339" i="60" s="1"/>
  <c r="P348" i="60"/>
  <c r="Q348" i="60" s="1"/>
  <c r="P293" i="60"/>
  <c r="Q293" i="60" s="1"/>
  <c r="V30" i="68"/>
  <c r="P321" i="60"/>
  <c r="Q321" i="60" s="1"/>
  <c r="P356" i="60"/>
  <c r="Q356" i="60" s="1"/>
  <c r="Q9" i="41"/>
  <c r="N17" i="41"/>
  <c r="Q10" i="41"/>
  <c r="D47" i="41"/>
  <c r="F46" i="41"/>
  <c r="P253" i="60"/>
  <c r="Q253" i="60" s="1"/>
  <c r="H504" i="61"/>
  <c r="H47" i="41"/>
  <c r="N11" i="41"/>
  <c r="P281" i="60"/>
  <c r="Q281" i="60" s="1"/>
  <c r="P401" i="60"/>
  <c r="Q401" i="60" s="1"/>
  <c r="P367" i="60"/>
  <c r="Q367" i="60" s="1"/>
  <c r="X54" i="70"/>
  <c r="X36" i="70"/>
  <c r="P277" i="60"/>
  <c r="Q277" i="60" s="1"/>
  <c r="P225" i="60"/>
  <c r="Q225" i="60" s="1"/>
  <c r="P201" i="60"/>
  <c r="Q201" i="60" s="1"/>
  <c r="P313" i="60"/>
  <c r="Q313" i="60" s="1"/>
  <c r="P300" i="60"/>
  <c r="Q300" i="60" s="1"/>
  <c r="J33" i="62"/>
  <c r="T54" i="66"/>
  <c r="T36" i="66"/>
  <c r="J45" i="41"/>
  <c r="J48" i="41" s="1"/>
  <c r="J12" i="41"/>
  <c r="P377" i="60"/>
  <c r="Q377" i="60" s="1"/>
  <c r="N21" i="41"/>
  <c r="N24" i="41" s="1"/>
  <c r="F24" i="41"/>
  <c r="P389" i="60"/>
  <c r="Q389" i="60" s="1"/>
  <c r="P177" i="60"/>
  <c r="Q177" i="60" s="1"/>
  <c r="P385" i="60"/>
  <c r="Q385" i="60" s="1"/>
  <c r="T54" i="67"/>
  <c r="T36" i="67"/>
  <c r="N16" i="41"/>
  <c r="D46" i="41"/>
  <c r="Z54" i="70"/>
  <c r="P285" i="60"/>
  <c r="Q285" i="60" s="1"/>
  <c r="P364" i="60"/>
  <c r="Q364" i="60" s="1"/>
  <c r="H45" i="41"/>
  <c r="H48" i="41" s="1"/>
  <c r="H12" i="41"/>
  <c r="N9" i="41"/>
  <c r="R30" i="67"/>
  <c r="P166" i="60"/>
  <c r="Q166" i="60" s="1"/>
  <c r="L12" i="41"/>
  <c r="L45" i="41"/>
  <c r="L48" i="41" s="1"/>
  <c r="P173" i="60"/>
  <c r="Q173" i="60" s="1"/>
  <c r="P214" i="60"/>
  <c r="Q214" i="60" s="1"/>
  <c r="V54" i="67"/>
  <c r="V36" i="67"/>
  <c r="P346" i="60"/>
  <c r="Q346" i="60" s="1"/>
  <c r="X35" i="65"/>
  <c r="X34" i="65"/>
  <c r="X33" i="65"/>
  <c r="P405" i="60"/>
  <c r="Q405" i="60" s="1"/>
  <c r="P257" i="60"/>
  <c r="Q257" i="60" s="1"/>
  <c r="P388" i="60"/>
  <c r="Q388" i="60" s="1"/>
  <c r="P269" i="60"/>
  <c r="Q269" i="60" s="1"/>
  <c r="P332" i="60"/>
  <c r="Q332" i="60" s="1"/>
  <c r="P289" i="60"/>
  <c r="Q289" i="60" s="1"/>
  <c r="P224" i="60"/>
  <c r="Q224" i="60" s="1"/>
  <c r="P354" i="60"/>
  <c r="Q354" i="60" s="1"/>
  <c r="V35" i="68"/>
  <c r="Z35" i="68" s="1"/>
  <c r="V34" i="68"/>
  <c r="Z34" i="68" s="1"/>
  <c r="V33" i="68"/>
  <c r="Z33" i="68" s="1"/>
  <c r="Z36" i="68" s="1"/>
  <c r="P233" i="60"/>
  <c r="Q233" i="60" s="1"/>
  <c r="P369" i="60"/>
  <c r="Q369" i="60" s="1"/>
  <c r="P362" i="60"/>
  <c r="Q362" i="60" s="1"/>
  <c r="P340" i="60"/>
  <c r="Q340" i="60" s="1"/>
  <c r="J47" i="41"/>
  <c r="P209" i="60"/>
  <c r="Q209" i="60" s="1"/>
  <c r="P365" i="60"/>
  <c r="Q365" i="60" s="1"/>
  <c r="P329" i="60"/>
  <c r="Q329" i="60" s="1"/>
  <c r="P307" i="60"/>
  <c r="Q307" i="60" s="1"/>
  <c r="Z30" i="67"/>
  <c r="P198" i="60"/>
  <c r="Q198" i="60" s="1"/>
  <c r="P216" i="60"/>
  <c r="Q216" i="60" s="1"/>
  <c r="P316" i="60"/>
  <c r="Q316" i="60" s="1"/>
  <c r="T54" i="68"/>
  <c r="T36" i="68"/>
  <c r="J30" i="41"/>
  <c r="N27" i="41"/>
  <c r="N30" i="41" s="1"/>
  <c r="P343" i="60"/>
  <c r="Q343" i="60" s="1"/>
  <c r="P174" i="60"/>
  <c r="Q174" i="60" s="1"/>
  <c r="P36" i="65"/>
  <c r="P323" i="60"/>
  <c r="Q323" i="60" s="1"/>
  <c r="P265" i="60"/>
  <c r="Q265" i="60" s="1"/>
  <c r="P181" i="60"/>
  <c r="Q181" i="60" s="1"/>
  <c r="P357" i="60"/>
  <c r="Q357" i="60" s="1"/>
  <c r="P375" i="60"/>
  <c r="Q375" i="60" s="1"/>
  <c r="P241" i="60"/>
  <c r="Q241" i="60" s="1"/>
  <c r="P208" i="60"/>
  <c r="Q208" i="60" s="1"/>
  <c r="R34" i="66"/>
  <c r="R35" i="66"/>
  <c r="R33" i="66"/>
  <c r="Z29" i="65"/>
  <c r="Z30" i="65" s="1"/>
  <c r="P261" i="60"/>
  <c r="Q261" i="60" s="1"/>
  <c r="P230" i="60"/>
  <c r="Q230" i="60" s="1"/>
  <c r="P280" i="60"/>
  <c r="Q280" i="60" s="1"/>
  <c r="P372" i="60"/>
  <c r="Q372" i="60" s="1"/>
  <c r="C34" i="63"/>
  <c r="P397" i="60"/>
  <c r="Q397" i="60" s="1"/>
  <c r="P288" i="60"/>
  <c r="Q288" i="60" s="1"/>
  <c r="P319" i="60"/>
  <c r="Q319" i="60" s="1"/>
  <c r="P238" i="60"/>
  <c r="Q238" i="60" s="1"/>
  <c r="P383" i="60"/>
  <c r="Q383" i="60" s="1"/>
  <c r="P403" i="60"/>
  <c r="Q403" i="60" s="1"/>
  <c r="P232" i="60"/>
  <c r="Q232" i="60" s="1"/>
  <c r="P294" i="60"/>
  <c r="Q294" i="60" s="1"/>
  <c r="P404" i="60"/>
  <c r="Q404" i="60" s="1"/>
  <c r="V35" i="65"/>
  <c r="V34" i="65"/>
  <c r="V33" i="65"/>
  <c r="P213" i="60"/>
  <c r="Q213" i="60" s="1"/>
  <c r="X36" i="67"/>
  <c r="X54" i="67"/>
  <c r="R34" i="67"/>
  <c r="Z34" i="67" s="1"/>
  <c r="R35" i="67"/>
  <c r="Z35" i="67" s="1"/>
  <c r="R33" i="67"/>
  <c r="P158" i="60"/>
  <c r="Q158" i="60" s="1"/>
  <c r="P240" i="60"/>
  <c r="Q240" i="60" s="1"/>
  <c r="P34" i="66"/>
  <c r="P35" i="66"/>
  <c r="P33" i="66"/>
  <c r="P393" i="60"/>
  <c r="Q393" i="60" s="1"/>
  <c r="P373" i="60"/>
  <c r="Q373" i="60" s="1"/>
  <c r="P153" i="60"/>
  <c r="Q153" i="60" s="1"/>
  <c r="P262" i="60"/>
  <c r="Q262" i="60" s="1"/>
  <c r="P29" i="60"/>
  <c r="Q29" i="60" s="1"/>
  <c r="P61" i="60"/>
  <c r="Q61" i="60" s="1"/>
  <c r="P93" i="60"/>
  <c r="Q93" i="60" s="1"/>
  <c r="P125" i="60"/>
  <c r="Q125" i="60" s="1"/>
  <c r="P82" i="60"/>
  <c r="Q82" i="60" s="1"/>
  <c r="P114" i="60"/>
  <c r="Q114" i="60" s="1"/>
  <c r="P146" i="60"/>
  <c r="Q146" i="60" s="1"/>
  <c r="P36" i="60"/>
  <c r="Q36" i="60" s="1"/>
  <c r="P33" i="60"/>
  <c r="Q33" i="60" s="1"/>
  <c r="P78" i="60"/>
  <c r="Q78" i="60" s="1"/>
  <c r="P110" i="60"/>
  <c r="Q110" i="60" s="1"/>
  <c r="P142" i="60"/>
  <c r="Q142" i="60" s="1"/>
  <c r="P19" i="60"/>
  <c r="Q19" i="60" s="1"/>
  <c r="P51" i="60"/>
  <c r="Q51" i="60" s="1"/>
  <c r="P83" i="60"/>
  <c r="Q83" i="60" s="1"/>
  <c r="P115" i="60"/>
  <c r="Q115" i="60" s="1"/>
  <c r="P147" i="60"/>
  <c r="Q147" i="60" s="1"/>
  <c r="P16" i="60"/>
  <c r="Q16" i="60" s="1"/>
  <c r="P80" i="60"/>
  <c r="Q80" i="60" s="1"/>
  <c r="P112" i="60"/>
  <c r="Q112" i="60" s="1"/>
  <c r="P144" i="60"/>
  <c r="Q144" i="60" s="1"/>
  <c r="P186" i="60"/>
  <c r="Q186" i="60" s="1"/>
  <c r="P226" i="60"/>
  <c r="Q226" i="60" s="1"/>
  <c r="P167" i="60"/>
  <c r="Q167" i="60" s="1"/>
  <c r="P172" i="60"/>
  <c r="Q172" i="60" s="1"/>
  <c r="P204" i="60"/>
  <c r="Q204" i="60" s="1"/>
  <c r="P236" i="60"/>
  <c r="Q236" i="60" s="1"/>
  <c r="P268" i="60"/>
  <c r="Q268" i="60" s="1"/>
  <c r="P467" i="60"/>
  <c r="Q467" i="60" s="1"/>
  <c r="P409" i="60"/>
  <c r="Q409" i="60" s="1"/>
  <c r="P150" i="60"/>
  <c r="Q150" i="60" s="1"/>
  <c r="P179" i="60"/>
  <c r="Q179" i="60" s="1"/>
  <c r="P342" i="60"/>
  <c r="Q342" i="60" s="1"/>
  <c r="P374" i="60"/>
  <c r="Q374" i="60" s="1"/>
  <c r="P160" i="60"/>
  <c r="Q160" i="60" s="1"/>
  <c r="P192" i="60"/>
  <c r="Q192" i="60" s="1"/>
  <c r="P256" i="60"/>
  <c r="Q256" i="60" s="1"/>
  <c r="P363" i="60"/>
  <c r="Q363" i="60" s="1"/>
  <c r="P395" i="60"/>
  <c r="Q395" i="60" s="1"/>
  <c r="P333" i="60"/>
  <c r="Q333" i="60" s="1"/>
  <c r="P418" i="60"/>
  <c r="Q418" i="60" s="1"/>
  <c r="P423" i="60"/>
  <c r="Q423" i="60" s="1"/>
  <c r="P486" i="60"/>
  <c r="Q486" i="60" s="1"/>
  <c r="P440" i="60"/>
  <c r="Q440" i="60" s="1"/>
  <c r="P477" i="60"/>
  <c r="Q477" i="60" s="1"/>
  <c r="P431" i="60"/>
  <c r="Q431" i="60" s="1"/>
  <c r="P464" i="60"/>
  <c r="Q464" i="60" s="1"/>
  <c r="P499" i="60"/>
  <c r="Q499" i="60" s="1"/>
  <c r="P304" i="60"/>
  <c r="Q304" i="60" s="1"/>
  <c r="P37" i="60"/>
  <c r="Q37" i="60" s="1"/>
  <c r="P58" i="60"/>
  <c r="Q58" i="60" s="1"/>
  <c r="P23" i="60"/>
  <c r="Q23" i="60" s="1"/>
  <c r="P55" i="60"/>
  <c r="Q55" i="60" s="1"/>
  <c r="P119" i="60"/>
  <c r="Q119" i="60" s="1"/>
  <c r="P4" i="60"/>
  <c r="Q4" i="60" s="1"/>
  <c r="P68" i="60"/>
  <c r="Q68" i="60" s="1"/>
  <c r="P100" i="60"/>
  <c r="Q100" i="60" s="1"/>
  <c r="P132" i="60"/>
  <c r="Q132" i="60" s="1"/>
  <c r="P65" i="60"/>
  <c r="Q65" i="60" s="1"/>
  <c r="P97" i="60"/>
  <c r="Q97" i="60" s="1"/>
  <c r="P129" i="60"/>
  <c r="Q129" i="60" s="1"/>
  <c r="P22" i="60"/>
  <c r="Q22" i="60" s="1"/>
  <c r="P27" i="60"/>
  <c r="Q27" i="60" s="1"/>
  <c r="P24" i="60"/>
  <c r="Q24" i="60" s="1"/>
  <c r="P56" i="60"/>
  <c r="Q56" i="60" s="1"/>
  <c r="P234" i="60"/>
  <c r="Q234" i="60" s="1"/>
  <c r="P266" i="60"/>
  <c r="Q266" i="60" s="1"/>
  <c r="P207" i="60"/>
  <c r="Q207" i="60" s="1"/>
  <c r="P247" i="60"/>
  <c r="Q247" i="60" s="1"/>
  <c r="P219" i="60"/>
  <c r="Q219" i="60" s="1"/>
  <c r="P251" i="60"/>
  <c r="Q251" i="60" s="1"/>
  <c r="P283" i="60"/>
  <c r="Q283" i="60" s="1"/>
  <c r="P318" i="60"/>
  <c r="Q318" i="60" s="1"/>
  <c r="P454" i="60"/>
  <c r="Q454" i="60" s="1"/>
  <c r="P312" i="60"/>
  <c r="Q312" i="60" s="1"/>
  <c r="P344" i="60"/>
  <c r="Q344" i="60" s="1"/>
  <c r="P376" i="60"/>
  <c r="Q376" i="60" s="1"/>
  <c r="P408" i="60"/>
  <c r="Q408" i="60" s="1"/>
  <c r="P309" i="60"/>
  <c r="Q309" i="60" s="1"/>
  <c r="P450" i="60"/>
  <c r="Q450" i="60" s="1"/>
  <c r="P426" i="60"/>
  <c r="Q426" i="60" s="1"/>
  <c r="P429" i="60"/>
  <c r="Q429" i="60" s="1"/>
  <c r="P490" i="60"/>
  <c r="Q490" i="60" s="1"/>
  <c r="P448" i="60"/>
  <c r="Q448" i="60" s="1"/>
  <c r="P481" i="60"/>
  <c r="Q481" i="60" s="1"/>
  <c r="P439" i="60"/>
  <c r="Q439" i="60" s="1"/>
  <c r="P468" i="60"/>
  <c r="Q468" i="60" s="1"/>
  <c r="P5" i="60"/>
  <c r="Q5" i="60" s="1"/>
  <c r="P69" i="60"/>
  <c r="Q69" i="60" s="1"/>
  <c r="P101" i="60"/>
  <c r="Q101" i="60" s="1"/>
  <c r="P133" i="60"/>
  <c r="Q133" i="60" s="1"/>
  <c r="P26" i="60"/>
  <c r="Q26" i="60" s="1"/>
  <c r="P90" i="60"/>
  <c r="Q90" i="60" s="1"/>
  <c r="P122" i="60"/>
  <c r="Q122" i="60" s="1"/>
  <c r="P31" i="60"/>
  <c r="Q31" i="60" s="1"/>
  <c r="P12" i="60"/>
  <c r="Q12" i="60" s="1"/>
  <c r="P44" i="60"/>
  <c r="Q44" i="60" s="1"/>
  <c r="P108" i="60"/>
  <c r="Q108" i="60" s="1"/>
  <c r="P54" i="60"/>
  <c r="Q54" i="60" s="1"/>
  <c r="P118" i="60"/>
  <c r="Q118" i="60" s="1"/>
  <c r="P59" i="60"/>
  <c r="Q59" i="60" s="1"/>
  <c r="P91" i="60"/>
  <c r="Q91" i="60" s="1"/>
  <c r="P123" i="60"/>
  <c r="Q123" i="60" s="1"/>
  <c r="P120" i="60"/>
  <c r="Q120" i="60" s="1"/>
  <c r="P154" i="60"/>
  <c r="Q154" i="60" s="1"/>
  <c r="P194" i="60"/>
  <c r="Q194" i="60" s="1"/>
  <c r="P175" i="60"/>
  <c r="Q175" i="60" s="1"/>
  <c r="P180" i="60"/>
  <c r="Q180" i="60" s="1"/>
  <c r="P212" i="60"/>
  <c r="Q212" i="60" s="1"/>
  <c r="P244" i="60"/>
  <c r="Q244" i="60" s="1"/>
  <c r="P276" i="60"/>
  <c r="Q276" i="60" s="1"/>
  <c r="P417" i="60"/>
  <c r="Q417" i="60" s="1"/>
  <c r="P155" i="60"/>
  <c r="Q155" i="60" s="1"/>
  <c r="P187" i="60"/>
  <c r="Q187" i="60" s="1"/>
  <c r="P350" i="60"/>
  <c r="Q350" i="60" s="1"/>
  <c r="P382" i="60"/>
  <c r="Q382" i="60" s="1"/>
  <c r="P414" i="60"/>
  <c r="Q414" i="60" s="1"/>
  <c r="P168" i="60"/>
  <c r="Q168" i="60" s="1"/>
  <c r="P200" i="60"/>
  <c r="Q200" i="60" s="1"/>
  <c r="P264" i="60"/>
  <c r="Q264" i="60" s="1"/>
  <c r="P371" i="60"/>
  <c r="Q371" i="60" s="1"/>
  <c r="P470" i="60"/>
  <c r="Q470" i="60" s="1"/>
  <c r="P463" i="60"/>
  <c r="Q463" i="60" s="1"/>
  <c r="P466" i="60"/>
  <c r="Q466" i="60" s="1"/>
  <c r="P314" i="60"/>
  <c r="Q314" i="60" s="1"/>
  <c r="P394" i="60"/>
  <c r="Q394" i="60" s="1"/>
  <c r="P455" i="60"/>
  <c r="Q455" i="60" s="1"/>
  <c r="P494" i="60"/>
  <c r="Q494" i="60" s="1"/>
  <c r="P453" i="60"/>
  <c r="Q453" i="60" s="1"/>
  <c r="P485" i="60"/>
  <c r="Q485" i="60" s="1"/>
  <c r="P447" i="60"/>
  <c r="Q447" i="60" s="1"/>
  <c r="P430" i="60"/>
  <c r="Q430" i="60" s="1"/>
  <c r="P472" i="60"/>
  <c r="Q472" i="60" s="1"/>
  <c r="P34" i="60"/>
  <c r="Q34" i="60" s="1"/>
  <c r="P63" i="60"/>
  <c r="Q63" i="60" s="1"/>
  <c r="P95" i="60"/>
  <c r="Q95" i="60" s="1"/>
  <c r="P127" i="60"/>
  <c r="Q127" i="60" s="1"/>
  <c r="P76" i="60"/>
  <c r="Q76" i="60" s="1"/>
  <c r="P140" i="60"/>
  <c r="Q140" i="60" s="1"/>
  <c r="P9" i="60"/>
  <c r="Q9" i="60" s="1"/>
  <c r="P105" i="60"/>
  <c r="Q105" i="60" s="1"/>
  <c r="P137" i="60"/>
  <c r="Q137" i="60" s="1"/>
  <c r="P30" i="60"/>
  <c r="Q30" i="60" s="1"/>
  <c r="P62" i="60"/>
  <c r="Q62" i="60" s="1"/>
  <c r="P3" i="60"/>
  <c r="Q3" i="60" s="1"/>
  <c r="P242" i="60"/>
  <c r="Q242" i="60" s="1"/>
  <c r="P274" i="60"/>
  <c r="Q274" i="60" s="1"/>
  <c r="P255" i="60"/>
  <c r="Q255" i="60" s="1"/>
  <c r="P458" i="60"/>
  <c r="Q458" i="60" s="1"/>
  <c r="P227" i="60"/>
  <c r="Q227" i="60" s="1"/>
  <c r="P259" i="60"/>
  <c r="Q259" i="60" s="1"/>
  <c r="P291" i="60"/>
  <c r="Q291" i="60" s="1"/>
  <c r="P411" i="60"/>
  <c r="Q411" i="60" s="1"/>
  <c r="P320" i="60"/>
  <c r="Q320" i="60" s="1"/>
  <c r="P352" i="60"/>
  <c r="Q352" i="60" s="1"/>
  <c r="P384" i="60"/>
  <c r="Q384" i="60" s="1"/>
  <c r="P416" i="60"/>
  <c r="Q416" i="60" s="1"/>
  <c r="P317" i="60"/>
  <c r="Q317" i="60" s="1"/>
  <c r="P413" i="60"/>
  <c r="Q413" i="60" s="1"/>
  <c r="P433" i="60"/>
  <c r="Q433" i="60" s="1"/>
  <c r="P498" i="60"/>
  <c r="Q498" i="60" s="1"/>
  <c r="P457" i="60"/>
  <c r="Q457" i="60" s="1"/>
  <c r="P489" i="60"/>
  <c r="Q489" i="60" s="1"/>
  <c r="P438" i="60"/>
  <c r="Q438" i="60" s="1"/>
  <c r="P476" i="60"/>
  <c r="Q476" i="60" s="1"/>
  <c r="P79" i="60"/>
  <c r="Q79" i="60" s="1"/>
  <c r="P143" i="60"/>
  <c r="Q143" i="60" s="1"/>
  <c r="P28" i="60"/>
  <c r="Q28" i="60" s="1"/>
  <c r="P92" i="60"/>
  <c r="Q92" i="60" s="1"/>
  <c r="P124" i="60"/>
  <c r="Q124" i="60" s="1"/>
  <c r="P121" i="60"/>
  <c r="Q121" i="60" s="1"/>
  <c r="P14" i="60"/>
  <c r="Q14" i="60" s="1"/>
  <c r="P46" i="60"/>
  <c r="Q46" i="60" s="1"/>
  <c r="P258" i="60"/>
  <c r="Q258" i="60" s="1"/>
  <c r="P243" i="60"/>
  <c r="Q243" i="60" s="1"/>
  <c r="P400" i="60"/>
  <c r="Q400" i="60" s="1"/>
  <c r="P298" i="60"/>
  <c r="Q298" i="60" s="1"/>
  <c r="P482" i="60"/>
  <c r="Q482" i="60" s="1"/>
  <c r="P432" i="60"/>
  <c r="Q432" i="60" s="1"/>
  <c r="P496" i="60"/>
  <c r="Q496" i="60" s="1"/>
  <c r="P13" i="60"/>
  <c r="Q13" i="60" s="1"/>
  <c r="P45" i="60"/>
  <c r="Q45" i="60" s="1"/>
  <c r="P77" i="60"/>
  <c r="Q77" i="60" s="1"/>
  <c r="P109" i="60"/>
  <c r="Q109" i="60" s="1"/>
  <c r="P141" i="60"/>
  <c r="Q141" i="60" s="1"/>
  <c r="P66" i="60"/>
  <c r="Q66" i="60" s="1"/>
  <c r="P98" i="60"/>
  <c r="Q98" i="60" s="1"/>
  <c r="P7" i="60"/>
  <c r="Q7" i="60" s="1"/>
  <c r="P39" i="60"/>
  <c r="Q39" i="60" s="1"/>
  <c r="P103" i="60"/>
  <c r="Q103" i="60" s="1"/>
  <c r="P148" i="60"/>
  <c r="Q148" i="60" s="1"/>
  <c r="P17" i="60"/>
  <c r="Q17" i="60" s="1"/>
  <c r="P94" i="60"/>
  <c r="Q94" i="60" s="1"/>
  <c r="P126" i="60"/>
  <c r="Q126" i="60" s="1"/>
  <c r="P35" i="60"/>
  <c r="Q35" i="60" s="1"/>
  <c r="P99" i="60"/>
  <c r="Q99" i="60" s="1"/>
  <c r="P131" i="60"/>
  <c r="Q131" i="60" s="1"/>
  <c r="P32" i="60"/>
  <c r="Q32" i="60" s="1"/>
  <c r="P64" i="60"/>
  <c r="Q64" i="60" s="1"/>
  <c r="P96" i="60"/>
  <c r="Q96" i="60" s="1"/>
  <c r="P128" i="60"/>
  <c r="Q128" i="60" s="1"/>
  <c r="P162" i="60"/>
  <c r="Q162" i="60" s="1"/>
  <c r="P282" i="60"/>
  <c r="Q282" i="60" s="1"/>
  <c r="P151" i="60"/>
  <c r="Q151" i="60" s="1"/>
  <c r="P223" i="60"/>
  <c r="Q223" i="60" s="1"/>
  <c r="P474" i="60"/>
  <c r="Q474" i="60" s="1"/>
  <c r="P156" i="60"/>
  <c r="Q156" i="60" s="1"/>
  <c r="P188" i="60"/>
  <c r="Q188" i="60" s="1"/>
  <c r="P220" i="60"/>
  <c r="Q220" i="60" s="1"/>
  <c r="P252" i="60"/>
  <c r="Q252" i="60" s="1"/>
  <c r="P284" i="60"/>
  <c r="Q284" i="60" s="1"/>
  <c r="P163" i="60"/>
  <c r="Q163" i="60" s="1"/>
  <c r="P195" i="60"/>
  <c r="Q195" i="60" s="1"/>
  <c r="P326" i="60"/>
  <c r="Q326" i="60" s="1"/>
  <c r="P358" i="60"/>
  <c r="Q358" i="60" s="1"/>
  <c r="P390" i="60"/>
  <c r="Q390" i="60" s="1"/>
  <c r="P422" i="60"/>
  <c r="Q422" i="60" s="1"/>
  <c r="P176" i="60"/>
  <c r="Q176" i="60" s="1"/>
  <c r="P379" i="60"/>
  <c r="Q379" i="60" s="1"/>
  <c r="P370" i="60"/>
  <c r="Q370" i="60" s="1"/>
  <c r="P402" i="60"/>
  <c r="Q402" i="60" s="1"/>
  <c r="P407" i="60"/>
  <c r="Q407" i="60" s="1"/>
  <c r="P412" i="60"/>
  <c r="Q412" i="60" s="1"/>
  <c r="P502" i="60"/>
  <c r="Q502" i="60" s="1"/>
  <c r="P461" i="60"/>
  <c r="Q461" i="60" s="1"/>
  <c r="P501" i="60"/>
  <c r="Q501" i="60" s="1"/>
  <c r="P446" i="60"/>
  <c r="Q446" i="60" s="1"/>
  <c r="P480" i="60"/>
  <c r="Q480" i="60" s="1"/>
  <c r="P483" i="60"/>
  <c r="Q483" i="60" s="1"/>
  <c r="P48" i="60"/>
  <c r="Q48" i="60" s="1"/>
  <c r="P199" i="60"/>
  <c r="Q199" i="60" s="1"/>
  <c r="P271" i="60"/>
  <c r="Q271" i="60" s="1"/>
  <c r="P435" i="60"/>
  <c r="Q435" i="60" s="1"/>
  <c r="P275" i="60"/>
  <c r="Q275" i="60" s="1"/>
  <c r="P368" i="60"/>
  <c r="Q368" i="60" s="1"/>
  <c r="P473" i="60"/>
  <c r="Q473" i="60" s="1"/>
  <c r="P21" i="60"/>
  <c r="Q21" i="60" s="1"/>
  <c r="P53" i="60"/>
  <c r="Q53" i="60" s="1"/>
  <c r="P149" i="60"/>
  <c r="Q149" i="60" s="1"/>
  <c r="P10" i="60"/>
  <c r="Q10" i="60" s="1"/>
  <c r="P42" i="60"/>
  <c r="Q42" i="60" s="1"/>
  <c r="P106" i="60"/>
  <c r="Q106" i="60" s="1"/>
  <c r="P71" i="60"/>
  <c r="Q71" i="60" s="1"/>
  <c r="P135" i="60"/>
  <c r="Q135" i="60" s="1"/>
  <c r="P20" i="60"/>
  <c r="Q20" i="60" s="1"/>
  <c r="P52" i="60"/>
  <c r="Q52" i="60" s="1"/>
  <c r="P84" i="60"/>
  <c r="Q84" i="60" s="1"/>
  <c r="P116" i="60"/>
  <c r="Q116" i="60" s="1"/>
  <c r="P49" i="60"/>
  <c r="Q49" i="60" s="1"/>
  <c r="P81" i="60"/>
  <c r="Q81" i="60" s="1"/>
  <c r="P113" i="60"/>
  <c r="Q113" i="60" s="1"/>
  <c r="P145" i="60"/>
  <c r="Q145" i="60" s="1"/>
  <c r="P6" i="60"/>
  <c r="Q6" i="60" s="1"/>
  <c r="P8" i="60"/>
  <c r="Q8" i="60" s="1"/>
  <c r="P104" i="60"/>
  <c r="Q104" i="60" s="1"/>
  <c r="P210" i="60"/>
  <c r="Q210" i="60" s="1"/>
  <c r="P250" i="60"/>
  <c r="Q250" i="60" s="1"/>
  <c r="P191" i="60"/>
  <c r="Q191" i="60" s="1"/>
  <c r="P263" i="60"/>
  <c r="Q263" i="60" s="1"/>
  <c r="P428" i="60"/>
  <c r="Q428" i="60" s="1"/>
  <c r="P235" i="60"/>
  <c r="Q235" i="60" s="1"/>
  <c r="P267" i="60"/>
  <c r="Q267" i="60" s="1"/>
  <c r="P302" i="60"/>
  <c r="Q302" i="60" s="1"/>
  <c r="P419" i="60"/>
  <c r="Q419" i="60" s="1"/>
  <c r="P328" i="60"/>
  <c r="Q328" i="60" s="1"/>
  <c r="P360" i="60"/>
  <c r="Q360" i="60" s="1"/>
  <c r="P392" i="60"/>
  <c r="Q392" i="60" s="1"/>
  <c r="P424" i="60"/>
  <c r="Q424" i="60" s="1"/>
  <c r="P436" i="60"/>
  <c r="Q436" i="60" s="1"/>
  <c r="P443" i="60"/>
  <c r="Q443" i="60" s="1"/>
  <c r="P465" i="60"/>
  <c r="Q465" i="60" s="1"/>
  <c r="P452" i="60"/>
  <c r="Q452" i="60" s="1"/>
  <c r="P484" i="60"/>
  <c r="Q484" i="60" s="1"/>
  <c r="P487" i="60"/>
  <c r="Q487" i="60" s="1"/>
  <c r="P50" i="60"/>
  <c r="Q50" i="60" s="1"/>
  <c r="P60" i="60"/>
  <c r="Q60" i="60" s="1"/>
  <c r="P336" i="60"/>
  <c r="Q336" i="60" s="1"/>
  <c r="P427" i="60"/>
  <c r="Q427" i="60" s="1"/>
  <c r="P495" i="60"/>
  <c r="Q495" i="60" s="1"/>
  <c r="P117" i="60"/>
  <c r="Q117" i="60" s="1"/>
  <c r="P138" i="60"/>
  <c r="Q138" i="60" s="1"/>
  <c r="P15" i="60"/>
  <c r="Q15" i="60" s="1"/>
  <c r="P25" i="60"/>
  <c r="Q25" i="60" s="1"/>
  <c r="P57" i="60"/>
  <c r="Q57" i="60" s="1"/>
  <c r="P38" i="60"/>
  <c r="Q38" i="60" s="1"/>
  <c r="P70" i="60"/>
  <c r="Q70" i="60" s="1"/>
  <c r="P102" i="60"/>
  <c r="Q102" i="60" s="1"/>
  <c r="P134" i="60"/>
  <c r="Q134" i="60" s="1"/>
  <c r="P11" i="60"/>
  <c r="Q11" i="60" s="1"/>
  <c r="P43" i="60"/>
  <c r="Q43" i="60" s="1"/>
  <c r="P75" i="60"/>
  <c r="Q75" i="60" s="1"/>
  <c r="P139" i="60"/>
  <c r="Q139" i="60" s="1"/>
  <c r="P40" i="60"/>
  <c r="Q40" i="60" s="1"/>
  <c r="P72" i="60"/>
  <c r="Q72" i="60" s="1"/>
  <c r="P136" i="60"/>
  <c r="Q136" i="60" s="1"/>
  <c r="P170" i="60"/>
  <c r="Q170" i="60" s="1"/>
  <c r="P218" i="60"/>
  <c r="Q218" i="60" s="1"/>
  <c r="P159" i="60"/>
  <c r="Q159" i="60" s="1"/>
  <c r="P164" i="60"/>
  <c r="Q164" i="60" s="1"/>
  <c r="P196" i="60"/>
  <c r="Q196" i="60" s="1"/>
  <c r="P228" i="60"/>
  <c r="Q228" i="60" s="1"/>
  <c r="P260" i="60"/>
  <c r="Q260" i="60" s="1"/>
  <c r="P451" i="60"/>
  <c r="Q451" i="60" s="1"/>
  <c r="P171" i="60"/>
  <c r="Q171" i="60" s="1"/>
  <c r="P334" i="60"/>
  <c r="Q334" i="60" s="1"/>
  <c r="P366" i="60"/>
  <c r="Q366" i="60" s="1"/>
  <c r="P152" i="60"/>
  <c r="Q152" i="60" s="1"/>
  <c r="P184" i="60"/>
  <c r="Q184" i="60" s="1"/>
  <c r="P355" i="60"/>
  <c r="Q355" i="60" s="1"/>
  <c r="P387" i="60"/>
  <c r="Q387" i="60" s="1"/>
  <c r="P437" i="60"/>
  <c r="Q437" i="60" s="1"/>
  <c r="P325" i="60"/>
  <c r="Q325" i="60" s="1"/>
  <c r="P330" i="60"/>
  <c r="Q330" i="60" s="1"/>
  <c r="P378" i="60"/>
  <c r="Q378" i="60" s="1"/>
  <c r="P410" i="60"/>
  <c r="Q410" i="60" s="1"/>
  <c r="P459" i="60"/>
  <c r="Q459" i="60" s="1"/>
  <c r="P415" i="60"/>
  <c r="Q415" i="60" s="1"/>
  <c r="P462" i="60"/>
  <c r="Q462" i="60" s="1"/>
  <c r="P478" i="60"/>
  <c r="Q478" i="60" s="1"/>
  <c r="P469" i="60"/>
  <c r="Q469" i="60" s="1"/>
  <c r="P456" i="60"/>
  <c r="Q456" i="60" s="1"/>
  <c r="P488" i="60"/>
  <c r="Q488" i="60" s="1"/>
  <c r="P491" i="60"/>
  <c r="Q491" i="60" s="1"/>
  <c r="P18" i="60"/>
  <c r="Q18" i="60" s="1"/>
  <c r="P111" i="60"/>
  <c r="Q111" i="60" s="1"/>
  <c r="P239" i="60"/>
  <c r="Q239" i="60" s="1"/>
  <c r="P211" i="60"/>
  <c r="Q211" i="60" s="1"/>
  <c r="P310" i="60"/>
  <c r="Q310" i="60" s="1"/>
  <c r="P460" i="60"/>
  <c r="Q460" i="60" s="1"/>
  <c r="P270" i="60"/>
  <c r="Q270" i="60" s="1"/>
  <c r="P301" i="60"/>
  <c r="Q301" i="60" s="1"/>
  <c r="V30" i="65"/>
  <c r="P182" i="60"/>
  <c r="Q182" i="60" s="1"/>
  <c r="P296" i="60"/>
  <c r="Q296" i="60" s="1"/>
  <c r="P335" i="60"/>
  <c r="Q335" i="60" s="1"/>
  <c r="P245" i="60"/>
  <c r="Q245" i="60" s="1"/>
  <c r="G10" i="63"/>
  <c r="H10" i="63" s="1"/>
  <c r="P345" i="60"/>
  <c r="Q345" i="60" s="1"/>
  <c r="P380" i="60"/>
  <c r="Q380" i="60" s="1"/>
  <c r="P222" i="60"/>
  <c r="Q222" i="60" s="1"/>
  <c r="P272" i="60"/>
  <c r="Q272" i="60" s="1"/>
  <c r="P351" i="60"/>
  <c r="Q351" i="60" s="1"/>
  <c r="G21" i="63"/>
  <c r="H21" i="63" s="1"/>
  <c r="Z29" i="66"/>
  <c r="Z30" i="66" s="1"/>
  <c r="P197" i="60"/>
  <c r="Q197" i="60" s="1"/>
  <c r="T34" i="65"/>
  <c r="Z34" i="65" s="1"/>
  <c r="T35" i="65"/>
  <c r="Z35" i="65" s="1"/>
  <c r="T33" i="65"/>
  <c r="P185" i="60"/>
  <c r="Q185" i="60" s="1"/>
  <c r="P297" i="60"/>
  <c r="Q297" i="60" s="1"/>
  <c r="P381" i="60"/>
  <c r="Q381" i="60" s="1"/>
  <c r="V22" i="42"/>
  <c r="V24" i="42" s="1"/>
  <c r="E7" i="40" s="1"/>
  <c r="G19" i="63" l="1"/>
  <c r="H19" i="63" s="1"/>
  <c r="G11" i="63"/>
  <c r="H11" i="63" s="1"/>
  <c r="G28" i="63"/>
  <c r="H28" i="63" s="1"/>
  <c r="G32" i="63"/>
  <c r="H32" i="63" s="1"/>
  <c r="G4" i="63"/>
  <c r="H4" i="63" s="1"/>
  <c r="G24" i="63"/>
  <c r="H24" i="63" s="1"/>
  <c r="G20" i="63"/>
  <c r="H20" i="63" s="1"/>
  <c r="G27" i="63"/>
  <c r="H27" i="63" s="1"/>
  <c r="G12" i="63"/>
  <c r="H12" i="63" s="1"/>
  <c r="G30" i="63"/>
  <c r="H30" i="63" s="1"/>
  <c r="G18" i="63"/>
  <c r="H18" i="63" s="1"/>
  <c r="G7" i="63"/>
  <c r="H7" i="63" s="1"/>
  <c r="G8" i="63"/>
  <c r="H8" i="63" s="1"/>
  <c r="G16" i="63"/>
  <c r="H16" i="63" s="1"/>
  <c r="G23" i="63"/>
  <c r="H23" i="63" s="1"/>
  <c r="G33" i="63"/>
  <c r="H33" i="63" s="1"/>
  <c r="G17" i="63"/>
  <c r="H17" i="63" s="1"/>
  <c r="G22" i="63"/>
  <c r="H22" i="63" s="1"/>
  <c r="G5" i="63"/>
  <c r="H5" i="63" s="1"/>
  <c r="G15" i="63"/>
  <c r="H15" i="63" s="1"/>
  <c r="G31" i="63"/>
  <c r="H31" i="63" s="1"/>
  <c r="G29" i="63"/>
  <c r="H29" i="63" s="1"/>
  <c r="F48" i="41"/>
  <c r="G14" i="63"/>
  <c r="H14" i="63" s="1"/>
  <c r="P36" i="66"/>
  <c r="P54" i="66"/>
  <c r="Z33" i="66"/>
  <c r="Z36" i="66" s="1"/>
  <c r="X36" i="65"/>
  <c r="X54" i="65"/>
  <c r="Z35" i="66"/>
  <c r="N28" i="62"/>
  <c r="O28" i="62" s="1"/>
  <c r="N12" i="62"/>
  <c r="O12" i="62" s="1"/>
  <c r="N32" i="62"/>
  <c r="O32" i="62" s="1"/>
  <c r="N14" i="62"/>
  <c r="O14" i="62" s="1"/>
  <c r="N24" i="62"/>
  <c r="O24" i="62" s="1"/>
  <c r="N16" i="62"/>
  <c r="O16" i="62" s="1"/>
  <c r="N26" i="62"/>
  <c r="O26" i="62" s="1"/>
  <c r="N4" i="62"/>
  <c r="O4" i="62" s="1"/>
  <c r="N10" i="62"/>
  <c r="O10" i="62" s="1"/>
  <c r="N20" i="62"/>
  <c r="O20" i="62" s="1"/>
  <c r="N18" i="62"/>
  <c r="O18" i="62" s="1"/>
  <c r="N8" i="62"/>
  <c r="O8" i="62" s="1"/>
  <c r="N22" i="62"/>
  <c r="O22" i="62" s="1"/>
  <c r="N30" i="62"/>
  <c r="O30" i="62" s="1"/>
  <c r="N27" i="62"/>
  <c r="O27" i="62" s="1"/>
  <c r="N31" i="62"/>
  <c r="O31" i="62" s="1"/>
  <c r="N13" i="62"/>
  <c r="O13" i="62" s="1"/>
  <c r="N19" i="62"/>
  <c r="O19" i="62" s="1"/>
  <c r="N3" i="62"/>
  <c r="O3" i="62" s="1"/>
  <c r="N15" i="62"/>
  <c r="O15" i="62" s="1"/>
  <c r="N7" i="62"/>
  <c r="O7" i="62" s="1"/>
  <c r="N5" i="62"/>
  <c r="O5" i="62" s="1"/>
  <c r="N11" i="62"/>
  <c r="O11" i="62" s="1"/>
  <c r="N17" i="62"/>
  <c r="O17" i="62" s="1"/>
  <c r="N9" i="62"/>
  <c r="O9" i="62" s="1"/>
  <c r="N21" i="62"/>
  <c r="O21" i="62" s="1"/>
  <c r="N23" i="62"/>
  <c r="O23" i="62" s="1"/>
  <c r="N29" i="62"/>
  <c r="O29" i="62" s="1"/>
  <c r="N25" i="62"/>
  <c r="O25" i="62" s="1"/>
  <c r="G25" i="63"/>
  <c r="H25" i="63" s="1"/>
  <c r="D48" i="41"/>
  <c r="Q504" i="60"/>
  <c r="Z34" i="66"/>
  <c r="N47" i="41"/>
  <c r="N18" i="41"/>
  <c r="V36" i="65"/>
  <c r="V54" i="65"/>
  <c r="G13" i="63"/>
  <c r="H13" i="63" s="1"/>
  <c r="N45" i="41"/>
  <c r="N48" i="41" s="1"/>
  <c r="N12" i="41"/>
  <c r="N29" i="51"/>
  <c r="N31" i="51" s="1"/>
  <c r="H41" i="59"/>
  <c r="F15" i="48"/>
  <c r="N46" i="41"/>
  <c r="T36" i="65"/>
  <c r="T54" i="65"/>
  <c r="Z54" i="65" s="1"/>
  <c r="Z33" i="65"/>
  <c r="Z36" i="65" s="1"/>
  <c r="R54" i="67"/>
  <c r="Z54" i="67" s="1"/>
  <c r="R36" i="67"/>
  <c r="Z33" i="67"/>
  <c r="Z36" i="67" s="1"/>
  <c r="R54" i="66"/>
  <c r="R36" i="66"/>
  <c r="V54" i="68"/>
  <c r="Z54" i="68" s="1"/>
  <c r="V36" i="68"/>
  <c r="H34" i="63" l="1"/>
  <c r="E11" i="49" s="1"/>
  <c r="E15" i="49" s="1"/>
  <c r="E18" i="47" s="1"/>
  <c r="Z54" i="66"/>
  <c r="H43" i="59"/>
  <c r="O33" i="62"/>
  <c r="N39" i="51"/>
  <c r="C30" i="48"/>
  <c r="F17" i="48"/>
  <c r="F19" i="48" s="1"/>
  <c r="F23" i="48" s="1"/>
  <c r="E12" i="47" s="1"/>
  <c r="E21" i="47" s="1"/>
  <c r="G25" i="43" s="1"/>
  <c r="G28" i="43" s="1"/>
  <c r="E9" i="40" s="1"/>
  <c r="N35" i="51"/>
  <c r="N37" i="51" s="1"/>
  <c r="H59" i="59"/>
  <c r="H63" i="59" s="1"/>
  <c r="J13" i="50" l="1"/>
  <c r="J9" i="50"/>
  <c r="J12" i="50"/>
  <c r="J11" i="50"/>
  <c r="J14" i="50"/>
  <c r="J10" i="50"/>
  <c r="C31" i="48"/>
  <c r="P11" i="50" l="1"/>
  <c r="S11" i="50"/>
  <c r="S13" i="50"/>
  <c r="P13" i="50"/>
  <c r="V13" i="50" s="1"/>
  <c r="S10" i="50"/>
  <c r="P10" i="50"/>
  <c r="V10" i="50" s="1"/>
  <c r="S14" i="50"/>
  <c r="P14" i="50"/>
  <c r="V14" i="50" s="1"/>
  <c r="P12" i="50"/>
  <c r="S12" i="50"/>
  <c r="P9" i="50"/>
  <c r="S9" i="50"/>
  <c r="S18" i="50" l="1"/>
  <c r="S16" i="50"/>
  <c r="S20" i="50" s="1"/>
  <c r="P16" i="50"/>
  <c r="P18" i="50"/>
  <c r="V9" i="50"/>
  <c r="V12" i="50"/>
  <c r="V11" i="50"/>
  <c r="V18" i="50" l="1"/>
  <c r="V16" i="50"/>
  <c r="V20" i="50" s="1"/>
  <c r="E11" i="40" s="1"/>
  <c r="P20" i="50"/>
  <c r="G6" i="40" l="1"/>
  <c r="G7" i="40"/>
  <c r="G8" i="40" l="1"/>
  <c r="F8" i="38" l="1"/>
  <c r="H8" i="38" s="1"/>
  <c r="H10" i="38" s="1"/>
  <c r="B7" i="14" s="1"/>
  <c r="G10" i="40"/>
  <c r="G9" i="40"/>
  <c r="H120" i="36" l="1"/>
  <c r="H119" i="36"/>
  <c r="G7" i="13" l="1"/>
  <c r="G8" i="13"/>
  <c r="G9" i="13"/>
  <c r="G10" i="13"/>
  <c r="G11" i="13"/>
  <c r="G12" i="13"/>
  <c r="G13" i="13"/>
  <c r="G14" i="13"/>
  <c r="G15" i="13"/>
  <c r="G16" i="13"/>
  <c r="G17" i="13"/>
  <c r="G18" i="13"/>
  <c r="G19" i="13"/>
  <c r="G148" i="13" s="1"/>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6" i="13"/>
  <c r="G147" i="13" s="1"/>
  <c r="D173" i="13" l="1"/>
  <c r="B9" i="3"/>
  <c r="B10" i="3"/>
  <c r="B11" i="3"/>
  <c r="B13" i="3"/>
  <c r="B14" i="3"/>
  <c r="B15" i="3"/>
  <c r="B12" i="3"/>
  <c r="F134" i="36"/>
  <c r="F135" i="36"/>
  <c r="F136" i="36"/>
  <c r="F137" i="36"/>
  <c r="F85" i="36"/>
  <c r="F138" i="36"/>
  <c r="F139" i="36"/>
  <c r="F140" i="36"/>
  <c r="F141" i="36"/>
  <c r="F142" i="36"/>
  <c r="F143" i="36"/>
  <c r="F144" i="36"/>
  <c r="F145" i="36"/>
  <c r="F146" i="36"/>
  <c r="F147" i="36"/>
  <c r="F148" i="36"/>
  <c r="F149" i="36"/>
  <c r="F150" i="36"/>
  <c r="F151" i="36"/>
  <c r="F86" i="36"/>
  <c r="F152" i="36"/>
  <c r="F153" i="36"/>
  <c r="F154" i="36"/>
  <c r="F155" i="36"/>
  <c r="F156" i="36"/>
  <c r="F157" i="36"/>
  <c r="F158" i="36"/>
  <c r="F159" i="36"/>
  <c r="F160" i="36"/>
  <c r="F161" i="36"/>
  <c r="F162" i="36"/>
  <c r="F163" i="36"/>
  <c r="F164" i="36"/>
  <c r="F165" i="36"/>
  <c r="F166" i="36"/>
  <c r="F167" i="36"/>
  <c r="F168" i="36"/>
  <c r="F169" i="36"/>
  <c r="F170" i="36"/>
  <c r="F171" i="36"/>
  <c r="F172" i="36"/>
  <c r="F173" i="36"/>
  <c r="F174" i="36"/>
  <c r="F175" i="36"/>
  <c r="F176" i="36"/>
  <c r="F177" i="36"/>
  <c r="F178" i="36"/>
  <c r="F179" i="36"/>
  <c r="F180" i="36"/>
  <c r="F181" i="36"/>
  <c r="F182" i="36"/>
  <c r="F183" i="36"/>
  <c r="F184" i="36"/>
  <c r="F185" i="36"/>
  <c r="F186" i="36"/>
  <c r="F187" i="36"/>
  <c r="F188" i="36"/>
  <c r="F189" i="36"/>
  <c r="F190" i="36"/>
  <c r="F191" i="36"/>
  <c r="F192" i="36"/>
  <c r="F193" i="36"/>
  <c r="F194" i="36"/>
  <c r="F195" i="36"/>
  <c r="F196" i="36"/>
  <c r="F197" i="36"/>
  <c r="F198" i="36"/>
  <c r="F199" i="36"/>
  <c r="F200" i="36"/>
  <c r="F201" i="36"/>
  <c r="F202" i="36"/>
  <c r="F203" i="36"/>
  <c r="F204" i="36"/>
  <c r="F205" i="36"/>
  <c r="F206" i="36"/>
  <c r="F207" i="36"/>
  <c r="F208" i="36"/>
  <c r="F209" i="36"/>
  <c r="F210" i="36"/>
  <c r="F211" i="36"/>
  <c r="F212" i="36"/>
  <c r="F213" i="36"/>
  <c r="F214" i="36"/>
  <c r="F215" i="36"/>
  <c r="F216" i="36"/>
  <c r="F217" i="36"/>
  <c r="F218" i="36"/>
  <c r="F219" i="36"/>
  <c r="F220" i="36"/>
  <c r="F221" i="36"/>
  <c r="F222" i="36"/>
  <c r="F223" i="36"/>
  <c r="F224" i="36"/>
  <c r="F225" i="36"/>
  <c r="F226" i="36"/>
  <c r="F227" i="36"/>
  <c r="F228" i="36"/>
  <c r="F229" i="36"/>
  <c r="F230" i="36"/>
  <c r="F231" i="36"/>
  <c r="F232" i="36"/>
  <c r="F233" i="36"/>
  <c r="F234" i="36"/>
  <c r="F235" i="36"/>
  <c r="F236" i="36"/>
  <c r="F237" i="36"/>
  <c r="F238" i="36"/>
  <c r="F239" i="36"/>
  <c r="F240" i="36"/>
  <c r="F241" i="36"/>
  <c r="F242" i="36"/>
  <c r="F243" i="36"/>
  <c r="F244" i="36"/>
  <c r="F87" i="36"/>
  <c r="F88" i="36"/>
  <c r="F89" i="36"/>
  <c r="F90" i="36"/>
  <c r="F91" i="36"/>
  <c r="F92" i="36"/>
  <c r="F93" i="36"/>
  <c r="F94" i="36"/>
  <c r="F95" i="36"/>
  <c r="F96" i="36"/>
  <c r="F97" i="36"/>
  <c r="F98" i="36"/>
  <c r="F99" i="36"/>
  <c r="F6" i="36"/>
  <c r="F7" i="36"/>
  <c r="F8" i="36"/>
  <c r="F9" i="36"/>
  <c r="F100" i="36"/>
  <c r="F101" i="36"/>
  <c r="F102" i="36"/>
  <c r="F103" i="36"/>
  <c r="F104" i="36"/>
  <c r="F10" i="36"/>
  <c r="F11" i="36"/>
  <c r="F245" i="36"/>
  <c r="F246" i="36"/>
  <c r="F247" i="36"/>
  <c r="F105" i="36"/>
  <c r="F106" i="36"/>
  <c r="F107" i="36"/>
  <c r="F108" i="36"/>
  <c r="F109" i="36"/>
  <c r="F110" i="36"/>
  <c r="F111" i="36"/>
  <c r="F112" i="36"/>
  <c r="F248" i="36"/>
  <c r="F249" i="36"/>
  <c r="F250" i="36"/>
  <c r="F251" i="36"/>
  <c r="F252" i="36"/>
  <c r="F113" i="36"/>
  <c r="F114" i="36"/>
  <c r="F115" i="36"/>
  <c r="F116" i="36"/>
  <c r="F117" i="36"/>
  <c r="F253" i="36"/>
  <c r="F254" i="36"/>
  <c r="F255" i="36"/>
  <c r="F256" i="36"/>
  <c r="F262" i="36"/>
  <c r="F257" i="36"/>
  <c r="F263" i="36"/>
  <c r="F16" i="36"/>
  <c r="F15" i="36"/>
  <c r="F12" i="36"/>
  <c r="F13" i="36"/>
  <c r="F14" i="36"/>
  <c r="F118" i="36"/>
  <c r="F54" i="36"/>
  <c r="F53" i="36"/>
  <c r="F83" i="36"/>
  <c r="F84" i="36"/>
  <c r="F272" i="36"/>
  <c r="F273" i="36"/>
  <c r="F27" i="36"/>
  <c r="F40" i="36"/>
  <c r="F28" i="36"/>
  <c r="F29" i="36"/>
  <c r="F30" i="36"/>
  <c r="F31" i="36"/>
  <c r="F32" i="36"/>
  <c r="F41" i="36"/>
  <c r="F42" i="36"/>
  <c r="F43" i="36"/>
  <c r="F44" i="36"/>
  <c r="F45" i="36"/>
  <c r="F33" i="36"/>
  <c r="F120" i="36"/>
  <c r="F119" i="36"/>
  <c r="F55" i="36"/>
  <c r="F25" i="36"/>
  <c r="F21" i="36"/>
  <c r="F38" i="36"/>
  <c r="F258" i="36"/>
  <c r="F264" i="36"/>
  <c r="F56" i="36"/>
  <c r="F23" i="36"/>
  <c r="F265" i="36"/>
  <c r="F18" i="36"/>
  <c r="F39" i="36"/>
  <c r="F259" i="36"/>
  <c r="F260" i="36"/>
  <c r="F266" i="36"/>
  <c r="F267" i="36"/>
  <c r="F57" i="36"/>
  <c r="F22" i="36"/>
  <c r="F24" i="36"/>
  <c r="F268" i="36"/>
  <c r="F269" i="36"/>
  <c r="F20" i="36"/>
  <c r="F19" i="36"/>
  <c r="F17" i="36"/>
  <c r="F82" i="36"/>
  <c r="F76" i="36"/>
  <c r="F79" i="36"/>
  <c r="F67" i="36"/>
  <c r="F69" i="36"/>
  <c r="F71" i="36"/>
  <c r="F73" i="36"/>
  <c r="F75" i="36"/>
  <c r="F66" i="36"/>
  <c r="F77" i="36"/>
  <c r="F80" i="36"/>
  <c r="F58" i="36"/>
  <c r="F59" i="36"/>
  <c r="F60" i="36"/>
  <c r="F61" i="36"/>
  <c r="F62" i="36"/>
  <c r="F63" i="36"/>
  <c r="F64" i="36"/>
  <c r="F65" i="36"/>
  <c r="F68" i="36"/>
  <c r="F70" i="36"/>
  <c r="F72" i="36"/>
  <c r="F74" i="36"/>
  <c r="F78" i="36"/>
  <c r="F81" i="36"/>
  <c r="F121" i="36"/>
  <c r="F126" i="36"/>
  <c r="F127" i="36"/>
  <c r="F128" i="36"/>
  <c r="F129" i="36"/>
  <c r="F130" i="36"/>
  <c r="F131" i="36"/>
  <c r="F132" i="36"/>
  <c r="F133" i="36"/>
  <c r="F122" i="36"/>
  <c r="F123" i="36"/>
  <c r="F124" i="36"/>
  <c r="F125" i="36"/>
  <c r="F270" i="36"/>
  <c r="F271" i="36"/>
  <c r="F261" i="36"/>
  <c r="F275" i="36"/>
  <c r="F26" i="36"/>
  <c r="F49" i="36"/>
  <c r="F34" i="36"/>
  <c r="F50" i="36"/>
  <c r="F35" i="36"/>
  <c r="F51" i="36"/>
  <c r="F52" i="36"/>
  <c r="F36" i="36"/>
  <c r="F46" i="36"/>
  <c r="F37" i="36"/>
  <c r="F47" i="36"/>
  <c r="F48" i="36"/>
  <c r="F274" i="36"/>
  <c r="K25" i="36"/>
  <c r="K21" i="36"/>
  <c r="K38" i="36"/>
  <c r="K258" i="36"/>
  <c r="K264" i="36"/>
  <c r="K56" i="36"/>
  <c r="K23" i="36"/>
  <c r="K265" i="36"/>
  <c r="K18" i="36"/>
  <c r="K39" i="36"/>
  <c r="K259" i="36"/>
  <c r="K260" i="36"/>
  <c r="K266" i="36"/>
  <c r="K267" i="36"/>
  <c r="K57" i="36"/>
  <c r="K22" i="36"/>
  <c r="K24" i="36"/>
  <c r="K268" i="36"/>
  <c r="K269" i="36"/>
  <c r="K20" i="36"/>
  <c r="K19" i="36"/>
  <c r="K17" i="36"/>
  <c r="K82" i="36"/>
  <c r="K76" i="36"/>
  <c r="K79" i="36"/>
  <c r="K67" i="36"/>
  <c r="K69" i="36"/>
  <c r="K71" i="36"/>
  <c r="K73" i="36"/>
  <c r="K75" i="36"/>
  <c r="K66" i="36"/>
  <c r="K77" i="36"/>
  <c r="K80" i="36"/>
  <c r="K58" i="36"/>
  <c r="K59" i="36"/>
  <c r="K60" i="36"/>
  <c r="K61" i="36"/>
  <c r="K62" i="36"/>
  <c r="K63" i="36"/>
  <c r="K64" i="36"/>
  <c r="K65" i="36"/>
  <c r="K68" i="36"/>
  <c r="K70" i="36"/>
  <c r="K72" i="36"/>
  <c r="K74" i="36"/>
  <c r="K78" i="36"/>
  <c r="K81" i="36"/>
  <c r="K121" i="36"/>
  <c r="K126" i="36"/>
  <c r="K127" i="36"/>
  <c r="K128" i="36"/>
  <c r="K129" i="36"/>
  <c r="K130" i="36"/>
  <c r="K131" i="36"/>
  <c r="K132" i="36"/>
  <c r="K133" i="36"/>
  <c r="K122" i="36"/>
  <c r="K123" i="36"/>
  <c r="K124" i="36"/>
  <c r="K125" i="36"/>
  <c r="K270" i="36"/>
  <c r="K271" i="36"/>
  <c r="K261" i="36"/>
  <c r="K275" i="36"/>
  <c r="K26" i="36"/>
  <c r="K49" i="36"/>
  <c r="K34" i="36"/>
  <c r="K50" i="36"/>
  <c r="K35" i="36"/>
  <c r="K51" i="36"/>
  <c r="K52" i="36"/>
  <c r="K36" i="36"/>
  <c r="K46" i="36"/>
  <c r="K37" i="36"/>
  <c r="K47" i="36"/>
  <c r="K48" i="36"/>
  <c r="K55" i="36"/>
  <c r="K262" i="36"/>
  <c r="K257" i="36"/>
  <c r="K12" i="36"/>
  <c r="K13" i="36"/>
  <c r="K14" i="36"/>
  <c r="K118" i="36"/>
  <c r="K53" i="36"/>
  <c r="K83" i="36"/>
  <c r="K84" i="36"/>
  <c r="K272" i="36"/>
  <c r="K273" i="36"/>
  <c r="K27" i="36"/>
  <c r="K40" i="36"/>
  <c r="K28" i="36"/>
  <c r="K29" i="36"/>
  <c r="K30" i="36"/>
  <c r="K31" i="36"/>
  <c r="K32" i="36"/>
  <c r="K41" i="36"/>
  <c r="K42" i="36"/>
  <c r="K43" i="36"/>
  <c r="K44" i="36"/>
  <c r="K45" i="36"/>
  <c r="K33" i="36"/>
  <c r="M120" i="36"/>
  <c r="M119" i="36"/>
  <c r="D15" i="3" s="1"/>
  <c r="K26" i="14"/>
  <c r="K25" i="14"/>
  <c r="K24" i="14"/>
  <c r="K23" i="14"/>
  <c r="K22" i="14"/>
  <c r="I26" i="14"/>
  <c r="I25" i="14"/>
  <c r="I24" i="14"/>
  <c r="I23" i="14"/>
  <c r="I22" i="14"/>
  <c r="G26" i="14"/>
  <c r="G25" i="14"/>
  <c r="G24" i="14"/>
  <c r="G23" i="14"/>
  <c r="G22" i="14"/>
  <c r="E26" i="14"/>
  <c r="E25" i="14"/>
  <c r="E24" i="14"/>
  <c r="E23" i="14"/>
  <c r="E22" i="14"/>
  <c r="C23" i="14"/>
  <c r="C24" i="14"/>
  <c r="C25" i="14"/>
  <c r="C26" i="14"/>
  <c r="C22" i="14"/>
  <c r="A23" i="14"/>
  <c r="A24" i="14"/>
  <c r="A25" i="14"/>
  <c r="A26" i="14"/>
  <c r="A22" i="14"/>
  <c r="K17" i="14"/>
  <c r="M17" i="14" s="1"/>
  <c r="I17" i="14"/>
  <c r="G17" i="14"/>
  <c r="E17" i="14"/>
  <c r="C17" i="14"/>
  <c r="A17" i="14"/>
  <c r="K23" i="37"/>
  <c r="I23" i="37"/>
  <c r="G23" i="37"/>
  <c r="E23" i="37"/>
  <c r="C23" i="37"/>
  <c r="K21" i="37"/>
  <c r="I21" i="37"/>
  <c r="G21" i="37"/>
  <c r="E21" i="37"/>
  <c r="C21" i="37"/>
  <c r="K10" i="37"/>
  <c r="I10" i="37"/>
  <c r="G10" i="37"/>
  <c r="E10" i="37"/>
  <c r="C10" i="37"/>
  <c r="D177" i="13" l="1"/>
  <c r="D180" i="13" s="1"/>
  <c r="B17" i="3"/>
  <c r="K10" i="36"/>
  <c r="K11" i="36"/>
  <c r="K245" i="36"/>
  <c r="K246" i="36"/>
  <c r="K247" i="36"/>
  <c r="K105" i="36"/>
  <c r="K106" i="36"/>
  <c r="K107" i="36"/>
  <c r="K108" i="36"/>
  <c r="K109" i="36"/>
  <c r="K110" i="36"/>
  <c r="K111" i="36"/>
  <c r="K112" i="36"/>
  <c r="K248" i="36"/>
  <c r="K249" i="36"/>
  <c r="K250" i="36"/>
  <c r="K251" i="36"/>
  <c r="K252" i="36"/>
  <c r="K113" i="36"/>
  <c r="K114" i="36"/>
  <c r="K115" i="36"/>
  <c r="K116" i="36"/>
  <c r="K117" i="36"/>
  <c r="K253" i="36"/>
  <c r="K254" i="36"/>
  <c r="K255" i="36"/>
  <c r="K256" i="36"/>
  <c r="K135" i="36"/>
  <c r="K136" i="36"/>
  <c r="K137" i="36"/>
  <c r="K85" i="36"/>
  <c r="K138" i="36"/>
  <c r="K139" i="36"/>
  <c r="K140" i="36"/>
  <c r="K141" i="36"/>
  <c r="K142" i="36"/>
  <c r="K143" i="36"/>
  <c r="K144" i="36"/>
  <c r="K145" i="36"/>
  <c r="K146" i="36"/>
  <c r="K147" i="36"/>
  <c r="K148" i="36"/>
  <c r="K149" i="36"/>
  <c r="K150" i="36"/>
  <c r="K151" i="36"/>
  <c r="K86" i="36"/>
  <c r="K152" i="36"/>
  <c r="K153" i="36"/>
  <c r="K154" i="36"/>
  <c r="K155" i="36"/>
  <c r="K156" i="36"/>
  <c r="K157" i="36"/>
  <c r="K158" i="36"/>
  <c r="K159" i="36"/>
  <c r="K160" i="36"/>
  <c r="K161" i="36"/>
  <c r="K162" i="36"/>
  <c r="K163" i="36"/>
  <c r="K164" i="36"/>
  <c r="K165" i="36"/>
  <c r="K166" i="36"/>
  <c r="K167" i="36"/>
  <c r="K168" i="36"/>
  <c r="K169" i="36"/>
  <c r="K170" i="36"/>
  <c r="K171" i="36"/>
  <c r="K172" i="36"/>
  <c r="K173" i="36"/>
  <c r="K174" i="36"/>
  <c r="K175" i="36"/>
  <c r="K176" i="36"/>
  <c r="K177" i="36"/>
  <c r="K178" i="36"/>
  <c r="K179" i="36"/>
  <c r="K180" i="36"/>
  <c r="K181" i="36"/>
  <c r="K182" i="36"/>
  <c r="K183" i="36"/>
  <c r="K184" i="36"/>
  <c r="K185" i="36"/>
  <c r="K186" i="36"/>
  <c r="K187" i="36"/>
  <c r="K188" i="36"/>
  <c r="K189" i="36"/>
  <c r="K190" i="36"/>
  <c r="K191" i="36"/>
  <c r="K192" i="36"/>
  <c r="K193" i="36"/>
  <c r="K194" i="36"/>
  <c r="K195" i="36"/>
  <c r="K196" i="36"/>
  <c r="K197" i="36"/>
  <c r="K198" i="36"/>
  <c r="K199" i="36"/>
  <c r="K200" i="36"/>
  <c r="K201" i="36"/>
  <c r="K202" i="36"/>
  <c r="K203" i="36"/>
  <c r="K204" i="36"/>
  <c r="K205" i="36"/>
  <c r="K206" i="36"/>
  <c r="K207" i="36"/>
  <c r="K208" i="36"/>
  <c r="K209" i="36"/>
  <c r="K210" i="36"/>
  <c r="K211" i="36"/>
  <c r="K212" i="36"/>
  <c r="K213" i="36"/>
  <c r="K214" i="36"/>
  <c r="K215" i="36"/>
  <c r="K216" i="36"/>
  <c r="K217" i="36"/>
  <c r="K218" i="36"/>
  <c r="K219" i="36"/>
  <c r="K220" i="36"/>
  <c r="K221" i="36"/>
  <c r="K222" i="36"/>
  <c r="K223" i="36"/>
  <c r="K224" i="36"/>
  <c r="K225" i="36"/>
  <c r="K226" i="36"/>
  <c r="K227" i="36"/>
  <c r="K228" i="36"/>
  <c r="K229" i="36"/>
  <c r="K230" i="36"/>
  <c r="K231" i="36"/>
  <c r="K232" i="36"/>
  <c r="K233" i="36"/>
  <c r="K234" i="36"/>
  <c r="K235" i="36"/>
  <c r="K236" i="36"/>
  <c r="K237" i="36"/>
  <c r="K238" i="36"/>
  <c r="K239" i="36"/>
  <c r="K240" i="36"/>
  <c r="K241" i="36"/>
  <c r="K242" i="36"/>
  <c r="K243" i="36"/>
  <c r="K244" i="36"/>
  <c r="K87" i="36"/>
  <c r="K88" i="36"/>
  <c r="K89" i="36"/>
  <c r="K90" i="36"/>
  <c r="K91" i="36"/>
  <c r="K92" i="36"/>
  <c r="K93" i="36"/>
  <c r="K94" i="36"/>
  <c r="K95" i="36"/>
  <c r="K96" i="36"/>
  <c r="K97" i="36"/>
  <c r="K98" i="36"/>
  <c r="K99" i="36"/>
  <c r="K6" i="36"/>
  <c r="K7" i="36"/>
  <c r="K8" i="36"/>
  <c r="K9" i="36"/>
  <c r="K100" i="36"/>
  <c r="K101" i="36"/>
  <c r="K102" i="36"/>
  <c r="K103" i="36"/>
  <c r="K104" i="36"/>
  <c r="K134" i="36"/>
  <c r="K274" i="36"/>
  <c r="A2" i="36"/>
  <c r="C48" i="36" l="1"/>
  <c r="C47" i="36"/>
  <c r="C37" i="36"/>
  <c r="C46" i="36"/>
  <c r="C36" i="36"/>
  <c r="C52" i="36"/>
  <c r="C51" i="36"/>
  <c r="C35" i="36"/>
  <c r="C50" i="36"/>
  <c r="C34" i="36"/>
  <c r="C49" i="36"/>
  <c r="C26" i="36"/>
  <c r="C275" i="36"/>
  <c r="C261" i="36"/>
  <c r="C271" i="36"/>
  <c r="C270" i="36"/>
  <c r="C125" i="36"/>
  <c r="C124" i="36"/>
  <c r="C123" i="36"/>
  <c r="C122" i="36"/>
  <c r="C133" i="36"/>
  <c r="C132" i="36"/>
  <c r="C131" i="36"/>
  <c r="C130" i="36"/>
  <c r="C129" i="36"/>
  <c r="C128" i="36"/>
  <c r="C127" i="36"/>
  <c r="C126" i="36"/>
  <c r="C121" i="36"/>
  <c r="C81" i="36"/>
  <c r="C78" i="36"/>
  <c r="C74" i="36"/>
  <c r="C72" i="36"/>
  <c r="C70" i="36"/>
  <c r="C68" i="36"/>
  <c r="C65" i="36"/>
  <c r="C64" i="36"/>
  <c r="C63" i="36"/>
  <c r="C62" i="36"/>
  <c r="C61" i="36"/>
  <c r="C60" i="36"/>
  <c r="C59" i="36"/>
  <c r="C58" i="36"/>
  <c r="C80" i="36"/>
  <c r="C77" i="36"/>
  <c r="C66" i="36"/>
  <c r="C75" i="36"/>
  <c r="C73" i="36"/>
  <c r="C71" i="36"/>
  <c r="C69" i="36"/>
  <c r="C67" i="36"/>
  <c r="C79" i="36"/>
  <c r="C76" i="36"/>
  <c r="C82" i="36"/>
  <c r="C17" i="36"/>
  <c r="C19" i="36"/>
  <c r="C20" i="36"/>
  <c r="C269" i="36"/>
  <c r="C268" i="36"/>
  <c r="C24" i="36"/>
  <c r="C22" i="36"/>
  <c r="C57" i="36"/>
  <c r="C267" i="36"/>
  <c r="C266" i="36"/>
  <c r="C260" i="36"/>
  <c r="C259" i="36"/>
  <c r="C39" i="36"/>
  <c r="C18" i="36"/>
  <c r="C265" i="36"/>
  <c r="C23" i="36"/>
  <c r="C56" i="36"/>
  <c r="C264" i="36"/>
  <c r="C258" i="36"/>
  <c r="C38" i="36"/>
  <c r="C21" i="36"/>
  <c r="C25" i="36"/>
  <c r="C55" i="36"/>
  <c r="C119" i="36"/>
  <c r="E119" i="36" s="1"/>
  <c r="G119" i="36" s="1"/>
  <c r="C15" i="3" s="1"/>
  <c r="C120" i="36"/>
  <c r="E120" i="36" s="1"/>
  <c r="G120" i="36" s="1"/>
  <c r="C33" i="36"/>
  <c r="C45" i="36"/>
  <c r="C44" i="36"/>
  <c r="C43" i="36"/>
  <c r="C42" i="36"/>
  <c r="C41" i="36"/>
  <c r="C32" i="36"/>
  <c r="C31" i="36"/>
  <c r="C30" i="36"/>
  <c r="C29" i="36"/>
  <c r="C28" i="36"/>
  <c r="C40" i="36"/>
  <c r="C27" i="36"/>
  <c r="C273" i="36"/>
  <c r="C272" i="36"/>
  <c r="C84" i="36"/>
  <c r="C83" i="36"/>
  <c r="C53" i="36"/>
  <c r="C54" i="36"/>
  <c r="E54" i="36" s="1"/>
  <c r="G54" i="36" s="1"/>
  <c r="H54" i="36" s="1"/>
  <c r="C118" i="36"/>
  <c r="C14" i="36"/>
  <c r="C13" i="36"/>
  <c r="C12" i="36"/>
  <c r="C15" i="36"/>
  <c r="E15" i="36" s="1"/>
  <c r="G15" i="36" s="1"/>
  <c r="H15" i="36" s="1"/>
  <c r="C16" i="36"/>
  <c r="E16" i="36" s="1"/>
  <c r="G16" i="36" s="1"/>
  <c r="H16" i="36" s="1"/>
  <c r="C263" i="36"/>
  <c r="E263" i="36" s="1"/>
  <c r="G263" i="36" s="1"/>
  <c r="H263" i="36" s="1"/>
  <c r="C257" i="36"/>
  <c r="C262" i="36"/>
  <c r="C256" i="36"/>
  <c r="C255" i="36"/>
  <c r="C254" i="36"/>
  <c r="C253" i="36"/>
  <c r="C117" i="36"/>
  <c r="C116" i="36"/>
  <c r="C115" i="36"/>
  <c r="C114" i="36"/>
  <c r="C113" i="36"/>
  <c r="C252" i="36"/>
  <c r="C251" i="36"/>
  <c r="C250" i="36"/>
  <c r="C249" i="36"/>
  <c r="C248" i="36"/>
  <c r="C112" i="36"/>
  <c r="C111" i="36"/>
  <c r="C110" i="36"/>
  <c r="C109" i="36"/>
  <c r="C108" i="36"/>
  <c r="C107" i="36"/>
  <c r="C106" i="36"/>
  <c r="C105" i="36"/>
  <c r="C247" i="36"/>
  <c r="C246" i="36"/>
  <c r="C245" i="36"/>
  <c r="C11" i="36"/>
  <c r="C10" i="36"/>
  <c r="C104" i="36"/>
  <c r="C103" i="36"/>
  <c r="C102" i="36"/>
  <c r="C101" i="36"/>
  <c r="C100" i="36"/>
  <c r="C9" i="36"/>
  <c r="C8" i="36"/>
  <c r="C7" i="36"/>
  <c r="C6" i="36"/>
  <c r="C99" i="36"/>
  <c r="C98" i="36"/>
  <c r="C97" i="36"/>
  <c r="C96" i="36"/>
  <c r="C95" i="36"/>
  <c r="C94" i="36"/>
  <c r="C93" i="36"/>
  <c r="C92" i="36"/>
  <c r="C91" i="36"/>
  <c r="C90" i="36"/>
  <c r="C89" i="36"/>
  <c r="C88" i="36"/>
  <c r="C87" i="36"/>
  <c r="C244" i="36"/>
  <c r="C243" i="36"/>
  <c r="C242" i="36"/>
  <c r="C241" i="36"/>
  <c r="C240" i="36"/>
  <c r="C239" i="36"/>
  <c r="C238" i="36"/>
  <c r="C237" i="36"/>
  <c r="C236" i="36"/>
  <c r="C235" i="36"/>
  <c r="C234" i="36"/>
  <c r="C233" i="36"/>
  <c r="C232" i="36"/>
  <c r="C231" i="36"/>
  <c r="C230" i="36"/>
  <c r="C229" i="36"/>
  <c r="C228" i="36"/>
  <c r="C227" i="36"/>
  <c r="C226" i="36"/>
  <c r="C225" i="36"/>
  <c r="C224" i="36"/>
  <c r="C223" i="36"/>
  <c r="C222" i="36"/>
  <c r="C221" i="36"/>
  <c r="C220" i="36"/>
  <c r="C219" i="36"/>
  <c r="C218" i="36"/>
  <c r="C217" i="36"/>
  <c r="C216" i="36"/>
  <c r="C215" i="36"/>
  <c r="C214" i="36"/>
  <c r="C213" i="36"/>
  <c r="C212" i="36"/>
  <c r="C211" i="36"/>
  <c r="C210" i="36"/>
  <c r="C209" i="36"/>
  <c r="C208" i="36"/>
  <c r="C207" i="36"/>
  <c r="C206" i="36"/>
  <c r="C205" i="36"/>
  <c r="C204" i="36"/>
  <c r="C203" i="36"/>
  <c r="C202" i="36"/>
  <c r="C201" i="36"/>
  <c r="C200" i="36"/>
  <c r="C199" i="36"/>
  <c r="C198" i="36"/>
  <c r="C197" i="36"/>
  <c r="C196" i="36"/>
  <c r="C195" i="36"/>
  <c r="C194" i="36"/>
  <c r="C193" i="36"/>
  <c r="C192" i="36"/>
  <c r="C191" i="36"/>
  <c r="C190" i="36"/>
  <c r="C189" i="36"/>
  <c r="C188" i="36"/>
  <c r="C187" i="36"/>
  <c r="C186" i="36"/>
  <c r="C185" i="36"/>
  <c r="C184" i="36"/>
  <c r="C183" i="36"/>
  <c r="C182" i="36"/>
  <c r="C181" i="36"/>
  <c r="C180" i="36"/>
  <c r="C179" i="36"/>
  <c r="C178" i="36"/>
  <c r="C177" i="36"/>
  <c r="C176" i="36"/>
  <c r="C175" i="36"/>
  <c r="C174" i="36"/>
  <c r="C173" i="36"/>
  <c r="C172" i="36"/>
  <c r="C171" i="36"/>
  <c r="C170" i="36"/>
  <c r="C169" i="36"/>
  <c r="C168" i="36"/>
  <c r="C167" i="36"/>
  <c r="C166" i="36"/>
  <c r="C165" i="36"/>
  <c r="C164" i="36"/>
  <c r="C163" i="36"/>
  <c r="C162" i="36"/>
  <c r="C161" i="36"/>
  <c r="C160" i="36"/>
  <c r="C159" i="36"/>
  <c r="C158" i="36"/>
  <c r="C157" i="36"/>
  <c r="C156" i="36"/>
  <c r="C155" i="36"/>
  <c r="C154" i="36"/>
  <c r="C153" i="36"/>
  <c r="C152" i="36"/>
  <c r="C86" i="36"/>
  <c r="C151" i="36"/>
  <c r="C150" i="36"/>
  <c r="C149" i="36"/>
  <c r="C148" i="36"/>
  <c r="C147" i="36"/>
  <c r="C146" i="36"/>
  <c r="C145" i="36"/>
  <c r="C144" i="36"/>
  <c r="C143" i="36"/>
  <c r="C142" i="36"/>
  <c r="C141" i="36"/>
  <c r="C140" i="36"/>
  <c r="C139" i="36"/>
  <c r="C138" i="36"/>
  <c r="C85" i="36"/>
  <c r="C137" i="36"/>
  <c r="C136" i="36"/>
  <c r="C135" i="36"/>
  <c r="C134" i="36"/>
  <c r="C274" i="36"/>
  <c r="I28" i="14"/>
  <c r="E146" i="36" l="1"/>
  <c r="G146" i="36" s="1"/>
  <c r="H146" i="36" s="1"/>
  <c r="J146" i="36"/>
  <c r="L146" i="36" s="1"/>
  <c r="E225" i="36"/>
  <c r="G225" i="36" s="1"/>
  <c r="H225" i="36" s="1"/>
  <c r="J225" i="36"/>
  <c r="L225" i="36" s="1"/>
  <c r="E83" i="36"/>
  <c r="G83" i="36" s="1"/>
  <c r="H83" i="36" s="1"/>
  <c r="J83" i="36"/>
  <c r="L83" i="36" s="1"/>
  <c r="E71" i="36"/>
  <c r="G71" i="36" s="1"/>
  <c r="H71" i="36" s="1"/>
  <c r="J71" i="36"/>
  <c r="L71" i="36" s="1"/>
  <c r="E206" i="36"/>
  <c r="G206" i="36" s="1"/>
  <c r="H206" i="36" s="1"/>
  <c r="J206" i="36"/>
  <c r="L206" i="36" s="1"/>
  <c r="E114" i="36"/>
  <c r="G114" i="36" s="1"/>
  <c r="H114" i="36" s="1"/>
  <c r="J114" i="36"/>
  <c r="L114" i="36" s="1"/>
  <c r="E126" i="36"/>
  <c r="G126" i="36" s="1"/>
  <c r="H126" i="36" s="1"/>
  <c r="J126" i="36"/>
  <c r="L126" i="36" s="1"/>
  <c r="E207" i="36"/>
  <c r="G207" i="36" s="1"/>
  <c r="H207" i="36" s="1"/>
  <c r="J207" i="36"/>
  <c r="L207" i="36" s="1"/>
  <c r="E89" i="36"/>
  <c r="G89" i="36" s="1"/>
  <c r="H89" i="36" s="1"/>
  <c r="J89" i="36"/>
  <c r="L89" i="36" s="1"/>
  <c r="E213" i="36"/>
  <c r="G213" i="36" s="1"/>
  <c r="H213" i="36" s="1"/>
  <c r="J213" i="36"/>
  <c r="L213" i="36" s="1"/>
  <c r="E256" i="36"/>
  <c r="G256" i="36" s="1"/>
  <c r="H256" i="36" s="1"/>
  <c r="J256" i="36"/>
  <c r="L256" i="36" s="1"/>
  <c r="E60" i="36"/>
  <c r="G60" i="36" s="1"/>
  <c r="H60" i="36" s="1"/>
  <c r="J60" i="36"/>
  <c r="L60" i="36" s="1"/>
  <c r="E154" i="36"/>
  <c r="G154" i="36" s="1"/>
  <c r="H154" i="36" s="1"/>
  <c r="J154" i="36"/>
  <c r="L154" i="36" s="1"/>
  <c r="E234" i="36"/>
  <c r="G234" i="36" s="1"/>
  <c r="H234" i="36" s="1"/>
  <c r="J234" i="36"/>
  <c r="L234" i="36" s="1"/>
  <c r="E31" i="36"/>
  <c r="G31" i="36" s="1"/>
  <c r="H31" i="36" s="1"/>
  <c r="J31" i="36"/>
  <c r="L31" i="36" s="1"/>
  <c r="E258" i="36"/>
  <c r="G258" i="36" s="1"/>
  <c r="H258" i="36" s="1"/>
  <c r="J258" i="36"/>
  <c r="L258" i="36" s="1"/>
  <c r="E137" i="36"/>
  <c r="G137" i="36" s="1"/>
  <c r="H137" i="36" s="1"/>
  <c r="J137" i="36"/>
  <c r="L137" i="36" s="1"/>
  <c r="E176" i="36"/>
  <c r="G176" i="36" s="1"/>
  <c r="H176" i="36" s="1"/>
  <c r="J176" i="36"/>
  <c r="L176" i="36" s="1"/>
  <c r="E98" i="36"/>
  <c r="G98" i="36" s="1"/>
  <c r="H98" i="36" s="1"/>
  <c r="J98" i="36"/>
  <c r="L98" i="36" s="1"/>
  <c r="E63" i="36"/>
  <c r="G63" i="36" s="1"/>
  <c r="H63" i="36" s="1"/>
  <c r="J63" i="36"/>
  <c r="L63" i="36" s="1"/>
  <c r="E197" i="36"/>
  <c r="G197" i="36" s="1"/>
  <c r="H197" i="36" s="1"/>
  <c r="J197" i="36"/>
  <c r="L197" i="36" s="1"/>
  <c r="E99" i="36"/>
  <c r="G99" i="36" s="1"/>
  <c r="H99" i="36" s="1"/>
  <c r="J99" i="36"/>
  <c r="L99" i="36" s="1"/>
  <c r="E42" i="36"/>
  <c r="G42" i="36" s="1"/>
  <c r="H42" i="36" s="1"/>
  <c r="J42" i="36"/>
  <c r="L42" i="36" s="1"/>
  <c r="E64" i="36"/>
  <c r="G64" i="36" s="1"/>
  <c r="H64" i="36" s="1"/>
  <c r="J64" i="36"/>
  <c r="L64" i="36" s="1"/>
  <c r="E125" i="36"/>
  <c r="G125" i="36" s="1"/>
  <c r="H125" i="36" s="1"/>
  <c r="J125" i="36"/>
  <c r="L125" i="36" s="1"/>
  <c r="E139" i="36"/>
  <c r="G139" i="36" s="1"/>
  <c r="H139" i="36" s="1"/>
  <c r="J139" i="36"/>
  <c r="L139" i="36" s="1"/>
  <c r="E158" i="36"/>
  <c r="G158" i="36" s="1"/>
  <c r="H158" i="36" s="1"/>
  <c r="J158" i="36"/>
  <c r="L158" i="36" s="1"/>
  <c r="E178" i="36"/>
  <c r="G178" i="36" s="1"/>
  <c r="H178" i="36" s="1"/>
  <c r="J178" i="36"/>
  <c r="L178" i="36" s="1"/>
  <c r="E198" i="36"/>
  <c r="G198" i="36" s="1"/>
  <c r="H198" i="36" s="1"/>
  <c r="J198" i="36"/>
  <c r="L198" i="36" s="1"/>
  <c r="E218" i="36"/>
  <c r="G218" i="36" s="1"/>
  <c r="H218" i="36" s="1"/>
  <c r="J218" i="36"/>
  <c r="L218" i="36" s="1"/>
  <c r="E238" i="36"/>
  <c r="G238" i="36" s="1"/>
  <c r="H238" i="36" s="1"/>
  <c r="J238" i="36"/>
  <c r="L238" i="36" s="1"/>
  <c r="E6" i="36"/>
  <c r="G6" i="36" s="1"/>
  <c r="H6" i="36" s="1"/>
  <c r="J6" i="36"/>
  <c r="L6" i="36" s="1"/>
  <c r="E111" i="36"/>
  <c r="G111" i="36" s="1"/>
  <c r="H111" i="36" s="1"/>
  <c r="J111" i="36"/>
  <c r="L111" i="36" s="1"/>
  <c r="C14" i="3"/>
  <c r="E43" i="36"/>
  <c r="G43" i="36" s="1"/>
  <c r="H43" i="36" s="1"/>
  <c r="J43" i="36"/>
  <c r="L43" i="36" s="1"/>
  <c r="E23" i="36"/>
  <c r="G23" i="36" s="1"/>
  <c r="H23" i="36" s="1"/>
  <c r="J23" i="36"/>
  <c r="L23" i="36" s="1"/>
  <c r="E65" i="36"/>
  <c r="G65" i="36" s="1"/>
  <c r="H65" i="36" s="1"/>
  <c r="J65" i="36"/>
  <c r="L65" i="36" s="1"/>
  <c r="E270" i="36"/>
  <c r="G270" i="36" s="1"/>
  <c r="H270" i="36" s="1"/>
  <c r="J270" i="36"/>
  <c r="L270" i="36" s="1"/>
  <c r="E56" i="36"/>
  <c r="G56" i="36" s="1"/>
  <c r="H56" i="36" s="1"/>
  <c r="J56" i="36"/>
  <c r="L56" i="36" s="1"/>
  <c r="E157" i="36"/>
  <c r="G157" i="36" s="1"/>
  <c r="H157" i="36" s="1"/>
  <c r="J157" i="36"/>
  <c r="L157" i="36" s="1"/>
  <c r="E237" i="36"/>
  <c r="G237" i="36" s="1"/>
  <c r="H237" i="36" s="1"/>
  <c r="J237" i="36"/>
  <c r="L237" i="36" s="1"/>
  <c r="E199" i="36"/>
  <c r="G199" i="36" s="1"/>
  <c r="H199" i="36" s="1"/>
  <c r="J199" i="36"/>
  <c r="L199" i="36" s="1"/>
  <c r="E112" i="36"/>
  <c r="G112" i="36" s="1"/>
  <c r="H112" i="36" s="1"/>
  <c r="J112" i="36"/>
  <c r="L112" i="36" s="1"/>
  <c r="E200" i="36"/>
  <c r="G200" i="36" s="1"/>
  <c r="H200" i="36" s="1"/>
  <c r="J200" i="36"/>
  <c r="L200" i="36" s="1"/>
  <c r="E45" i="36"/>
  <c r="G45" i="36" s="1"/>
  <c r="H45" i="36" s="1"/>
  <c r="J45" i="36"/>
  <c r="L45" i="36" s="1"/>
  <c r="E142" i="36"/>
  <c r="G142" i="36" s="1"/>
  <c r="H142" i="36" s="1"/>
  <c r="J142" i="36"/>
  <c r="L142" i="36" s="1"/>
  <c r="E9" i="36"/>
  <c r="G9" i="36" s="1"/>
  <c r="H9" i="36" s="1"/>
  <c r="J9" i="36"/>
  <c r="L9" i="36" s="1"/>
  <c r="E39" i="36"/>
  <c r="G39" i="36" s="1"/>
  <c r="H39" i="36" s="1"/>
  <c r="J39" i="36"/>
  <c r="L39" i="36" s="1"/>
  <c r="E76" i="36"/>
  <c r="G76" i="36" s="1"/>
  <c r="H76" i="36" s="1"/>
  <c r="J76" i="36"/>
  <c r="L76" i="36" s="1"/>
  <c r="E72" i="36"/>
  <c r="G72" i="36" s="1"/>
  <c r="H72" i="36" s="1"/>
  <c r="J72" i="36"/>
  <c r="L72" i="36" s="1"/>
  <c r="E275" i="36"/>
  <c r="G275" i="36" s="1"/>
  <c r="H275" i="36" s="1"/>
  <c r="J275" i="36"/>
  <c r="L275" i="36" s="1"/>
  <c r="E165" i="36"/>
  <c r="G165" i="36" s="1"/>
  <c r="H165" i="36" s="1"/>
  <c r="J165" i="36"/>
  <c r="L165" i="36" s="1"/>
  <c r="E103" i="36"/>
  <c r="G103" i="36" s="1"/>
  <c r="H103" i="36" s="1"/>
  <c r="J103" i="36"/>
  <c r="L103" i="36" s="1"/>
  <c r="E50" i="36"/>
  <c r="G50" i="36" s="1"/>
  <c r="H50" i="36" s="1"/>
  <c r="J50" i="36"/>
  <c r="L50" i="36" s="1"/>
  <c r="E186" i="36"/>
  <c r="G186" i="36" s="1"/>
  <c r="H186" i="36" s="1"/>
  <c r="J186" i="36"/>
  <c r="L186" i="36" s="1"/>
  <c r="E88" i="36"/>
  <c r="G88" i="36" s="1"/>
  <c r="H88" i="36" s="1"/>
  <c r="J88" i="36"/>
  <c r="L88" i="36" s="1"/>
  <c r="E267" i="36"/>
  <c r="G267" i="36" s="1"/>
  <c r="H267" i="36" s="1"/>
  <c r="J267" i="36"/>
  <c r="L267" i="36" s="1"/>
  <c r="E148" i="36"/>
  <c r="G148" i="36" s="1"/>
  <c r="H148" i="36" s="1"/>
  <c r="J148" i="36"/>
  <c r="L148" i="36" s="1"/>
  <c r="M148" i="36" s="1"/>
  <c r="E227" i="36"/>
  <c r="G227" i="36" s="1"/>
  <c r="H227" i="36" s="1"/>
  <c r="J227" i="36"/>
  <c r="L227" i="36" s="1"/>
  <c r="E135" i="36"/>
  <c r="G135" i="36" s="1"/>
  <c r="H135" i="36" s="1"/>
  <c r="J135" i="36"/>
  <c r="L135" i="36" s="1"/>
  <c r="E233" i="36"/>
  <c r="G233" i="36" s="1"/>
  <c r="H233" i="36" s="1"/>
  <c r="J233" i="36"/>
  <c r="L233" i="36" s="1"/>
  <c r="E30" i="36"/>
  <c r="G30" i="36" s="1"/>
  <c r="H30" i="36" s="1"/>
  <c r="J30" i="36"/>
  <c r="L30" i="36" s="1"/>
  <c r="E48" i="36"/>
  <c r="G48" i="36" s="1"/>
  <c r="H48" i="36" s="1"/>
  <c r="J48" i="36"/>
  <c r="L48" i="36" s="1"/>
  <c r="E194" i="36"/>
  <c r="G194" i="36" s="1"/>
  <c r="H194" i="36" s="1"/>
  <c r="J194" i="36"/>
  <c r="L194" i="36" s="1"/>
  <c r="E107" i="36"/>
  <c r="G107" i="36" s="1"/>
  <c r="H107" i="36" s="1"/>
  <c r="J107" i="36"/>
  <c r="L107" i="36" s="1"/>
  <c r="E19" i="36"/>
  <c r="G19" i="36" s="1"/>
  <c r="H19" i="36" s="1"/>
  <c r="J19" i="36"/>
  <c r="L19" i="36" s="1"/>
  <c r="E155" i="36"/>
  <c r="G155" i="36" s="1"/>
  <c r="H155" i="36" s="1"/>
  <c r="J155" i="36"/>
  <c r="L155" i="36" s="1"/>
  <c r="E196" i="36"/>
  <c r="G196" i="36" s="1"/>
  <c r="H196" i="36" s="1"/>
  <c r="J196" i="36"/>
  <c r="L196" i="36" s="1"/>
  <c r="E109" i="36"/>
  <c r="G109" i="36" s="1"/>
  <c r="H109" i="36" s="1"/>
  <c r="J109" i="36"/>
  <c r="L109" i="36" s="1"/>
  <c r="E82" i="36"/>
  <c r="G82" i="36" s="1"/>
  <c r="H82" i="36" s="1"/>
  <c r="J82" i="36"/>
  <c r="L82" i="36" s="1"/>
  <c r="E138" i="36"/>
  <c r="G138" i="36" s="1"/>
  <c r="H138" i="36" s="1"/>
  <c r="J138" i="36"/>
  <c r="L138" i="36" s="1"/>
  <c r="E217" i="36"/>
  <c r="G217" i="36" s="1"/>
  <c r="H217" i="36" s="1"/>
  <c r="J217" i="36"/>
  <c r="L217" i="36" s="1"/>
  <c r="E159" i="36"/>
  <c r="G159" i="36" s="1"/>
  <c r="H159" i="36" s="1"/>
  <c r="J159" i="36"/>
  <c r="L159" i="36" s="1"/>
  <c r="E7" i="36"/>
  <c r="G7" i="36" s="1"/>
  <c r="H7" i="36" s="1"/>
  <c r="J7" i="36"/>
  <c r="L7" i="36" s="1"/>
  <c r="E271" i="36"/>
  <c r="G271" i="36" s="1"/>
  <c r="H271" i="36" s="1"/>
  <c r="J271" i="36"/>
  <c r="L271" i="36" s="1"/>
  <c r="E180" i="36"/>
  <c r="G180" i="36" s="1"/>
  <c r="H180" i="36" s="1"/>
  <c r="J180" i="36"/>
  <c r="L180" i="36" s="1"/>
  <c r="E8" i="36"/>
  <c r="G8" i="36" s="1"/>
  <c r="H8" i="36" s="1"/>
  <c r="J8" i="36"/>
  <c r="L8" i="36" s="1"/>
  <c r="E18" i="36"/>
  <c r="G18" i="36" s="1"/>
  <c r="H18" i="36" s="1"/>
  <c r="J18" i="36"/>
  <c r="L18" i="36" s="1"/>
  <c r="E261" i="36"/>
  <c r="G261" i="36" s="1"/>
  <c r="H261" i="36" s="1"/>
  <c r="J261" i="36"/>
  <c r="L261" i="36" s="1"/>
  <c r="E201" i="36"/>
  <c r="G201" i="36" s="1"/>
  <c r="H201" i="36" s="1"/>
  <c r="J201" i="36"/>
  <c r="L201" i="36" s="1"/>
  <c r="E241" i="36"/>
  <c r="G241" i="36" s="1"/>
  <c r="H241" i="36" s="1"/>
  <c r="J241" i="36"/>
  <c r="L241" i="36" s="1"/>
  <c r="E249" i="36"/>
  <c r="G249" i="36" s="1"/>
  <c r="H249" i="36" s="1"/>
  <c r="J249" i="36"/>
  <c r="L249" i="36" s="1"/>
  <c r="E14" i="36"/>
  <c r="G14" i="36" s="1"/>
  <c r="H14" i="36" s="1"/>
  <c r="J14" i="36"/>
  <c r="L14" i="36" s="1"/>
  <c r="E33" i="36"/>
  <c r="G33" i="36" s="1"/>
  <c r="H33" i="36" s="1"/>
  <c r="J33" i="36"/>
  <c r="L33" i="36" s="1"/>
  <c r="E143" i="36"/>
  <c r="G143" i="36" s="1"/>
  <c r="H143" i="36" s="1"/>
  <c r="J143" i="36"/>
  <c r="L143" i="36" s="1"/>
  <c r="E162" i="36"/>
  <c r="G162" i="36" s="1"/>
  <c r="H162" i="36" s="1"/>
  <c r="J162" i="36"/>
  <c r="L162" i="36" s="1"/>
  <c r="E182" i="36"/>
  <c r="G182" i="36" s="1"/>
  <c r="H182" i="36" s="1"/>
  <c r="J182" i="36"/>
  <c r="L182" i="36" s="1"/>
  <c r="E202" i="36"/>
  <c r="G202" i="36" s="1"/>
  <c r="H202" i="36" s="1"/>
  <c r="J202" i="36"/>
  <c r="L202" i="36" s="1"/>
  <c r="E222" i="36"/>
  <c r="G222" i="36" s="1"/>
  <c r="H222" i="36" s="1"/>
  <c r="J222" i="36"/>
  <c r="L222" i="36" s="1"/>
  <c r="E242" i="36"/>
  <c r="G242" i="36" s="1"/>
  <c r="H242" i="36" s="1"/>
  <c r="J242" i="36"/>
  <c r="L242" i="36" s="1"/>
  <c r="E100" i="36"/>
  <c r="G100" i="36" s="1"/>
  <c r="H100" i="36" s="1"/>
  <c r="J100" i="36"/>
  <c r="L100" i="36" s="1"/>
  <c r="E250" i="36"/>
  <c r="G250" i="36" s="1"/>
  <c r="H250" i="36" s="1"/>
  <c r="J250" i="36"/>
  <c r="L250" i="36" s="1"/>
  <c r="E118" i="36"/>
  <c r="G118" i="36" s="1"/>
  <c r="H118" i="36" s="1"/>
  <c r="J118" i="36"/>
  <c r="L118" i="36" s="1"/>
  <c r="E79" i="36"/>
  <c r="G79" i="36" s="1"/>
  <c r="H79" i="36" s="1"/>
  <c r="J79" i="36"/>
  <c r="L79" i="36" s="1"/>
  <c r="M79" i="36" s="1"/>
  <c r="E74" i="36"/>
  <c r="G74" i="36" s="1"/>
  <c r="H74" i="36" s="1"/>
  <c r="J74" i="36"/>
  <c r="L74" i="36" s="1"/>
  <c r="E26" i="36"/>
  <c r="G26" i="36" s="1"/>
  <c r="H26" i="36" s="1"/>
  <c r="J26" i="36"/>
  <c r="L26" i="36" s="1"/>
  <c r="E167" i="36"/>
  <c r="G167" i="36" s="1"/>
  <c r="H167" i="36" s="1"/>
  <c r="J167" i="36"/>
  <c r="L167" i="36" s="1"/>
  <c r="E272" i="36"/>
  <c r="G272" i="36" s="1"/>
  <c r="H272" i="36" s="1"/>
  <c r="J272" i="36"/>
  <c r="L272" i="36" s="1"/>
  <c r="E153" i="36"/>
  <c r="G153" i="36" s="1"/>
  <c r="H153" i="36" s="1"/>
  <c r="J153" i="36"/>
  <c r="L153" i="36" s="1"/>
  <c r="E156" i="36"/>
  <c r="G156" i="36" s="1"/>
  <c r="H156" i="36" s="1"/>
  <c r="J156" i="36"/>
  <c r="L156" i="36" s="1"/>
  <c r="E236" i="36"/>
  <c r="G236" i="36" s="1"/>
  <c r="H236" i="36" s="1"/>
  <c r="J236" i="36"/>
  <c r="L236" i="36" s="1"/>
  <c r="E124" i="36"/>
  <c r="G124" i="36" s="1"/>
  <c r="H124" i="36" s="1"/>
  <c r="J124" i="36"/>
  <c r="L124" i="36" s="1"/>
  <c r="E177" i="36"/>
  <c r="G177" i="36" s="1"/>
  <c r="H177" i="36" s="1"/>
  <c r="J177" i="36"/>
  <c r="L177" i="36" s="1"/>
  <c r="E110" i="36"/>
  <c r="G110" i="36" s="1"/>
  <c r="H110" i="36" s="1"/>
  <c r="J110" i="36"/>
  <c r="L110" i="36" s="1"/>
  <c r="E140" i="36"/>
  <c r="G140" i="36" s="1"/>
  <c r="H140" i="36" s="1"/>
  <c r="J140" i="36"/>
  <c r="L140" i="36" s="1"/>
  <c r="E219" i="36"/>
  <c r="G219" i="36" s="1"/>
  <c r="H219" i="36" s="1"/>
  <c r="J219" i="36"/>
  <c r="L219" i="36" s="1"/>
  <c r="E12" i="36"/>
  <c r="G12" i="36" s="1"/>
  <c r="H12" i="36" s="1"/>
  <c r="J12" i="36"/>
  <c r="L12" i="36" s="1"/>
  <c r="E68" i="36"/>
  <c r="G68" i="36" s="1"/>
  <c r="H68" i="36" s="1"/>
  <c r="J68" i="36"/>
  <c r="L68" i="36" s="1"/>
  <c r="E141" i="36"/>
  <c r="G141" i="36" s="1"/>
  <c r="H141" i="36" s="1"/>
  <c r="J141" i="36"/>
  <c r="L141" i="36" s="1"/>
  <c r="E220" i="36"/>
  <c r="G220" i="36" s="1"/>
  <c r="H220" i="36" s="1"/>
  <c r="J220" i="36"/>
  <c r="L220" i="36" s="1"/>
  <c r="E248" i="36"/>
  <c r="G248" i="36" s="1"/>
  <c r="H248" i="36" s="1"/>
  <c r="J248" i="36"/>
  <c r="L248" i="36" s="1"/>
  <c r="E70" i="36"/>
  <c r="G70" i="36" s="1"/>
  <c r="H70" i="36" s="1"/>
  <c r="J70" i="36"/>
  <c r="L70" i="36" s="1"/>
  <c r="E161" i="36"/>
  <c r="G161" i="36" s="1"/>
  <c r="H161" i="36" s="1"/>
  <c r="J161" i="36"/>
  <c r="L161" i="36" s="1"/>
  <c r="E221" i="36"/>
  <c r="G221" i="36" s="1"/>
  <c r="H221" i="36" s="1"/>
  <c r="J221" i="36"/>
  <c r="L221" i="36" s="1"/>
  <c r="E144" i="36"/>
  <c r="G144" i="36" s="1"/>
  <c r="H144" i="36" s="1"/>
  <c r="J144" i="36"/>
  <c r="L144" i="36" s="1"/>
  <c r="E163" i="36"/>
  <c r="G163" i="36" s="1"/>
  <c r="H163" i="36" s="1"/>
  <c r="J163" i="36"/>
  <c r="L163" i="36" s="1"/>
  <c r="E183" i="36"/>
  <c r="G183" i="36" s="1"/>
  <c r="H183" i="36" s="1"/>
  <c r="J183" i="36"/>
  <c r="L183" i="36" s="1"/>
  <c r="E203" i="36"/>
  <c r="G203" i="36" s="1"/>
  <c r="H203" i="36" s="1"/>
  <c r="J203" i="36"/>
  <c r="L203" i="36" s="1"/>
  <c r="E223" i="36"/>
  <c r="G223" i="36" s="1"/>
  <c r="H223" i="36" s="1"/>
  <c r="J223" i="36"/>
  <c r="L223" i="36" s="1"/>
  <c r="E243" i="36"/>
  <c r="G243" i="36" s="1"/>
  <c r="H243" i="36" s="1"/>
  <c r="J243" i="36"/>
  <c r="L243" i="36" s="1"/>
  <c r="E101" i="36"/>
  <c r="G101" i="36" s="1"/>
  <c r="H101" i="36" s="1"/>
  <c r="J101" i="36"/>
  <c r="L101" i="36" s="1"/>
  <c r="E251" i="36"/>
  <c r="G251" i="36" s="1"/>
  <c r="H251" i="36" s="1"/>
  <c r="J251" i="36"/>
  <c r="L251" i="36" s="1"/>
  <c r="E259" i="36"/>
  <c r="G259" i="36" s="1"/>
  <c r="H259" i="36" s="1"/>
  <c r="J259" i="36"/>
  <c r="L259" i="36" s="1"/>
  <c r="E67" i="36"/>
  <c r="G67" i="36" s="1"/>
  <c r="H67" i="36" s="1"/>
  <c r="J67" i="36"/>
  <c r="L67" i="36" s="1"/>
  <c r="E78" i="36"/>
  <c r="G78" i="36" s="1"/>
  <c r="H78" i="36" s="1"/>
  <c r="J78" i="36"/>
  <c r="L78" i="36" s="1"/>
  <c r="E49" i="36"/>
  <c r="G49" i="36" s="1"/>
  <c r="H49" i="36" s="1"/>
  <c r="J49" i="36"/>
  <c r="L49" i="36" s="1"/>
  <c r="E205" i="36"/>
  <c r="G205" i="36" s="1"/>
  <c r="H205" i="36" s="1"/>
  <c r="J205" i="36"/>
  <c r="L205" i="36" s="1"/>
  <c r="E113" i="36"/>
  <c r="G113" i="36" s="1"/>
  <c r="H113" i="36" s="1"/>
  <c r="J113" i="36"/>
  <c r="L113" i="36" s="1"/>
  <c r="E121" i="36"/>
  <c r="G121" i="36" s="1"/>
  <c r="H121" i="36" s="1"/>
  <c r="J121" i="36"/>
  <c r="L121" i="36" s="1"/>
  <c r="E166" i="36"/>
  <c r="G166" i="36" s="1"/>
  <c r="H166" i="36" s="1"/>
  <c r="J166" i="36"/>
  <c r="L166" i="36" s="1"/>
  <c r="E104" i="36"/>
  <c r="G104" i="36" s="1"/>
  <c r="H104" i="36" s="1"/>
  <c r="J104" i="36"/>
  <c r="L104" i="36" s="1"/>
  <c r="E35" i="36"/>
  <c r="G35" i="36" s="1"/>
  <c r="H35" i="36" s="1"/>
  <c r="J35" i="36"/>
  <c r="L35" i="36" s="1"/>
  <c r="E187" i="36"/>
  <c r="G187" i="36" s="1"/>
  <c r="H187" i="36" s="1"/>
  <c r="J187" i="36"/>
  <c r="L187" i="36" s="1"/>
  <c r="E10" i="36"/>
  <c r="G10" i="36" s="1"/>
  <c r="H10" i="36" s="1"/>
  <c r="J10" i="36"/>
  <c r="L10" i="36" s="1"/>
  <c r="E193" i="36"/>
  <c r="G193" i="36" s="1"/>
  <c r="H193" i="36" s="1"/>
  <c r="J193" i="36"/>
  <c r="L193" i="36" s="1"/>
  <c r="E106" i="36"/>
  <c r="G106" i="36" s="1"/>
  <c r="H106" i="36" s="1"/>
  <c r="J106" i="36"/>
  <c r="L106" i="36" s="1"/>
  <c r="E133" i="36"/>
  <c r="G133" i="36" s="1"/>
  <c r="H133" i="36" s="1"/>
  <c r="J133" i="36"/>
  <c r="L133" i="36" s="1"/>
  <c r="E136" i="36"/>
  <c r="G136" i="36" s="1"/>
  <c r="H136" i="36" s="1"/>
  <c r="J136" i="36"/>
  <c r="L136" i="36" s="1"/>
  <c r="E214" i="36"/>
  <c r="G214" i="36" s="1"/>
  <c r="H214" i="36" s="1"/>
  <c r="J214" i="36"/>
  <c r="L214" i="36" s="1"/>
  <c r="E262" i="36"/>
  <c r="G262" i="36" s="1"/>
  <c r="H262" i="36" s="1"/>
  <c r="J262" i="36"/>
  <c r="L262" i="36" s="1"/>
  <c r="E122" i="36"/>
  <c r="G122" i="36" s="1"/>
  <c r="H122" i="36" s="1"/>
  <c r="J122" i="36"/>
  <c r="L122" i="36" s="1"/>
  <c r="E85" i="36"/>
  <c r="G85" i="36" s="1"/>
  <c r="H85" i="36" s="1"/>
  <c r="J85" i="36"/>
  <c r="L85" i="36" s="1"/>
  <c r="E216" i="36"/>
  <c r="G216" i="36" s="1"/>
  <c r="H216" i="36" s="1"/>
  <c r="J216" i="36"/>
  <c r="L216" i="36" s="1"/>
  <c r="E41" i="36"/>
  <c r="G41" i="36" s="1"/>
  <c r="H41" i="36" s="1"/>
  <c r="J41" i="36"/>
  <c r="L41" i="36" s="1"/>
  <c r="E179" i="36"/>
  <c r="G179" i="36" s="1"/>
  <c r="H179" i="36" s="1"/>
  <c r="J179" i="36"/>
  <c r="L179" i="36" s="1"/>
  <c r="E239" i="36"/>
  <c r="G239" i="36" s="1"/>
  <c r="H239" i="36" s="1"/>
  <c r="J239" i="36"/>
  <c r="L239" i="36" s="1"/>
  <c r="E44" i="36"/>
  <c r="G44" i="36" s="1"/>
  <c r="H44" i="36" s="1"/>
  <c r="J44" i="36"/>
  <c r="L44" i="36" s="1"/>
  <c r="E265" i="36"/>
  <c r="G265" i="36" s="1"/>
  <c r="H265" i="36" s="1"/>
  <c r="J265" i="36"/>
  <c r="L265" i="36" s="1"/>
  <c r="E160" i="36"/>
  <c r="G160" i="36" s="1"/>
  <c r="H160" i="36" s="1"/>
  <c r="J160" i="36"/>
  <c r="L160" i="36" s="1"/>
  <c r="E240" i="36"/>
  <c r="G240" i="36" s="1"/>
  <c r="H240" i="36" s="1"/>
  <c r="J240" i="36"/>
  <c r="L240" i="36" s="1"/>
  <c r="E13" i="36"/>
  <c r="G13" i="36" s="1"/>
  <c r="H13" i="36" s="1"/>
  <c r="J13" i="36"/>
  <c r="L13" i="36" s="1"/>
  <c r="E181" i="36"/>
  <c r="G181" i="36" s="1"/>
  <c r="H181" i="36" s="1"/>
  <c r="J181" i="36"/>
  <c r="L181" i="36" s="1"/>
  <c r="E145" i="36"/>
  <c r="G145" i="36" s="1"/>
  <c r="H145" i="36" s="1"/>
  <c r="J145" i="36"/>
  <c r="L145" i="36" s="1"/>
  <c r="E164" i="36"/>
  <c r="G164" i="36" s="1"/>
  <c r="H164" i="36" s="1"/>
  <c r="J164" i="36"/>
  <c r="L164" i="36" s="1"/>
  <c r="E184" i="36"/>
  <c r="G184" i="36" s="1"/>
  <c r="H184" i="36" s="1"/>
  <c r="J184" i="36"/>
  <c r="L184" i="36" s="1"/>
  <c r="E204" i="36"/>
  <c r="G204" i="36" s="1"/>
  <c r="H204" i="36" s="1"/>
  <c r="J204" i="36"/>
  <c r="L204" i="36" s="1"/>
  <c r="E224" i="36"/>
  <c r="G224" i="36" s="1"/>
  <c r="H224" i="36" s="1"/>
  <c r="J224" i="36"/>
  <c r="L224" i="36" s="1"/>
  <c r="E244" i="36"/>
  <c r="G244" i="36" s="1"/>
  <c r="H244" i="36" s="1"/>
  <c r="J244" i="36"/>
  <c r="L244" i="36" s="1"/>
  <c r="E102" i="36"/>
  <c r="G102" i="36" s="1"/>
  <c r="H102" i="36" s="1"/>
  <c r="J102" i="36"/>
  <c r="L102" i="36" s="1"/>
  <c r="E252" i="36"/>
  <c r="G252" i="36" s="1"/>
  <c r="H252" i="36" s="1"/>
  <c r="J252" i="36"/>
  <c r="L252" i="36" s="1"/>
  <c r="E53" i="36"/>
  <c r="G53" i="36" s="1"/>
  <c r="H53" i="36" s="1"/>
  <c r="C13" i="3" s="1"/>
  <c r="J53" i="36"/>
  <c r="L53" i="36" s="1"/>
  <c r="E260" i="36"/>
  <c r="G260" i="36" s="1"/>
  <c r="H260" i="36" s="1"/>
  <c r="J260" i="36"/>
  <c r="L260" i="36" s="1"/>
  <c r="E69" i="36"/>
  <c r="G69" i="36" s="1"/>
  <c r="H69" i="36" s="1"/>
  <c r="J69" i="36"/>
  <c r="L69" i="36" s="1"/>
  <c r="E81" i="36"/>
  <c r="G81" i="36" s="1"/>
  <c r="H81" i="36" s="1"/>
  <c r="J81" i="36"/>
  <c r="L81" i="36" s="1"/>
  <c r="E34" i="36"/>
  <c r="G34" i="36" s="1"/>
  <c r="H34" i="36" s="1"/>
  <c r="J34" i="36"/>
  <c r="L34" i="36" s="1"/>
  <c r="E57" i="36"/>
  <c r="G57" i="36" s="1"/>
  <c r="H57" i="36" s="1"/>
  <c r="J57" i="36"/>
  <c r="L57" i="36" s="1"/>
  <c r="E75" i="36"/>
  <c r="G75" i="36" s="1"/>
  <c r="H75" i="36" s="1"/>
  <c r="J75" i="36"/>
  <c r="L75" i="36" s="1"/>
  <c r="E127" i="36"/>
  <c r="G127" i="36" s="1"/>
  <c r="H127" i="36" s="1"/>
  <c r="J127" i="36"/>
  <c r="L127" i="36" s="1"/>
  <c r="E51" i="36"/>
  <c r="G51" i="36" s="1"/>
  <c r="H51" i="36" s="1"/>
  <c r="J51" i="36"/>
  <c r="L51" i="36" s="1"/>
  <c r="E149" i="36"/>
  <c r="G149" i="36" s="1"/>
  <c r="H149" i="36" s="1"/>
  <c r="J149" i="36"/>
  <c r="L149" i="36" s="1"/>
  <c r="E168" i="36"/>
  <c r="G168" i="36" s="1"/>
  <c r="H168" i="36" s="1"/>
  <c r="J168" i="36"/>
  <c r="L168" i="36" s="1"/>
  <c r="E188" i="36"/>
  <c r="G188" i="36" s="1"/>
  <c r="H188" i="36" s="1"/>
  <c r="J188" i="36"/>
  <c r="L188" i="36" s="1"/>
  <c r="E208" i="36"/>
  <c r="G208" i="36" s="1"/>
  <c r="H208" i="36" s="1"/>
  <c r="J208" i="36"/>
  <c r="L208" i="36" s="1"/>
  <c r="E228" i="36"/>
  <c r="G228" i="36" s="1"/>
  <c r="H228" i="36" s="1"/>
  <c r="J228" i="36"/>
  <c r="L228" i="36" s="1"/>
  <c r="E90" i="36"/>
  <c r="G90" i="36" s="1"/>
  <c r="H90" i="36" s="1"/>
  <c r="J90" i="36"/>
  <c r="L90" i="36" s="1"/>
  <c r="E11" i="36"/>
  <c r="G11" i="36" s="1"/>
  <c r="H11" i="36" s="1"/>
  <c r="J11" i="36"/>
  <c r="L11" i="36" s="1"/>
  <c r="E116" i="36"/>
  <c r="G116" i="36" s="1"/>
  <c r="H116" i="36" s="1"/>
  <c r="J116" i="36"/>
  <c r="L116" i="36" s="1"/>
  <c r="E273" i="36"/>
  <c r="G273" i="36" s="1"/>
  <c r="H273" i="36" s="1"/>
  <c r="J273" i="36"/>
  <c r="L273" i="36" s="1"/>
  <c r="E55" i="36"/>
  <c r="G55" i="36" s="1"/>
  <c r="H55" i="36" s="1"/>
  <c r="J55" i="36"/>
  <c r="L55" i="36" s="1"/>
  <c r="E66" i="36"/>
  <c r="G66" i="36" s="1"/>
  <c r="H66" i="36" s="1"/>
  <c r="J66" i="36"/>
  <c r="L66" i="36" s="1"/>
  <c r="E128" i="36"/>
  <c r="G128" i="36" s="1"/>
  <c r="H128" i="36" s="1"/>
  <c r="J128" i="36"/>
  <c r="L128" i="36" s="1"/>
  <c r="E52" i="36"/>
  <c r="G52" i="36" s="1"/>
  <c r="H52" i="36" s="1"/>
  <c r="J52" i="36"/>
  <c r="L52" i="36" s="1"/>
  <c r="E150" i="36"/>
  <c r="G150" i="36" s="1"/>
  <c r="H150" i="36" s="1"/>
  <c r="J150" i="36"/>
  <c r="L150" i="36" s="1"/>
  <c r="E169" i="36"/>
  <c r="G169" i="36" s="1"/>
  <c r="H169" i="36" s="1"/>
  <c r="J169" i="36"/>
  <c r="L169" i="36" s="1"/>
  <c r="E189" i="36"/>
  <c r="G189" i="36" s="1"/>
  <c r="H189" i="36" s="1"/>
  <c r="J189" i="36"/>
  <c r="L189" i="36" s="1"/>
  <c r="E209" i="36"/>
  <c r="G209" i="36" s="1"/>
  <c r="H209" i="36" s="1"/>
  <c r="J209" i="36"/>
  <c r="L209" i="36" s="1"/>
  <c r="E229" i="36"/>
  <c r="G229" i="36" s="1"/>
  <c r="H229" i="36" s="1"/>
  <c r="J229" i="36"/>
  <c r="L229" i="36" s="1"/>
  <c r="E91" i="36"/>
  <c r="G91" i="36" s="1"/>
  <c r="H91" i="36" s="1"/>
  <c r="J91" i="36"/>
  <c r="L91" i="36" s="1"/>
  <c r="E245" i="36"/>
  <c r="G245" i="36" s="1"/>
  <c r="H245" i="36" s="1"/>
  <c r="J245" i="36"/>
  <c r="L245" i="36" s="1"/>
  <c r="E117" i="36"/>
  <c r="G117" i="36" s="1"/>
  <c r="H117" i="36" s="1"/>
  <c r="J117" i="36"/>
  <c r="L117" i="36" s="1"/>
  <c r="E27" i="36"/>
  <c r="G27" i="36" s="1"/>
  <c r="H27" i="36" s="1"/>
  <c r="J27" i="36"/>
  <c r="L27" i="36" s="1"/>
  <c r="E22" i="36"/>
  <c r="G22" i="36" s="1"/>
  <c r="H22" i="36" s="1"/>
  <c r="J22" i="36"/>
  <c r="L22" i="36" s="1"/>
  <c r="E77" i="36"/>
  <c r="G77" i="36" s="1"/>
  <c r="H77" i="36" s="1"/>
  <c r="J77" i="36"/>
  <c r="L77" i="36" s="1"/>
  <c r="E129" i="36"/>
  <c r="G129" i="36" s="1"/>
  <c r="H129" i="36" s="1"/>
  <c r="J129" i="36"/>
  <c r="L129" i="36" s="1"/>
  <c r="E36" i="36"/>
  <c r="G36" i="36" s="1"/>
  <c r="H36" i="36" s="1"/>
  <c r="J36" i="36"/>
  <c r="L36" i="36" s="1"/>
  <c r="E151" i="36"/>
  <c r="G151" i="36" s="1"/>
  <c r="H151" i="36" s="1"/>
  <c r="J151" i="36"/>
  <c r="L151" i="36" s="1"/>
  <c r="E170" i="36"/>
  <c r="G170" i="36" s="1"/>
  <c r="H170" i="36" s="1"/>
  <c r="J170" i="36"/>
  <c r="L170" i="36" s="1"/>
  <c r="E190" i="36"/>
  <c r="G190" i="36" s="1"/>
  <c r="H190" i="36" s="1"/>
  <c r="J190" i="36"/>
  <c r="L190" i="36" s="1"/>
  <c r="E210" i="36"/>
  <c r="G210" i="36" s="1"/>
  <c r="H210" i="36" s="1"/>
  <c r="J210" i="36"/>
  <c r="L210" i="36" s="1"/>
  <c r="E230" i="36"/>
  <c r="G230" i="36" s="1"/>
  <c r="H230" i="36" s="1"/>
  <c r="J230" i="36"/>
  <c r="L230" i="36" s="1"/>
  <c r="E92" i="36"/>
  <c r="G92" i="36" s="1"/>
  <c r="H92" i="36" s="1"/>
  <c r="J92" i="36"/>
  <c r="L92" i="36" s="1"/>
  <c r="E246" i="36"/>
  <c r="G246" i="36" s="1"/>
  <c r="H246" i="36" s="1"/>
  <c r="J246" i="36"/>
  <c r="L246" i="36" s="1"/>
  <c r="E253" i="36"/>
  <c r="G253" i="36" s="1"/>
  <c r="H253" i="36" s="1"/>
  <c r="J253" i="36"/>
  <c r="L253" i="36" s="1"/>
  <c r="E40" i="36"/>
  <c r="G40" i="36" s="1"/>
  <c r="H40" i="36" s="1"/>
  <c r="J40" i="36"/>
  <c r="L40" i="36" s="1"/>
  <c r="E25" i="36"/>
  <c r="G25" i="36" s="1"/>
  <c r="H25" i="36" s="1"/>
  <c r="J25" i="36"/>
  <c r="L25" i="36" s="1"/>
  <c r="E24" i="36"/>
  <c r="G24" i="36" s="1"/>
  <c r="H24" i="36" s="1"/>
  <c r="J24" i="36"/>
  <c r="L24" i="36" s="1"/>
  <c r="E80" i="36"/>
  <c r="G80" i="36" s="1"/>
  <c r="H80" i="36" s="1"/>
  <c r="J80" i="36"/>
  <c r="L80" i="36" s="1"/>
  <c r="E130" i="36"/>
  <c r="G130" i="36" s="1"/>
  <c r="H130" i="36" s="1"/>
  <c r="J130" i="36"/>
  <c r="L130" i="36" s="1"/>
  <c r="E46" i="36"/>
  <c r="G46" i="36" s="1"/>
  <c r="H46" i="36" s="1"/>
  <c r="J46" i="36"/>
  <c r="L46" i="36" s="1"/>
  <c r="E274" i="36"/>
  <c r="G274" i="36" s="1"/>
  <c r="H274" i="36" s="1"/>
  <c r="J274" i="36"/>
  <c r="L274" i="36" s="1"/>
  <c r="E86" i="36"/>
  <c r="G86" i="36" s="1"/>
  <c r="H86" i="36" s="1"/>
  <c r="J86" i="36"/>
  <c r="L86" i="36" s="1"/>
  <c r="E171" i="36"/>
  <c r="G171" i="36" s="1"/>
  <c r="H171" i="36" s="1"/>
  <c r="J171" i="36"/>
  <c r="L171" i="36" s="1"/>
  <c r="E191" i="36"/>
  <c r="G191" i="36" s="1"/>
  <c r="H191" i="36" s="1"/>
  <c r="J191" i="36"/>
  <c r="L191" i="36" s="1"/>
  <c r="E211" i="36"/>
  <c r="G211" i="36" s="1"/>
  <c r="H211" i="36" s="1"/>
  <c r="J211" i="36"/>
  <c r="L211" i="36" s="1"/>
  <c r="E231" i="36"/>
  <c r="G231" i="36" s="1"/>
  <c r="H231" i="36" s="1"/>
  <c r="J231" i="36"/>
  <c r="L231" i="36" s="1"/>
  <c r="E93" i="36"/>
  <c r="G93" i="36" s="1"/>
  <c r="H93" i="36" s="1"/>
  <c r="J93" i="36"/>
  <c r="L93" i="36" s="1"/>
  <c r="E247" i="36"/>
  <c r="G247" i="36" s="1"/>
  <c r="H247" i="36" s="1"/>
  <c r="J247" i="36"/>
  <c r="L247" i="36" s="1"/>
  <c r="E254" i="36"/>
  <c r="G254" i="36" s="1"/>
  <c r="H254" i="36" s="1"/>
  <c r="J254" i="36"/>
  <c r="L254" i="36" s="1"/>
  <c r="E28" i="36"/>
  <c r="G28" i="36" s="1"/>
  <c r="H28" i="36" s="1"/>
  <c r="J28" i="36"/>
  <c r="L28" i="36" s="1"/>
  <c r="E21" i="36"/>
  <c r="G21" i="36" s="1"/>
  <c r="H21" i="36" s="1"/>
  <c r="J21" i="36"/>
  <c r="L21" i="36" s="1"/>
  <c r="E268" i="36"/>
  <c r="G268" i="36" s="1"/>
  <c r="H268" i="36" s="1"/>
  <c r="J268" i="36"/>
  <c r="L268" i="36" s="1"/>
  <c r="E58" i="36"/>
  <c r="G58" i="36" s="1"/>
  <c r="H58" i="36" s="1"/>
  <c r="J58" i="36"/>
  <c r="L58" i="36" s="1"/>
  <c r="E131" i="36"/>
  <c r="G131" i="36" s="1"/>
  <c r="H131" i="36" s="1"/>
  <c r="J131" i="36"/>
  <c r="L131" i="36" s="1"/>
  <c r="E37" i="36"/>
  <c r="G37" i="36" s="1"/>
  <c r="H37" i="36" s="1"/>
  <c r="J37" i="36"/>
  <c r="L37" i="36" s="1"/>
  <c r="E134" i="36"/>
  <c r="G134" i="36" s="1"/>
  <c r="H134" i="36" s="1"/>
  <c r="J134" i="36"/>
  <c r="L134" i="36" s="1"/>
  <c r="E152" i="36"/>
  <c r="G152" i="36" s="1"/>
  <c r="H152" i="36" s="1"/>
  <c r="J152" i="36"/>
  <c r="L152" i="36" s="1"/>
  <c r="E172" i="36"/>
  <c r="G172" i="36" s="1"/>
  <c r="H172" i="36" s="1"/>
  <c r="J172" i="36"/>
  <c r="L172" i="36" s="1"/>
  <c r="E192" i="36"/>
  <c r="G192" i="36" s="1"/>
  <c r="H192" i="36" s="1"/>
  <c r="J192" i="36"/>
  <c r="L192" i="36" s="1"/>
  <c r="E212" i="36"/>
  <c r="G212" i="36" s="1"/>
  <c r="H212" i="36" s="1"/>
  <c r="J212" i="36"/>
  <c r="L212" i="36" s="1"/>
  <c r="E232" i="36"/>
  <c r="G232" i="36" s="1"/>
  <c r="H232" i="36" s="1"/>
  <c r="J232" i="36"/>
  <c r="L232" i="36" s="1"/>
  <c r="E94" i="36"/>
  <c r="G94" i="36" s="1"/>
  <c r="H94" i="36" s="1"/>
  <c r="J94" i="36"/>
  <c r="L94" i="36" s="1"/>
  <c r="E105" i="36"/>
  <c r="G105" i="36" s="1"/>
  <c r="H105" i="36" s="1"/>
  <c r="J105" i="36"/>
  <c r="L105" i="36" s="1"/>
  <c r="E255" i="36"/>
  <c r="G255" i="36" s="1"/>
  <c r="H255" i="36" s="1"/>
  <c r="J255" i="36"/>
  <c r="L255" i="36" s="1"/>
  <c r="E29" i="36"/>
  <c r="G29" i="36" s="1"/>
  <c r="H29" i="36" s="1"/>
  <c r="J29" i="36"/>
  <c r="L29" i="36" s="1"/>
  <c r="E38" i="36"/>
  <c r="G38" i="36" s="1"/>
  <c r="H38" i="36" s="1"/>
  <c r="J38" i="36"/>
  <c r="L38" i="36" s="1"/>
  <c r="E269" i="36"/>
  <c r="G269" i="36" s="1"/>
  <c r="H269" i="36" s="1"/>
  <c r="J269" i="36"/>
  <c r="L269" i="36" s="1"/>
  <c r="E59" i="36"/>
  <c r="G59" i="36" s="1"/>
  <c r="H59" i="36" s="1"/>
  <c r="J59" i="36"/>
  <c r="L59" i="36" s="1"/>
  <c r="M59" i="36" s="1"/>
  <c r="E132" i="36"/>
  <c r="G132" i="36" s="1"/>
  <c r="H132" i="36" s="1"/>
  <c r="J132" i="36"/>
  <c r="L132" i="36" s="1"/>
  <c r="E47" i="36"/>
  <c r="G47" i="36" s="1"/>
  <c r="H47" i="36" s="1"/>
  <c r="J47" i="36"/>
  <c r="L47" i="36" s="1"/>
  <c r="E185" i="36"/>
  <c r="G185" i="36" s="1"/>
  <c r="H185" i="36" s="1"/>
  <c r="J185" i="36"/>
  <c r="L185" i="36" s="1"/>
  <c r="E87" i="36"/>
  <c r="G87" i="36" s="1"/>
  <c r="H87" i="36" s="1"/>
  <c r="J87" i="36"/>
  <c r="L87" i="36" s="1"/>
  <c r="E266" i="36"/>
  <c r="G266" i="36" s="1"/>
  <c r="H266" i="36" s="1"/>
  <c r="J266" i="36"/>
  <c r="L266" i="36" s="1"/>
  <c r="E147" i="36"/>
  <c r="G147" i="36" s="1"/>
  <c r="H147" i="36" s="1"/>
  <c r="J147" i="36"/>
  <c r="L147" i="36" s="1"/>
  <c r="E226" i="36"/>
  <c r="G226" i="36" s="1"/>
  <c r="H226" i="36" s="1"/>
  <c r="J226" i="36"/>
  <c r="L226" i="36" s="1"/>
  <c r="E84" i="36"/>
  <c r="G84" i="36" s="1"/>
  <c r="H84" i="36" s="1"/>
  <c r="J84" i="36"/>
  <c r="L84" i="36" s="1"/>
  <c r="E73" i="36"/>
  <c r="G73" i="36" s="1"/>
  <c r="H73" i="36" s="1"/>
  <c r="J73" i="36"/>
  <c r="L73" i="36" s="1"/>
  <c r="E115" i="36"/>
  <c r="G115" i="36" s="1"/>
  <c r="H115" i="36" s="1"/>
  <c r="J115" i="36"/>
  <c r="L115" i="36" s="1"/>
  <c r="E173" i="36"/>
  <c r="G173" i="36" s="1"/>
  <c r="H173" i="36" s="1"/>
  <c r="J173" i="36"/>
  <c r="L173" i="36" s="1"/>
  <c r="E95" i="36"/>
  <c r="G95" i="36" s="1"/>
  <c r="H95" i="36" s="1"/>
  <c r="J95" i="36"/>
  <c r="L95" i="36" s="1"/>
  <c r="E20" i="36"/>
  <c r="G20" i="36" s="1"/>
  <c r="H20" i="36" s="1"/>
  <c r="J20" i="36"/>
  <c r="L20" i="36" s="1"/>
  <c r="E174" i="36"/>
  <c r="G174" i="36" s="1"/>
  <c r="H174" i="36" s="1"/>
  <c r="J174" i="36"/>
  <c r="L174" i="36" s="1"/>
  <c r="E96" i="36"/>
  <c r="G96" i="36" s="1"/>
  <c r="H96" i="36" s="1"/>
  <c r="J96" i="36"/>
  <c r="L96" i="36" s="1"/>
  <c r="E61" i="36"/>
  <c r="G61" i="36" s="1"/>
  <c r="H61" i="36" s="1"/>
  <c r="J61" i="36"/>
  <c r="L61" i="36" s="1"/>
  <c r="E175" i="36"/>
  <c r="G175" i="36" s="1"/>
  <c r="H175" i="36" s="1"/>
  <c r="J175" i="36"/>
  <c r="L175" i="36" s="1"/>
  <c r="E195" i="36"/>
  <c r="G195" i="36" s="1"/>
  <c r="H195" i="36" s="1"/>
  <c r="J195" i="36"/>
  <c r="L195" i="36" s="1"/>
  <c r="E215" i="36"/>
  <c r="G215" i="36" s="1"/>
  <c r="H215" i="36" s="1"/>
  <c r="J215" i="36"/>
  <c r="L215" i="36" s="1"/>
  <c r="E235" i="36"/>
  <c r="G235" i="36" s="1"/>
  <c r="H235" i="36" s="1"/>
  <c r="J235" i="36"/>
  <c r="L235" i="36" s="1"/>
  <c r="E97" i="36"/>
  <c r="G97" i="36" s="1"/>
  <c r="H97" i="36" s="1"/>
  <c r="J97" i="36"/>
  <c r="L97" i="36" s="1"/>
  <c r="E108" i="36"/>
  <c r="G108" i="36" s="1"/>
  <c r="H108" i="36" s="1"/>
  <c r="J108" i="36"/>
  <c r="L108" i="36" s="1"/>
  <c r="E257" i="36"/>
  <c r="G257" i="36" s="1"/>
  <c r="H257" i="36" s="1"/>
  <c r="J257" i="36"/>
  <c r="L257" i="36" s="1"/>
  <c r="E32" i="36"/>
  <c r="G32" i="36" s="1"/>
  <c r="H32" i="36" s="1"/>
  <c r="J32" i="36"/>
  <c r="L32" i="36" s="1"/>
  <c r="E264" i="36"/>
  <c r="G264" i="36" s="1"/>
  <c r="H264" i="36" s="1"/>
  <c r="J264" i="36"/>
  <c r="L264" i="36" s="1"/>
  <c r="E17" i="36"/>
  <c r="G17" i="36" s="1"/>
  <c r="H17" i="36" s="1"/>
  <c r="J17" i="36"/>
  <c r="L17" i="36" s="1"/>
  <c r="E62" i="36"/>
  <c r="G62" i="36" s="1"/>
  <c r="H62" i="36" s="1"/>
  <c r="J62" i="36"/>
  <c r="L62" i="36" s="1"/>
  <c r="E123" i="36"/>
  <c r="G123" i="36" s="1"/>
  <c r="H123" i="36" s="1"/>
  <c r="J123" i="36"/>
  <c r="L123" i="36" s="1"/>
  <c r="J23" i="14"/>
  <c r="J24" i="14"/>
  <c r="J25" i="14"/>
  <c r="J22" i="14"/>
  <c r="J26" i="14"/>
  <c r="K28" i="14"/>
  <c r="M146" i="36" l="1"/>
  <c r="M195" i="36"/>
  <c r="M47" i="36"/>
  <c r="M172" i="36"/>
  <c r="M204" i="36"/>
  <c r="M35" i="36"/>
  <c r="M97" i="36"/>
  <c r="M175" i="36"/>
  <c r="M73" i="36"/>
  <c r="M29" i="36"/>
  <c r="M232" i="36"/>
  <c r="M211" i="36"/>
  <c r="M205" i="36"/>
  <c r="M154" i="36"/>
  <c r="M215" i="36"/>
  <c r="M185" i="36"/>
  <c r="M21" i="36"/>
  <c r="M42" i="36"/>
  <c r="M208" i="36"/>
  <c r="M145" i="36"/>
  <c r="M183" i="36"/>
  <c r="M167" i="36"/>
  <c r="M244" i="36"/>
  <c r="M121" i="36"/>
  <c r="M223" i="36"/>
  <c r="M153" i="36"/>
  <c r="M28" i="36"/>
  <c r="M101" i="36"/>
  <c r="M236" i="36"/>
  <c r="M269" i="36"/>
  <c r="M93" i="36"/>
  <c r="M224" i="36"/>
  <c r="M136" i="36"/>
  <c r="M203" i="36"/>
  <c r="M227" i="36"/>
  <c r="M56" i="36"/>
  <c r="M270" i="36"/>
  <c r="M235" i="36"/>
  <c r="M173" i="36"/>
  <c r="M192" i="36"/>
  <c r="M254" i="36"/>
  <c r="M267" i="36"/>
  <c r="M9" i="36"/>
  <c r="M137" i="36"/>
  <c r="M23" i="36"/>
  <c r="M94" i="36"/>
  <c r="M188" i="36"/>
  <c r="M216" i="36"/>
  <c r="M187" i="36"/>
  <c r="M33" i="36"/>
  <c r="M7" i="36"/>
  <c r="M194" i="36"/>
  <c r="M118" i="36"/>
  <c r="M14" i="36"/>
  <c r="M48" i="36"/>
  <c r="M171" i="36"/>
  <c r="M179" i="36"/>
  <c r="M193" i="36"/>
  <c r="M144" i="36"/>
  <c r="M74" i="36"/>
  <c r="M64" i="36"/>
  <c r="M31" i="36"/>
  <c r="M206" i="36"/>
  <c r="M99" i="36"/>
  <c r="M225" i="36"/>
  <c r="M147" i="36"/>
  <c r="M131" i="36"/>
  <c r="M253" i="36"/>
  <c r="M77" i="36"/>
  <c r="M169" i="36"/>
  <c r="M106" i="36"/>
  <c r="M49" i="36"/>
  <c r="M182" i="36"/>
  <c r="M158" i="36"/>
  <c r="M139" i="36"/>
  <c r="M258" i="36"/>
  <c r="M114" i="36"/>
  <c r="M50" i="36"/>
  <c r="M111" i="36"/>
  <c r="M55" i="36"/>
  <c r="M102" i="36"/>
  <c r="M240" i="36"/>
  <c r="M243" i="36"/>
  <c r="M220" i="36"/>
  <c r="M138" i="36"/>
  <c r="M275" i="36"/>
  <c r="M157" i="36"/>
  <c r="M213" i="36"/>
  <c r="M34" i="36"/>
  <c r="C11" i="3"/>
  <c r="M178" i="36"/>
  <c r="M63" i="36"/>
  <c r="M32" i="36"/>
  <c r="M174" i="36"/>
  <c r="M266" i="36"/>
  <c r="M105" i="36"/>
  <c r="M58" i="36"/>
  <c r="M246" i="36"/>
  <c r="M22" i="36"/>
  <c r="M150" i="36"/>
  <c r="M228" i="36"/>
  <c r="M81" i="36"/>
  <c r="M164" i="36"/>
  <c r="M78" i="36"/>
  <c r="M140" i="36"/>
  <c r="M162" i="36"/>
  <c r="M180" i="36"/>
  <c r="C12" i="3"/>
  <c r="M19" i="36"/>
  <c r="M88" i="36"/>
  <c r="M142" i="36"/>
  <c r="M65" i="36"/>
  <c r="M98" i="36"/>
  <c r="M89" i="36"/>
  <c r="M257" i="36"/>
  <c r="M20" i="36"/>
  <c r="M87" i="36"/>
  <c r="M268" i="36"/>
  <c r="M86" i="36"/>
  <c r="M92" i="36"/>
  <c r="M52" i="36"/>
  <c r="M69" i="36"/>
  <c r="M41" i="36"/>
  <c r="M10" i="36"/>
  <c r="M67" i="36"/>
  <c r="M221" i="36"/>
  <c r="M110" i="36"/>
  <c r="M143" i="36"/>
  <c r="M271" i="36"/>
  <c r="M107" i="36"/>
  <c r="M186" i="36"/>
  <c r="M45" i="36"/>
  <c r="M176" i="36"/>
  <c r="M207" i="36"/>
  <c r="M200" i="36"/>
  <c r="M230" i="36"/>
  <c r="M260" i="36"/>
  <c r="M177" i="36"/>
  <c r="M108" i="36"/>
  <c r="M274" i="36"/>
  <c r="M128" i="36"/>
  <c r="M125" i="36"/>
  <c r="M126" i="36"/>
  <c r="M123" i="36"/>
  <c r="M27" i="36"/>
  <c r="M181" i="36"/>
  <c r="M259" i="36"/>
  <c r="M161" i="36"/>
  <c r="M95" i="36"/>
  <c r="M212" i="36"/>
  <c r="M46" i="36"/>
  <c r="M210" i="36"/>
  <c r="M117" i="36"/>
  <c r="M66" i="36"/>
  <c r="M168" i="36"/>
  <c r="M53" i="36"/>
  <c r="C10" i="3"/>
  <c r="M85" i="36"/>
  <c r="M251" i="36"/>
  <c r="M70" i="36"/>
  <c r="M124" i="36"/>
  <c r="M159" i="36"/>
  <c r="M103" i="36"/>
  <c r="M43" i="36"/>
  <c r="M132" i="36"/>
  <c r="M130" i="36"/>
  <c r="M190" i="36"/>
  <c r="M245" i="36"/>
  <c r="M149" i="36"/>
  <c r="M252" i="36"/>
  <c r="M13" i="36"/>
  <c r="M122" i="36"/>
  <c r="M104" i="36"/>
  <c r="M248" i="36"/>
  <c r="M250" i="36"/>
  <c r="M249" i="36"/>
  <c r="M217" i="36"/>
  <c r="M30" i="36"/>
  <c r="M165" i="36"/>
  <c r="M112" i="36"/>
  <c r="M115" i="36"/>
  <c r="M247" i="36"/>
  <c r="M80" i="36"/>
  <c r="M170" i="36"/>
  <c r="M91" i="36"/>
  <c r="M51" i="36"/>
  <c r="M262" i="36"/>
  <c r="M166" i="36"/>
  <c r="M156" i="36"/>
  <c r="M100" i="36"/>
  <c r="M241" i="36"/>
  <c r="M233" i="36"/>
  <c r="M199" i="36"/>
  <c r="M82" i="36"/>
  <c r="M135" i="36"/>
  <c r="M72" i="36"/>
  <c r="M237" i="36"/>
  <c r="C9" i="3"/>
  <c r="M6" i="36"/>
  <c r="M234" i="36"/>
  <c r="M71" i="36"/>
  <c r="M152" i="36"/>
  <c r="M24" i="36"/>
  <c r="M151" i="36"/>
  <c r="M229" i="36"/>
  <c r="M273" i="36"/>
  <c r="M127" i="36"/>
  <c r="M160" i="36"/>
  <c r="M214" i="36"/>
  <c r="M141" i="36"/>
  <c r="M242" i="36"/>
  <c r="M201" i="36"/>
  <c r="M76" i="36"/>
  <c r="M238" i="36"/>
  <c r="M83" i="36"/>
  <c r="M62" i="36"/>
  <c r="M25" i="36"/>
  <c r="M75" i="36"/>
  <c r="M265" i="36"/>
  <c r="M113" i="36"/>
  <c r="M68" i="36"/>
  <c r="M272" i="36"/>
  <c r="M222" i="36"/>
  <c r="M261" i="36"/>
  <c r="M109" i="36"/>
  <c r="M84" i="36"/>
  <c r="M231" i="36"/>
  <c r="M116" i="36"/>
  <c r="M218" i="36"/>
  <c r="M60" i="36"/>
  <c r="M134" i="36"/>
  <c r="M209" i="36"/>
  <c r="M61" i="36"/>
  <c r="M37" i="36"/>
  <c r="M40" i="36"/>
  <c r="M11" i="36"/>
  <c r="M44" i="36"/>
  <c r="M39" i="36"/>
  <c r="M38" i="36"/>
  <c r="M36" i="36"/>
  <c r="M17" i="36"/>
  <c r="M226" i="36"/>
  <c r="M129" i="36"/>
  <c r="M189" i="36"/>
  <c r="M57" i="36"/>
  <c r="M133" i="36"/>
  <c r="M12" i="36"/>
  <c r="M202" i="36"/>
  <c r="M18" i="36"/>
  <c r="M196" i="36"/>
  <c r="M264" i="36"/>
  <c r="M96" i="36"/>
  <c r="M255" i="36"/>
  <c r="M191" i="36"/>
  <c r="M90" i="36"/>
  <c r="M184" i="36"/>
  <c r="M239" i="36"/>
  <c r="M163" i="36"/>
  <c r="M219" i="36"/>
  <c r="M26" i="36"/>
  <c r="M8" i="36"/>
  <c r="M155" i="36"/>
  <c r="M198" i="36"/>
  <c r="M197" i="36"/>
  <c r="M256" i="36"/>
  <c r="L23" i="14"/>
  <c r="L24" i="14"/>
  <c r="L25" i="14"/>
  <c r="L22" i="14"/>
  <c r="L26" i="14"/>
  <c r="E28" i="14"/>
  <c r="G19" i="14"/>
  <c r="E19" i="14"/>
  <c r="G28" i="14"/>
  <c r="K19" i="14"/>
  <c r="K30" i="14" s="1"/>
  <c r="K34" i="14" s="1"/>
  <c r="I19" i="14"/>
  <c r="I30" i="14" s="1"/>
  <c r="I34" i="14" s="1"/>
  <c r="C19" i="14"/>
  <c r="C28" i="14"/>
  <c r="D10" i="3" l="1"/>
  <c r="D9" i="3"/>
  <c r="D12" i="3"/>
  <c r="D11" i="3"/>
  <c r="D22" i="14"/>
  <c r="D25" i="14"/>
  <c r="D26" i="14"/>
  <c r="D23" i="14"/>
  <c r="D24" i="14"/>
  <c r="H24" i="14"/>
  <c r="H22" i="14"/>
  <c r="H25" i="14"/>
  <c r="H23" i="14"/>
  <c r="H26" i="14"/>
  <c r="F28" i="14"/>
  <c r="F26" i="14"/>
  <c r="F22" i="14"/>
  <c r="F23" i="14"/>
  <c r="F25" i="14"/>
  <c r="F24" i="14"/>
  <c r="H28" i="14"/>
  <c r="G30" i="14"/>
  <c r="G34" i="14" s="1"/>
  <c r="L28" i="14"/>
  <c r="D28" i="14"/>
  <c r="J28" i="14"/>
  <c r="C30" i="14"/>
  <c r="C34" i="14" s="1"/>
  <c r="A1" i="4" l="1"/>
  <c r="B8" i="14" l="1"/>
  <c r="M26" i="14" l="1"/>
  <c r="N26" i="14" s="1"/>
  <c r="O26" i="14" s="1"/>
  <c r="P26" i="14" s="1"/>
  <c r="Q26" i="14" s="1"/>
  <c r="R26" i="14" s="1"/>
  <c r="S26" i="14" s="1"/>
  <c r="T26" i="14" s="1"/>
  <c r="U26" i="14" s="1"/>
  <c r="V26" i="14" s="1"/>
  <c r="W26" i="14" s="1"/>
  <c r="X26" i="14" s="1"/>
  <c r="Y26" i="14" s="1"/>
  <c r="Z26" i="14" s="1"/>
  <c r="AA26" i="14" s="1"/>
  <c r="AB26" i="14" s="1"/>
  <c r="AC26" i="14" s="1"/>
  <c r="AD26" i="14" s="1"/>
  <c r="AE26" i="14" s="1"/>
  <c r="AF26" i="14" s="1"/>
  <c r="AG26" i="14" s="1"/>
  <c r="AH26" i="14" s="1"/>
  <c r="AI26" i="14" s="1"/>
  <c r="AJ26" i="14" s="1"/>
  <c r="AK26" i="14" s="1"/>
  <c r="AL26" i="14" s="1"/>
  <c r="AM26" i="14" s="1"/>
  <c r="AN26" i="14" s="1"/>
  <c r="M24" i="14"/>
  <c r="N24" i="14" s="1"/>
  <c r="O24" i="14" s="1"/>
  <c r="P24" i="14" s="1"/>
  <c r="Q24" i="14" s="1"/>
  <c r="R24" i="14" s="1"/>
  <c r="S24" i="14" s="1"/>
  <c r="T24" i="14" s="1"/>
  <c r="U24" i="14" s="1"/>
  <c r="V24" i="14" s="1"/>
  <c r="W24" i="14" s="1"/>
  <c r="X24" i="14" s="1"/>
  <c r="Y24" i="14" s="1"/>
  <c r="Z24" i="14" s="1"/>
  <c r="AA24" i="14" s="1"/>
  <c r="AB24" i="14" s="1"/>
  <c r="AC24" i="14" s="1"/>
  <c r="AD24" i="14" s="1"/>
  <c r="AE24" i="14" s="1"/>
  <c r="AF24" i="14" s="1"/>
  <c r="AG24" i="14" s="1"/>
  <c r="AH24" i="14" s="1"/>
  <c r="AI24" i="14" s="1"/>
  <c r="AJ24" i="14" s="1"/>
  <c r="AK24" i="14" s="1"/>
  <c r="AL24" i="14" s="1"/>
  <c r="AM24" i="14" s="1"/>
  <c r="AN24" i="14" s="1"/>
  <c r="M25" i="14"/>
  <c r="N25" i="14" s="1"/>
  <c r="O25" i="14" s="1"/>
  <c r="P25" i="14" s="1"/>
  <c r="Q25" i="14" s="1"/>
  <c r="R25" i="14" s="1"/>
  <c r="S25" i="14" s="1"/>
  <c r="T25" i="14" s="1"/>
  <c r="U25" i="14" s="1"/>
  <c r="V25" i="14" s="1"/>
  <c r="W25" i="14" s="1"/>
  <c r="X25" i="14" s="1"/>
  <c r="Y25" i="14" s="1"/>
  <c r="Z25" i="14" s="1"/>
  <c r="AA25" i="14" s="1"/>
  <c r="AB25" i="14" s="1"/>
  <c r="AC25" i="14" s="1"/>
  <c r="AD25" i="14" s="1"/>
  <c r="AE25" i="14" s="1"/>
  <c r="AF25" i="14" s="1"/>
  <c r="AG25" i="14" s="1"/>
  <c r="AH25" i="14" s="1"/>
  <c r="AI25" i="14" s="1"/>
  <c r="AJ25" i="14" s="1"/>
  <c r="AK25" i="14" s="1"/>
  <c r="AL25" i="14" s="1"/>
  <c r="AM25" i="14" s="1"/>
  <c r="AN25" i="14" s="1"/>
  <c r="M22" i="14"/>
  <c r="M23" i="14"/>
  <c r="N23" i="14" s="1"/>
  <c r="O23" i="14" s="1"/>
  <c r="P23" i="14" s="1"/>
  <c r="Q23" i="14" s="1"/>
  <c r="R23" i="14" s="1"/>
  <c r="S23" i="14" s="1"/>
  <c r="T23" i="14" s="1"/>
  <c r="U23" i="14" s="1"/>
  <c r="V23" i="14" s="1"/>
  <c r="W23" i="14" s="1"/>
  <c r="X23" i="14" s="1"/>
  <c r="Y23" i="14" s="1"/>
  <c r="Z23" i="14" s="1"/>
  <c r="AA23" i="14" s="1"/>
  <c r="AB23" i="14" s="1"/>
  <c r="AC23" i="14" s="1"/>
  <c r="AD23" i="14" s="1"/>
  <c r="AE23" i="14" s="1"/>
  <c r="AF23" i="14" s="1"/>
  <c r="AG23" i="14" s="1"/>
  <c r="AH23" i="14" s="1"/>
  <c r="AI23" i="14" s="1"/>
  <c r="AJ23" i="14" s="1"/>
  <c r="AK23" i="14" s="1"/>
  <c r="AL23" i="14" s="1"/>
  <c r="AM23" i="14" s="1"/>
  <c r="AN23" i="14" s="1"/>
  <c r="O22" i="14"/>
  <c r="P22" i="14" s="1"/>
  <c r="Q22" i="14" s="1"/>
  <c r="R22" i="14" s="1"/>
  <c r="S22" i="14" s="1"/>
  <c r="T22" i="14" s="1"/>
  <c r="U22" i="14" s="1"/>
  <c r="V22" i="14" s="1"/>
  <c r="W22" i="14" s="1"/>
  <c r="X22" i="14" s="1"/>
  <c r="Y22" i="14" s="1"/>
  <c r="Z22" i="14" s="1"/>
  <c r="AA22" i="14" s="1"/>
  <c r="AB22" i="14" s="1"/>
  <c r="AC22" i="14" s="1"/>
  <c r="AD22" i="14" s="1"/>
  <c r="AE22" i="14" s="1"/>
  <c r="AF22" i="14" s="1"/>
  <c r="AG22" i="14" s="1"/>
  <c r="AH22" i="14" s="1"/>
  <c r="AI22" i="14" s="1"/>
  <c r="AJ22" i="14" s="1"/>
  <c r="AK22" i="14" s="1"/>
  <c r="AL22" i="14" s="1"/>
  <c r="AM22" i="14" s="1"/>
  <c r="AN22" i="14" s="1"/>
  <c r="GG63" i="22"/>
  <c r="GD63" i="22"/>
  <c r="GA63" i="22"/>
  <c r="FX63" i="22"/>
  <c r="FU63" i="22"/>
  <c r="FR63" i="22"/>
  <c r="FO63" i="22"/>
  <c r="FL63" i="22"/>
  <c r="FI63" i="22"/>
  <c r="FF63" i="22"/>
  <c r="FC63" i="22"/>
  <c r="EZ63" i="22"/>
  <c r="EW63" i="22"/>
  <c r="ET63" i="22"/>
  <c r="EQ63" i="22"/>
  <c r="EN63" i="22"/>
  <c r="EK63" i="22"/>
  <c r="EH63" i="22"/>
  <c r="EE63" i="22"/>
  <c r="EB63" i="22"/>
  <c r="GP62" i="22"/>
  <c r="GM62" i="22"/>
  <c r="GJ62" i="22"/>
  <c r="GG62" i="22"/>
  <c r="GD62" i="22"/>
  <c r="GA62" i="22"/>
  <c r="FX62" i="22"/>
  <c r="FU62" i="22"/>
  <c r="FR62" i="22"/>
  <c r="FO62" i="22"/>
  <c r="FL62" i="22"/>
  <c r="FI62" i="22"/>
  <c r="FF62" i="22"/>
  <c r="FC62" i="22"/>
  <c r="EZ62" i="22"/>
  <c r="EW62" i="22"/>
  <c r="ET62" i="22"/>
  <c r="EQ62" i="22"/>
  <c r="EN62" i="22"/>
  <c r="EK62" i="22"/>
  <c r="EH62" i="22"/>
  <c r="EE62" i="22"/>
  <c r="EB62" i="22"/>
  <c r="GP61" i="22"/>
  <c r="GM61" i="22"/>
  <c r="GJ61" i="22"/>
  <c r="GG61" i="22"/>
  <c r="GD61" i="22"/>
  <c r="GA61" i="22"/>
  <c r="FX61" i="22"/>
  <c r="FU61" i="22"/>
  <c r="FR61" i="22"/>
  <c r="FO61" i="22"/>
  <c r="FL61" i="22"/>
  <c r="FI61" i="22"/>
  <c r="FF61" i="22"/>
  <c r="FC61" i="22"/>
  <c r="EZ61" i="22"/>
  <c r="EW61" i="22"/>
  <c r="ET61" i="22"/>
  <c r="EQ61" i="22"/>
  <c r="EN61" i="22"/>
  <c r="EK61" i="22"/>
  <c r="EH61" i="22"/>
  <c r="EE61" i="22"/>
  <c r="EB61" i="22"/>
  <c r="GP60" i="22"/>
  <c r="GM60" i="22"/>
  <c r="GJ60" i="22"/>
  <c r="GG60" i="22"/>
  <c r="GD60" i="22"/>
  <c r="GA60" i="22"/>
  <c r="FX60" i="22"/>
  <c r="FU60" i="22"/>
  <c r="FR60" i="22"/>
  <c r="FO60" i="22"/>
  <c r="FL60" i="22"/>
  <c r="FI60" i="22"/>
  <c r="FF60" i="22"/>
  <c r="FC60" i="22"/>
  <c r="EZ60" i="22"/>
  <c r="EW60" i="22"/>
  <c r="ET60" i="22"/>
  <c r="EQ60" i="22"/>
  <c r="EN60" i="22"/>
  <c r="EK60" i="22"/>
  <c r="EH60" i="22"/>
  <c r="EE60" i="22"/>
  <c r="EB60" i="22"/>
  <c r="GP59" i="22"/>
  <c r="GM59" i="22"/>
  <c r="GJ59" i="22"/>
  <c r="GG59" i="22"/>
  <c r="GD59" i="22"/>
  <c r="GA59" i="22"/>
  <c r="FX59" i="22"/>
  <c r="FU59" i="22"/>
  <c r="FR59" i="22"/>
  <c r="FO59" i="22"/>
  <c r="FL59" i="22"/>
  <c r="FI59" i="22"/>
  <c r="FF59" i="22"/>
  <c r="FC59" i="22"/>
  <c r="EZ59" i="22"/>
  <c r="EW59" i="22"/>
  <c r="ET59" i="22"/>
  <c r="EQ59" i="22"/>
  <c r="EN59" i="22"/>
  <c r="EK59" i="22"/>
  <c r="EH59" i="22"/>
  <c r="EE59" i="22"/>
  <c r="EB59" i="22"/>
  <c r="GP58" i="22"/>
  <c r="GM58" i="22"/>
  <c r="GJ58" i="22"/>
  <c r="GG58" i="22"/>
  <c r="GD58" i="22"/>
  <c r="GA58" i="22"/>
  <c r="FX58" i="22"/>
  <c r="FU58" i="22"/>
  <c r="FR58" i="22"/>
  <c r="FO58" i="22"/>
  <c r="FL58" i="22"/>
  <c r="FI58" i="22"/>
  <c r="FF58" i="22"/>
  <c r="FC58" i="22"/>
  <c r="EZ58" i="22"/>
  <c r="EW58" i="22"/>
  <c r="ET58" i="22"/>
  <c r="EQ58" i="22"/>
  <c r="EN58" i="22"/>
  <c r="EK58" i="22"/>
  <c r="EH58" i="22"/>
  <c r="EE58" i="22"/>
  <c r="EB58" i="22"/>
  <c r="GP57" i="22"/>
  <c r="GM57" i="22"/>
  <c r="GJ57" i="22"/>
  <c r="GG57" i="22"/>
  <c r="GD57" i="22"/>
  <c r="GA57" i="22"/>
  <c r="FX57" i="22"/>
  <c r="FU57" i="22"/>
  <c r="FR57" i="22"/>
  <c r="FO57" i="22"/>
  <c r="FL57" i="22"/>
  <c r="FI57" i="22"/>
  <c r="FF57" i="22"/>
  <c r="FC57" i="22"/>
  <c r="EZ57" i="22"/>
  <c r="EW57" i="22"/>
  <c r="ET57" i="22"/>
  <c r="EQ57" i="22"/>
  <c r="EN57" i="22"/>
  <c r="EK57" i="22"/>
  <c r="EH57" i="22"/>
  <c r="EE57" i="22"/>
  <c r="EB57" i="22"/>
  <c r="DY57" i="22"/>
  <c r="DV57" i="22"/>
  <c r="DS57" i="22"/>
  <c r="DP57" i="22"/>
  <c r="DM57" i="22"/>
  <c r="DJ57" i="22"/>
  <c r="DG57" i="22"/>
  <c r="GP56" i="22"/>
  <c r="GM56" i="22"/>
  <c r="GJ56" i="22"/>
  <c r="GG56" i="22"/>
  <c r="GD56" i="22"/>
  <c r="GA56" i="22"/>
  <c r="FX56" i="22"/>
  <c r="FU56" i="22"/>
  <c r="FR56" i="22"/>
  <c r="FO56" i="22"/>
  <c r="FL56" i="22"/>
  <c r="FI56" i="22"/>
  <c r="FF56" i="22"/>
  <c r="FC56" i="22"/>
  <c r="EZ56" i="22"/>
  <c r="EW56" i="22"/>
  <c r="ET56" i="22"/>
  <c r="EQ56" i="22"/>
  <c r="EN56" i="22"/>
  <c r="EK56" i="22"/>
  <c r="EH56" i="22"/>
  <c r="EE56" i="22"/>
  <c r="EB56" i="22"/>
  <c r="GP55" i="22"/>
  <c r="GM55" i="22"/>
  <c r="GJ55" i="22"/>
  <c r="GG55" i="22"/>
  <c r="GD55" i="22"/>
  <c r="GA55" i="22"/>
  <c r="FX55" i="22"/>
  <c r="FU55" i="22"/>
  <c r="FR55" i="22"/>
  <c r="FO55" i="22"/>
  <c r="FL55" i="22"/>
  <c r="FI55" i="22"/>
  <c r="FF55" i="22"/>
  <c r="FC55" i="22"/>
  <c r="EZ55" i="22"/>
  <c r="EW55" i="22"/>
  <c r="ET55" i="22"/>
  <c r="EQ55" i="22"/>
  <c r="EN55" i="22"/>
  <c r="EK55" i="22"/>
  <c r="EH55" i="22"/>
  <c r="EE55" i="22"/>
  <c r="EB55" i="22"/>
  <c r="GP54" i="22"/>
  <c r="GM54" i="22"/>
  <c r="GJ54" i="22"/>
  <c r="GG54" i="22"/>
  <c r="GD54" i="22"/>
  <c r="GA54" i="22"/>
  <c r="FX54" i="22"/>
  <c r="FU54" i="22"/>
  <c r="FR54" i="22"/>
  <c r="FO54" i="22"/>
  <c r="FL54" i="22"/>
  <c r="FI54" i="22"/>
  <c r="FF54" i="22"/>
  <c r="FC54" i="22"/>
  <c r="EZ54" i="22"/>
  <c r="EW54" i="22"/>
  <c r="ET54" i="22"/>
  <c r="EQ54" i="22"/>
  <c r="EN54" i="22"/>
  <c r="EK54" i="22"/>
  <c r="EH54" i="22"/>
  <c r="EE54" i="22"/>
  <c r="EB54" i="22"/>
  <c r="GP53" i="22"/>
  <c r="GM53" i="22"/>
  <c r="GJ53" i="22"/>
  <c r="GG53" i="22"/>
  <c r="GD53" i="22"/>
  <c r="GA53" i="22"/>
  <c r="FX53" i="22"/>
  <c r="FU53" i="22"/>
  <c r="FR53" i="22"/>
  <c r="FO53" i="22"/>
  <c r="FL53" i="22"/>
  <c r="FI53" i="22"/>
  <c r="FF53" i="22"/>
  <c r="FC53" i="22"/>
  <c r="EZ53" i="22"/>
  <c r="EW53" i="22"/>
  <c r="ET53" i="22"/>
  <c r="EQ53" i="22"/>
  <c r="EN53" i="22"/>
  <c r="EK53" i="22"/>
  <c r="EH53" i="22"/>
  <c r="EE53" i="22"/>
  <c r="EB53" i="22"/>
  <c r="GP52" i="22"/>
  <c r="GM52" i="22"/>
  <c r="GJ52" i="22"/>
  <c r="GG52" i="22"/>
  <c r="GD52" i="22"/>
  <c r="GA52" i="22"/>
  <c r="FX52" i="22"/>
  <c r="FU52" i="22"/>
  <c r="FR52" i="22"/>
  <c r="FO52" i="22"/>
  <c r="FL52" i="22"/>
  <c r="FI52" i="22"/>
  <c r="FF52" i="22"/>
  <c r="FC52" i="22"/>
  <c r="EZ52" i="22"/>
  <c r="EW52" i="22"/>
  <c r="ET52" i="22"/>
  <c r="EQ52" i="22"/>
  <c r="EN52" i="22"/>
  <c r="EK52" i="22"/>
  <c r="EH52" i="22"/>
  <c r="EE52" i="22"/>
  <c r="EB52" i="22"/>
  <c r="DY52" i="22"/>
  <c r="DV52" i="22"/>
  <c r="DS52" i="22"/>
  <c r="DP52" i="22"/>
  <c r="DM52" i="22"/>
  <c r="DJ52" i="22"/>
  <c r="DG52" i="22"/>
  <c r="GP51" i="22"/>
  <c r="GM51" i="22"/>
  <c r="GJ51" i="22"/>
  <c r="GG51" i="22"/>
  <c r="GD51" i="22"/>
  <c r="GA51" i="22"/>
  <c r="FX51" i="22"/>
  <c r="FU51" i="22"/>
  <c r="FR51" i="22"/>
  <c r="FO51" i="22"/>
  <c r="FL51" i="22"/>
  <c r="FI51" i="22"/>
  <c r="FF51" i="22"/>
  <c r="FC51" i="22"/>
  <c r="EZ51" i="22"/>
  <c r="EW51" i="22"/>
  <c r="ET51" i="22"/>
  <c r="EQ51" i="22"/>
  <c r="EN51" i="22"/>
  <c r="EK51" i="22"/>
  <c r="EH51" i="22"/>
  <c r="EE51" i="22"/>
  <c r="EB51" i="22"/>
  <c r="DY51" i="22"/>
  <c r="DV51" i="22"/>
  <c r="DS51" i="22"/>
  <c r="DP51" i="22"/>
  <c r="DM51" i="22"/>
  <c r="DJ51" i="22"/>
  <c r="DG51" i="22"/>
  <c r="GP50" i="22"/>
  <c r="GM50" i="22"/>
  <c r="GJ50" i="22"/>
  <c r="GG50" i="22"/>
  <c r="GD50" i="22"/>
  <c r="GA50" i="22"/>
  <c r="FX50" i="22"/>
  <c r="FU50" i="22"/>
  <c r="FR50" i="22"/>
  <c r="FO50" i="22"/>
  <c r="FL50" i="22"/>
  <c r="FI50" i="22"/>
  <c r="FF50" i="22"/>
  <c r="FC50" i="22"/>
  <c r="EZ50" i="22"/>
  <c r="EW50" i="22"/>
  <c r="ET50" i="22"/>
  <c r="EQ50" i="22"/>
  <c r="EN50" i="22"/>
  <c r="EK50" i="22"/>
  <c r="EH50" i="22"/>
  <c r="EE50" i="22"/>
  <c r="EB50" i="22"/>
  <c r="DY50" i="22"/>
  <c r="DV50" i="22"/>
  <c r="DS50" i="22"/>
  <c r="DP50" i="22"/>
  <c r="DM50" i="22"/>
  <c r="DJ50" i="22"/>
  <c r="DG50" i="22"/>
  <c r="GP49" i="22"/>
  <c r="GM49" i="22"/>
  <c r="GJ49" i="22"/>
  <c r="GG49" i="22"/>
  <c r="GD49" i="22"/>
  <c r="GA49" i="22"/>
  <c r="FX49" i="22"/>
  <c r="FU49" i="22"/>
  <c r="FR49" i="22"/>
  <c r="FO49" i="22"/>
  <c r="FL49" i="22"/>
  <c r="FI49" i="22"/>
  <c r="FF49" i="22"/>
  <c r="FC49" i="22"/>
  <c r="EZ49" i="22"/>
  <c r="EW49" i="22"/>
  <c r="ET49" i="22"/>
  <c r="EQ49" i="22"/>
  <c r="EN49" i="22"/>
  <c r="EK49" i="22"/>
  <c r="EH49" i="22"/>
  <c r="EE49" i="22"/>
  <c r="EB49" i="22"/>
  <c r="DY49" i="22"/>
  <c r="DV49" i="22"/>
  <c r="DS49" i="22"/>
  <c r="DP49" i="22"/>
  <c r="DM49" i="22"/>
  <c r="DJ49" i="22"/>
  <c r="DG49" i="22"/>
  <c r="GG48" i="22"/>
  <c r="GD48" i="22"/>
  <c r="GA48" i="22"/>
  <c r="FX48" i="22"/>
  <c r="FU48" i="22"/>
  <c r="FR48" i="22"/>
  <c r="FO48" i="22"/>
  <c r="FL48" i="22"/>
  <c r="FI48" i="22"/>
  <c r="FF48" i="22"/>
  <c r="FC48" i="22"/>
  <c r="EZ48" i="22"/>
  <c r="EW48" i="22"/>
  <c r="ET48" i="22"/>
  <c r="EQ48" i="22"/>
  <c r="EN48" i="22"/>
  <c r="EK48" i="22"/>
  <c r="EH48" i="22"/>
  <c r="EE48" i="22"/>
  <c r="EB48" i="22"/>
  <c r="DY48" i="22"/>
  <c r="DV48" i="22"/>
  <c r="DS48" i="22"/>
  <c r="DP48" i="22"/>
  <c r="DM48" i="22"/>
  <c r="DJ48" i="22"/>
  <c r="DG48" i="22"/>
  <c r="GG47" i="22"/>
  <c r="GD47" i="22"/>
  <c r="GA47" i="22"/>
  <c r="FX47" i="22"/>
  <c r="FU47" i="22"/>
  <c r="FR47" i="22"/>
  <c r="FO47" i="22"/>
  <c r="FL47" i="22"/>
  <c r="FI47" i="22"/>
  <c r="FF47" i="22"/>
  <c r="FC47" i="22"/>
  <c r="EZ47" i="22"/>
  <c r="EW47" i="22"/>
  <c r="ET47" i="22"/>
  <c r="EQ47" i="22"/>
  <c r="EN47" i="22"/>
  <c r="EK47" i="22"/>
  <c r="EH47" i="22"/>
  <c r="EE47" i="22"/>
  <c r="EB47" i="22"/>
  <c r="DY47" i="22"/>
  <c r="DV47" i="22"/>
  <c r="DS47" i="22"/>
  <c r="DP47" i="22"/>
  <c r="DM47" i="22"/>
  <c r="DJ47" i="22"/>
  <c r="DG47" i="22"/>
  <c r="GP46" i="22"/>
  <c r="GM46" i="22"/>
  <c r="GJ46" i="22"/>
  <c r="GG46" i="22"/>
  <c r="GD46" i="22"/>
  <c r="GA46" i="22"/>
  <c r="FX46" i="22"/>
  <c r="FU46" i="22"/>
  <c r="FR46" i="22"/>
  <c r="FO46" i="22"/>
  <c r="FL46" i="22"/>
  <c r="FI46" i="22"/>
  <c r="FF46" i="22"/>
  <c r="FC46" i="22"/>
  <c r="EZ46" i="22"/>
  <c r="EW46" i="22"/>
  <c r="ET46" i="22"/>
  <c r="EQ46" i="22"/>
  <c r="EN46" i="22"/>
  <c r="EK46" i="22"/>
  <c r="EH46" i="22"/>
  <c r="EE46" i="22"/>
  <c r="EB46" i="22"/>
  <c r="DY46" i="22"/>
  <c r="DV46" i="22"/>
  <c r="DS46" i="22"/>
  <c r="DP46" i="22"/>
  <c r="DM46" i="22"/>
  <c r="DJ46" i="22"/>
  <c r="DG46" i="22"/>
  <c r="GP45" i="22"/>
  <c r="GM45" i="22"/>
  <c r="GJ45" i="22"/>
  <c r="GG45" i="22"/>
  <c r="GD45" i="22"/>
  <c r="GA45" i="22"/>
  <c r="FX45" i="22"/>
  <c r="FU45" i="22"/>
  <c r="FR45" i="22"/>
  <c r="FO45" i="22"/>
  <c r="FL45" i="22"/>
  <c r="FI45" i="22"/>
  <c r="FF45" i="22"/>
  <c r="FC45" i="22"/>
  <c r="EZ45" i="22"/>
  <c r="EW45" i="22"/>
  <c r="ET45" i="22"/>
  <c r="EQ45" i="22"/>
  <c r="EN45" i="22"/>
  <c r="EK45" i="22"/>
  <c r="EH45" i="22"/>
  <c r="EE45" i="22"/>
  <c r="EB45" i="22"/>
  <c r="DY45" i="22"/>
  <c r="DV45" i="22"/>
  <c r="DS45" i="22"/>
  <c r="DP45" i="22"/>
  <c r="DM45" i="22"/>
  <c r="DJ45" i="22"/>
  <c r="DG45" i="22"/>
  <c r="GP44" i="22"/>
  <c r="GM44" i="22"/>
  <c r="GJ44" i="22"/>
  <c r="GG44" i="22"/>
  <c r="GD44" i="22"/>
  <c r="GA44" i="22"/>
  <c r="FX44" i="22"/>
  <c r="FU44" i="22"/>
  <c r="FR44" i="22"/>
  <c r="FO44" i="22"/>
  <c r="FL44" i="22"/>
  <c r="FI44" i="22"/>
  <c r="FF44" i="22"/>
  <c r="FC44" i="22"/>
  <c r="EZ44" i="22"/>
  <c r="EW44" i="22"/>
  <c r="ET44" i="22"/>
  <c r="EQ44" i="22"/>
  <c r="EN44" i="22"/>
  <c r="EK44" i="22"/>
  <c r="EH44" i="22"/>
  <c r="EE44" i="22"/>
  <c r="EB44" i="22"/>
  <c r="DY44" i="22"/>
  <c r="DV44" i="22"/>
  <c r="DS44" i="22"/>
  <c r="DP44" i="22"/>
  <c r="DM44" i="22"/>
  <c r="DJ44" i="22"/>
  <c r="DG44" i="22"/>
  <c r="GP43" i="22"/>
  <c r="GM43" i="22"/>
  <c r="GJ43" i="22"/>
  <c r="GG43" i="22"/>
  <c r="GD43" i="22"/>
  <c r="GA43" i="22"/>
  <c r="FX43" i="22"/>
  <c r="FU43" i="22"/>
  <c r="FR43" i="22"/>
  <c r="FO43" i="22"/>
  <c r="FL43" i="22"/>
  <c r="FI43" i="22"/>
  <c r="FF43" i="22"/>
  <c r="FC43" i="22"/>
  <c r="EZ43" i="22"/>
  <c r="EW43" i="22"/>
  <c r="ET43" i="22"/>
  <c r="EQ43" i="22"/>
  <c r="EN43" i="22"/>
  <c r="EK43" i="22"/>
  <c r="EH43" i="22"/>
  <c r="EE43" i="22"/>
  <c r="EB43" i="22"/>
  <c r="DY43" i="22"/>
  <c r="DV43" i="22"/>
  <c r="DS43" i="22"/>
  <c r="DP43" i="22"/>
  <c r="DM43" i="22"/>
  <c r="DJ43" i="22"/>
  <c r="DG43" i="22"/>
  <c r="GP42" i="22"/>
  <c r="GM42" i="22"/>
  <c r="GJ42" i="22"/>
  <c r="GG42" i="22"/>
  <c r="GD42" i="22"/>
  <c r="GA42" i="22"/>
  <c r="FX42" i="22"/>
  <c r="FU42" i="22"/>
  <c r="FR42" i="22"/>
  <c r="FO42" i="22"/>
  <c r="FL42" i="22"/>
  <c r="FI42" i="22"/>
  <c r="FF42" i="22"/>
  <c r="FC42" i="22"/>
  <c r="EZ42" i="22"/>
  <c r="EW42" i="22"/>
  <c r="ET42" i="22"/>
  <c r="EQ42" i="22"/>
  <c r="EN42" i="22"/>
  <c r="EK42" i="22"/>
  <c r="EH42" i="22"/>
  <c r="EE42" i="22"/>
  <c r="EB42" i="22"/>
  <c r="DY42" i="22"/>
  <c r="DV42" i="22"/>
  <c r="DS42" i="22"/>
  <c r="DP42" i="22"/>
  <c r="DM42" i="22"/>
  <c r="DJ42" i="22"/>
  <c r="DG42" i="22"/>
  <c r="GP41" i="22"/>
  <c r="GM41" i="22"/>
  <c r="GJ41" i="22"/>
  <c r="GG41" i="22"/>
  <c r="GD41" i="22"/>
  <c r="GA41" i="22"/>
  <c r="FX41" i="22"/>
  <c r="FU41" i="22"/>
  <c r="FR41" i="22"/>
  <c r="FO41" i="22"/>
  <c r="FL41" i="22"/>
  <c r="FI41" i="22"/>
  <c r="FF41" i="22"/>
  <c r="FC41" i="22"/>
  <c r="EZ41" i="22"/>
  <c r="EW41" i="22"/>
  <c r="ET41" i="22"/>
  <c r="EQ41" i="22"/>
  <c r="EN41" i="22"/>
  <c r="EK41" i="22"/>
  <c r="EH41" i="22"/>
  <c r="EE41" i="22"/>
  <c r="EB41" i="22"/>
  <c r="GP40" i="22"/>
  <c r="GM40" i="22"/>
  <c r="GJ40" i="22"/>
  <c r="GG40" i="22"/>
  <c r="GD40" i="22"/>
  <c r="GA40" i="22"/>
  <c r="FX40" i="22"/>
  <c r="FU40" i="22"/>
  <c r="FR40" i="22"/>
  <c r="FO40" i="22"/>
  <c r="FL40" i="22"/>
  <c r="FI40" i="22"/>
  <c r="FF40" i="22"/>
  <c r="FC40" i="22"/>
  <c r="EZ40" i="22"/>
  <c r="EW40" i="22"/>
  <c r="ET40" i="22"/>
  <c r="EQ40" i="22"/>
  <c r="EN40" i="22"/>
  <c r="EK40" i="22"/>
  <c r="EH40" i="22"/>
  <c r="EE40" i="22"/>
  <c r="EB40" i="22"/>
  <c r="DY40" i="22"/>
  <c r="DV40" i="22"/>
  <c r="DS40" i="22"/>
  <c r="DP40" i="22"/>
  <c r="DM40" i="22"/>
  <c r="DJ40" i="22"/>
  <c r="DG40" i="22"/>
  <c r="GG39" i="22"/>
  <c r="GD39" i="22"/>
  <c r="GA39" i="22"/>
  <c r="FX39" i="22"/>
  <c r="FU39" i="22"/>
  <c r="FR39" i="22"/>
  <c r="FO39" i="22"/>
  <c r="FL39" i="22"/>
  <c r="FI39" i="22"/>
  <c r="FF39" i="22"/>
  <c r="FC39" i="22"/>
  <c r="EZ39" i="22"/>
  <c r="EW39" i="22"/>
  <c r="ET39" i="22"/>
  <c r="EQ39" i="22"/>
  <c r="EN39" i="22"/>
  <c r="EK39" i="22"/>
  <c r="EH39" i="22"/>
  <c r="EE39" i="22"/>
  <c r="EB39" i="22"/>
  <c r="DY39" i="22"/>
  <c r="DV39" i="22"/>
  <c r="DS39" i="22"/>
  <c r="DP39" i="22"/>
  <c r="DM39" i="22"/>
  <c r="DJ39" i="22"/>
  <c r="DG39" i="22"/>
  <c r="GG38" i="22"/>
  <c r="GD38" i="22"/>
  <c r="GA38" i="22"/>
  <c r="FX38" i="22"/>
  <c r="FU38" i="22"/>
  <c r="FR38" i="22"/>
  <c r="FO38" i="22"/>
  <c r="FL38" i="22"/>
  <c r="FI38" i="22"/>
  <c r="FF38" i="22"/>
  <c r="FC38" i="22"/>
  <c r="EZ38" i="22"/>
  <c r="EW38" i="22"/>
  <c r="ET38" i="22"/>
  <c r="EQ38" i="22"/>
  <c r="EN38" i="22"/>
  <c r="EK38" i="22"/>
  <c r="EH38" i="22"/>
  <c r="EE38" i="22"/>
  <c r="EB38" i="22"/>
  <c r="DY38" i="22"/>
  <c r="DV38" i="22"/>
  <c r="DS38" i="22"/>
  <c r="DP38" i="22"/>
  <c r="DM38" i="22"/>
  <c r="DJ38" i="22"/>
  <c r="DG38" i="22"/>
  <c r="GP37" i="22"/>
  <c r="GM37" i="22"/>
  <c r="GJ37" i="22"/>
  <c r="GG37" i="22"/>
  <c r="GD37" i="22"/>
  <c r="GA37" i="22"/>
  <c r="FX37" i="22"/>
  <c r="FU37" i="22"/>
  <c r="FR37" i="22"/>
  <c r="FO37" i="22"/>
  <c r="FL37" i="22"/>
  <c r="FI37" i="22"/>
  <c r="FF37" i="22"/>
  <c r="FC37" i="22"/>
  <c r="EZ37" i="22"/>
  <c r="EW37" i="22"/>
  <c r="ET37" i="22"/>
  <c r="EQ37" i="22"/>
  <c r="EN37" i="22"/>
  <c r="EK37" i="22"/>
  <c r="EH37" i="22"/>
  <c r="EE37" i="22"/>
  <c r="EB37" i="22"/>
  <c r="DY37" i="22"/>
  <c r="DV37" i="22"/>
  <c r="DS37" i="22"/>
  <c r="DP37" i="22"/>
  <c r="DM37" i="22"/>
  <c r="DJ37" i="22"/>
  <c r="DG37" i="22"/>
  <c r="GP36" i="22"/>
  <c r="GM36" i="22"/>
  <c r="GJ36" i="22"/>
  <c r="GG36" i="22"/>
  <c r="GD36" i="22"/>
  <c r="GA36" i="22"/>
  <c r="FX36" i="22"/>
  <c r="FU36" i="22"/>
  <c r="FR36" i="22"/>
  <c r="FO36" i="22"/>
  <c r="FL36" i="22"/>
  <c r="FI36" i="22"/>
  <c r="FF36" i="22"/>
  <c r="FC36" i="22"/>
  <c r="EZ36" i="22"/>
  <c r="EW36" i="22"/>
  <c r="ET36" i="22"/>
  <c r="EQ36" i="22"/>
  <c r="EN36" i="22"/>
  <c r="EK36" i="22"/>
  <c r="EH36" i="22"/>
  <c r="EE36" i="22"/>
  <c r="EB36" i="22"/>
  <c r="DY36" i="22"/>
  <c r="DV36" i="22"/>
  <c r="DS36" i="22"/>
  <c r="DP36" i="22"/>
  <c r="DM36" i="22"/>
  <c r="DJ36" i="22"/>
  <c r="DG36" i="22"/>
  <c r="GP35" i="22"/>
  <c r="GM35" i="22"/>
  <c r="GJ35" i="22"/>
  <c r="GG35" i="22"/>
  <c r="GD35" i="22"/>
  <c r="GA35" i="22"/>
  <c r="FX35" i="22"/>
  <c r="FU35" i="22"/>
  <c r="FR35" i="22"/>
  <c r="FO35" i="22"/>
  <c r="FL35" i="22"/>
  <c r="FI35" i="22"/>
  <c r="FF35" i="22"/>
  <c r="FC35" i="22"/>
  <c r="EZ35" i="22"/>
  <c r="EW35" i="22"/>
  <c r="ET35" i="22"/>
  <c r="EQ35" i="22"/>
  <c r="EN35" i="22"/>
  <c r="EK35" i="22"/>
  <c r="EH35" i="22"/>
  <c r="EE35" i="22"/>
  <c r="EB35" i="22"/>
  <c r="DY35" i="22"/>
  <c r="DV35" i="22"/>
  <c r="DS35" i="22"/>
  <c r="DP35" i="22"/>
  <c r="DM35" i="22"/>
  <c r="DJ35" i="22"/>
  <c r="DG35" i="22"/>
  <c r="GG34" i="22"/>
  <c r="GD34" i="22"/>
  <c r="GA34" i="22"/>
  <c r="FX34" i="22"/>
  <c r="FU34" i="22"/>
  <c r="FR34" i="22"/>
  <c r="FO34" i="22"/>
  <c r="FL34" i="22"/>
  <c r="FI34" i="22"/>
  <c r="FF34" i="22"/>
  <c r="FC34" i="22"/>
  <c r="EZ34" i="22"/>
  <c r="EW34" i="22"/>
  <c r="ET34" i="22"/>
  <c r="EQ34" i="22"/>
  <c r="EN34" i="22"/>
  <c r="EK34" i="22"/>
  <c r="EH34" i="22"/>
  <c r="EE34" i="22"/>
  <c r="EB34" i="22"/>
  <c r="GG33" i="22"/>
  <c r="GD33" i="22"/>
  <c r="GA33" i="22"/>
  <c r="FX33" i="22"/>
  <c r="FU33" i="22"/>
  <c r="FR33" i="22"/>
  <c r="FO33" i="22"/>
  <c r="FL33" i="22"/>
  <c r="FI33" i="22"/>
  <c r="FF33" i="22"/>
  <c r="FC33" i="22"/>
  <c r="EZ33" i="22"/>
  <c r="EW33" i="22"/>
  <c r="ET33" i="22"/>
  <c r="EQ33" i="22"/>
  <c r="EN33" i="22"/>
  <c r="EK33" i="22"/>
  <c r="EH33" i="22"/>
  <c r="EE33" i="22"/>
  <c r="EB33" i="22"/>
  <c r="DY33" i="22"/>
  <c r="DV33" i="22"/>
  <c r="DS33" i="22"/>
  <c r="DP33" i="22"/>
  <c r="DM33" i="22"/>
  <c r="DJ33" i="22"/>
  <c r="DG33" i="22"/>
  <c r="GP32" i="22"/>
  <c r="GM32" i="22"/>
  <c r="GJ32" i="22"/>
  <c r="GG32" i="22"/>
  <c r="GD32" i="22"/>
  <c r="GA32" i="22"/>
  <c r="FX32" i="22"/>
  <c r="FU32" i="22"/>
  <c r="FR32" i="22"/>
  <c r="FO32" i="22"/>
  <c r="FL32" i="22"/>
  <c r="FI32" i="22"/>
  <c r="FF32" i="22"/>
  <c r="FC32" i="22"/>
  <c r="EZ32" i="22"/>
  <c r="EW32" i="22"/>
  <c r="ET32" i="22"/>
  <c r="EQ32" i="22"/>
  <c r="EN32" i="22"/>
  <c r="EK32" i="22"/>
  <c r="EH32" i="22"/>
  <c r="EE32" i="22"/>
  <c r="EB32" i="22"/>
  <c r="DY32" i="22"/>
  <c r="DV32" i="22"/>
  <c r="DS32" i="22"/>
  <c r="DP32" i="22"/>
  <c r="DM32" i="22"/>
  <c r="DJ32" i="22"/>
  <c r="DG32" i="22"/>
  <c r="GP31" i="22"/>
  <c r="GM31" i="22"/>
  <c r="GJ31" i="22"/>
  <c r="GG31" i="22"/>
  <c r="GD31" i="22"/>
  <c r="GA31" i="22"/>
  <c r="FX31" i="22"/>
  <c r="FU31" i="22"/>
  <c r="FR31" i="22"/>
  <c r="FO31" i="22"/>
  <c r="FL31" i="22"/>
  <c r="FI31" i="22"/>
  <c r="FF31" i="22"/>
  <c r="FC31" i="22"/>
  <c r="EZ31" i="22"/>
  <c r="EW31" i="22"/>
  <c r="ET31" i="22"/>
  <c r="EQ31" i="22"/>
  <c r="EN31" i="22"/>
  <c r="EK31" i="22"/>
  <c r="EH31" i="22"/>
  <c r="EE31" i="22"/>
  <c r="EB31" i="22"/>
  <c r="DY31" i="22"/>
  <c r="DV31" i="22"/>
  <c r="DS31" i="22"/>
  <c r="DP31" i="22"/>
  <c r="DM31" i="22"/>
  <c r="DJ31" i="22"/>
  <c r="DG31" i="22"/>
  <c r="GP30" i="22"/>
  <c r="GM30" i="22"/>
  <c r="GJ30" i="22"/>
  <c r="GG30" i="22"/>
  <c r="GD30" i="22"/>
  <c r="GA30" i="22"/>
  <c r="FX30" i="22"/>
  <c r="FU30" i="22"/>
  <c r="FR30" i="22"/>
  <c r="FO30" i="22"/>
  <c r="FL30" i="22"/>
  <c r="FI30" i="22"/>
  <c r="FF30" i="22"/>
  <c r="FC30" i="22"/>
  <c r="EZ30" i="22"/>
  <c r="EW30" i="22"/>
  <c r="ET30" i="22"/>
  <c r="EQ30" i="22"/>
  <c r="EN30" i="22"/>
  <c r="EK30" i="22"/>
  <c r="EH30" i="22"/>
  <c r="EE30" i="22"/>
  <c r="EB30" i="22"/>
  <c r="DY30" i="22"/>
  <c r="DV30" i="22"/>
  <c r="DS30" i="22"/>
  <c r="DP30" i="22"/>
  <c r="DM30" i="22"/>
  <c r="DJ30" i="22"/>
  <c r="DG30" i="22"/>
  <c r="GP29" i="22"/>
  <c r="GM29" i="22"/>
  <c r="GJ29" i="22"/>
  <c r="GG29" i="22"/>
  <c r="GD29" i="22"/>
  <c r="GA29" i="22"/>
  <c r="FX29" i="22"/>
  <c r="FU29" i="22"/>
  <c r="FR29" i="22"/>
  <c r="FO29" i="22"/>
  <c r="FL29" i="22"/>
  <c r="FI29" i="22"/>
  <c r="FF29" i="22"/>
  <c r="FC29" i="22"/>
  <c r="EZ29" i="22"/>
  <c r="EW29" i="22"/>
  <c r="ET29" i="22"/>
  <c r="EQ29" i="22"/>
  <c r="EN29" i="22"/>
  <c r="EK29" i="22"/>
  <c r="EH29" i="22"/>
  <c r="EE29" i="22"/>
  <c r="EB29" i="22"/>
  <c r="DY29" i="22"/>
  <c r="DV29" i="22"/>
  <c r="DS29" i="22"/>
  <c r="DP29" i="22"/>
  <c r="DM29" i="22"/>
  <c r="DJ29" i="22"/>
  <c r="DG29" i="22"/>
  <c r="GG28" i="22"/>
  <c r="GD28" i="22"/>
  <c r="GA28" i="22"/>
  <c r="FX28" i="22"/>
  <c r="FU28" i="22"/>
  <c r="FR28" i="22"/>
  <c r="FO28" i="22"/>
  <c r="FL28" i="22"/>
  <c r="FI28" i="22"/>
  <c r="FF28" i="22"/>
  <c r="FC28" i="22"/>
  <c r="EZ28" i="22"/>
  <c r="EW28" i="22"/>
  <c r="ET28" i="22"/>
  <c r="EQ28" i="22"/>
  <c r="EN28" i="22"/>
  <c r="EK28" i="22"/>
  <c r="EH28" i="22"/>
  <c r="EE28" i="22"/>
  <c r="EB28" i="22"/>
  <c r="DY28" i="22"/>
  <c r="DV28" i="22"/>
  <c r="DS28" i="22"/>
  <c r="DP28" i="22"/>
  <c r="DM28" i="22"/>
  <c r="DJ28" i="22"/>
  <c r="DG28" i="22"/>
  <c r="GG27" i="22"/>
  <c r="GD27" i="22"/>
  <c r="GA27" i="22"/>
  <c r="FX27" i="22"/>
  <c r="FU27" i="22"/>
  <c r="FR27" i="22"/>
  <c r="FO27" i="22"/>
  <c r="FL27" i="22"/>
  <c r="FI27" i="22"/>
  <c r="FF27" i="22"/>
  <c r="FC27" i="22"/>
  <c r="EZ27" i="22"/>
  <c r="EW27" i="22"/>
  <c r="ET27" i="22"/>
  <c r="EQ27" i="22"/>
  <c r="EN27" i="22"/>
  <c r="EK27" i="22"/>
  <c r="EH27" i="22"/>
  <c r="EE27" i="22"/>
  <c r="EB27" i="22"/>
  <c r="DY27" i="22"/>
  <c r="DV27" i="22"/>
  <c r="DS27" i="22"/>
  <c r="DP27" i="22"/>
  <c r="DM27" i="22"/>
  <c r="DJ27" i="22"/>
  <c r="DG27" i="22"/>
  <c r="GP26" i="22"/>
  <c r="GM26" i="22"/>
  <c r="GJ26" i="22"/>
  <c r="GG26" i="22"/>
  <c r="GD26" i="22"/>
  <c r="GA26" i="22"/>
  <c r="FX26" i="22"/>
  <c r="FU26" i="22"/>
  <c r="FR26" i="22"/>
  <c r="FO26" i="22"/>
  <c r="FL26" i="22"/>
  <c r="FI26" i="22"/>
  <c r="FF26" i="22"/>
  <c r="FC26" i="22"/>
  <c r="EZ26" i="22"/>
  <c r="EW26" i="22"/>
  <c r="ET26" i="22"/>
  <c r="EQ26" i="22"/>
  <c r="EN26" i="22"/>
  <c r="EK26" i="22"/>
  <c r="EH26" i="22"/>
  <c r="EE26" i="22"/>
  <c r="EB26" i="22"/>
  <c r="DY26" i="22"/>
  <c r="DV26" i="22"/>
  <c r="DS26" i="22"/>
  <c r="DP26" i="22"/>
  <c r="DM26" i="22"/>
  <c r="DJ26" i="22"/>
  <c r="DG26" i="22"/>
  <c r="GP25" i="22"/>
  <c r="GM25" i="22"/>
  <c r="GJ25" i="22"/>
  <c r="GG25" i="22"/>
  <c r="GD25" i="22"/>
  <c r="GA25" i="22"/>
  <c r="FX25" i="22"/>
  <c r="FU25" i="22"/>
  <c r="FR25" i="22"/>
  <c r="FO25" i="22"/>
  <c r="FL25" i="22"/>
  <c r="FI25" i="22"/>
  <c r="FF25" i="22"/>
  <c r="FC25" i="22"/>
  <c r="EZ25" i="22"/>
  <c r="EW25" i="22"/>
  <c r="ET25" i="22"/>
  <c r="EQ25" i="22"/>
  <c r="EN25" i="22"/>
  <c r="EK25" i="22"/>
  <c r="EH25" i="22"/>
  <c r="EE25" i="22"/>
  <c r="EB25" i="22"/>
  <c r="DY25" i="22"/>
  <c r="DV25" i="22"/>
  <c r="DS25" i="22"/>
  <c r="DP25" i="22"/>
  <c r="DM25" i="22"/>
  <c r="DJ25" i="22"/>
  <c r="DG25" i="22"/>
  <c r="GP24" i="22"/>
  <c r="GM24" i="22"/>
  <c r="GJ24" i="22"/>
  <c r="GG24" i="22"/>
  <c r="GD24" i="22"/>
  <c r="GA24" i="22"/>
  <c r="FX24" i="22"/>
  <c r="FU24" i="22"/>
  <c r="FR24" i="22"/>
  <c r="FO24" i="22"/>
  <c r="FL24" i="22"/>
  <c r="FI24" i="22"/>
  <c r="FF24" i="22"/>
  <c r="FC24" i="22"/>
  <c r="EZ24" i="22"/>
  <c r="EW24" i="22"/>
  <c r="ET24" i="22"/>
  <c r="EQ24" i="22"/>
  <c r="EN24" i="22"/>
  <c r="EK24" i="22"/>
  <c r="EH24" i="22"/>
  <c r="EE24" i="22"/>
  <c r="EB24" i="22"/>
  <c r="DY24" i="22"/>
  <c r="DV24" i="22"/>
  <c r="DS24" i="22"/>
  <c r="DP24" i="22"/>
  <c r="DM24" i="22"/>
  <c r="DJ24" i="22"/>
  <c r="DG24" i="22"/>
  <c r="GG23" i="22"/>
  <c r="GD23" i="22"/>
  <c r="GA23" i="22"/>
  <c r="FX23" i="22"/>
  <c r="FU23" i="22"/>
  <c r="FR23" i="22"/>
  <c r="FO23" i="22"/>
  <c r="FL23" i="22"/>
  <c r="FI23" i="22"/>
  <c r="FF23" i="22"/>
  <c r="FC23" i="22"/>
  <c r="EZ23" i="22"/>
  <c r="EW23" i="22"/>
  <c r="ET23" i="22"/>
  <c r="EQ23" i="22"/>
  <c r="EN23" i="22"/>
  <c r="EK23" i="22"/>
  <c r="EH23" i="22"/>
  <c r="EE23" i="22"/>
  <c r="EB23" i="22"/>
  <c r="DY23" i="22"/>
  <c r="DV23" i="22"/>
  <c r="DS23" i="22"/>
  <c r="DP23" i="22"/>
  <c r="DM23" i="22"/>
  <c r="DJ23" i="22"/>
  <c r="DG23" i="22"/>
  <c r="GG22" i="22"/>
  <c r="GD22" i="22"/>
  <c r="GA22" i="22"/>
  <c r="FX22" i="22"/>
  <c r="FU22" i="22"/>
  <c r="FR22" i="22"/>
  <c r="FO22" i="22"/>
  <c r="FL22" i="22"/>
  <c r="FI22" i="22"/>
  <c r="FF22" i="22"/>
  <c r="FC22" i="22"/>
  <c r="EZ22" i="22"/>
  <c r="EW22" i="22"/>
  <c r="ET22" i="22"/>
  <c r="EQ22" i="22"/>
  <c r="EN22" i="22"/>
  <c r="EK22" i="22"/>
  <c r="EH22" i="22"/>
  <c r="EE22" i="22"/>
  <c r="EB22" i="22"/>
  <c r="DY22" i="22"/>
  <c r="DV22" i="22"/>
  <c r="DS22" i="22"/>
  <c r="DP22" i="22"/>
  <c r="DM22" i="22"/>
  <c r="DJ22" i="22"/>
  <c r="DG22" i="22"/>
  <c r="GP21" i="22"/>
  <c r="GM21" i="22"/>
  <c r="GJ21" i="22"/>
  <c r="GG21" i="22"/>
  <c r="GD21" i="22"/>
  <c r="GA21" i="22"/>
  <c r="FX21" i="22"/>
  <c r="FU21" i="22"/>
  <c r="FR21" i="22"/>
  <c r="FO21" i="22"/>
  <c r="FL21" i="22"/>
  <c r="FI21" i="22"/>
  <c r="FF21" i="22"/>
  <c r="FC21" i="22"/>
  <c r="EZ21" i="22"/>
  <c r="EW21" i="22"/>
  <c r="ET21" i="22"/>
  <c r="EQ21" i="22"/>
  <c r="EN21" i="22"/>
  <c r="EK21" i="22"/>
  <c r="EH21" i="22"/>
  <c r="EE21" i="22"/>
  <c r="EB21" i="22"/>
  <c r="DY21" i="22"/>
  <c r="DV21" i="22"/>
  <c r="DS21" i="22"/>
  <c r="DP21" i="22"/>
  <c r="DM21" i="22"/>
  <c r="DJ21" i="22"/>
  <c r="DG21" i="22"/>
  <c r="GP20" i="22"/>
  <c r="GM20" i="22"/>
  <c r="GJ20" i="22"/>
  <c r="GG20" i="22"/>
  <c r="GD20" i="22"/>
  <c r="GA20" i="22"/>
  <c r="FX20" i="22"/>
  <c r="FU20" i="22"/>
  <c r="FR20" i="22"/>
  <c r="FO20" i="22"/>
  <c r="FL20" i="22"/>
  <c r="FI20" i="22"/>
  <c r="FF20" i="22"/>
  <c r="FC20" i="22"/>
  <c r="EZ20" i="22"/>
  <c r="EW20" i="22"/>
  <c r="ET20" i="22"/>
  <c r="EQ20" i="22"/>
  <c r="EN20" i="22"/>
  <c r="EK20" i="22"/>
  <c r="EH20" i="22"/>
  <c r="EE20" i="22"/>
  <c r="EB20" i="22"/>
  <c r="DY20" i="22"/>
  <c r="DV20" i="22"/>
  <c r="DS20" i="22"/>
  <c r="DP20" i="22"/>
  <c r="DM20" i="22"/>
  <c r="DJ20" i="22"/>
  <c r="DG20" i="22"/>
  <c r="GP19" i="22"/>
  <c r="GM19" i="22"/>
  <c r="GJ19" i="22"/>
  <c r="GG19" i="22"/>
  <c r="GD19" i="22"/>
  <c r="GA19" i="22"/>
  <c r="FX19" i="22"/>
  <c r="FU19" i="22"/>
  <c r="FR19" i="22"/>
  <c r="FO19" i="22"/>
  <c r="FL19" i="22"/>
  <c r="FI19" i="22"/>
  <c r="FF19" i="22"/>
  <c r="FC19" i="22"/>
  <c r="EZ19" i="22"/>
  <c r="EW19" i="22"/>
  <c r="ET19" i="22"/>
  <c r="EQ19" i="22"/>
  <c r="EN19" i="22"/>
  <c r="EK19" i="22"/>
  <c r="EH19" i="22"/>
  <c r="EE19" i="22"/>
  <c r="EB19" i="22"/>
  <c r="DY19" i="22"/>
  <c r="DV19" i="22"/>
  <c r="DS19" i="22"/>
  <c r="DP19" i="22"/>
  <c r="DM19" i="22"/>
  <c r="DJ19" i="22"/>
  <c r="DG19" i="22"/>
  <c r="GP18" i="22"/>
  <c r="GM18" i="22"/>
  <c r="GJ18" i="22"/>
  <c r="GG18" i="22"/>
  <c r="GD18" i="22"/>
  <c r="GA18" i="22"/>
  <c r="FX18" i="22"/>
  <c r="FU18" i="22"/>
  <c r="FR18" i="22"/>
  <c r="FO18" i="22"/>
  <c r="FL18" i="22"/>
  <c r="FI18" i="22"/>
  <c r="FF18" i="22"/>
  <c r="FC18" i="22"/>
  <c r="EZ18" i="22"/>
  <c r="EW18" i="22"/>
  <c r="ET18" i="22"/>
  <c r="EQ18" i="22"/>
  <c r="EN18" i="22"/>
  <c r="EK18" i="22"/>
  <c r="EH18" i="22"/>
  <c r="EE18" i="22"/>
  <c r="EB18" i="22"/>
  <c r="DY18" i="22"/>
  <c r="DV18" i="22"/>
  <c r="DS18" i="22"/>
  <c r="DP18" i="22"/>
  <c r="DM18" i="22"/>
  <c r="DJ18" i="22"/>
  <c r="DG18" i="22"/>
  <c r="GG17" i="22"/>
  <c r="GD17" i="22"/>
  <c r="GA17" i="22"/>
  <c r="FX17" i="22"/>
  <c r="FU17" i="22"/>
  <c r="FR17" i="22"/>
  <c r="FO17" i="22"/>
  <c r="FL17" i="22"/>
  <c r="FI17" i="22"/>
  <c r="FF17" i="22"/>
  <c r="FC17" i="22"/>
  <c r="EZ17" i="22"/>
  <c r="EW17" i="22"/>
  <c r="ET17" i="22"/>
  <c r="EQ17" i="22"/>
  <c r="EN17" i="22"/>
  <c r="EK17" i="22"/>
  <c r="EH17" i="22"/>
  <c r="EE17" i="22"/>
  <c r="EB17" i="22"/>
  <c r="DY17" i="22"/>
  <c r="DV17" i="22"/>
  <c r="DS17" i="22"/>
  <c r="DP17" i="22"/>
  <c r="DM17" i="22"/>
  <c r="DJ17" i="22"/>
  <c r="DG17" i="22"/>
  <c r="GP16" i="22"/>
  <c r="GM16" i="22"/>
  <c r="GJ16" i="22"/>
  <c r="GG16" i="22"/>
  <c r="GD16" i="22"/>
  <c r="GA16" i="22"/>
  <c r="FX16" i="22"/>
  <c r="FU16" i="22"/>
  <c r="FR16" i="22"/>
  <c r="FO16" i="22"/>
  <c r="FL16" i="22"/>
  <c r="FI16" i="22"/>
  <c r="FF16" i="22"/>
  <c r="FC16" i="22"/>
  <c r="EZ16" i="22"/>
  <c r="EW16" i="22"/>
  <c r="ET16" i="22"/>
  <c r="EQ16" i="22"/>
  <c r="EN16" i="22"/>
  <c r="EK16" i="22"/>
  <c r="EH16" i="22"/>
  <c r="EE16" i="22"/>
  <c r="EB16" i="22"/>
  <c r="DY16" i="22"/>
  <c r="DV16" i="22"/>
  <c r="DS16" i="22"/>
  <c r="DP16" i="22"/>
  <c r="DM16" i="22"/>
  <c r="DJ16" i="22"/>
  <c r="DG16" i="22"/>
  <c r="GP15" i="22"/>
  <c r="GM15" i="22"/>
  <c r="GJ15" i="22"/>
  <c r="GG15" i="22"/>
  <c r="GD15" i="22"/>
  <c r="GA15" i="22"/>
  <c r="FX15" i="22"/>
  <c r="FU15" i="22"/>
  <c r="FR15" i="22"/>
  <c r="FO15" i="22"/>
  <c r="FL15" i="22"/>
  <c r="FI15" i="22"/>
  <c r="FF15" i="22"/>
  <c r="FC15" i="22"/>
  <c r="EZ15" i="22"/>
  <c r="EW15" i="22"/>
  <c r="ET15" i="22"/>
  <c r="EQ15" i="22"/>
  <c r="EN15" i="22"/>
  <c r="EK15" i="22"/>
  <c r="EH15" i="22"/>
  <c r="EE15" i="22"/>
  <c r="EB15" i="22"/>
  <c r="DY15" i="22"/>
  <c r="DV15" i="22"/>
  <c r="DS15" i="22"/>
  <c r="DP15" i="22"/>
  <c r="DM15" i="22"/>
  <c r="DJ15" i="22"/>
  <c r="DG15" i="22"/>
  <c r="GP14" i="22"/>
  <c r="GM14" i="22"/>
  <c r="GJ14" i="22"/>
  <c r="GG14" i="22"/>
  <c r="GD14" i="22"/>
  <c r="GA14" i="22"/>
  <c r="FX14" i="22"/>
  <c r="FU14" i="22"/>
  <c r="FR14" i="22"/>
  <c r="FO14" i="22"/>
  <c r="FL14" i="22"/>
  <c r="FI14" i="22"/>
  <c r="FF14" i="22"/>
  <c r="FC14" i="22"/>
  <c r="EZ14" i="22"/>
  <c r="EW14" i="22"/>
  <c r="ET14" i="22"/>
  <c r="EQ14" i="22"/>
  <c r="EN14" i="22"/>
  <c r="EK14" i="22"/>
  <c r="EH14" i="22"/>
  <c r="EE14" i="22"/>
  <c r="EB14" i="22"/>
  <c r="DY14" i="22"/>
  <c r="DV14" i="22"/>
  <c r="DS14" i="22"/>
  <c r="DP14" i="22"/>
  <c r="DM14" i="22"/>
  <c r="DJ14" i="22"/>
  <c r="DG14" i="22"/>
  <c r="GP13" i="22"/>
  <c r="GM13" i="22"/>
  <c r="GJ13" i="22"/>
  <c r="GG13" i="22"/>
  <c r="GD13" i="22"/>
  <c r="GA13" i="22"/>
  <c r="FX13" i="22"/>
  <c r="FU13" i="22"/>
  <c r="FR13" i="22"/>
  <c r="FO13" i="22"/>
  <c r="FL13" i="22"/>
  <c r="FI13" i="22"/>
  <c r="FF13" i="22"/>
  <c r="FC13" i="22"/>
  <c r="EZ13" i="22"/>
  <c r="EW13" i="22"/>
  <c r="ET13" i="22"/>
  <c r="EQ13" i="22"/>
  <c r="EN13" i="22"/>
  <c r="EK13" i="22"/>
  <c r="EH13" i="22"/>
  <c r="EE13" i="22"/>
  <c r="EB13" i="22"/>
  <c r="DY13" i="22"/>
  <c r="DV13" i="22"/>
  <c r="DS13" i="22"/>
  <c r="DP13" i="22"/>
  <c r="DM13" i="22"/>
  <c r="DJ13" i="22"/>
  <c r="DG13" i="22"/>
  <c r="GG12" i="22"/>
  <c r="GD12" i="22"/>
  <c r="GA12" i="22"/>
  <c r="FX12" i="22"/>
  <c r="FU12" i="22"/>
  <c r="FR12" i="22"/>
  <c r="FO12" i="22"/>
  <c r="FL12" i="22"/>
  <c r="FI12" i="22"/>
  <c r="FF12" i="22"/>
  <c r="FC12" i="22"/>
  <c r="EZ12" i="22"/>
  <c r="EW12" i="22"/>
  <c r="ET12" i="22"/>
  <c r="EQ12" i="22"/>
  <c r="EN12" i="22"/>
  <c r="EK12" i="22"/>
  <c r="EH12" i="22"/>
  <c r="EE12" i="22"/>
  <c r="EB12" i="22"/>
  <c r="DY12" i="22"/>
  <c r="DV12" i="22"/>
  <c r="DS12" i="22"/>
  <c r="DP12" i="22"/>
  <c r="DM12" i="22"/>
  <c r="DJ12" i="22"/>
  <c r="DG12" i="22"/>
  <c r="GG11" i="22"/>
  <c r="GD11" i="22"/>
  <c r="GA11" i="22"/>
  <c r="FX11" i="22"/>
  <c r="FU11" i="22"/>
  <c r="FR11" i="22"/>
  <c r="FO11" i="22"/>
  <c r="FL11" i="22"/>
  <c r="FI11" i="22"/>
  <c r="FF11" i="22"/>
  <c r="FC11" i="22"/>
  <c r="EZ11" i="22"/>
  <c r="EW11" i="22"/>
  <c r="ET11" i="22"/>
  <c r="EQ11" i="22"/>
  <c r="EN11" i="22"/>
  <c r="EK11" i="22"/>
  <c r="EH11" i="22"/>
  <c r="EE11" i="22"/>
  <c r="EB11" i="22"/>
  <c r="DY11" i="22"/>
  <c r="DV11" i="22"/>
  <c r="DS11" i="22"/>
  <c r="DP11" i="22"/>
  <c r="DM11" i="22"/>
  <c r="DJ11" i="22"/>
  <c r="DG11" i="22"/>
  <c r="GP10" i="22"/>
  <c r="GM10" i="22"/>
  <c r="GJ10" i="22"/>
  <c r="GG10" i="22"/>
  <c r="GD10" i="22"/>
  <c r="GA10" i="22"/>
  <c r="FX10" i="22"/>
  <c r="FU10" i="22"/>
  <c r="FR10" i="22"/>
  <c r="FO10" i="22"/>
  <c r="FL10" i="22"/>
  <c r="FI10" i="22"/>
  <c r="FF10" i="22"/>
  <c r="FC10" i="22"/>
  <c r="EZ10" i="22"/>
  <c r="EW10" i="22"/>
  <c r="ET10" i="22"/>
  <c r="EQ10" i="22"/>
  <c r="EN10" i="22"/>
  <c r="EK10" i="22"/>
  <c r="EH10" i="22"/>
  <c r="EE10" i="22"/>
  <c r="EB10" i="22"/>
  <c r="DY10" i="22"/>
  <c r="DV10" i="22"/>
  <c r="DS10" i="22"/>
  <c r="DP10" i="22"/>
  <c r="DM10" i="22"/>
  <c r="DJ10" i="22"/>
  <c r="DG10" i="22"/>
  <c r="GP9" i="22"/>
  <c r="GM9" i="22"/>
  <c r="GJ9" i="22"/>
  <c r="GG9" i="22"/>
  <c r="GD9" i="22"/>
  <c r="GA9" i="22"/>
  <c r="FX9" i="22"/>
  <c r="FU9" i="22"/>
  <c r="FR9" i="22"/>
  <c r="FO9" i="22"/>
  <c r="FL9" i="22"/>
  <c r="FI9" i="22"/>
  <c r="FF9" i="22"/>
  <c r="FC9" i="22"/>
  <c r="EZ9" i="22"/>
  <c r="EW9" i="22"/>
  <c r="ET9" i="22"/>
  <c r="EQ9" i="22"/>
  <c r="EN9" i="22"/>
  <c r="EK9" i="22"/>
  <c r="EH9" i="22"/>
  <c r="EE9" i="22"/>
  <c r="EB9" i="22"/>
  <c r="DY9" i="22"/>
  <c r="DV9" i="22"/>
  <c r="DS9" i="22"/>
  <c r="DP9" i="22"/>
  <c r="DM9" i="22"/>
  <c r="DJ9" i="22"/>
  <c r="DG9" i="22"/>
  <c r="A9" i="22"/>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GP8" i="22"/>
  <c r="GM8" i="22"/>
  <c r="GJ8" i="22"/>
  <c r="GG8" i="22"/>
  <c r="GD8" i="22"/>
  <c r="GA8" i="22"/>
  <c r="FX8" i="22"/>
  <c r="FU8" i="22"/>
  <c r="FR8" i="22"/>
  <c r="FO8" i="22"/>
  <c r="FL8" i="22"/>
  <c r="FI8" i="22"/>
  <c r="FF8" i="22"/>
  <c r="FC8" i="22"/>
  <c r="EZ8" i="22"/>
  <c r="EW8" i="22"/>
  <c r="ET8" i="22"/>
  <c r="EQ8" i="22"/>
  <c r="EN8" i="22"/>
  <c r="EK8" i="22"/>
  <c r="EH8" i="22"/>
  <c r="EE8" i="22"/>
  <c r="EB8" i="22"/>
  <c r="DY8" i="22"/>
  <c r="DV8" i="22"/>
  <c r="DS8" i="22"/>
  <c r="DP8" i="22"/>
  <c r="DM8" i="22"/>
  <c r="DJ8" i="22"/>
  <c r="DG8" i="22"/>
  <c r="GG7" i="22"/>
  <c r="GJ7" i="22" s="1"/>
  <c r="GM7" i="22" s="1"/>
  <c r="GP7" i="22" s="1"/>
  <c r="GD7" i="22"/>
  <c r="GA7" i="22"/>
  <c r="FX7" i="22"/>
  <c r="FU7" i="22"/>
  <c r="FR7" i="22"/>
  <c r="FO7" i="22"/>
  <c r="FL7" i="22"/>
  <c r="FI7" i="22"/>
  <c r="FF7" i="22"/>
  <c r="E7" i="22"/>
  <c r="F7" i="22" s="1"/>
  <c r="G7" i="22" s="1"/>
  <c r="H7" i="22" s="1"/>
  <c r="I7" i="22" s="1"/>
  <c r="J7" i="22" s="1"/>
  <c r="K7" i="22" s="1"/>
  <c r="L7" i="22" s="1"/>
  <c r="M7" i="22" s="1"/>
  <c r="N7" i="22" s="1"/>
  <c r="O7" i="22" s="1"/>
  <c r="P7" i="22" s="1"/>
  <c r="Q7" i="22" s="1"/>
  <c r="R7" i="22" s="1"/>
  <c r="S7" i="22" s="1"/>
  <c r="T7" i="22" s="1"/>
  <c r="U7" i="22" s="1"/>
  <c r="V7" i="22" s="1"/>
  <c r="W7" i="22" s="1"/>
  <c r="X7" i="22" s="1"/>
  <c r="Y7" i="22" s="1"/>
  <c r="Z7" i="22" s="1"/>
  <c r="AA7" i="22" s="1"/>
  <c r="AB7" i="22" s="1"/>
  <c r="AC7" i="22" s="1"/>
  <c r="AD7" i="22" s="1"/>
  <c r="AE7" i="22" s="1"/>
  <c r="AF7" i="22" s="1"/>
  <c r="AG7" i="22" s="1"/>
  <c r="AH7" i="22" s="1"/>
  <c r="AI7" i="22" s="1"/>
  <c r="AJ7" i="22" s="1"/>
  <c r="AK7" i="22" s="1"/>
  <c r="AL7" i="22" s="1"/>
  <c r="AM7" i="22" s="1"/>
  <c r="AN7" i="22" s="1"/>
  <c r="AO7" i="22" s="1"/>
  <c r="AP7" i="22" s="1"/>
  <c r="AQ7" i="22" s="1"/>
  <c r="AR7" i="22" s="1"/>
  <c r="AS7" i="22" s="1"/>
  <c r="AT7" i="22" s="1"/>
  <c r="AU7" i="22" s="1"/>
  <c r="AV7" i="22" s="1"/>
  <c r="AW7" i="22" s="1"/>
  <c r="AX7" i="22" s="1"/>
  <c r="AY7" i="22" s="1"/>
  <c r="AZ7" i="22" s="1"/>
  <c r="BA7" i="22" s="1"/>
  <c r="BB7" i="22" s="1"/>
  <c r="BC7" i="22" s="1"/>
  <c r="BD7" i="22" s="1"/>
  <c r="BE7" i="22" s="1"/>
  <c r="BF7" i="22" s="1"/>
  <c r="BG7" i="22" s="1"/>
  <c r="BH7" i="22" s="1"/>
  <c r="BI7" i="22" s="1"/>
  <c r="BJ7" i="22" s="1"/>
  <c r="BK7" i="22" s="1"/>
  <c r="BL7" i="22" s="1"/>
  <c r="BM7" i="22" s="1"/>
  <c r="BN7" i="22" s="1"/>
  <c r="BO7" i="22" s="1"/>
  <c r="BP7" i="22" s="1"/>
  <c r="BQ7" i="22" s="1"/>
  <c r="BR7" i="22" s="1"/>
  <c r="BS7" i="22" s="1"/>
  <c r="BT7" i="22" s="1"/>
  <c r="BU7" i="22" s="1"/>
  <c r="BV7" i="22" s="1"/>
  <c r="BW7" i="22" s="1"/>
  <c r="BX7" i="22" s="1"/>
  <c r="BY7" i="22" s="1"/>
  <c r="BZ7" i="22" s="1"/>
  <c r="CC7" i="22" s="1"/>
  <c r="CF7" i="22" s="1"/>
  <c r="CI7" i="22" s="1"/>
  <c r="CL7" i="22" s="1"/>
  <c r="CO7" i="22" s="1"/>
  <c r="CR7" i="22" s="1"/>
  <c r="CU7" i="22" s="1"/>
  <c r="CX7" i="22" s="1"/>
  <c r="DA7" i="22" s="1"/>
  <c r="DD7" i="22" s="1"/>
  <c r="D7" i="22"/>
  <c r="CD6" i="22"/>
  <c r="CG6" i="22" s="1"/>
  <c r="CJ6" i="22" s="1"/>
  <c r="CM6" i="22" s="1"/>
  <c r="CP6" i="22" s="1"/>
  <c r="CS6" i="22" s="1"/>
  <c r="CV6" i="22" s="1"/>
  <c r="CY6" i="22" s="1"/>
  <c r="DB6" i="22" s="1"/>
  <c r="DE6" i="22" s="1"/>
  <c r="DH6" i="22" s="1"/>
  <c r="DK6" i="22" s="1"/>
  <c r="DN6" i="22" s="1"/>
  <c r="DQ6" i="22" s="1"/>
  <c r="DT6" i="22" s="1"/>
  <c r="DW6" i="22" s="1"/>
  <c r="DZ6" i="22" s="1"/>
  <c r="Q3" i="22"/>
  <c r="AE3" i="22" s="1"/>
  <c r="AS3" i="22" s="1"/>
  <c r="Q1" i="22"/>
  <c r="AE1" i="22" s="1"/>
  <c r="AS1" i="22" s="1"/>
  <c r="M28" i="14" l="1"/>
  <c r="N28" i="14" l="1"/>
  <c r="O28" i="14" l="1"/>
  <c r="C8" i="16"/>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AG58" i="7"/>
  <c r="AH58" i="7"/>
  <c r="AI58" i="7"/>
  <c r="AJ58" i="7"/>
  <c r="AK58" i="7"/>
  <c r="AL58" i="7"/>
  <c r="AM58" i="7"/>
  <c r="AN58" i="7"/>
  <c r="AO58" i="7"/>
  <c r="AP58" i="7"/>
  <c r="AQ58" i="7"/>
  <c r="AR58" i="7"/>
  <c r="AS58" i="7"/>
  <c r="AT58" i="7"/>
  <c r="AU58" i="7"/>
  <c r="AV58" i="7"/>
  <c r="AW58" i="7"/>
  <c r="AX58" i="7"/>
  <c r="AY58" i="7"/>
  <c r="AZ58" i="7"/>
  <c r="BA58" i="7"/>
  <c r="BB58" i="7"/>
  <c r="BC58" i="7"/>
  <c r="BD58" i="7"/>
  <c r="BE58" i="7"/>
  <c r="BF58" i="7"/>
  <c r="BG58" i="7"/>
  <c r="BH58" i="7"/>
  <c r="BI58" i="7"/>
  <c r="BJ58" i="7"/>
  <c r="BK58" i="7"/>
  <c r="BL58" i="7"/>
  <c r="BM58" i="7"/>
  <c r="BN58" i="7"/>
  <c r="BO58" i="7"/>
  <c r="BP58" i="7"/>
  <c r="BQ58" i="7"/>
  <c r="BR58" i="7"/>
  <c r="BS58" i="7"/>
  <c r="BT58" i="7"/>
  <c r="BU58" i="7"/>
  <c r="BV58" i="7"/>
  <c r="BW58" i="7"/>
  <c r="BX58" i="7"/>
  <c r="BY58" i="7"/>
  <c r="BZ58" i="7"/>
  <c r="CA58" i="7"/>
  <c r="CB58" i="7"/>
  <c r="CC58" i="7"/>
  <c r="CD58" i="7"/>
  <c r="CE58" i="7"/>
  <c r="CF58" i="7"/>
  <c r="CG58" i="7"/>
  <c r="CH58" i="7"/>
  <c r="CI58" i="7"/>
  <c r="CJ58" i="7"/>
  <c r="CK58" i="7"/>
  <c r="CL58" i="7"/>
  <c r="CM58" i="7"/>
  <c r="CN58" i="7"/>
  <c r="CO58" i="7"/>
  <c r="CP58" i="7"/>
  <c r="CQ58" i="7"/>
  <c r="CR58" i="7"/>
  <c r="CS58" i="7"/>
  <c r="CT58" i="7"/>
  <c r="CU58" i="7"/>
  <c r="CV58" i="7"/>
  <c r="CW58" i="7"/>
  <c r="CX58" i="7"/>
  <c r="CY58" i="7"/>
  <c r="CZ58" i="7"/>
  <c r="DA58" i="7"/>
  <c r="DB58" i="7"/>
  <c r="DC58" i="7"/>
  <c r="DD58" i="7"/>
  <c r="DE58" i="7"/>
  <c r="DF58" i="7"/>
  <c r="DG58" i="7"/>
  <c r="DH58" i="7"/>
  <c r="DI58" i="7"/>
  <c r="DJ58" i="7"/>
  <c r="DK58" i="7"/>
  <c r="DL58" i="7"/>
  <c r="DM58" i="7"/>
  <c r="DN58" i="7"/>
  <c r="DO58" i="7"/>
  <c r="DP58" i="7"/>
  <c r="DQ58" i="7"/>
  <c r="DR58" i="7"/>
  <c r="DS58" i="7"/>
  <c r="DT58" i="7"/>
  <c r="DU58" i="7"/>
  <c r="DV58" i="7"/>
  <c r="DW58" i="7"/>
  <c r="DX58" i="7"/>
  <c r="DY58" i="7"/>
  <c r="EA58" i="7"/>
  <c r="EB58" i="7"/>
  <c r="ED58" i="7"/>
  <c r="EE58" i="7"/>
  <c r="EG58" i="7"/>
  <c r="EH58" i="7"/>
  <c r="EJ58" i="7"/>
  <c r="EK58" i="7"/>
  <c r="EM58" i="7"/>
  <c r="EN58" i="7"/>
  <c r="EP58" i="7"/>
  <c r="EQ58" i="7"/>
  <c r="ES58" i="7"/>
  <c r="ET58" i="7"/>
  <c r="EV58" i="7"/>
  <c r="EW58" i="7"/>
  <c r="EY58" i="7"/>
  <c r="EZ58" i="7"/>
  <c r="FB58" i="7"/>
  <c r="FC58" i="7"/>
  <c r="FE58" i="7"/>
  <c r="FF58" i="7"/>
  <c r="FH58" i="7"/>
  <c r="FI58" i="7"/>
  <c r="FK58" i="7"/>
  <c r="FL58" i="7"/>
  <c r="FN58" i="7"/>
  <c r="FO58" i="7"/>
  <c r="FQ58" i="7"/>
  <c r="FR58" i="7"/>
  <c r="FT58" i="7"/>
  <c r="FU58" i="7"/>
  <c r="FV58" i="7"/>
  <c r="FW58" i="7"/>
  <c r="FX58" i="7"/>
  <c r="FZ58" i="7"/>
  <c r="GA58" i="7"/>
  <c r="GC58" i="7"/>
  <c r="GD58" i="7"/>
  <c r="D58" i="7"/>
  <c r="G32" i="8"/>
  <c r="GE58" i="7" s="1"/>
  <c r="F32" i="8"/>
  <c r="G14" i="8"/>
  <c r="EC58" i="7" s="1"/>
  <c r="J54" i="36" s="1"/>
  <c r="G15" i="8"/>
  <c r="EF58" i="7" s="1"/>
  <c r="G16" i="8"/>
  <c r="EI58" i="7" s="1"/>
  <c r="G17" i="8"/>
  <c r="EL58" i="7" s="1"/>
  <c r="G18" i="8"/>
  <c r="EO58" i="7" s="1"/>
  <c r="G19" i="8"/>
  <c r="ER58" i="7" s="1"/>
  <c r="G20" i="8"/>
  <c r="EU58" i="7" s="1"/>
  <c r="G21" i="8"/>
  <c r="EX58" i="7" s="1"/>
  <c r="G22" i="8"/>
  <c r="FA58" i="7" s="1"/>
  <c r="G23" i="8"/>
  <c r="FD58" i="7" s="1"/>
  <c r="G24" i="8"/>
  <c r="FG58" i="7" s="1"/>
  <c r="G25" i="8"/>
  <c r="FJ58" i="7" s="1"/>
  <c r="G26" i="8"/>
  <c r="FM58" i="7" s="1"/>
  <c r="G27" i="8"/>
  <c r="FP58" i="7" s="1"/>
  <c r="G28" i="8"/>
  <c r="FS58" i="7" s="1"/>
  <c r="G29" i="8"/>
  <c r="G30" i="8"/>
  <c r="FY58" i="7" s="1"/>
  <c r="G31" i="8"/>
  <c r="GB58" i="7" s="1"/>
  <c r="J263" i="36" s="1"/>
  <c r="G13" i="8"/>
  <c r="DZ58" i="7" s="1"/>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AG59" i="7"/>
  <c r="AH59" i="7"/>
  <c r="AI59" i="7"/>
  <c r="AJ59" i="7"/>
  <c r="AK59" i="7"/>
  <c r="AL59" i="7"/>
  <c r="AM59" i="7"/>
  <c r="AN59" i="7"/>
  <c r="AO59" i="7"/>
  <c r="AP59" i="7"/>
  <c r="AQ59" i="7"/>
  <c r="AR59" i="7"/>
  <c r="AS59" i="7"/>
  <c r="AT59" i="7"/>
  <c r="AU59" i="7"/>
  <c r="AV59" i="7"/>
  <c r="AW59" i="7"/>
  <c r="AX59" i="7"/>
  <c r="AY59" i="7"/>
  <c r="AZ59" i="7"/>
  <c r="BA59" i="7"/>
  <c r="BB59" i="7"/>
  <c r="BC59" i="7"/>
  <c r="BD59" i="7"/>
  <c r="BE59" i="7"/>
  <c r="BF59" i="7"/>
  <c r="BG59" i="7"/>
  <c r="BH59" i="7"/>
  <c r="BI59" i="7"/>
  <c r="BJ59" i="7"/>
  <c r="BK59" i="7"/>
  <c r="BL59" i="7"/>
  <c r="BM59" i="7"/>
  <c r="BN59" i="7"/>
  <c r="CB59" i="7"/>
  <c r="CC59" i="7"/>
  <c r="CE59" i="7"/>
  <c r="CF59" i="7"/>
  <c r="CH59" i="7"/>
  <c r="CI59" i="7"/>
  <c r="CK59" i="7"/>
  <c r="CL59" i="7"/>
  <c r="CN59" i="7"/>
  <c r="CO59" i="7"/>
  <c r="CQ59" i="7"/>
  <c r="CR59" i="7"/>
  <c r="CT59" i="7"/>
  <c r="CU59" i="7"/>
  <c r="CW59" i="7"/>
  <c r="CX59" i="7"/>
  <c r="CZ59" i="7"/>
  <c r="DA59" i="7"/>
  <c r="DC59" i="7"/>
  <c r="DD59" i="7"/>
  <c r="DF59" i="7"/>
  <c r="DG59" i="7"/>
  <c r="DI59" i="7"/>
  <c r="DJ59" i="7"/>
  <c r="DL59" i="7"/>
  <c r="DM59" i="7"/>
  <c r="DO59" i="7"/>
  <c r="DP59" i="7"/>
  <c r="DR59" i="7"/>
  <c r="DS59" i="7"/>
  <c r="DU59" i="7"/>
  <c r="DV59" i="7"/>
  <c r="DX59" i="7"/>
  <c r="DY59" i="7"/>
  <c r="EA59" i="7"/>
  <c r="EB59" i="7"/>
  <c r="ED59" i="7"/>
  <c r="EE59" i="7"/>
  <c r="EG59" i="7"/>
  <c r="EH59" i="7"/>
  <c r="EJ59" i="7"/>
  <c r="EK59" i="7"/>
  <c r="EM59" i="7"/>
  <c r="EN59" i="7"/>
  <c r="EP59" i="7"/>
  <c r="EQ59" i="7"/>
  <c r="ES59" i="7"/>
  <c r="ET59" i="7"/>
  <c r="EV59" i="7"/>
  <c r="EW59" i="7"/>
  <c r="EY59" i="7"/>
  <c r="EZ59" i="7"/>
  <c r="FB59" i="7"/>
  <c r="FC59" i="7"/>
  <c r="FE59" i="7"/>
  <c r="FF59" i="7"/>
  <c r="FH59" i="7"/>
  <c r="FI59" i="7"/>
  <c r="FK59" i="7"/>
  <c r="FL59" i="7"/>
  <c r="FN59" i="7"/>
  <c r="FO59" i="7"/>
  <c r="FQ59" i="7"/>
  <c r="FR59" i="7"/>
  <c r="FT59" i="7"/>
  <c r="FU59" i="7"/>
  <c r="FW59" i="7"/>
  <c r="FX59" i="7"/>
  <c r="FZ59" i="7"/>
  <c r="GA59" i="7"/>
  <c r="GC59" i="7"/>
  <c r="GD59" i="7"/>
  <c r="D59" i="7"/>
  <c r="G14" i="9"/>
  <c r="BP59" i="7" s="1"/>
  <c r="G15" i="9"/>
  <c r="BQ59" i="7" s="1"/>
  <c r="G16" i="9"/>
  <c r="BR59" i="7" s="1"/>
  <c r="G17" i="9"/>
  <c r="BS59" i="7" s="1"/>
  <c r="G18" i="9"/>
  <c r="BT59" i="7" s="1"/>
  <c r="G19" i="9"/>
  <c r="BU59" i="7" s="1"/>
  <c r="G20" i="9"/>
  <c r="BV59" i="7" s="1"/>
  <c r="G21" i="9"/>
  <c r="BW59" i="7" s="1"/>
  <c r="G22" i="9"/>
  <c r="BX59" i="7" s="1"/>
  <c r="G23" i="9"/>
  <c r="BY59" i="7" s="1"/>
  <c r="G24" i="9"/>
  <c r="BZ59" i="7" s="1"/>
  <c r="G25" i="9"/>
  <c r="CA59" i="7" s="1"/>
  <c r="G26" i="9"/>
  <c r="CD59" i="7" s="1"/>
  <c r="G27" i="9"/>
  <c r="CG59" i="7" s="1"/>
  <c r="G28" i="9"/>
  <c r="CJ59" i="7" s="1"/>
  <c r="G29" i="9"/>
  <c r="CM59" i="7" s="1"/>
  <c r="G30" i="9"/>
  <c r="CP59" i="7" s="1"/>
  <c r="G31" i="9"/>
  <c r="CS59" i="7" s="1"/>
  <c r="G32" i="9"/>
  <c r="CV59" i="7" s="1"/>
  <c r="G33" i="9"/>
  <c r="CY59" i="7" s="1"/>
  <c r="G34" i="9"/>
  <c r="DB59" i="7" s="1"/>
  <c r="G35" i="9"/>
  <c r="DE59" i="7" s="1"/>
  <c r="G36" i="9"/>
  <c r="DH59" i="7" s="1"/>
  <c r="G37" i="9"/>
  <c r="DK59" i="7" s="1"/>
  <c r="G38" i="9"/>
  <c r="DN59" i="7" s="1"/>
  <c r="G39" i="9"/>
  <c r="DQ59" i="7" s="1"/>
  <c r="G40" i="9"/>
  <c r="DT59" i="7" s="1"/>
  <c r="G41" i="9"/>
  <c r="DW59" i="7" s="1"/>
  <c r="G42" i="9"/>
  <c r="DZ59" i="7" s="1"/>
  <c r="G43" i="9"/>
  <c r="EC59" i="7" s="1"/>
  <c r="G44" i="9"/>
  <c r="EF59" i="7" s="1"/>
  <c r="G45" i="9"/>
  <c r="EI59" i="7" s="1"/>
  <c r="G46" i="9"/>
  <c r="EL59" i="7" s="1"/>
  <c r="G47" i="9"/>
  <c r="EO59" i="7" s="1"/>
  <c r="G48" i="9"/>
  <c r="ER59" i="7" s="1"/>
  <c r="G49" i="9"/>
  <c r="EU59" i="7" s="1"/>
  <c r="G50" i="9"/>
  <c r="EX59" i="7" s="1"/>
  <c r="G51" i="9"/>
  <c r="FA59" i="7" s="1"/>
  <c r="G52" i="9"/>
  <c r="FD59" i="7" s="1"/>
  <c r="G53" i="9"/>
  <c r="FG59" i="7" s="1"/>
  <c r="J15" i="36" s="1"/>
  <c r="G54" i="9"/>
  <c r="FJ59" i="7" s="1"/>
  <c r="J16" i="36" s="1"/>
  <c r="G55" i="9"/>
  <c r="FM59" i="7" s="1"/>
  <c r="G56" i="9"/>
  <c r="FP59" i="7" s="1"/>
  <c r="G57" i="9"/>
  <c r="FS59" i="7" s="1"/>
  <c r="G58" i="9"/>
  <c r="FV59" i="7" s="1"/>
  <c r="G59" i="9"/>
  <c r="FY59" i="7" s="1"/>
  <c r="G60" i="9"/>
  <c r="GB59" i="7" s="1"/>
  <c r="G61" i="9"/>
  <c r="GE59" i="7" s="1"/>
  <c r="G13" i="9"/>
  <c r="BO59" i="7" s="1"/>
  <c r="F61" i="9"/>
  <c r="GE55" i="7"/>
  <c r="GE54" i="7"/>
  <c r="GE53" i="7"/>
  <c r="GB55" i="7"/>
  <c r="GB54" i="7"/>
  <c r="GB53" i="7"/>
  <c r="GE42" i="7"/>
  <c r="GE43" i="7"/>
  <c r="GE44" i="7"/>
  <c r="GE45" i="7"/>
  <c r="GE46" i="7"/>
  <c r="GE47" i="7"/>
  <c r="GE48" i="7"/>
  <c r="GE49" i="7"/>
  <c r="GE41" i="7"/>
  <c r="GE36" i="7"/>
  <c r="GE35" i="7"/>
  <c r="GE34" i="7"/>
  <c r="GE31" i="7"/>
  <c r="GE30" i="7"/>
  <c r="GE24" i="7"/>
  <c r="GE23" i="7"/>
  <c r="GE22" i="7"/>
  <c r="GE16" i="7"/>
  <c r="GE15" i="7"/>
  <c r="GE9" i="7"/>
  <c r="GB49" i="7"/>
  <c r="GB48" i="7"/>
  <c r="GB47" i="7"/>
  <c r="GB46" i="7"/>
  <c r="GB45" i="7"/>
  <c r="GB44" i="7"/>
  <c r="GB43" i="7"/>
  <c r="GB42" i="7"/>
  <c r="GB41" i="7"/>
  <c r="GB36" i="7"/>
  <c r="GB35" i="7"/>
  <c r="GB34" i="7"/>
  <c r="GB31" i="7"/>
  <c r="GB30" i="7"/>
  <c r="GB24" i="7"/>
  <c r="GB23" i="7"/>
  <c r="GB22" i="7"/>
  <c r="GB16" i="7"/>
  <c r="GB15" i="7"/>
  <c r="GB9" i="7"/>
  <c r="K16" i="36" l="1"/>
  <c r="L16" i="36" s="1"/>
  <c r="M16" i="36" s="1"/>
  <c r="K15" i="36"/>
  <c r="L15" i="36" s="1"/>
  <c r="M15" i="36" s="1"/>
  <c r="K54" i="36"/>
  <c r="L54" i="36" s="1"/>
  <c r="M54" i="36" s="1"/>
  <c r="K263" i="36"/>
  <c r="L263" i="36" s="1"/>
  <c r="M263" i="36" s="1"/>
  <c r="D13" i="3" s="1"/>
  <c r="P28" i="14"/>
  <c r="N11" i="11"/>
  <c r="F11" i="11"/>
  <c r="D14" i="3" l="1"/>
  <c r="Q28" i="14"/>
  <c r="Q9" i="11"/>
  <c r="S9" i="11" s="1"/>
  <c r="Q10" i="11"/>
  <c r="S10" i="11" s="1"/>
  <c r="Q11" i="11"/>
  <c r="S11" i="11" s="1"/>
  <c r="Q12" i="11"/>
  <c r="S12" i="11" s="1"/>
  <c r="S8" i="11"/>
  <c r="Q8" i="11"/>
  <c r="R28" i="14" l="1"/>
  <c r="C8" i="11"/>
  <c r="C9" i="11"/>
  <c r="C10" i="11"/>
  <c r="C11" i="11"/>
  <c r="C12" i="11"/>
  <c r="Q7" i="11"/>
  <c r="S7" i="11" s="1"/>
  <c r="C7" i="11" s="1"/>
  <c r="M10" i="11"/>
  <c r="M11" i="11"/>
  <c r="M12" i="11"/>
  <c r="M7" i="11"/>
  <c r="E8" i="11"/>
  <c r="M8" i="11" s="1"/>
  <c r="E9" i="11"/>
  <c r="M9" i="11" s="1"/>
  <c r="E10" i="11"/>
  <c r="E11" i="11"/>
  <c r="E12" i="11"/>
  <c r="E7" i="11"/>
  <c r="S28" i="14" l="1"/>
  <c r="E30" i="14"/>
  <c r="E34" i="14" s="1"/>
  <c r="A1" i="14"/>
  <c r="M37" i="14"/>
  <c r="K14" i="14"/>
  <c r="M14" i="14" s="1"/>
  <c r="N14" i="14" s="1"/>
  <c r="O14" i="14" s="1"/>
  <c r="P14" i="14" s="1"/>
  <c r="Q14" i="14" s="1"/>
  <c r="R14" i="14" s="1"/>
  <c r="S14" i="14" s="1"/>
  <c r="T14" i="14" s="1"/>
  <c r="U14" i="14" s="1"/>
  <c r="V14" i="14" s="1"/>
  <c r="W14" i="14" s="1"/>
  <c r="X14" i="14" s="1"/>
  <c r="Y14" i="14" s="1"/>
  <c r="Z14" i="14" s="1"/>
  <c r="AA14" i="14" s="1"/>
  <c r="AB14" i="14" s="1"/>
  <c r="AC14" i="14" s="1"/>
  <c r="AD14" i="14" s="1"/>
  <c r="AE14" i="14" s="1"/>
  <c r="AF14" i="14" s="1"/>
  <c r="AG14" i="14" s="1"/>
  <c r="AH14" i="14" s="1"/>
  <c r="AI14" i="14" s="1"/>
  <c r="AJ14" i="14" s="1"/>
  <c r="AK14" i="14" s="1"/>
  <c r="AL14" i="14" s="1"/>
  <c r="AM14" i="14" s="1"/>
  <c r="A3" i="12"/>
  <c r="T28" i="14" l="1"/>
  <c r="S32" i="14"/>
  <c r="T32" i="14" s="1"/>
  <c r="U32" i="14" s="1"/>
  <c r="V32" i="14" s="1"/>
  <c r="W32" i="14" s="1"/>
  <c r="X32" i="14" s="1"/>
  <c r="Y32" i="14" s="1"/>
  <c r="Z32" i="14" s="1"/>
  <c r="AA32" i="14" s="1"/>
  <c r="AB32" i="14" s="1"/>
  <c r="AC32" i="14" s="1"/>
  <c r="AD32" i="14" s="1"/>
  <c r="AE32" i="14" s="1"/>
  <c r="AF32" i="14" s="1"/>
  <c r="AG32" i="14" s="1"/>
  <c r="AH32" i="14" s="1"/>
  <c r="AI32" i="14" s="1"/>
  <c r="AJ32" i="14" s="1"/>
  <c r="AK32" i="14" s="1"/>
  <c r="AL32" i="14" s="1"/>
  <c r="AM32" i="14" s="1"/>
  <c r="AN32" i="14" s="1"/>
  <c r="N36" i="14"/>
  <c r="B153" i="13"/>
  <c r="A1" i="13"/>
  <c r="A1" i="12"/>
  <c r="A1" i="11"/>
  <c r="A1" i="10"/>
  <c r="I12" i="11"/>
  <c r="K12" i="11" s="1"/>
  <c r="I11" i="11"/>
  <c r="K11" i="11" s="1"/>
  <c r="I10" i="11"/>
  <c r="K10" i="11" s="1"/>
  <c r="I9" i="11"/>
  <c r="K9" i="11" s="1"/>
  <c r="I8" i="11"/>
  <c r="K8" i="11" s="1"/>
  <c r="I7" i="11"/>
  <c r="K7" i="11" s="1"/>
  <c r="C19" i="10"/>
  <c r="C12" i="10"/>
  <c r="F14" i="9"/>
  <c r="F15" i="9" s="1"/>
  <c r="F14" i="8"/>
  <c r="F15" i="8" s="1"/>
  <c r="GH63" i="7"/>
  <c r="GQ62" i="7"/>
  <c r="GN62" i="7"/>
  <c r="GK62" i="7"/>
  <c r="GH62" i="7"/>
  <c r="GQ61" i="7"/>
  <c r="GN61" i="7"/>
  <c r="GK61" i="7"/>
  <c r="GH61" i="7"/>
  <c r="GQ60" i="7"/>
  <c r="GN60" i="7"/>
  <c r="GK60" i="7"/>
  <c r="GH60" i="7"/>
  <c r="GQ59" i="7"/>
  <c r="GN59" i="7"/>
  <c r="GK59" i="7"/>
  <c r="GH59" i="7"/>
  <c r="GQ58" i="7"/>
  <c r="GN58" i="7"/>
  <c r="GK58" i="7"/>
  <c r="GH58" i="7"/>
  <c r="GQ57" i="7"/>
  <c r="GN57" i="7"/>
  <c r="GK57" i="7"/>
  <c r="GH57" i="7"/>
  <c r="GQ56" i="7"/>
  <c r="GN56" i="7"/>
  <c r="GK56" i="7"/>
  <c r="GH56" i="7"/>
  <c r="GQ55" i="7"/>
  <c r="GN55" i="7"/>
  <c r="GK55" i="7"/>
  <c r="GH55" i="7"/>
  <c r="FY55" i="7"/>
  <c r="FV55" i="7"/>
  <c r="FS55" i="7"/>
  <c r="FP55" i="7"/>
  <c r="FM55" i="7"/>
  <c r="FJ55" i="7"/>
  <c r="FG55" i="7"/>
  <c r="FD55" i="7"/>
  <c r="FA55" i="7"/>
  <c r="EX55" i="7"/>
  <c r="EU55" i="7"/>
  <c r="ER55" i="7"/>
  <c r="EO55" i="7"/>
  <c r="EL55" i="7"/>
  <c r="EI55" i="7"/>
  <c r="EF55" i="7"/>
  <c r="EC55" i="7"/>
  <c r="DZ55" i="7"/>
  <c r="DW55" i="7"/>
  <c r="DT55" i="7"/>
  <c r="DQ55" i="7"/>
  <c r="DN55" i="7"/>
  <c r="DK55" i="7"/>
  <c r="DH55" i="7"/>
  <c r="GQ54" i="7"/>
  <c r="GN54" i="7"/>
  <c r="GK54" i="7"/>
  <c r="GH54" i="7"/>
  <c r="FY54" i="7"/>
  <c r="FV54" i="7"/>
  <c r="FS54" i="7"/>
  <c r="FP54" i="7"/>
  <c r="FM54" i="7"/>
  <c r="FJ54" i="7"/>
  <c r="FG54" i="7"/>
  <c r="FD54" i="7"/>
  <c r="FA54" i="7"/>
  <c r="EX54" i="7"/>
  <c r="EU54" i="7"/>
  <c r="ER54" i="7"/>
  <c r="EO54" i="7"/>
  <c r="EL54" i="7"/>
  <c r="EI54" i="7"/>
  <c r="EF54" i="7"/>
  <c r="EC54" i="7"/>
  <c r="DZ54" i="7"/>
  <c r="DW54" i="7"/>
  <c r="DT54" i="7"/>
  <c r="DQ54" i="7"/>
  <c r="DN54" i="7"/>
  <c r="DK54" i="7"/>
  <c r="DH54" i="7"/>
  <c r="GQ53" i="7"/>
  <c r="GN53" i="7"/>
  <c r="GK53" i="7"/>
  <c r="GH53" i="7"/>
  <c r="FY53" i="7"/>
  <c r="FV53" i="7"/>
  <c r="FS53" i="7"/>
  <c r="FP53" i="7"/>
  <c r="FM53" i="7"/>
  <c r="FJ53" i="7"/>
  <c r="FG53" i="7"/>
  <c r="FD53" i="7"/>
  <c r="FA53" i="7"/>
  <c r="EX53" i="7"/>
  <c r="EU53" i="7"/>
  <c r="ER53" i="7"/>
  <c r="EO53" i="7"/>
  <c r="EL53" i="7"/>
  <c r="EI53" i="7"/>
  <c r="EF53" i="7"/>
  <c r="EC53" i="7"/>
  <c r="DZ53" i="7"/>
  <c r="DW53" i="7"/>
  <c r="DT53" i="7"/>
  <c r="DQ53" i="7"/>
  <c r="DN53" i="7"/>
  <c r="DK53" i="7"/>
  <c r="DH53" i="7"/>
  <c r="GQ52" i="7"/>
  <c r="GN52" i="7"/>
  <c r="GK52" i="7"/>
  <c r="GH52" i="7"/>
  <c r="GQ51" i="7"/>
  <c r="GN51" i="7"/>
  <c r="GK51" i="7"/>
  <c r="GH51" i="7"/>
  <c r="GQ50" i="7"/>
  <c r="GN50" i="7"/>
  <c r="GK50" i="7"/>
  <c r="GH50" i="7"/>
  <c r="GQ49" i="7"/>
  <c r="GN49" i="7"/>
  <c r="GK49" i="7"/>
  <c r="GH49" i="7"/>
  <c r="FY49" i="7"/>
  <c r="FV49" i="7"/>
  <c r="FS49" i="7"/>
  <c r="FP49" i="7"/>
  <c r="FM49" i="7"/>
  <c r="FJ49" i="7"/>
  <c r="FG49" i="7"/>
  <c r="FD49" i="7"/>
  <c r="FA49" i="7"/>
  <c r="EX49" i="7"/>
  <c r="EU49" i="7"/>
  <c r="ER49" i="7"/>
  <c r="EO49" i="7"/>
  <c r="EL49" i="7"/>
  <c r="EI49" i="7"/>
  <c r="EF49" i="7"/>
  <c r="EC49" i="7"/>
  <c r="DZ49" i="7"/>
  <c r="DW49" i="7"/>
  <c r="DT49" i="7"/>
  <c r="DQ49" i="7"/>
  <c r="DN49" i="7"/>
  <c r="DK49" i="7"/>
  <c r="DH49" i="7"/>
  <c r="GH48" i="7"/>
  <c r="FY48" i="7"/>
  <c r="FV48" i="7"/>
  <c r="FS48" i="7"/>
  <c r="FP48" i="7"/>
  <c r="FM48" i="7"/>
  <c r="FJ48" i="7"/>
  <c r="FG48" i="7"/>
  <c r="FD48" i="7"/>
  <c r="FA48" i="7"/>
  <c r="EX48" i="7"/>
  <c r="EU48" i="7"/>
  <c r="ER48" i="7"/>
  <c r="EO48" i="7"/>
  <c r="EL48" i="7"/>
  <c r="EI48" i="7"/>
  <c r="EF48" i="7"/>
  <c r="EC48" i="7"/>
  <c r="DZ48" i="7"/>
  <c r="DW48" i="7"/>
  <c r="DT48" i="7"/>
  <c r="DQ48" i="7"/>
  <c r="DN48" i="7"/>
  <c r="DK48" i="7"/>
  <c r="DH48" i="7"/>
  <c r="GH47" i="7"/>
  <c r="FY47" i="7"/>
  <c r="FV47" i="7"/>
  <c r="FS47" i="7"/>
  <c r="FP47" i="7"/>
  <c r="FM47" i="7"/>
  <c r="FJ47" i="7"/>
  <c r="FG47" i="7"/>
  <c r="FD47" i="7"/>
  <c r="FA47" i="7"/>
  <c r="EX47" i="7"/>
  <c r="EU47" i="7"/>
  <c r="ER47" i="7"/>
  <c r="EO47" i="7"/>
  <c r="EL47" i="7"/>
  <c r="EI47" i="7"/>
  <c r="EF47" i="7"/>
  <c r="EC47" i="7"/>
  <c r="DZ47" i="7"/>
  <c r="DW47" i="7"/>
  <c r="DT47" i="7"/>
  <c r="DQ47" i="7"/>
  <c r="DN47" i="7"/>
  <c r="DK47" i="7"/>
  <c r="DH47" i="7"/>
  <c r="GQ46" i="7"/>
  <c r="GN46" i="7"/>
  <c r="GK46" i="7"/>
  <c r="GH46" i="7"/>
  <c r="FY46" i="7"/>
  <c r="FV46" i="7"/>
  <c r="FS46" i="7"/>
  <c r="FP46" i="7"/>
  <c r="FM46" i="7"/>
  <c r="FJ46" i="7"/>
  <c r="FG46" i="7"/>
  <c r="FD46" i="7"/>
  <c r="FA46" i="7"/>
  <c r="EX46" i="7"/>
  <c r="EU46" i="7"/>
  <c r="ER46" i="7"/>
  <c r="EO46" i="7"/>
  <c r="EL46" i="7"/>
  <c r="EI46" i="7"/>
  <c r="EF46" i="7"/>
  <c r="EC46" i="7"/>
  <c r="DZ46" i="7"/>
  <c r="DW46" i="7"/>
  <c r="DT46" i="7"/>
  <c r="DQ46" i="7"/>
  <c r="DN46" i="7"/>
  <c r="DK46" i="7"/>
  <c r="DH46" i="7"/>
  <c r="GQ45" i="7"/>
  <c r="GN45" i="7"/>
  <c r="GK45" i="7"/>
  <c r="GH45" i="7"/>
  <c r="FY45" i="7"/>
  <c r="FV45" i="7"/>
  <c r="FS45" i="7"/>
  <c r="FP45" i="7"/>
  <c r="FM45" i="7"/>
  <c r="FJ45" i="7"/>
  <c r="FG45" i="7"/>
  <c r="FD45" i="7"/>
  <c r="FA45" i="7"/>
  <c r="EX45" i="7"/>
  <c r="EU45" i="7"/>
  <c r="ER45" i="7"/>
  <c r="EO45" i="7"/>
  <c r="EL45" i="7"/>
  <c r="EI45" i="7"/>
  <c r="EF45" i="7"/>
  <c r="EC45" i="7"/>
  <c r="DZ45" i="7"/>
  <c r="DW45" i="7"/>
  <c r="DT45" i="7"/>
  <c r="DQ45" i="7"/>
  <c r="DN45" i="7"/>
  <c r="DK45" i="7"/>
  <c r="DH45" i="7"/>
  <c r="GQ44" i="7"/>
  <c r="GN44" i="7"/>
  <c r="GK44" i="7"/>
  <c r="GH44" i="7"/>
  <c r="FY44" i="7"/>
  <c r="FV44" i="7"/>
  <c r="FS44" i="7"/>
  <c r="FP44" i="7"/>
  <c r="FM44" i="7"/>
  <c r="FJ44" i="7"/>
  <c r="FG44" i="7"/>
  <c r="FD44" i="7"/>
  <c r="FA44" i="7"/>
  <c r="EX44" i="7"/>
  <c r="EU44" i="7"/>
  <c r="ER44" i="7"/>
  <c r="EO44" i="7"/>
  <c r="EL44" i="7"/>
  <c r="EI44" i="7"/>
  <c r="EF44" i="7"/>
  <c r="EC44" i="7"/>
  <c r="DZ44" i="7"/>
  <c r="DW44" i="7"/>
  <c r="DT44" i="7"/>
  <c r="DQ44" i="7"/>
  <c r="DN44" i="7"/>
  <c r="DK44" i="7"/>
  <c r="DH44" i="7"/>
  <c r="GQ43" i="7"/>
  <c r="GN43" i="7"/>
  <c r="GK43" i="7"/>
  <c r="GH43" i="7"/>
  <c r="FY43" i="7"/>
  <c r="FV43" i="7"/>
  <c r="FS43" i="7"/>
  <c r="FP43" i="7"/>
  <c r="FM43" i="7"/>
  <c r="FJ43" i="7"/>
  <c r="FG43" i="7"/>
  <c r="FD43" i="7"/>
  <c r="FA43" i="7"/>
  <c r="EX43" i="7"/>
  <c r="EU43" i="7"/>
  <c r="ER43" i="7"/>
  <c r="EO43" i="7"/>
  <c r="EL43" i="7"/>
  <c r="EI43" i="7"/>
  <c r="EF43" i="7"/>
  <c r="EC43" i="7"/>
  <c r="DZ43" i="7"/>
  <c r="DW43" i="7"/>
  <c r="DT43" i="7"/>
  <c r="DQ43" i="7"/>
  <c r="DN43" i="7"/>
  <c r="DK43" i="7"/>
  <c r="DH43" i="7"/>
  <c r="GQ42" i="7"/>
  <c r="GN42" i="7"/>
  <c r="GK42" i="7"/>
  <c r="GH42" i="7"/>
  <c r="FY42" i="7"/>
  <c r="FV42" i="7"/>
  <c r="FS42" i="7"/>
  <c r="FP42" i="7"/>
  <c r="FM42" i="7"/>
  <c r="FJ42" i="7"/>
  <c r="FG42" i="7"/>
  <c r="FD42" i="7"/>
  <c r="FA42" i="7"/>
  <c r="EX42" i="7"/>
  <c r="EU42" i="7"/>
  <c r="ER42" i="7"/>
  <c r="EO42" i="7"/>
  <c r="EL42" i="7"/>
  <c r="EI42" i="7"/>
  <c r="EF42" i="7"/>
  <c r="EC42" i="7"/>
  <c r="DZ42" i="7"/>
  <c r="DW42" i="7"/>
  <c r="DT42" i="7"/>
  <c r="DQ42" i="7"/>
  <c r="DN42" i="7"/>
  <c r="DK42" i="7"/>
  <c r="DH42" i="7"/>
  <c r="GQ41" i="7"/>
  <c r="GN41" i="7"/>
  <c r="GK41" i="7"/>
  <c r="GH41" i="7"/>
  <c r="FY41" i="7"/>
  <c r="FV41" i="7"/>
  <c r="FS41" i="7"/>
  <c r="FP41" i="7"/>
  <c r="FM41" i="7"/>
  <c r="FJ41" i="7"/>
  <c r="FG41" i="7"/>
  <c r="FD41" i="7"/>
  <c r="FA41" i="7"/>
  <c r="EX41" i="7"/>
  <c r="EU41" i="7"/>
  <c r="ER41" i="7"/>
  <c r="EO41" i="7"/>
  <c r="EL41" i="7"/>
  <c r="EI41" i="7"/>
  <c r="EF41" i="7"/>
  <c r="EC41" i="7"/>
  <c r="DZ41" i="7"/>
  <c r="DW41" i="7"/>
  <c r="DT41" i="7"/>
  <c r="DQ41" i="7"/>
  <c r="DN41" i="7"/>
  <c r="DK41" i="7"/>
  <c r="DH41" i="7"/>
  <c r="GQ40" i="7"/>
  <c r="GN40" i="7"/>
  <c r="GK40" i="7"/>
  <c r="GH40" i="7"/>
  <c r="GH39" i="7"/>
  <c r="GH38" i="7"/>
  <c r="GQ37" i="7"/>
  <c r="GN37" i="7"/>
  <c r="GK37" i="7"/>
  <c r="GH37" i="7"/>
  <c r="GQ36" i="7"/>
  <c r="GN36" i="7"/>
  <c r="GK36" i="7"/>
  <c r="GH36" i="7"/>
  <c r="FY36" i="7"/>
  <c r="FV36" i="7"/>
  <c r="FS36" i="7"/>
  <c r="FP36" i="7"/>
  <c r="FM36" i="7"/>
  <c r="FJ36" i="7"/>
  <c r="FG36" i="7"/>
  <c r="FD36" i="7"/>
  <c r="FA36" i="7"/>
  <c r="EX36" i="7"/>
  <c r="EU36" i="7"/>
  <c r="ER36" i="7"/>
  <c r="EO36" i="7"/>
  <c r="EL36" i="7"/>
  <c r="EI36" i="7"/>
  <c r="EF36" i="7"/>
  <c r="EC36" i="7"/>
  <c r="DZ36" i="7"/>
  <c r="DW36" i="7"/>
  <c r="DT36" i="7"/>
  <c r="DQ36" i="7"/>
  <c r="DN36" i="7"/>
  <c r="DK36" i="7"/>
  <c r="DH36" i="7"/>
  <c r="GQ35" i="7"/>
  <c r="GN35" i="7"/>
  <c r="GK35" i="7"/>
  <c r="GH35" i="7"/>
  <c r="FY35" i="7"/>
  <c r="FV35" i="7"/>
  <c r="FS35" i="7"/>
  <c r="FP35" i="7"/>
  <c r="FM35" i="7"/>
  <c r="FJ35" i="7"/>
  <c r="FG35" i="7"/>
  <c r="FD35" i="7"/>
  <c r="FA35" i="7"/>
  <c r="EX35" i="7"/>
  <c r="EU35" i="7"/>
  <c r="ER35" i="7"/>
  <c r="EO35" i="7"/>
  <c r="EL35" i="7"/>
  <c r="EI35" i="7"/>
  <c r="EF35" i="7"/>
  <c r="EC35" i="7"/>
  <c r="DZ35" i="7"/>
  <c r="DW35" i="7"/>
  <c r="DT35" i="7"/>
  <c r="DQ35" i="7"/>
  <c r="DN35" i="7"/>
  <c r="DK35" i="7"/>
  <c r="DH35" i="7"/>
  <c r="GH34" i="7"/>
  <c r="FY34" i="7"/>
  <c r="FV34" i="7"/>
  <c r="FS34" i="7"/>
  <c r="FP34" i="7"/>
  <c r="FM34" i="7"/>
  <c r="FJ34" i="7"/>
  <c r="FG34" i="7"/>
  <c r="FD34" i="7"/>
  <c r="FA34" i="7"/>
  <c r="EX34" i="7"/>
  <c r="EU34" i="7"/>
  <c r="ER34" i="7"/>
  <c r="EO34" i="7"/>
  <c r="EL34" i="7"/>
  <c r="EI34" i="7"/>
  <c r="EF34" i="7"/>
  <c r="EC34" i="7"/>
  <c r="DZ34" i="7"/>
  <c r="DW34" i="7"/>
  <c r="DT34" i="7"/>
  <c r="DQ34" i="7"/>
  <c r="DN34" i="7"/>
  <c r="DK34" i="7"/>
  <c r="DH34" i="7"/>
  <c r="D34" i="7"/>
  <c r="GH33" i="7"/>
  <c r="GQ32" i="7"/>
  <c r="GN32" i="7"/>
  <c r="GK32" i="7"/>
  <c r="GH32" i="7"/>
  <c r="GQ31" i="7"/>
  <c r="GN31" i="7"/>
  <c r="GK31" i="7"/>
  <c r="GH31" i="7"/>
  <c r="FY31" i="7"/>
  <c r="FV31" i="7"/>
  <c r="FS31" i="7"/>
  <c r="FP31" i="7"/>
  <c r="FM31" i="7"/>
  <c r="FJ31" i="7"/>
  <c r="FG31" i="7"/>
  <c r="FD31" i="7"/>
  <c r="FA31" i="7"/>
  <c r="EX31" i="7"/>
  <c r="EU31" i="7"/>
  <c r="ER31" i="7"/>
  <c r="EO31" i="7"/>
  <c r="EL31" i="7"/>
  <c r="EI31" i="7"/>
  <c r="EF31" i="7"/>
  <c r="EC31" i="7"/>
  <c r="DZ31" i="7"/>
  <c r="DW31" i="7"/>
  <c r="DT31" i="7"/>
  <c r="DQ31" i="7"/>
  <c r="DN31" i="7"/>
  <c r="DK31" i="7"/>
  <c r="DH31" i="7"/>
  <c r="GQ30" i="7"/>
  <c r="GN30" i="7"/>
  <c r="GK30" i="7"/>
  <c r="GH30" i="7"/>
  <c r="FY30" i="7"/>
  <c r="FV30" i="7"/>
  <c r="FS30" i="7"/>
  <c r="FP30" i="7"/>
  <c r="FM30" i="7"/>
  <c r="FJ30" i="7"/>
  <c r="FG30" i="7"/>
  <c r="FD30" i="7"/>
  <c r="FA30" i="7"/>
  <c r="EX30" i="7"/>
  <c r="EU30" i="7"/>
  <c r="ER30" i="7"/>
  <c r="EO30" i="7"/>
  <c r="EL30" i="7"/>
  <c r="EI30" i="7"/>
  <c r="EF30" i="7"/>
  <c r="EC30" i="7"/>
  <c r="DZ30" i="7"/>
  <c r="DW30" i="7"/>
  <c r="DT30" i="7"/>
  <c r="DQ30" i="7"/>
  <c r="DN30" i="7"/>
  <c r="DK30" i="7"/>
  <c r="DH30" i="7"/>
  <c r="GQ29" i="7"/>
  <c r="GN29" i="7"/>
  <c r="GK29" i="7"/>
  <c r="GH29" i="7"/>
  <c r="GH28" i="7"/>
  <c r="GH27" i="7"/>
  <c r="GQ26" i="7"/>
  <c r="GN26" i="7"/>
  <c r="GK26" i="7"/>
  <c r="GH26" i="7"/>
  <c r="GQ25" i="7"/>
  <c r="GN25" i="7"/>
  <c r="GK25" i="7"/>
  <c r="GH25" i="7"/>
  <c r="GQ24" i="7"/>
  <c r="GN24" i="7"/>
  <c r="GK24" i="7"/>
  <c r="GH24" i="7"/>
  <c r="FY24" i="7"/>
  <c r="FV24" i="7"/>
  <c r="FS24" i="7"/>
  <c r="FP24" i="7"/>
  <c r="FM24" i="7"/>
  <c r="FJ24" i="7"/>
  <c r="FG24" i="7"/>
  <c r="FD24" i="7"/>
  <c r="FA24" i="7"/>
  <c r="EX24" i="7"/>
  <c r="EU24" i="7"/>
  <c r="ER24" i="7"/>
  <c r="EO24" i="7"/>
  <c r="EL24" i="7"/>
  <c r="EI24" i="7"/>
  <c r="EF24" i="7"/>
  <c r="EC24" i="7"/>
  <c r="DZ24" i="7"/>
  <c r="DW24" i="7"/>
  <c r="DT24" i="7"/>
  <c r="DQ24" i="7"/>
  <c r="DN24" i="7"/>
  <c r="DK24" i="7"/>
  <c r="DH24" i="7"/>
  <c r="GH23" i="7"/>
  <c r="FY23" i="7"/>
  <c r="FV23" i="7"/>
  <c r="FS23" i="7"/>
  <c r="FP23" i="7"/>
  <c r="FM23" i="7"/>
  <c r="FJ23" i="7"/>
  <c r="FG23" i="7"/>
  <c r="FD23" i="7"/>
  <c r="FA23" i="7"/>
  <c r="EX23" i="7"/>
  <c r="EU23" i="7"/>
  <c r="ER23" i="7"/>
  <c r="EO23" i="7"/>
  <c r="EL23" i="7"/>
  <c r="EI23" i="7"/>
  <c r="EF23" i="7"/>
  <c r="EC23" i="7"/>
  <c r="DZ23" i="7"/>
  <c r="DW23" i="7"/>
  <c r="DT23" i="7"/>
  <c r="DQ23" i="7"/>
  <c r="DN23" i="7"/>
  <c r="DK23" i="7"/>
  <c r="DH23" i="7"/>
  <c r="GH22" i="7"/>
  <c r="FY22" i="7"/>
  <c r="FV22" i="7"/>
  <c r="FS22" i="7"/>
  <c r="FP22" i="7"/>
  <c r="FM22" i="7"/>
  <c r="FJ22" i="7"/>
  <c r="FG22" i="7"/>
  <c r="FD22" i="7"/>
  <c r="FA22" i="7"/>
  <c r="EX22" i="7"/>
  <c r="EU22" i="7"/>
  <c r="ER22" i="7"/>
  <c r="EO22" i="7"/>
  <c r="EL22" i="7"/>
  <c r="EI22" i="7"/>
  <c r="EF22" i="7"/>
  <c r="EC22" i="7"/>
  <c r="DZ22" i="7"/>
  <c r="DW22" i="7"/>
  <c r="DT22" i="7"/>
  <c r="DQ22" i="7"/>
  <c r="DN22" i="7"/>
  <c r="DK22" i="7"/>
  <c r="DH22" i="7"/>
  <c r="GQ21" i="7"/>
  <c r="GN21" i="7"/>
  <c r="GK21" i="7"/>
  <c r="GH21" i="7"/>
  <c r="GQ20" i="7"/>
  <c r="GN20" i="7"/>
  <c r="GK20" i="7"/>
  <c r="GH20" i="7"/>
  <c r="GQ19" i="7"/>
  <c r="GN19" i="7"/>
  <c r="GK19" i="7"/>
  <c r="GH19" i="7"/>
  <c r="GQ18" i="7"/>
  <c r="GN18" i="7"/>
  <c r="GK18" i="7"/>
  <c r="GH18" i="7"/>
  <c r="GH17" i="7"/>
  <c r="GQ16" i="7"/>
  <c r="GN16" i="7"/>
  <c r="GK16" i="7"/>
  <c r="GH16" i="7"/>
  <c r="FY16" i="7"/>
  <c r="FV16" i="7"/>
  <c r="FS16" i="7"/>
  <c r="FP16" i="7"/>
  <c r="FM16" i="7"/>
  <c r="FJ16" i="7"/>
  <c r="FG16" i="7"/>
  <c r="FD16" i="7"/>
  <c r="FA16" i="7"/>
  <c r="EX16" i="7"/>
  <c r="EU16" i="7"/>
  <c r="ER16" i="7"/>
  <c r="EO16" i="7"/>
  <c r="EL16" i="7"/>
  <c r="EI16" i="7"/>
  <c r="EF16" i="7"/>
  <c r="EC16" i="7"/>
  <c r="DZ16" i="7"/>
  <c r="DW16" i="7"/>
  <c r="DT16" i="7"/>
  <c r="DQ16" i="7"/>
  <c r="DN16" i="7"/>
  <c r="DK16" i="7"/>
  <c r="DH16" i="7"/>
  <c r="GQ15" i="7"/>
  <c r="GN15" i="7"/>
  <c r="GK15" i="7"/>
  <c r="GH15" i="7"/>
  <c r="FY15" i="7"/>
  <c r="FV15" i="7"/>
  <c r="FS15" i="7"/>
  <c r="FP15" i="7"/>
  <c r="FM15" i="7"/>
  <c r="FJ15" i="7"/>
  <c r="FG15" i="7"/>
  <c r="FD15" i="7"/>
  <c r="FA15" i="7"/>
  <c r="EX15" i="7"/>
  <c r="EU15" i="7"/>
  <c r="ER15" i="7"/>
  <c r="EO15" i="7"/>
  <c r="EL15" i="7"/>
  <c r="EI15" i="7"/>
  <c r="EF15" i="7"/>
  <c r="EC15" i="7"/>
  <c r="DZ15" i="7"/>
  <c r="DW15" i="7"/>
  <c r="DT15" i="7"/>
  <c r="DQ15" i="7"/>
  <c r="DN15" i="7"/>
  <c r="DK15" i="7"/>
  <c r="DH15" i="7"/>
  <c r="GQ14" i="7"/>
  <c r="GN14" i="7"/>
  <c r="GK14" i="7"/>
  <c r="GH14" i="7"/>
  <c r="GQ13" i="7"/>
  <c r="GN13" i="7"/>
  <c r="GK13" i="7"/>
  <c r="GH13" i="7"/>
  <c r="GH12" i="7"/>
  <c r="GH11" i="7"/>
  <c r="GQ10" i="7"/>
  <c r="GN10" i="7"/>
  <c r="GK10" i="7"/>
  <c r="GH10" i="7"/>
  <c r="GQ9" i="7"/>
  <c r="GN9" i="7"/>
  <c r="GK9" i="7"/>
  <c r="GH9" i="7"/>
  <c r="FY9" i="7"/>
  <c r="FV9" i="7"/>
  <c r="FS9" i="7"/>
  <c r="FP9" i="7"/>
  <c r="FM9" i="7"/>
  <c r="FJ9" i="7"/>
  <c r="FG9" i="7"/>
  <c r="FD9" i="7"/>
  <c r="FA9" i="7"/>
  <c r="EX9" i="7"/>
  <c r="EU9" i="7"/>
  <c r="ER9" i="7"/>
  <c r="EO9" i="7"/>
  <c r="EL9" i="7"/>
  <c r="EI9" i="7"/>
  <c r="EF9" i="7"/>
  <c r="EC9" i="7"/>
  <c r="DZ9" i="7"/>
  <c r="DW9" i="7"/>
  <c r="DT9" i="7"/>
  <c r="DQ9" i="7"/>
  <c r="DN9" i="7"/>
  <c r="DK9" i="7"/>
  <c r="DH9"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GQ8" i="7"/>
  <c r="GN8" i="7"/>
  <c r="GK8" i="7"/>
  <c r="GH8" i="7"/>
  <c r="GH7" i="7"/>
  <c r="GK7" i="7" s="1"/>
  <c r="GN7" i="7" s="1"/>
  <c r="GQ7" i="7" s="1"/>
  <c r="GE7" i="7"/>
  <c r="GB7" i="7"/>
  <c r="FY7" i="7"/>
  <c r="FV7" i="7"/>
  <c r="FS7" i="7"/>
  <c r="FP7" i="7"/>
  <c r="FM7" i="7"/>
  <c r="FJ7" i="7"/>
  <c r="FG7" i="7"/>
  <c r="FD7" i="7"/>
  <c r="FA7" i="7"/>
  <c r="EX7" i="7"/>
  <c r="EU7" i="7"/>
  <c r="ER7" i="7"/>
  <c r="EO7" i="7"/>
  <c r="EL7" i="7"/>
  <c r="EI7" i="7"/>
  <c r="EF7" i="7"/>
  <c r="E7" i="7"/>
  <c r="F7" i="7" s="1"/>
  <c r="G7" i="7" s="1"/>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AP7" i="7" s="1"/>
  <c r="AQ7" i="7" s="1"/>
  <c r="AR7" i="7" s="1"/>
  <c r="AS7" i="7" s="1"/>
  <c r="AT7" i="7" s="1"/>
  <c r="AU7" i="7" s="1"/>
  <c r="AV7" i="7" s="1"/>
  <c r="AW7" i="7" s="1"/>
  <c r="AX7" i="7" s="1"/>
  <c r="AY7" i="7" s="1"/>
  <c r="AZ7" i="7" s="1"/>
  <c r="BA7" i="7" s="1"/>
  <c r="BB7" i="7" s="1"/>
  <c r="BC7" i="7" s="1"/>
  <c r="BD7" i="7" s="1"/>
  <c r="BE7" i="7" s="1"/>
  <c r="BF7" i="7" s="1"/>
  <c r="BG7" i="7" s="1"/>
  <c r="BH7" i="7" s="1"/>
  <c r="BI7" i="7" s="1"/>
  <c r="BJ7" i="7" s="1"/>
  <c r="BK7" i="7" s="1"/>
  <c r="BL7" i="7" s="1"/>
  <c r="BM7" i="7" s="1"/>
  <c r="BN7" i="7" s="1"/>
  <c r="BO7" i="7" s="1"/>
  <c r="BP7" i="7" s="1"/>
  <c r="BQ7" i="7" s="1"/>
  <c r="BR7" i="7" s="1"/>
  <c r="BS7" i="7" s="1"/>
  <c r="BT7" i="7" s="1"/>
  <c r="BU7" i="7" s="1"/>
  <c r="BV7" i="7" s="1"/>
  <c r="BW7" i="7" s="1"/>
  <c r="BX7" i="7" s="1"/>
  <c r="BY7" i="7" s="1"/>
  <c r="BZ7" i="7" s="1"/>
  <c r="CA7" i="7" s="1"/>
  <c r="CH6" i="7"/>
  <c r="CK6" i="7" s="1"/>
  <c r="CN6" i="7" s="1"/>
  <c r="CQ6" i="7" s="1"/>
  <c r="CT6" i="7" s="1"/>
  <c r="CW6" i="7" s="1"/>
  <c r="CZ6" i="7" s="1"/>
  <c r="DC6" i="7" s="1"/>
  <c r="DF6" i="7" s="1"/>
  <c r="DI6" i="7" s="1"/>
  <c r="DL6" i="7" s="1"/>
  <c r="DO6" i="7" s="1"/>
  <c r="CE6" i="7"/>
  <c r="EJ3" i="7"/>
  <c r="R3" i="7"/>
  <c r="AF3" i="7" s="1"/>
  <c r="AT3" i="7" s="1"/>
  <c r="BH3" i="7" s="1"/>
  <c r="BV3" i="7" s="1"/>
  <c r="CN3" i="7" s="1"/>
  <c r="DB3" i="7" s="1"/>
  <c r="EJ1" i="7"/>
  <c r="R1" i="7"/>
  <c r="AF1" i="7" s="1"/>
  <c r="AT1" i="7" s="1"/>
  <c r="BH1" i="7" s="1"/>
  <c r="BV1" i="7" s="1"/>
  <c r="CN1" i="7" s="1"/>
  <c r="DB1" i="7" s="1"/>
  <c r="G153" i="13" l="1"/>
  <c r="C8" i="10" s="1"/>
  <c r="U28" i="14"/>
  <c r="N37" i="14"/>
  <c r="O36" i="14"/>
  <c r="C16" i="11"/>
  <c r="C14" i="11"/>
  <c r="C9" i="12" s="1"/>
  <c r="C20" i="11"/>
  <c r="C11" i="12" s="1"/>
  <c r="C18" i="11"/>
  <c r="C13" i="12" s="1"/>
  <c r="F16" i="8"/>
  <c r="F16" i="9"/>
  <c r="DR6" i="7"/>
  <c r="DQ7" i="7"/>
  <c r="V28" i="14" l="1"/>
  <c r="F153" i="13"/>
  <c r="H153" i="13" s="1"/>
  <c r="O37" i="14"/>
  <c r="P36" i="14"/>
  <c r="F17" i="9"/>
  <c r="F17" i="8"/>
  <c r="DU6" i="7"/>
  <c r="DT7" i="7"/>
  <c r="A1" i="3"/>
  <c r="A6" i="2"/>
  <c r="C7" i="10" l="1"/>
  <c r="C10" i="10" s="1"/>
  <c r="W28" i="14"/>
  <c r="Q36" i="14"/>
  <c r="P37" i="14"/>
  <c r="F18" i="8"/>
  <c r="F18" i="9"/>
  <c r="DX6" i="7"/>
  <c r="DW7" i="7"/>
  <c r="C17" i="3"/>
  <c r="C7" i="12" l="1"/>
  <c r="C15" i="12" s="1"/>
  <c r="G44" i="54"/>
  <c r="J11" i="53" s="1"/>
  <c r="P13" i="53" s="1"/>
  <c r="E14" i="52" s="1"/>
  <c r="G16" i="52" s="1"/>
  <c r="X28" i="14"/>
  <c r="R36" i="14"/>
  <c r="Q37" i="14"/>
  <c r="F19" i="8"/>
  <c r="F19" i="9"/>
  <c r="EA6" i="7"/>
  <c r="EC7" i="7" s="1"/>
  <c r="DZ7" i="7"/>
  <c r="C19" i="12" l="1"/>
  <c r="C17" i="12"/>
  <c r="C17" i="10"/>
  <c r="C24" i="10" s="1"/>
  <c r="C15" i="2" s="1"/>
  <c r="E15" i="2" s="1"/>
  <c r="Y28" i="14"/>
  <c r="S36" i="14"/>
  <c r="R37" i="14"/>
  <c r="F20" i="9"/>
  <c r="F20" i="8"/>
  <c r="Z28" i="14" l="1"/>
  <c r="T36" i="14"/>
  <c r="S37" i="14"/>
  <c r="F21" i="8"/>
  <c r="F21" i="9"/>
  <c r="AA28" i="14" l="1"/>
  <c r="T37" i="14"/>
  <c r="U36" i="14"/>
  <c r="F22" i="9"/>
  <c r="F22" i="8"/>
  <c r="AB28" i="14" l="1"/>
  <c r="U37" i="14"/>
  <c r="V36" i="14"/>
  <c r="F23" i="8"/>
  <c r="F23" i="9"/>
  <c r="AC28" i="14" l="1"/>
  <c r="V37" i="14"/>
  <c r="W36" i="14"/>
  <c r="F24" i="9"/>
  <c r="F24" i="8"/>
  <c r="AD28" i="14" l="1"/>
  <c r="W37" i="14"/>
  <c r="X36" i="14"/>
  <c r="F25" i="8"/>
  <c r="F25" i="9"/>
  <c r="AE28" i="14" l="1"/>
  <c r="Y36" i="14"/>
  <c r="X37" i="14"/>
  <c r="F26" i="8"/>
  <c r="F26" i="9"/>
  <c r="AF28" i="14" l="1"/>
  <c r="Z36" i="14"/>
  <c r="Y37" i="14"/>
  <c r="F27" i="9"/>
  <c r="F27" i="8"/>
  <c r="AG28" i="14" l="1"/>
  <c r="AA36" i="14"/>
  <c r="Z37" i="14"/>
  <c r="F28" i="8"/>
  <c r="F28" i="9"/>
  <c r="AH28" i="14" l="1"/>
  <c r="AB36" i="14"/>
  <c r="AA37" i="14"/>
  <c r="F29" i="9"/>
  <c r="F29" i="8"/>
  <c r="AI28" i="14" l="1"/>
  <c r="AB37" i="14"/>
  <c r="AC36" i="14"/>
  <c r="F30" i="8"/>
  <c r="F30" i="9"/>
  <c r="AJ28" i="14" l="1"/>
  <c r="AC37" i="14"/>
  <c r="AD36" i="14"/>
  <c r="F31" i="8"/>
  <c r="F31" i="9"/>
  <c r="AK28" i="14" l="1"/>
  <c r="AD37" i="14"/>
  <c r="AE36" i="14"/>
  <c r="F32" i="9"/>
  <c r="AL28" i="14" l="1"/>
  <c r="AE37" i="14"/>
  <c r="AF36" i="14"/>
  <c r="F33" i="9"/>
  <c r="AN28" i="14" l="1"/>
  <c r="AM28" i="14"/>
  <c r="AG36" i="14"/>
  <c r="AF37" i="14"/>
  <c r="F34" i="9"/>
  <c r="AH36" i="14" l="1"/>
  <c r="AG37" i="14"/>
  <c r="F35" i="9"/>
  <c r="AI36" i="14" l="1"/>
  <c r="AH37" i="14"/>
  <c r="F36" i="9"/>
  <c r="AJ36" i="14" l="1"/>
  <c r="AI37" i="14"/>
  <c r="F37" i="9"/>
  <c r="AJ37" i="14" l="1"/>
  <c r="AK36" i="14"/>
  <c r="F38" i="9"/>
  <c r="AK37" i="14" l="1"/>
  <c r="AL36" i="14"/>
  <c r="F39" i="9"/>
  <c r="AL37" i="14" l="1"/>
  <c r="AM36" i="14"/>
  <c r="F40" i="9"/>
  <c r="AM37" i="14" l="1"/>
  <c r="AN36" i="14"/>
  <c r="AN37" i="14" s="1"/>
  <c r="F41" i="9"/>
  <c r="F42" i="9" l="1"/>
  <c r="F43" i="9" l="1"/>
  <c r="F44" i="9" l="1"/>
  <c r="F45" i="9" l="1"/>
  <c r="F46" i="9" l="1"/>
  <c r="F47" i="9" l="1"/>
  <c r="F48" i="9" l="1"/>
  <c r="F49" i="9" l="1"/>
  <c r="F50" i="9" l="1"/>
  <c r="F51" i="9" l="1"/>
  <c r="F52" i="9" l="1"/>
  <c r="F53" i="9" l="1"/>
  <c r="F54" i="9" l="1"/>
  <c r="F55" i="9" l="1"/>
  <c r="F56" i="9" l="1"/>
  <c r="F57" i="9" l="1"/>
  <c r="F58" i="9" l="1"/>
  <c r="F59" i="9" l="1"/>
  <c r="F60" i="9" l="1"/>
  <c r="D17" i="3" l="1"/>
  <c r="C13" i="2" s="1"/>
  <c r="E13" i="2" s="1"/>
  <c r="M19" i="14" l="1"/>
  <c r="M30" i="14" s="1"/>
  <c r="M34" i="14" s="1"/>
  <c r="M38" i="14" s="1"/>
  <c r="N17" i="14"/>
  <c r="O17" i="14" s="1"/>
  <c r="P17" i="14" s="1"/>
  <c r="Q17" i="14" s="1"/>
  <c r="R17" i="14" s="1"/>
  <c r="S17" i="14" s="1"/>
  <c r="T17" i="14" s="1"/>
  <c r="U17" i="14" s="1"/>
  <c r="V17" i="14" s="1"/>
  <c r="W17" i="14" s="1"/>
  <c r="X17" i="14" s="1"/>
  <c r="Y17" i="14" s="1"/>
  <c r="Z17" i="14" s="1"/>
  <c r="AA17" i="14" s="1"/>
  <c r="AB17" i="14" s="1"/>
  <c r="AC17" i="14" s="1"/>
  <c r="AD17" i="14" s="1"/>
  <c r="AE17" i="14" s="1"/>
  <c r="AF17" i="14" s="1"/>
  <c r="AG17" i="14" s="1"/>
  <c r="AH17" i="14" s="1"/>
  <c r="AI17" i="14" s="1"/>
  <c r="AJ17" i="14" s="1"/>
  <c r="AK17" i="14" s="1"/>
  <c r="AL17" i="14" s="1"/>
  <c r="AM17" i="14" s="1"/>
  <c r="AN17" i="14" s="1"/>
  <c r="P19" i="14" l="1"/>
  <c r="P30" i="14" s="1"/>
  <c r="P34" i="14" s="1"/>
  <c r="P38" i="14" s="1"/>
  <c r="T19" i="14"/>
  <c r="T30" i="14" s="1"/>
  <c r="T34" i="14" s="1"/>
  <c r="T38" i="14" s="1"/>
  <c r="R19" i="14"/>
  <c r="R30" i="14" s="1"/>
  <c r="R34" i="14" s="1"/>
  <c r="R38" i="14" s="1"/>
  <c r="Q19" i="14"/>
  <c r="Q30" i="14" s="1"/>
  <c r="Q34" i="14" s="1"/>
  <c r="Q38" i="14" s="1"/>
  <c r="O19" i="14"/>
  <c r="O30" i="14" s="1"/>
  <c r="O34" i="14" s="1"/>
  <c r="O38" i="14" s="1"/>
  <c r="S19" i="14"/>
  <c r="S30" i="14" s="1"/>
  <c r="S34" i="14" s="1"/>
  <c r="S38" i="14" s="1"/>
  <c r="N19" i="14"/>
  <c r="N30" i="14" s="1"/>
  <c r="N34" i="14" s="1"/>
  <c r="N38" i="14" s="1"/>
  <c r="U19" i="14"/>
  <c r="U30" i="14" s="1"/>
  <c r="U34" i="14" s="1"/>
  <c r="U38" i="14" s="1"/>
  <c r="V19" i="14" l="1"/>
  <c r="V30" i="14" s="1"/>
  <c r="V34" i="14" s="1"/>
  <c r="V38" i="14" s="1"/>
  <c r="W19" i="14" l="1"/>
  <c r="W30" i="14" s="1"/>
  <c r="W34" i="14" s="1"/>
  <c r="W38" i="14" s="1"/>
  <c r="X19" i="14" l="1"/>
  <c r="X30" i="14" s="1"/>
  <c r="X34" i="14" s="1"/>
  <c r="X38" i="14" s="1"/>
  <c r="Y19" i="14" l="1"/>
  <c r="Y30" i="14" s="1"/>
  <c r="Y34" i="14" s="1"/>
  <c r="Y38" i="14" s="1"/>
  <c r="Z19" i="14" l="1"/>
  <c r="Z30" i="14" s="1"/>
  <c r="Z34" i="14" s="1"/>
  <c r="Z38" i="14" s="1"/>
  <c r="AA19" i="14" l="1"/>
  <c r="AA30" i="14" s="1"/>
  <c r="AA34" i="14" s="1"/>
  <c r="AA38" i="14" s="1"/>
  <c r="AB19" i="14" l="1"/>
  <c r="AB30" i="14" s="1"/>
  <c r="AB34" i="14" s="1"/>
  <c r="AB38" i="14" s="1"/>
  <c r="AC19" i="14" l="1"/>
  <c r="AC30" i="14" s="1"/>
  <c r="AC34" i="14" s="1"/>
  <c r="AC38" i="14" s="1"/>
  <c r="AD19" i="14" l="1"/>
  <c r="AD30" i="14" s="1"/>
  <c r="AD34" i="14" s="1"/>
  <c r="AD38" i="14" s="1"/>
  <c r="AE19" i="14" l="1"/>
  <c r="AE30" i="14" s="1"/>
  <c r="AE34" i="14" s="1"/>
  <c r="AE38" i="14" s="1"/>
  <c r="AF19" i="14" l="1"/>
  <c r="AF30" i="14" s="1"/>
  <c r="AF34" i="14" s="1"/>
  <c r="AF38" i="14" s="1"/>
  <c r="AG19" i="14" l="1"/>
  <c r="AG30" i="14" s="1"/>
  <c r="AG34" i="14" s="1"/>
  <c r="AG38" i="14" s="1"/>
  <c r="AH19" i="14" l="1"/>
  <c r="AH30" i="14" s="1"/>
  <c r="AH34" i="14" s="1"/>
  <c r="AH38" i="14" s="1"/>
  <c r="AI19" i="14" l="1"/>
  <c r="AI30" i="14" s="1"/>
  <c r="AI34" i="14" s="1"/>
  <c r="AI38" i="14" s="1"/>
  <c r="AJ19" i="14" l="1"/>
  <c r="AJ30" i="14" s="1"/>
  <c r="AJ34" i="14" s="1"/>
  <c r="AJ38" i="14" s="1"/>
  <c r="AK19" i="14" l="1"/>
  <c r="AK30" i="14" s="1"/>
  <c r="AK34" i="14" s="1"/>
  <c r="AK38" i="14" s="1"/>
  <c r="AL19" i="14" l="1"/>
  <c r="AL30" i="14" s="1"/>
  <c r="AL34" i="14" s="1"/>
  <c r="AL38" i="14" s="1"/>
  <c r="AN19" i="14" l="1"/>
  <c r="AN30" i="14" s="1"/>
  <c r="AN34" i="14" s="1"/>
  <c r="AM19" i="14"/>
  <c r="AM30" i="14" s="1"/>
  <c r="AM34" i="14" s="1"/>
  <c r="AM38" i="14" s="1"/>
  <c r="M40" i="14" s="1"/>
  <c r="AN35" i="14" l="1"/>
  <c r="AN38" i="14" s="1"/>
  <c r="M39" i="14" l="1"/>
  <c r="C17" i="2" s="1"/>
  <c r="E17" i="2" s="1"/>
  <c r="E19" i="2" s="1"/>
</calcChain>
</file>

<file path=xl/sharedStrings.xml><?xml version="1.0" encoding="utf-8"?>
<sst xmlns="http://schemas.openxmlformats.org/spreadsheetml/2006/main" count="9459" uniqueCount="3312">
  <si>
    <t>Conclusion of Value</t>
  </si>
  <si>
    <t>Using the Cost, Income, and Market Approaches</t>
  </si>
  <si>
    <t>Potential Purchasers</t>
  </si>
  <si>
    <t>Valuation Approach</t>
  </si>
  <si>
    <t>Water Company Traditionally Financed</t>
  </si>
  <si>
    <t>Approach</t>
  </si>
  <si>
    <t>Weighted</t>
  </si>
  <si>
    <t>Value</t>
  </si>
  <si>
    <t>Weight</t>
  </si>
  <si>
    <t>Cost</t>
  </si>
  <si>
    <t>Market</t>
  </si>
  <si>
    <t>Income</t>
  </si>
  <si>
    <t>Indicated Value</t>
  </si>
  <si>
    <t>Conculsion of Value using the Cost Approach</t>
  </si>
  <si>
    <t>Cost Approach Summary</t>
  </si>
  <si>
    <t>[1]</t>
  </si>
  <si>
    <t>[2]</t>
  </si>
  <si>
    <t>[3]</t>
  </si>
  <si>
    <t>Original Cost</t>
  </si>
  <si>
    <t>Depreciated Original Cost (Net Book Value)</t>
  </si>
  <si>
    <t>Reproduction Cost New Less Depreciation</t>
  </si>
  <si>
    <t>Total</t>
  </si>
  <si>
    <t xml:space="preserve">   Collecting &amp; Impounding Res.</t>
  </si>
  <si>
    <t xml:space="preserve">   Electric Pumping Equipment</t>
  </si>
  <si>
    <t xml:space="preserve">   Steel Reservoirs</t>
  </si>
  <si>
    <t xml:space="preserve">   PVC Mains</t>
  </si>
  <si>
    <t xml:space="preserve">   Meters</t>
  </si>
  <si>
    <t xml:space="preserve">   Hydrants Installed</t>
  </si>
  <si>
    <t xml:space="preserve">   Large Treatment Plant Equip.</t>
  </si>
  <si>
    <t xml:space="preserve">   Mains-Average All Types</t>
  </si>
  <si>
    <t>Age</t>
  </si>
  <si>
    <t>Year</t>
  </si>
  <si>
    <t>W-1</t>
  </si>
  <si>
    <t>COST TRENDS OF WATER UTILITY CONSTRUCTION</t>
  </si>
  <si>
    <t>NORTH ATLANTIC REGION  (1973=100)</t>
  </si>
  <si>
    <t>NORTH ATLANTIC REGION (1973=100)</t>
  </si>
  <si>
    <t>COST INDEX NUMBERS</t>
  </si>
  <si>
    <t>Line</t>
  </si>
  <si>
    <t>CONSTRUCTION AND EQUIPMENT</t>
  </si>
  <si>
    <t>NARUC</t>
  </si>
  <si>
    <t>Jan.
1</t>
  </si>
  <si>
    <t>Jul.
1</t>
  </si>
  <si>
    <t>Jul.   1</t>
  </si>
  <si>
    <t>Source of Supply Plant</t>
  </si>
  <si>
    <t>Pumping Plant</t>
  </si>
  <si>
    <t xml:space="preserve">   Structures &amp; Improvements</t>
  </si>
  <si>
    <t>-</t>
  </si>
  <si>
    <t>Water Treatment Plant</t>
  </si>
  <si>
    <t xml:space="preserve">   Small Treatment Plant Equip.</t>
  </si>
  <si>
    <t>Transmission Plant</t>
  </si>
  <si>
    <t xml:space="preserve">   Elevated Steel Tanks</t>
  </si>
  <si>
    <t xml:space="preserve">   Concrete Reservoirs</t>
  </si>
  <si>
    <t xml:space="preserve">   Cast Iron Mains</t>
  </si>
  <si>
    <t xml:space="preserve">   Steel Mains</t>
  </si>
  <si>
    <t xml:space="preserve">   Concrete Cylinder Mains</t>
  </si>
  <si>
    <t>Distribution Plant</t>
  </si>
  <si>
    <t xml:space="preserve">   Cement-Asbestos Mains</t>
  </si>
  <si>
    <t xml:space="preserve">   Services Installed</t>
  </si>
  <si>
    <t xml:space="preserve">   Meter Installations</t>
  </si>
  <si>
    <t>Miscellaneous Items</t>
  </si>
  <si>
    <t xml:space="preserve">   Flocculating Equipment-Installed</t>
  </si>
  <si>
    <t xml:space="preserve">   Clarifier Equipment-Installed</t>
  </si>
  <si>
    <t xml:space="preserve">   Filter Gallery Piping-Installed</t>
  </si>
  <si>
    <t>Description</t>
  </si>
  <si>
    <t>PPI Industry Data</t>
  </si>
  <si>
    <t>Series Title</t>
  </si>
  <si>
    <t>PPI industry data for Electrical equipment mfg, not seasonally adjusted</t>
  </si>
  <si>
    <t>Series ID</t>
  </si>
  <si>
    <t>PCU33531-33531-</t>
  </si>
  <si>
    <t>Seasonality</t>
  </si>
  <si>
    <t>Not Seasonally Adjusted</t>
  </si>
  <si>
    <t>Survey Name</t>
  </si>
  <si>
    <t>Measure Data Type</t>
  </si>
  <si>
    <t>Electrical equipment mfg</t>
  </si>
  <si>
    <t>Industry</t>
  </si>
  <si>
    <t>Item</t>
  </si>
  <si>
    <t>Period</t>
  </si>
  <si>
    <t>Label</t>
  </si>
  <si>
    <t>Observation Value</t>
  </si>
  <si>
    <t>2003</t>
  </si>
  <si>
    <t>M12</t>
  </si>
  <si>
    <t>2003 Dec</t>
  </si>
  <si>
    <t>2004</t>
  </si>
  <si>
    <t>M01</t>
  </si>
  <si>
    <t>2004 Jan</t>
  </si>
  <si>
    <t>M02</t>
  </si>
  <si>
    <t>2004 Feb</t>
  </si>
  <si>
    <t>M03</t>
  </si>
  <si>
    <t>2004 Mar</t>
  </si>
  <si>
    <t>M04</t>
  </si>
  <si>
    <t>2004 Apr</t>
  </si>
  <si>
    <t>M05</t>
  </si>
  <si>
    <t>2004 May</t>
  </si>
  <si>
    <t>M06</t>
  </si>
  <si>
    <t>2004 Jun</t>
  </si>
  <si>
    <t>M07</t>
  </si>
  <si>
    <t>2004 Jul</t>
  </si>
  <si>
    <t>M08</t>
  </si>
  <si>
    <t>2004 Aug</t>
  </si>
  <si>
    <t>M09</t>
  </si>
  <si>
    <t>2004 Sep</t>
  </si>
  <si>
    <t>M10</t>
  </si>
  <si>
    <t>2004 Oct</t>
  </si>
  <si>
    <t>M11</t>
  </si>
  <si>
    <t>2004 Nov</t>
  </si>
  <si>
    <t>2004 Dec</t>
  </si>
  <si>
    <t>2005</t>
  </si>
  <si>
    <t>2005 Jan</t>
  </si>
  <si>
    <t>2005 Feb</t>
  </si>
  <si>
    <t>2005 Mar</t>
  </si>
  <si>
    <t>2005 Apr</t>
  </si>
  <si>
    <t>2005 May</t>
  </si>
  <si>
    <t>2005 Jun</t>
  </si>
  <si>
    <t>2005 Jul</t>
  </si>
  <si>
    <t>2005 Aug</t>
  </si>
  <si>
    <t>2005 Sep</t>
  </si>
  <si>
    <t>2005 Oct</t>
  </si>
  <si>
    <t>2005 Nov</t>
  </si>
  <si>
    <t>2005 Dec</t>
  </si>
  <si>
    <t>2006</t>
  </si>
  <si>
    <t>2006 Jan</t>
  </si>
  <si>
    <t>2006 Feb</t>
  </si>
  <si>
    <t>2006 Mar</t>
  </si>
  <si>
    <t>2006 Apr</t>
  </si>
  <si>
    <t>2006 May</t>
  </si>
  <si>
    <t>2006 Jun</t>
  </si>
  <si>
    <t>2006 Jul</t>
  </si>
  <si>
    <t>2006 Aug</t>
  </si>
  <si>
    <t>2006 Sep</t>
  </si>
  <si>
    <t>2006 Oct</t>
  </si>
  <si>
    <t>2006 Nov</t>
  </si>
  <si>
    <t>2006 Dec</t>
  </si>
  <si>
    <t>2007</t>
  </si>
  <si>
    <t>2007 Jan</t>
  </si>
  <si>
    <t>2007 Feb</t>
  </si>
  <si>
    <t>2007 Mar</t>
  </si>
  <si>
    <t>2007 Apr</t>
  </si>
  <si>
    <t>2007 May</t>
  </si>
  <si>
    <t>2007 Jun</t>
  </si>
  <si>
    <t>2007 Jul</t>
  </si>
  <si>
    <t>2007 Aug</t>
  </si>
  <si>
    <t>2007 Sep</t>
  </si>
  <si>
    <t>2007 Oct</t>
  </si>
  <si>
    <t>2007 Nov</t>
  </si>
  <si>
    <t>2007 Dec</t>
  </si>
  <si>
    <t>2008</t>
  </si>
  <si>
    <t>2008 Jan</t>
  </si>
  <si>
    <t>2008 Feb</t>
  </si>
  <si>
    <t>2008 Mar</t>
  </si>
  <si>
    <t>2008 Apr</t>
  </si>
  <si>
    <t>2008 May</t>
  </si>
  <si>
    <t>2008 Jun</t>
  </si>
  <si>
    <t>2008 Jul</t>
  </si>
  <si>
    <t>2008 Aug</t>
  </si>
  <si>
    <t>2008 Sep</t>
  </si>
  <si>
    <t>2008 Oct</t>
  </si>
  <si>
    <t>2008 Nov</t>
  </si>
  <si>
    <t>2008 Dec</t>
  </si>
  <si>
    <t>2009</t>
  </si>
  <si>
    <t>2009 Jan</t>
  </si>
  <si>
    <t>2009 Feb</t>
  </si>
  <si>
    <t>2009 Mar</t>
  </si>
  <si>
    <t>2009 Apr</t>
  </si>
  <si>
    <t>2009 May</t>
  </si>
  <si>
    <t>2009 Jun</t>
  </si>
  <si>
    <t>2009 Jul</t>
  </si>
  <si>
    <t>2009 Aug</t>
  </si>
  <si>
    <t>2009 Sep</t>
  </si>
  <si>
    <t>2009 Oct</t>
  </si>
  <si>
    <t>2009 Nov</t>
  </si>
  <si>
    <t>2009 Dec</t>
  </si>
  <si>
    <t>2010</t>
  </si>
  <si>
    <t>2010 Jan</t>
  </si>
  <si>
    <t>2010 Feb</t>
  </si>
  <si>
    <t>2010 Mar</t>
  </si>
  <si>
    <t>2010 Apr</t>
  </si>
  <si>
    <t>2010 May</t>
  </si>
  <si>
    <t>2010 Jun</t>
  </si>
  <si>
    <t>2010 Jul</t>
  </si>
  <si>
    <t>2010 Aug</t>
  </si>
  <si>
    <t>2010 Sep</t>
  </si>
  <si>
    <t>2010 Oct</t>
  </si>
  <si>
    <t>2010 Nov</t>
  </si>
  <si>
    <t>2010 Dec</t>
  </si>
  <si>
    <t>2011</t>
  </si>
  <si>
    <t>2011 Jan</t>
  </si>
  <si>
    <t>2011 Feb</t>
  </si>
  <si>
    <t>2011 Mar</t>
  </si>
  <si>
    <t>2011 Apr</t>
  </si>
  <si>
    <t>2011 May</t>
  </si>
  <si>
    <t>2011 Jun</t>
  </si>
  <si>
    <t>2011 Jul</t>
  </si>
  <si>
    <t>2011 Aug</t>
  </si>
  <si>
    <t>2011 Sep</t>
  </si>
  <si>
    <t>2011 Oct</t>
  </si>
  <si>
    <t>2011 Nov</t>
  </si>
  <si>
    <t>2011 Dec</t>
  </si>
  <si>
    <t>2012</t>
  </si>
  <si>
    <t>2012 Jan</t>
  </si>
  <si>
    <t>2012 Feb</t>
  </si>
  <si>
    <t>2012 Mar</t>
  </si>
  <si>
    <t>2012 Apr</t>
  </si>
  <si>
    <t>2012 May</t>
  </si>
  <si>
    <t>2012 Jun</t>
  </si>
  <si>
    <t>2012 Jul</t>
  </si>
  <si>
    <t>2012 Aug</t>
  </si>
  <si>
    <t>2012 Sep</t>
  </si>
  <si>
    <t>2012 Oct</t>
  </si>
  <si>
    <t>2012 Nov</t>
  </si>
  <si>
    <t>2012 Dec</t>
  </si>
  <si>
    <t>2013</t>
  </si>
  <si>
    <t>2013 Jan</t>
  </si>
  <si>
    <t>2013 Feb</t>
  </si>
  <si>
    <t>2013 Mar</t>
  </si>
  <si>
    <t>2013 Apr</t>
  </si>
  <si>
    <t>2013 May</t>
  </si>
  <si>
    <t>2013 Jun</t>
  </si>
  <si>
    <t>2013 Jul</t>
  </si>
  <si>
    <t>2013 Aug</t>
  </si>
  <si>
    <t>2013 Sep</t>
  </si>
  <si>
    <t>2013 Oct</t>
  </si>
  <si>
    <t>2013 Nov</t>
  </si>
  <si>
    <t>2013 Dec</t>
  </si>
  <si>
    <t>2014</t>
  </si>
  <si>
    <t>2014 Jan</t>
  </si>
  <si>
    <t>2014 Feb</t>
  </si>
  <si>
    <t>2014 Mar</t>
  </si>
  <si>
    <t>2014 Apr</t>
  </si>
  <si>
    <t>2014 May</t>
  </si>
  <si>
    <t>2014 Jun</t>
  </si>
  <si>
    <t>2014 Jul</t>
  </si>
  <si>
    <t>2014 Aug</t>
  </si>
  <si>
    <t>2014 Sep</t>
  </si>
  <si>
    <t>2014 Oct</t>
  </si>
  <si>
    <t>2014 Nov</t>
  </si>
  <si>
    <t>2014 Dec</t>
  </si>
  <si>
    <t>2015</t>
  </si>
  <si>
    <t>2015 Jan</t>
  </si>
  <si>
    <t>2015 Feb</t>
  </si>
  <si>
    <t>2015 Mar</t>
  </si>
  <si>
    <t>2015 Apr</t>
  </si>
  <si>
    <t>2015 May</t>
  </si>
  <si>
    <t>2015 Jun</t>
  </si>
  <si>
    <t>2015 Jul</t>
  </si>
  <si>
    <t>2015 Aug</t>
  </si>
  <si>
    <t>2015 Sep</t>
  </si>
  <si>
    <t>2015 Oct</t>
  </si>
  <si>
    <t>2015 Nov</t>
  </si>
  <si>
    <t>2015 Dec</t>
  </si>
  <si>
    <t>2016</t>
  </si>
  <si>
    <t>2016 Jan</t>
  </si>
  <si>
    <t>2016 Feb</t>
  </si>
  <si>
    <t>2016 Mar</t>
  </si>
  <si>
    <t>2016 Apr</t>
  </si>
  <si>
    <t>2016 May</t>
  </si>
  <si>
    <t>2016 Jun</t>
  </si>
  <si>
    <t>2016 Jul</t>
  </si>
  <si>
    <t>2016 Aug</t>
  </si>
  <si>
    <t>2016 Sep</t>
  </si>
  <si>
    <t>2016 Oct</t>
  </si>
  <si>
    <t>2016 Nov</t>
  </si>
  <si>
    <t>2016 Dec</t>
  </si>
  <si>
    <t>2017</t>
  </si>
  <si>
    <t>2017 Jan</t>
  </si>
  <si>
    <t>2017 Feb</t>
  </si>
  <si>
    <t>2017 Mar</t>
  </si>
  <si>
    <t>2017 Apr</t>
  </si>
  <si>
    <t>2017 May</t>
  </si>
  <si>
    <t>2017 Jun</t>
  </si>
  <si>
    <t>2017 Jul</t>
  </si>
  <si>
    <t>2017 Aug</t>
  </si>
  <si>
    <t>2017 Sep</t>
  </si>
  <si>
    <t>2017 Oct</t>
  </si>
  <si>
    <t>2017 Nov</t>
  </si>
  <si>
    <t>2017 Dec</t>
  </si>
  <si>
    <t>2018</t>
  </si>
  <si>
    <t>2018 Jan</t>
  </si>
  <si>
    <t>2018 Feb</t>
  </si>
  <si>
    <t>2018 Mar</t>
  </si>
  <si>
    <t>2018 Apr</t>
  </si>
  <si>
    <t>2018 May</t>
  </si>
  <si>
    <t>2018 Jun</t>
  </si>
  <si>
    <t>2018 Jul</t>
  </si>
  <si>
    <t>2018 Aug</t>
  </si>
  <si>
    <t>2018 Sep</t>
  </si>
  <si>
    <t>2018 Oct</t>
  </si>
  <si>
    <t>2018 Nov</t>
  </si>
  <si>
    <t>2018 Dec</t>
  </si>
  <si>
    <t>2019</t>
  </si>
  <si>
    <t>2019 Jan</t>
  </si>
  <si>
    <t>2019 Feb</t>
  </si>
  <si>
    <t>2019 Mar</t>
  </si>
  <si>
    <t>2019 Apr</t>
  </si>
  <si>
    <t>2019 May</t>
  </si>
  <si>
    <t>2019 Jun</t>
  </si>
  <si>
    <t>2019 Jul</t>
  </si>
  <si>
    <t>2019 Aug</t>
  </si>
  <si>
    <t>2019 Sep</t>
  </si>
  <si>
    <t>2019 Oct</t>
  </si>
  <si>
    <t>2019 Nov</t>
  </si>
  <si>
    <t>2019 Dec</t>
  </si>
  <si>
    <t>2020</t>
  </si>
  <si>
    <t>2020 Jan</t>
  </si>
  <si>
    <t>2020 Feb</t>
  </si>
  <si>
    <t>2020 Mar</t>
  </si>
  <si>
    <t>2020 Apr</t>
  </si>
  <si>
    <t>2020 May</t>
  </si>
  <si>
    <t>2020 Jun</t>
  </si>
  <si>
    <t>2020 Jul</t>
  </si>
  <si>
    <t>2020 Aug</t>
  </si>
  <si>
    <t>2020 Sep</t>
  </si>
  <si>
    <t>2020 Oct</t>
  </si>
  <si>
    <t>2020 Nov</t>
  </si>
  <si>
    <t>2020 Dec</t>
  </si>
  <si>
    <t>2021</t>
  </si>
  <si>
    <t>2021 Jan</t>
  </si>
  <si>
    <t>2021 Feb</t>
  </si>
  <si>
    <t>2021 Mar</t>
  </si>
  <si>
    <t>2021 Apr</t>
  </si>
  <si>
    <t>2021 May</t>
  </si>
  <si>
    <t>2021 Jun</t>
  </si>
  <si>
    <t>2021 Jul</t>
  </si>
  <si>
    <t>2021 Aug</t>
  </si>
  <si>
    <t>2021 Sep</t>
  </si>
  <si>
    <t>2021 Oct</t>
  </si>
  <si>
    <t>2021 Nov</t>
  </si>
  <si>
    <t>2021 Dec</t>
  </si>
  <si>
    <t>2022</t>
  </si>
  <si>
    <t>2022 Jan</t>
  </si>
  <si>
    <t>2022 Feb</t>
  </si>
  <si>
    <t>2022 Mar</t>
  </si>
  <si>
    <t>2022 Apr</t>
  </si>
  <si>
    <t>2022 May</t>
  </si>
  <si>
    <t>PPI industry data for Automobile, light truck and utility vehicle mfg, not seasonally adjusted</t>
  </si>
  <si>
    <t>PCU336110336110</t>
  </si>
  <si>
    <t>Automobile, light truck and utility vehicle mfg</t>
  </si>
  <si>
    <t>1975</t>
  </si>
  <si>
    <t>1975 Dec</t>
  </si>
  <si>
    <t>1976</t>
  </si>
  <si>
    <t>1976 Jan</t>
  </si>
  <si>
    <t>1976 Feb</t>
  </si>
  <si>
    <t>1976 Mar</t>
  </si>
  <si>
    <t>1976 Apr</t>
  </si>
  <si>
    <t>1976 May</t>
  </si>
  <si>
    <t>1976 Jun</t>
  </si>
  <si>
    <t>1976 Jul</t>
  </si>
  <si>
    <t>1976 Aug</t>
  </si>
  <si>
    <t>1976 Sep</t>
  </si>
  <si>
    <t>1976 Oct</t>
  </si>
  <si>
    <t>1976 Nov</t>
  </si>
  <si>
    <t>1976 Dec</t>
  </si>
  <si>
    <t>1977</t>
  </si>
  <si>
    <t>1977 Jan</t>
  </si>
  <si>
    <t>1977 Feb</t>
  </si>
  <si>
    <t>1977 Mar</t>
  </si>
  <si>
    <t>1977 Apr</t>
  </si>
  <si>
    <t>1977 May</t>
  </si>
  <si>
    <t>1977 Jun</t>
  </si>
  <si>
    <t>1977 Jul</t>
  </si>
  <si>
    <t>1977 Aug</t>
  </si>
  <si>
    <t>1977 Sep</t>
  </si>
  <si>
    <t>1977 Oct</t>
  </si>
  <si>
    <t>1977 Nov</t>
  </si>
  <si>
    <t>1977 Dec</t>
  </si>
  <si>
    <t>1978</t>
  </si>
  <si>
    <t>1978 Jan</t>
  </si>
  <si>
    <t>1978 Feb</t>
  </si>
  <si>
    <t>1978 Mar</t>
  </si>
  <si>
    <t>1978 Apr</t>
  </si>
  <si>
    <t>1978 May</t>
  </si>
  <si>
    <t>1978 Jun</t>
  </si>
  <si>
    <t>1978 Jul</t>
  </si>
  <si>
    <t>1978 Aug</t>
  </si>
  <si>
    <t>1978 Sep</t>
  </si>
  <si>
    <t>1978 Oct</t>
  </si>
  <si>
    <t>1978 Nov</t>
  </si>
  <si>
    <t>1978 Dec</t>
  </si>
  <si>
    <t>1979</t>
  </si>
  <si>
    <t>1979 Jan</t>
  </si>
  <si>
    <t>1979 Feb</t>
  </si>
  <si>
    <t>1979 Mar</t>
  </si>
  <si>
    <t>1979 Apr</t>
  </si>
  <si>
    <t>1979 May</t>
  </si>
  <si>
    <t>1979 Jun</t>
  </si>
  <si>
    <t>1979 Jul</t>
  </si>
  <si>
    <t>1979 Aug</t>
  </si>
  <si>
    <t>1979 Sep</t>
  </si>
  <si>
    <t>1979 Oct</t>
  </si>
  <si>
    <t>1979 Nov</t>
  </si>
  <si>
    <t>1979 Dec</t>
  </si>
  <si>
    <t>1980</t>
  </si>
  <si>
    <t>1980 Jan</t>
  </si>
  <si>
    <t>1980 Feb</t>
  </si>
  <si>
    <t>1980 Mar</t>
  </si>
  <si>
    <t>1980 Apr</t>
  </si>
  <si>
    <t>1980 May</t>
  </si>
  <si>
    <t>1980 Jun</t>
  </si>
  <si>
    <t>1980 Jul</t>
  </si>
  <si>
    <t>1980 Aug</t>
  </si>
  <si>
    <t>1980 Sep</t>
  </si>
  <si>
    <t>1980 Oct</t>
  </si>
  <si>
    <t>1980 Nov</t>
  </si>
  <si>
    <t>1980 Dec</t>
  </si>
  <si>
    <t>1981</t>
  </si>
  <si>
    <t>1981 Jan</t>
  </si>
  <si>
    <t>1981 Feb</t>
  </si>
  <si>
    <t>1981 Mar</t>
  </si>
  <si>
    <t>1981 Apr</t>
  </si>
  <si>
    <t>1981 May</t>
  </si>
  <si>
    <t>1981 Jun</t>
  </si>
  <si>
    <t>1981 Jul</t>
  </si>
  <si>
    <t>1981 Aug</t>
  </si>
  <si>
    <t>1981 Sep</t>
  </si>
  <si>
    <t>1981 Oct</t>
  </si>
  <si>
    <t>1981 Nov</t>
  </si>
  <si>
    <t>1981 Dec</t>
  </si>
  <si>
    <t>1982</t>
  </si>
  <si>
    <t>1982 Jan</t>
  </si>
  <si>
    <t>1982 Feb</t>
  </si>
  <si>
    <t>1982 Mar</t>
  </si>
  <si>
    <t>1982 Apr</t>
  </si>
  <si>
    <t>1982 May</t>
  </si>
  <si>
    <t>1982 Jun</t>
  </si>
  <si>
    <t>1982 Jul</t>
  </si>
  <si>
    <t>1982 Aug</t>
  </si>
  <si>
    <t>1982 Sep</t>
  </si>
  <si>
    <t>1982 Oct</t>
  </si>
  <si>
    <t>1982 Nov</t>
  </si>
  <si>
    <t>1982 Dec</t>
  </si>
  <si>
    <t>1983</t>
  </si>
  <si>
    <t>1983 Jan</t>
  </si>
  <si>
    <t>1983 Feb</t>
  </si>
  <si>
    <t>1983 Mar</t>
  </si>
  <si>
    <t>1983 Apr</t>
  </si>
  <si>
    <t>1983 May</t>
  </si>
  <si>
    <t>1983 Jun</t>
  </si>
  <si>
    <t>1983 Jul</t>
  </si>
  <si>
    <t>1983 Aug</t>
  </si>
  <si>
    <t>1983 Sep</t>
  </si>
  <si>
    <t>1983 Oct</t>
  </si>
  <si>
    <t>1983 Nov</t>
  </si>
  <si>
    <t>1983 Dec</t>
  </si>
  <si>
    <t>1984</t>
  </si>
  <si>
    <t>1984 Jan</t>
  </si>
  <si>
    <t>1984 Feb</t>
  </si>
  <si>
    <t>1984 Mar</t>
  </si>
  <si>
    <t>1984 Apr</t>
  </si>
  <si>
    <t>1984 May</t>
  </si>
  <si>
    <t>1984 Jun</t>
  </si>
  <si>
    <t>1984 Jul</t>
  </si>
  <si>
    <t>1984 Aug</t>
  </si>
  <si>
    <t>1984 Sep</t>
  </si>
  <si>
    <t>1984 Oct</t>
  </si>
  <si>
    <t>1984 Nov</t>
  </si>
  <si>
    <t>1984 Dec</t>
  </si>
  <si>
    <t>1985</t>
  </si>
  <si>
    <t>1985 Jan</t>
  </si>
  <si>
    <t>1985 Feb</t>
  </si>
  <si>
    <t>1985 Mar</t>
  </si>
  <si>
    <t>1985 Apr</t>
  </si>
  <si>
    <t>1985 May</t>
  </si>
  <si>
    <t>1985 Jun</t>
  </si>
  <si>
    <t>1985 Jul</t>
  </si>
  <si>
    <t>1985 Aug</t>
  </si>
  <si>
    <t>1985 Sep</t>
  </si>
  <si>
    <t>1985 Oct</t>
  </si>
  <si>
    <t>1985 Nov</t>
  </si>
  <si>
    <t>1985 Dec</t>
  </si>
  <si>
    <t>1986</t>
  </si>
  <si>
    <t>1986 Jan</t>
  </si>
  <si>
    <t>1986 Feb</t>
  </si>
  <si>
    <t>1986 Mar</t>
  </si>
  <si>
    <t>1986 Apr</t>
  </si>
  <si>
    <t>1986 May</t>
  </si>
  <si>
    <t>1986 Jun</t>
  </si>
  <si>
    <t>1986 Jul</t>
  </si>
  <si>
    <t>1986 Aug</t>
  </si>
  <si>
    <t>1986 Sep</t>
  </si>
  <si>
    <t>1986 Oct</t>
  </si>
  <si>
    <t>1986 Nov</t>
  </si>
  <si>
    <t>1986 Dec</t>
  </si>
  <si>
    <t>1987</t>
  </si>
  <si>
    <t>1987 Jan</t>
  </si>
  <si>
    <t>1987 Feb</t>
  </si>
  <si>
    <t>1987 Mar</t>
  </si>
  <si>
    <t>1987 Apr</t>
  </si>
  <si>
    <t>1987 May</t>
  </si>
  <si>
    <t>1987 Jun</t>
  </si>
  <si>
    <t>1987 Jul</t>
  </si>
  <si>
    <t>1987 Aug</t>
  </si>
  <si>
    <t>1987 Sep</t>
  </si>
  <si>
    <t>1987 Oct</t>
  </si>
  <si>
    <t>1987 Nov</t>
  </si>
  <si>
    <t>1987 Dec</t>
  </si>
  <si>
    <t>1988</t>
  </si>
  <si>
    <t>1988 Jan</t>
  </si>
  <si>
    <t>1988 Feb</t>
  </si>
  <si>
    <t>1988 Mar</t>
  </si>
  <si>
    <t>1988 Apr</t>
  </si>
  <si>
    <t>1988 May</t>
  </si>
  <si>
    <t>1988 Jun</t>
  </si>
  <si>
    <t>1988 Jul</t>
  </si>
  <si>
    <t>1988 Aug</t>
  </si>
  <si>
    <t>1988 Sep</t>
  </si>
  <si>
    <t>1988 Oct</t>
  </si>
  <si>
    <t>1988 Nov</t>
  </si>
  <si>
    <t>1988 Dec</t>
  </si>
  <si>
    <t>1989</t>
  </si>
  <si>
    <t>1989 Jan</t>
  </si>
  <si>
    <t>1989 Feb</t>
  </si>
  <si>
    <t>1989 Mar</t>
  </si>
  <si>
    <t>1989 Apr</t>
  </si>
  <si>
    <t>1989 May</t>
  </si>
  <si>
    <t>1989 Jun</t>
  </si>
  <si>
    <t>1989 Jul</t>
  </si>
  <si>
    <t>1989 Aug</t>
  </si>
  <si>
    <t>1989 Sep</t>
  </si>
  <si>
    <t>1989 Oct</t>
  </si>
  <si>
    <t>1989 Nov</t>
  </si>
  <si>
    <t>1989 Dec</t>
  </si>
  <si>
    <t>1990</t>
  </si>
  <si>
    <t>1990 Jan</t>
  </si>
  <si>
    <t>1990 Feb</t>
  </si>
  <si>
    <t>1990 Mar</t>
  </si>
  <si>
    <t>1990 Apr</t>
  </si>
  <si>
    <t>1990 May</t>
  </si>
  <si>
    <t>1990 Jun</t>
  </si>
  <si>
    <t>1990 Jul</t>
  </si>
  <si>
    <t>1990 Aug</t>
  </si>
  <si>
    <t>1990 Sep</t>
  </si>
  <si>
    <t>1990 Oct</t>
  </si>
  <si>
    <t>1990 Nov</t>
  </si>
  <si>
    <t>1990 Dec</t>
  </si>
  <si>
    <t>1991</t>
  </si>
  <si>
    <t>1991 Jan</t>
  </si>
  <si>
    <t>1991 Feb</t>
  </si>
  <si>
    <t>1991 Mar</t>
  </si>
  <si>
    <t>1991 Apr</t>
  </si>
  <si>
    <t>1991 May</t>
  </si>
  <si>
    <t>1991 Jun</t>
  </si>
  <si>
    <t>1991 Jul</t>
  </si>
  <si>
    <t>1991 Aug</t>
  </si>
  <si>
    <t>1991 Sep</t>
  </si>
  <si>
    <t>1991 Oct</t>
  </si>
  <si>
    <t>1991 Nov</t>
  </si>
  <si>
    <t>1991 Dec</t>
  </si>
  <si>
    <t>1992</t>
  </si>
  <si>
    <t>1992 Jan</t>
  </si>
  <si>
    <t>1992 Feb</t>
  </si>
  <si>
    <t>1992 Mar</t>
  </si>
  <si>
    <t>1992 Apr</t>
  </si>
  <si>
    <t>1992 May</t>
  </si>
  <si>
    <t>1992 Jun</t>
  </si>
  <si>
    <t>1992 Jul</t>
  </si>
  <si>
    <t>1992 Aug</t>
  </si>
  <si>
    <t>1992 Sep</t>
  </si>
  <si>
    <t>1992 Oct</t>
  </si>
  <si>
    <t>1992 Nov</t>
  </si>
  <si>
    <t>1992 Dec</t>
  </si>
  <si>
    <t>1993</t>
  </si>
  <si>
    <t>1993 Jan</t>
  </si>
  <si>
    <t>1993 Feb</t>
  </si>
  <si>
    <t>1993 Mar</t>
  </si>
  <si>
    <t>1993 Apr</t>
  </si>
  <si>
    <t>1993 May</t>
  </si>
  <si>
    <t>1993 Jun</t>
  </si>
  <si>
    <t>1993 Jul</t>
  </si>
  <si>
    <t>1993 Aug</t>
  </si>
  <si>
    <t>1993 Sep</t>
  </si>
  <si>
    <t>1993 Oct</t>
  </si>
  <si>
    <t>1993 Nov</t>
  </si>
  <si>
    <t>1993 Dec</t>
  </si>
  <si>
    <t>1994</t>
  </si>
  <si>
    <t>1994 Jan</t>
  </si>
  <si>
    <t>1994 Feb</t>
  </si>
  <si>
    <t>1994 Mar</t>
  </si>
  <si>
    <t>1994 Apr</t>
  </si>
  <si>
    <t>1994 May</t>
  </si>
  <si>
    <t>1994 Jun</t>
  </si>
  <si>
    <t>1994 Jul</t>
  </si>
  <si>
    <t>1994 Aug</t>
  </si>
  <si>
    <t>1994 Sep</t>
  </si>
  <si>
    <t>1994 Oct</t>
  </si>
  <si>
    <t>1994 Nov</t>
  </si>
  <si>
    <t>1994 Dec</t>
  </si>
  <si>
    <t>1995</t>
  </si>
  <si>
    <t>1995 Jan</t>
  </si>
  <si>
    <t>1995 Feb</t>
  </si>
  <si>
    <t>1995 Mar</t>
  </si>
  <si>
    <t>1995 Apr</t>
  </si>
  <si>
    <t>1995 May</t>
  </si>
  <si>
    <t>1995 Jun</t>
  </si>
  <si>
    <t>1995 Jul</t>
  </si>
  <si>
    <t>1995 Aug</t>
  </si>
  <si>
    <t>1995 Sep</t>
  </si>
  <si>
    <t>1995 Oct</t>
  </si>
  <si>
    <t>1995 Nov</t>
  </si>
  <si>
    <t>1995 Dec</t>
  </si>
  <si>
    <t>1996</t>
  </si>
  <si>
    <t>1996 Jan</t>
  </si>
  <si>
    <t>1996 Feb</t>
  </si>
  <si>
    <t>1996 Mar</t>
  </si>
  <si>
    <t>1996 Apr</t>
  </si>
  <si>
    <t>1996 May</t>
  </si>
  <si>
    <t>1996 Jun</t>
  </si>
  <si>
    <t>1996 Jul</t>
  </si>
  <si>
    <t>1996 Aug</t>
  </si>
  <si>
    <t>1996 Sep</t>
  </si>
  <si>
    <t>1996 Oct</t>
  </si>
  <si>
    <t>1996 Nov</t>
  </si>
  <si>
    <t>1996 Dec</t>
  </si>
  <si>
    <t>1997</t>
  </si>
  <si>
    <t>1997 Jan</t>
  </si>
  <si>
    <t>1997 Feb</t>
  </si>
  <si>
    <t>1997 Mar</t>
  </si>
  <si>
    <t>1997 Apr</t>
  </si>
  <si>
    <t>1997 May</t>
  </si>
  <si>
    <t>1997 Jun</t>
  </si>
  <si>
    <t>1997 Jul</t>
  </si>
  <si>
    <t>1997 Aug</t>
  </si>
  <si>
    <t>1997 Sep</t>
  </si>
  <si>
    <t>1997 Oct</t>
  </si>
  <si>
    <t>1997 Nov</t>
  </si>
  <si>
    <t>1997 Dec</t>
  </si>
  <si>
    <t>1998</t>
  </si>
  <si>
    <t>1998 Jan</t>
  </si>
  <si>
    <t>1998 Feb</t>
  </si>
  <si>
    <t>1998 Mar</t>
  </si>
  <si>
    <t>1998 Apr</t>
  </si>
  <si>
    <t>1998 May</t>
  </si>
  <si>
    <t>1998 Jun</t>
  </si>
  <si>
    <t>1998 Jul</t>
  </si>
  <si>
    <t>1998 Aug</t>
  </si>
  <si>
    <t>1998 Sep</t>
  </si>
  <si>
    <t>1998 Oct</t>
  </si>
  <si>
    <t>1998 Nov</t>
  </si>
  <si>
    <t>1998 Dec</t>
  </si>
  <si>
    <t>1999</t>
  </si>
  <si>
    <t>1999 Jan</t>
  </si>
  <si>
    <t>1999 Feb</t>
  </si>
  <si>
    <t>1999 Mar</t>
  </si>
  <si>
    <t>1999 Apr</t>
  </si>
  <si>
    <t>1999 May</t>
  </si>
  <si>
    <t>1999 Jun</t>
  </si>
  <si>
    <t>1999 Jul</t>
  </si>
  <si>
    <t>1999 Aug</t>
  </si>
  <si>
    <t>1999 Sep</t>
  </si>
  <si>
    <t>1999 Oct</t>
  </si>
  <si>
    <t>1999 Nov</t>
  </si>
  <si>
    <t>1999 Dec</t>
  </si>
  <si>
    <t>2000</t>
  </si>
  <si>
    <t>2000 Jan</t>
  </si>
  <si>
    <t>2000 Feb</t>
  </si>
  <si>
    <t>2000 Mar</t>
  </si>
  <si>
    <t>2000 Apr</t>
  </si>
  <si>
    <t>2000 May</t>
  </si>
  <si>
    <t>2000 Jun</t>
  </si>
  <si>
    <t>2000 Jul</t>
  </si>
  <si>
    <t>2000 Aug</t>
  </si>
  <si>
    <t>2000 Sep</t>
  </si>
  <si>
    <t>2000 Oct</t>
  </si>
  <si>
    <t>2000 Nov</t>
  </si>
  <si>
    <t>2000 Dec</t>
  </si>
  <si>
    <t>2001</t>
  </si>
  <si>
    <t>2001 Jan</t>
  </si>
  <si>
    <t>2001 Feb</t>
  </si>
  <si>
    <t>2001 Mar</t>
  </si>
  <si>
    <t>2001 Apr</t>
  </si>
  <si>
    <t>2001 May</t>
  </si>
  <si>
    <t>2001 Jun</t>
  </si>
  <si>
    <t>2001 Jul</t>
  </si>
  <si>
    <t>2001 Aug</t>
  </si>
  <si>
    <t>2001 Sep</t>
  </si>
  <si>
    <t>2001 Oct</t>
  </si>
  <si>
    <t>2001 Nov</t>
  </si>
  <si>
    <t>2001 Dec</t>
  </si>
  <si>
    <t>2002</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</si>
  <si>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</si>
  <si>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</si>
  <si>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</si>
  <si>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</si>
  <si>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</si>
  <si>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</si>
  <si>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</si>
  <si>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</si>
  <si>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</si>
  <si>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</si>
  <si>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</si>
  <si>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</si>
  <si>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</si>
  <si>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</si>
  <si>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</si>
  <si>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</si>
  <si>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</si>
  <si>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</si>
  <si>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</si>
  <si>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</si>
  <si>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</si>
  <si>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</si>
  <si>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</si>
  <si>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2022 Jun</t>
  </si>
  <si>
    <t>PPI-Electrical</t>
  </si>
  <si>
    <t>PPI-Utility Vehicles</t>
  </si>
  <si>
    <t>Gate Valves</t>
  </si>
  <si>
    <t>Turbo-Generators</t>
  </si>
  <si>
    <t>Conclusion of Value using the Market Approach</t>
  </si>
  <si>
    <t>Application of Purchase Price to Customer Multiples to Customer Count</t>
  </si>
  <si>
    <t>Nationwide Average Multiple</t>
  </si>
  <si>
    <t>Recommended Value</t>
  </si>
  <si>
    <t>Recommended Weight</t>
  </si>
  <si>
    <t>Application of Market Value of Invested Capital to Net Plant Ratios of Publicly-Traded Water Utilities to the Net Book Value</t>
  </si>
  <si>
    <t>Market Value of Invested Capital to Net Plant of Publicly-Traded Water Utilities</t>
  </si>
  <si>
    <t>Company Name</t>
  </si>
  <si>
    <t>MVIC</t>
  </si>
  <si>
    <t>Multiple</t>
  </si>
  <si>
    <t>American States Water Company</t>
  </si>
  <si>
    <t>American Water Works Company, Inc.</t>
  </si>
  <si>
    <t>California Water Service Group</t>
  </si>
  <si>
    <t xml:space="preserve">Essential Utilities Inc.        </t>
  </si>
  <si>
    <t>Middlesex Water Company</t>
  </si>
  <si>
    <t xml:space="preserve">SJW Group           </t>
  </si>
  <si>
    <t>Average</t>
  </si>
  <si>
    <t>FV of Debt and Preferred Equity plus market cap divided by net plant</t>
  </si>
  <si>
    <t>Median</t>
  </si>
  <si>
    <t>Low</t>
  </si>
  <si>
    <t>High</t>
  </si>
  <si>
    <t>Source:  Bloomberg Professional Services, Company Annual Reports</t>
  </si>
  <si>
    <t>Application of Market Value of Invested Captial to the</t>
  </si>
  <si>
    <t>Net Plant</t>
  </si>
  <si>
    <t>Average Market Value Invested Captial to Net Plant of Publicly-Traded Water Utilities</t>
  </si>
  <si>
    <t>High Market Value Invested Captial to Net Plant of Publicly-Traded Water Utilities</t>
  </si>
  <si>
    <t>Low Market Value Invested Captial to Net Plant of Publicly-Traded Water Utilities</t>
  </si>
  <si>
    <t>Indicated Market Value of Net Plant Based on Average Market Value Invested Capital to Net Plant Ratio:</t>
  </si>
  <si>
    <t>Indicated Market Value of Net Plant Based on High Market Value Invested Capital to Net Plant Ratio:</t>
  </si>
  <si>
    <t>Indicated Market Value of Net Plant Based on Low Market Value Invested Capital to Net Plant Ratio:</t>
  </si>
  <si>
    <t>Market Approach - Comparable Water and Sewer Transactions</t>
  </si>
  <si>
    <t>2016 to Present</t>
  </si>
  <si>
    <t>Target State</t>
  </si>
  <si>
    <t>Target</t>
  </si>
  <si>
    <t>Buyer</t>
  </si>
  <si>
    <t>Water Connections</t>
  </si>
  <si>
    <t>Wastewater Connections</t>
  </si>
  <si>
    <t>Implied Enterprise Value ($000)</t>
  </si>
  <si>
    <t>Implied Enterprise Value ($000)/Customer</t>
  </si>
  <si>
    <t>Date</t>
  </si>
  <si>
    <t>PA</t>
  </si>
  <si>
    <t>Superior Water Company, Inc.</t>
  </si>
  <si>
    <t>Aqua America, Inc.</t>
  </si>
  <si>
    <t>IL</t>
  </si>
  <si>
    <t>Dana/Long Point/Reading/Ancona Pub. Water District Sys.</t>
  </si>
  <si>
    <t>Illinois American</t>
  </si>
  <si>
    <t>TX</t>
  </si>
  <si>
    <t>Latigo Ranch</t>
  </si>
  <si>
    <t>Bandera East Utility, LP</t>
  </si>
  <si>
    <t>Village of Ransom</t>
  </si>
  <si>
    <t>Tobyhanna Township</t>
  </si>
  <si>
    <t>Aqua Pennsylvania</t>
  </si>
  <si>
    <t>Borough of New Cumberland Wastewater Assets</t>
  </si>
  <si>
    <t>Pennsylvania-American Water Company, Inc.</t>
  </si>
  <si>
    <t>AZ</t>
  </si>
  <si>
    <t>Willow Valley Water Company</t>
  </si>
  <si>
    <t xml:space="preserve">EPCOR Water Arizona Inc. </t>
  </si>
  <si>
    <t>Brushy Creek Municipal Utility District</t>
  </si>
  <si>
    <t>Aqua Texas, Inc.</t>
  </si>
  <si>
    <t>IN</t>
  </si>
  <si>
    <t>White Oak Sewage Treatment, LLC</t>
  </si>
  <si>
    <t>Aqua Indiana, Inc.</t>
  </si>
  <si>
    <t>Westwood Utility Corporation</t>
  </si>
  <si>
    <t>City of Fairfield</t>
  </si>
  <si>
    <t>Wedgewood Park Water Company, Inc.</t>
  </si>
  <si>
    <t>McKeesport Wastewater System</t>
  </si>
  <si>
    <t>Scranton Sewer Authority</t>
  </si>
  <si>
    <t>CT</t>
  </si>
  <si>
    <t>The Heritage Village Water Company</t>
  </si>
  <si>
    <t>Connecticut Water Service Inc.</t>
  </si>
  <si>
    <t>NJ</t>
  </si>
  <si>
    <t>Shorelands Water Company</t>
  </si>
  <si>
    <t>New Jersey-American Water Company, Inc.</t>
  </si>
  <si>
    <t>Oak Hollow Utility Company, Inc.</t>
  </si>
  <si>
    <t>Utilities Investment Company, Inc.</t>
  </si>
  <si>
    <t>MO</t>
  </si>
  <si>
    <t>Village of Wardsville</t>
  </si>
  <si>
    <t>Missouri-American Water Company, Inc.</t>
  </si>
  <si>
    <t>New Garden Township</t>
  </si>
  <si>
    <t>The Avon Water Company</t>
  </si>
  <si>
    <t>Piasa Township Sanitary District</t>
  </si>
  <si>
    <t>Georgetown Water</t>
  </si>
  <si>
    <t>Indiana American</t>
  </si>
  <si>
    <t>Aquarion Water Company</t>
  </si>
  <si>
    <t>Eversource Energy</t>
  </si>
  <si>
    <t>Deer Creek Ranch Water Co., LLC</t>
  </si>
  <si>
    <t>SJWTX, Inc.</t>
  </si>
  <si>
    <t>Dal-High Water LLC</t>
  </si>
  <si>
    <t>Monarch Utilities I, L.P.</t>
  </si>
  <si>
    <t>KY</t>
  </si>
  <si>
    <t>Eastern Rockcastle Water Association</t>
  </si>
  <si>
    <t>Kentucky American Water Co.</t>
  </si>
  <si>
    <t>Town of Sheridan</t>
  </si>
  <si>
    <t>Charlestown Water System</t>
  </si>
  <si>
    <t>City of Farmington</t>
  </si>
  <si>
    <t>Village of Fisher</t>
  </si>
  <si>
    <t>Alton Regional Wastewater System</t>
  </si>
  <si>
    <t>Sundale Utilities</t>
  </si>
  <si>
    <t>Patton Village Water Company, Inc.</t>
  </si>
  <si>
    <t>City of Patton Village</t>
  </si>
  <si>
    <t>Mustang Creek Estates PWS</t>
  </si>
  <si>
    <t>Crest Water Company/Shelcon Services</t>
  </si>
  <si>
    <t xml:space="preserve">Cheltenham Township </t>
  </si>
  <si>
    <t>Village of Manteno</t>
  </si>
  <si>
    <t>Aqua Illinois, Inc.</t>
  </si>
  <si>
    <t>J&amp;S Water Company, LLC</t>
  </si>
  <si>
    <t>Nerro Supply, LLC</t>
  </si>
  <si>
    <t>Summit Ridge, LLC</t>
  </si>
  <si>
    <t>Chambers Meadow Estate Water Company</t>
  </si>
  <si>
    <t>HILCO United Services, Inc.</t>
  </si>
  <si>
    <t>Town of Buffalo Gap, Texas</t>
  </si>
  <si>
    <t>Connecticut Water Service, Inc.</t>
  </si>
  <si>
    <t>SJW Group</t>
  </si>
  <si>
    <t>Limerick Township</t>
  </si>
  <si>
    <t>Lawson Water and Wastewater Systems</t>
  </si>
  <si>
    <t>Delaware Sewer Company</t>
  </si>
  <si>
    <t>Kamira Water System</t>
  </si>
  <si>
    <t>Arimak Water Supply Corporation</t>
  </si>
  <si>
    <t xml:space="preserve">Peotone Village </t>
  </si>
  <si>
    <t>Brookshires Camp Joy</t>
  </si>
  <si>
    <t>TWS Holdings</t>
  </si>
  <si>
    <t>East Norriton Township</t>
  </si>
  <si>
    <t>ID</t>
  </si>
  <si>
    <t>Eagle Water Company</t>
  </si>
  <si>
    <t>Suez Water Idaho</t>
  </si>
  <si>
    <t>East Bradford Township</t>
  </si>
  <si>
    <t>Ponder Enterprises, Inc.</t>
  </si>
  <si>
    <t>Lone Star Water Company</t>
  </si>
  <si>
    <t>Beverly Lee Minaldi</t>
  </si>
  <si>
    <t>Simply Aquatics Inc</t>
  </si>
  <si>
    <t>Sadsbury Township</t>
  </si>
  <si>
    <t>Mahoning Township</t>
  </si>
  <si>
    <t>SUEZ</t>
  </si>
  <si>
    <t>San Antonio Water System</t>
  </si>
  <si>
    <t>Yancey Water Supply Corporation</t>
  </si>
  <si>
    <t>Borough of Mount Ephraim</t>
  </si>
  <si>
    <t>Paul B Hill</t>
  </si>
  <si>
    <t>Megan Estes</t>
  </si>
  <si>
    <t>Stephenville MHP, Ltd.</t>
  </si>
  <si>
    <t>HB Shady Oaks TX, LP</t>
  </si>
  <si>
    <t>Turbotville Borough</t>
  </si>
  <si>
    <t>OH</t>
  </si>
  <si>
    <t>City of Campbell, Mahoning County</t>
  </si>
  <si>
    <t xml:space="preserve">Aqua Ohio, Inc. </t>
  </si>
  <si>
    <t>WV</t>
  </si>
  <si>
    <t>Boone-Raleigh Public Service District</t>
  </si>
  <si>
    <t>West Virginia-American Water Company</t>
  </si>
  <si>
    <t>Town of Glasgow</t>
  </si>
  <si>
    <t>Delaware County Regional Water Quality Control Auth.</t>
  </si>
  <si>
    <t>Village of Glasford</t>
  </si>
  <si>
    <t>Village of Godfrey</t>
  </si>
  <si>
    <t>Steelton Borough Authority</t>
  </si>
  <si>
    <t xml:space="preserve">Castle Water </t>
  </si>
  <si>
    <t>Horseshoe Bend Water Company</t>
  </si>
  <si>
    <t>Lake Station Water System</t>
  </si>
  <si>
    <t>Madera Valley WSC</t>
  </si>
  <si>
    <t>Town of Pecos City</t>
  </si>
  <si>
    <t>Exeter Township Wastewater</t>
  </si>
  <si>
    <t>Fox River Waer Reclamation District (Skyline)</t>
  </si>
  <si>
    <t xml:space="preserve">Wolfforth Place Water System </t>
  </si>
  <si>
    <t>City of Wolfforth</t>
  </si>
  <si>
    <t>Borough of Kane Authority</t>
  </si>
  <si>
    <t>Clear Water Estates Water System LLC</t>
  </si>
  <si>
    <t>NY</t>
  </si>
  <si>
    <t>New York American Water</t>
  </si>
  <si>
    <t>Liberty Utilities Co.</t>
  </si>
  <si>
    <t>Twin Creek Park Water System</t>
  </si>
  <si>
    <t>Creedmoor-Maha Water Supply Corp</t>
  </si>
  <si>
    <t>Village of Grant Park</t>
  </si>
  <si>
    <t>Phoenixville Borough</t>
  </si>
  <si>
    <t>City of Kaufman</t>
  </si>
  <si>
    <t>College Mound Special Utility District</t>
  </si>
  <si>
    <t>Royersford Borough</t>
  </si>
  <si>
    <t>Valley Township</t>
  </si>
  <si>
    <t>City of Jerseyville</t>
  </si>
  <si>
    <t>Granite City</t>
  </si>
  <si>
    <t>Township of Long Hill</t>
  </si>
  <si>
    <t>CA</t>
  </si>
  <si>
    <t>Fruitridge Vista Water Company</t>
  </si>
  <si>
    <t>California-American Water Company, Inc.</t>
  </si>
  <si>
    <t>Hammond Mound Utilities, Inc.</t>
  </si>
  <si>
    <t>Rosehill Utilities, Inc.</t>
  </si>
  <si>
    <t>DE</t>
  </si>
  <si>
    <t>Town of Frankford Water System</t>
  </si>
  <si>
    <t>Artesian Water Co.</t>
  </si>
  <si>
    <t>Village of Sidney Water System</t>
  </si>
  <si>
    <t>Village of Leonore</t>
  </si>
  <si>
    <t>Upper Pottsgrove Township</t>
  </si>
  <si>
    <t>Village of Shiloh Wastewater System</t>
  </si>
  <si>
    <t>Village of Andalusia</t>
  </si>
  <si>
    <t>City of Rosiclare</t>
  </si>
  <si>
    <t>FL</t>
  </si>
  <si>
    <t>Pasco Aqua Utility</t>
  </si>
  <si>
    <t xml:space="preserve">Pasco County </t>
  </si>
  <si>
    <t>The Commons Water Supply, Inc.</t>
  </si>
  <si>
    <t>Delaware City Water System</t>
  </si>
  <si>
    <t>Lower Makefield Township</t>
  </si>
  <si>
    <t>Brentwood Borough Wastewater System</t>
  </si>
  <si>
    <t>TN</t>
  </si>
  <si>
    <t>Jasper Highlands Water Distribution System</t>
  </si>
  <si>
    <t>Tennessee American Water Company</t>
  </si>
  <si>
    <t>East Whiteland Township</t>
  </si>
  <si>
    <t>York City Sewer Authority</t>
  </si>
  <si>
    <t>Pennsylvania-American Water Company</t>
  </si>
  <si>
    <t>Willistown Township</t>
  </si>
  <si>
    <t>Town of East Bank's Water Distribution System</t>
  </si>
  <si>
    <t>Concordia Water Cooperative Water Distribution Sys.</t>
  </si>
  <si>
    <t>Illinois American Water Company</t>
  </si>
  <si>
    <t>Egg Harbor City Water and Sewer System</t>
  </si>
  <si>
    <t>New England Service Company, Inc</t>
  </si>
  <si>
    <t>River's Edge</t>
  </si>
  <si>
    <t>Village of Bourbonnais</t>
  </si>
  <si>
    <t>East Pasadena Water Company</t>
  </si>
  <si>
    <t>City of Beaver Falls</t>
  </si>
  <si>
    <t>Lowell Water System</t>
  </si>
  <si>
    <t>Indiana American Water Company, Inc.</t>
  </si>
  <si>
    <t>Borough of Bound Brook</t>
  </si>
  <si>
    <t>MI</t>
  </si>
  <si>
    <t>Michigan American Water Company</t>
  </si>
  <si>
    <t>Triton Utilities, Inc.</t>
  </si>
  <si>
    <t>Southern Oaks</t>
  </si>
  <si>
    <t>VA</t>
  </si>
  <si>
    <t>Town of Waverly</t>
  </si>
  <si>
    <t>Virginia American</t>
  </si>
  <si>
    <t>Village of Hardin</t>
  </si>
  <si>
    <t>IA</t>
  </si>
  <si>
    <t>Jefferson Utilities</t>
  </si>
  <si>
    <t>Village of Frankfort</t>
  </si>
  <si>
    <t>City of Eureka Water and Wastewater Systems</t>
  </si>
  <si>
    <t>Missouri American Water Corporation</t>
  </si>
  <si>
    <t>Torrington Water Co.</t>
  </si>
  <si>
    <t>Butler Area Sewer Authority</t>
  </si>
  <si>
    <t>Pennsylvania American Water</t>
  </si>
  <si>
    <t>City of Blue Grass Wastewater System</t>
  </si>
  <si>
    <t>Iowa American Water</t>
  </si>
  <si>
    <t>Foster Township West End Wastewater System</t>
  </si>
  <si>
    <t>Oak Brook</t>
  </si>
  <si>
    <t>Bellflower Municipal Water System</t>
  </si>
  <si>
    <t>Nationwide</t>
  </si>
  <si>
    <t>Implied Enterprise Value ($000) Based on Nationwide Transaction Average</t>
  </si>
  <si>
    <t>Potential Purchase - DCF Analysis Model</t>
  </si>
  <si>
    <t>Assumptions:</t>
  </si>
  <si>
    <t>WACC</t>
  </si>
  <si>
    <t>Inflation</t>
  </si>
  <si>
    <t>Rate Increase</t>
  </si>
  <si>
    <t>ACTUAL</t>
  </si>
  <si>
    <t>PROJECTED</t>
  </si>
  <si>
    <t>Perpetuity</t>
  </si>
  <si>
    <t>REVENUES</t>
  </si>
  <si>
    <t>TOTAL REVENUES</t>
  </si>
  <si>
    <t>EXPENSES</t>
  </si>
  <si>
    <t>TOTAL OPERATING EXPENSES</t>
  </si>
  <si>
    <t>EBITDA</t>
  </si>
  <si>
    <t>CAPITAL EXPENDITURES</t>
  </si>
  <si>
    <t>CASH FLOW</t>
  </si>
  <si>
    <t>PW Factor</t>
  </si>
  <si>
    <t>PWCF</t>
  </si>
  <si>
    <t>Value  - Perpetuity</t>
  </si>
  <si>
    <t>Population, Census, April 1, 2010</t>
  </si>
  <si>
    <t>Population, Census, April 1, 2020</t>
  </si>
  <si>
    <t>Population, percent change - April 1, 2020 (estimates base) to July 1, 2022, (V2022)</t>
  </si>
  <si>
    <t>Population estimates base, April 1, 2020, (V2022)</t>
  </si>
  <si>
    <t>Population Estimates, July 1, 2022, (V2022)</t>
  </si>
  <si>
    <t>Fact</t>
  </si>
  <si>
    <t>United States Census Bureau</t>
  </si>
  <si>
    <t>Annual population growth rate</t>
  </si>
  <si>
    <t>FV of LT Debt (mm)</t>
  </si>
  <si>
    <t>FV of Preferred Equity (mm)</t>
  </si>
  <si>
    <t>Market Cap</t>
  </si>
  <si>
    <t>Net PP&amp;E (mm)</t>
  </si>
  <si>
    <t>as of December 31, 2022</t>
  </si>
  <si>
    <t>Market Value of Invested Capital to Net PP&amp;E at December 31, 2022</t>
  </si>
  <si>
    <t>Take their total long-term debt (plus current portion), then subtract the carrying value of the FMBs, then add in the fair value of the FMBs</t>
  </si>
  <si>
    <t>2022 Jul</t>
  </si>
  <si>
    <t>2022 Aug</t>
  </si>
  <si>
    <t>2022 Sep</t>
  </si>
  <si>
    <t>2022 Oct</t>
  </si>
  <si>
    <t>2022 Nov</t>
  </si>
  <si>
    <t>2022 Dec</t>
  </si>
  <si>
    <t>2023 Jan</t>
  </si>
  <si>
    <t>2023 Feb</t>
  </si>
  <si>
    <t>2023 Mar</t>
  </si>
  <si>
    <t>2023 Apr</t>
  </si>
  <si>
    <t>Depreciation</t>
  </si>
  <si>
    <t>Handy Whitman Classification</t>
  </si>
  <si>
    <t>HW Index In Service</t>
  </si>
  <si>
    <t>HW Index Present</t>
  </si>
  <si>
    <t>HW Ratio</t>
  </si>
  <si>
    <t>SM Useful Life</t>
  </si>
  <si>
    <t>Useful Lives</t>
  </si>
  <si>
    <t>Capital Expenditures</t>
  </si>
  <si>
    <t>M</t>
  </si>
  <si>
    <t>UTILITY PLANT MATERIALS</t>
  </si>
  <si>
    <t>ALL REGIONS  (1973=100)</t>
  </si>
  <si>
    <t>ALL REGIONS (1973=100)</t>
  </si>
  <si>
    <t>Boilers</t>
  </si>
  <si>
    <t>Coal &amp; Ash Handling Equipment</t>
  </si>
  <si>
    <t>Pumps</t>
  </si>
  <si>
    <t>Steam Pipe</t>
  </si>
  <si>
    <t>Cranes</t>
  </si>
  <si>
    <t>Regulators</t>
  </si>
  <si>
    <t>Switchboards</t>
  </si>
  <si>
    <t>Power Transformers</t>
  </si>
  <si>
    <t>Oil Switches</t>
  </si>
  <si>
    <t>Motors</t>
  </si>
  <si>
    <t>Line Transformers</t>
  </si>
  <si>
    <t>Meters-Electrric</t>
  </si>
  <si>
    <t>Treated Pine Poles</t>
  </si>
  <si>
    <t>Standard Cross Arms</t>
  </si>
  <si>
    <t>Standard Galv. Steel Guy Wire</t>
  </si>
  <si>
    <t>Fibre Conduit</t>
  </si>
  <si>
    <t>Plastic Conduit</t>
  </si>
  <si>
    <t>Mercury Luminaires w/Standard</t>
  </si>
  <si>
    <t>Power Wire &amp; Control Cable</t>
  </si>
  <si>
    <t>Overhead Conductor-Transmission</t>
  </si>
  <si>
    <t>Underground Conductor-Transmission</t>
  </si>
  <si>
    <t>Overhead Conductor-Distribution</t>
  </si>
  <si>
    <t>Underground Conductor-Distribution</t>
  </si>
  <si>
    <t>Service Cable</t>
  </si>
  <si>
    <t>Condensers &amp; Tubes</t>
  </si>
  <si>
    <t>Gas Compressors</t>
  </si>
  <si>
    <t>Gas Transmission Line Pipe</t>
  </si>
  <si>
    <t>Steel Distribution Pipe</t>
  </si>
  <si>
    <t>Plastic Pipe</t>
  </si>
  <si>
    <t>Meters-Gas</t>
  </si>
  <si>
    <t>House Regulators</t>
  </si>
  <si>
    <t>Cast Iron Pipe</t>
  </si>
  <si>
    <t>Cast Iron Fittings</t>
  </si>
  <si>
    <t>Ductile Iron Pipe</t>
  </si>
  <si>
    <t>Chemical Feeders-Small</t>
  </si>
  <si>
    <t>Chemical Feeders-Large</t>
  </si>
  <si>
    <t>Meter Yokes</t>
  </si>
  <si>
    <t>Corporation Stops</t>
  </si>
  <si>
    <t>Curb Stops</t>
  </si>
  <si>
    <t>Hydrants</t>
  </si>
  <si>
    <t>Meters-Water</t>
  </si>
  <si>
    <t>Construction Equipment</t>
  </si>
  <si>
    <t>Using the Market Approach and Recommended Weights</t>
  </si>
  <si>
    <t>SM Replacement Cost Less Depreciation</t>
  </si>
  <si>
    <t>SM Original Cost Less Depreciation (Net Book)</t>
  </si>
  <si>
    <t>Claypool Water System</t>
  </si>
  <si>
    <t>Village of Tolono</t>
  </si>
  <si>
    <t>Union Rome Sewer</t>
  </si>
  <si>
    <t>Farmington Township</t>
  </si>
  <si>
    <t>In Svc
Date</t>
  </si>
  <si>
    <t>Year In Service</t>
  </si>
  <si>
    <t>STEEL SEQUENTIAL SA</t>
  </si>
  <si>
    <t>NEW WPCA FACILITY</t>
  </si>
  <si>
    <t>I &amp; I</t>
  </si>
  <si>
    <t xml:space="preserve"> NEW WPCA FACILITY</t>
  </si>
  <si>
    <t>PUMP</t>
  </si>
  <si>
    <t>PENN VALLEY PUMPS</t>
  </si>
  <si>
    <t>SCADA COMPUTERS/HM</t>
  </si>
  <si>
    <t>8' SERVICE BODY FOR 2</t>
  </si>
  <si>
    <t>2015 FORD F150</t>
  </si>
  <si>
    <t>INSTALL NEW PIPING</t>
  </si>
  <si>
    <t>CONTROL PANEL</t>
  </si>
  <si>
    <t>CONTINUOUS UV254 MO</t>
  </si>
  <si>
    <t>HOMA PUMP</t>
  </si>
  <si>
    <t>SEWER SYSTEM</t>
  </si>
  <si>
    <t>BARTHOLOEW PUMP ST</t>
  </si>
  <si>
    <t>COE AVE PUMP STATIO</t>
  </si>
  <si>
    <t>Land:3 COE LANE</t>
  </si>
  <si>
    <t xml:space="preserve">Land:1 NORTH DIVISION </t>
  </si>
  <si>
    <t>DISSOLVED OXYGEN M</t>
  </si>
  <si>
    <t>BALANCE ANALYTICAL</t>
  </si>
  <si>
    <t>AIR DIFFUSION SYSTEM</t>
  </si>
  <si>
    <t xml:space="preserve">CHLORINE STORAGE &amp; </t>
  </si>
  <si>
    <t xml:space="preserve">PRIMARY TREATMENT </t>
  </si>
  <si>
    <t>SEDIMENTATION BASIN</t>
  </si>
  <si>
    <t>GRAVITY SLUDGE THIC</t>
  </si>
  <si>
    <t xml:space="preserve">ANAEROBIC DIGESTION </t>
  </si>
  <si>
    <t>AERATED GRIT REMOV</t>
  </si>
  <si>
    <t>ANAEROBIC DIGESTION</t>
  </si>
  <si>
    <t>AERATION BASIN</t>
  </si>
  <si>
    <t>ADMINISTRATION BUILD</t>
  </si>
  <si>
    <t>GROUP OF YARD PIPIN</t>
  </si>
  <si>
    <t>GROUP OF 6" SEWER P</t>
  </si>
  <si>
    <t>GROUP OF 8" SEWER P</t>
  </si>
  <si>
    <t>GROUP OF 24" SEWER P</t>
  </si>
  <si>
    <t>GROUP OF 27" SEWER P</t>
  </si>
  <si>
    <t>GROUP OF 30" SEWER P</t>
  </si>
  <si>
    <t>GROUP OF 42" SEWER P</t>
  </si>
  <si>
    <t>GROUP OF 54" SEWER P</t>
  </si>
  <si>
    <t>GROUP OF 1885 MANHO</t>
  </si>
  <si>
    <t>GROUP OF 10" SEWER P</t>
  </si>
  <si>
    <t>GROUP OF 12" SEWER P</t>
  </si>
  <si>
    <t>GROUP OF 15" SEWER P</t>
  </si>
  <si>
    <t>GROUP OF 18" SEWER P</t>
  </si>
  <si>
    <t>GROUP OF 36" SEWER P</t>
  </si>
  <si>
    <t>LIFT STATION #1, SHEA</t>
  </si>
  <si>
    <t>LIFT STATION #2, BARTH</t>
  </si>
  <si>
    <t>LIFT STATION #3, COE L</t>
  </si>
  <si>
    <t xml:space="preserve">LIFT STATION #4, WHITE </t>
  </si>
  <si>
    <t>LIFT STATION #5, DELL'</t>
  </si>
  <si>
    <t>LIFT STATION #6, BROO</t>
  </si>
  <si>
    <t>LIFT STATION #7, HOTC</t>
  </si>
  <si>
    <t>LIFT STATION #8, NORT</t>
  </si>
  <si>
    <t>LIFT STATION #9, WEST</t>
  </si>
  <si>
    <t>LIFT STATION #10, JACK</t>
  </si>
  <si>
    <t>LIFT STATION #11, REIC</t>
  </si>
  <si>
    <t>LIFT STATION #12, SILV</t>
  </si>
  <si>
    <t>LIFT STATION #13, SLIV</t>
  </si>
  <si>
    <t xml:space="preserve">SEWER PIPING -PRIDLE </t>
  </si>
  <si>
    <t>SEWER PIPING-PRINDL</t>
  </si>
  <si>
    <t>PRINDLE AVE SEWER R</t>
  </si>
  <si>
    <t>BARTHOLMEW P.S. UPG</t>
  </si>
  <si>
    <t>COE LANE P.S. UPGRAD</t>
  </si>
  <si>
    <t xml:space="preserve">BARTHOLOMEW PUMP </t>
  </si>
  <si>
    <t>COE LANE PUMP STATI</t>
  </si>
  <si>
    <t>Original Cost (Acquired)</t>
  </si>
  <si>
    <t>City of Ansonia</t>
  </si>
  <si>
    <t>[4]</t>
  </si>
  <si>
    <t>Determination of Cost Approach</t>
  </si>
  <si>
    <t>Connecticut</t>
  </si>
  <si>
    <t>Implied Enterprise Value ($000) Based on CT Transaction Average</t>
  </si>
  <si>
    <t>Average Nationwide and Connecticut</t>
  </si>
  <si>
    <t>Ansonia city, Connecticut</t>
  </si>
  <si>
    <t>Detailed Revenues and Expenses</t>
  </si>
  <si>
    <t>Charges for Services</t>
  </si>
  <si>
    <t>Salaries, benefits and claims</t>
  </si>
  <si>
    <t>Materials and supplies</t>
  </si>
  <si>
    <t>Utilities</t>
  </si>
  <si>
    <t>Professional and consulting</t>
  </si>
  <si>
    <t>Administration and operation</t>
  </si>
  <si>
    <t>Total Expenses</t>
  </si>
  <si>
    <t>Total Revenues</t>
  </si>
  <si>
    <t>Connecticut Average Multiple</t>
  </si>
  <si>
    <t>Land</t>
  </si>
  <si>
    <t>Total consumption for the year was about 55,000,000 CF. After our calculation, billable is about 45,600,000 CF.</t>
  </si>
  <si>
    <t>There are about 5,500 billable units in the City and with the multi family units, there are around 8,000 living units and businesses.</t>
  </si>
  <si>
    <t>Residential Customers</t>
  </si>
  <si>
    <t>The total consumption billed was 42,375,000 CF.</t>
  </si>
  <si>
    <t>Last year's bills had residential bills of about 5101. This is all residential units, 1 family and multi family homes</t>
  </si>
  <si>
    <t>There were also 232 wells billed.</t>
  </si>
  <si>
    <t>Commercial billing went to 272 properties</t>
  </si>
  <si>
    <t>Consumption billed was 8,140,000 CF.</t>
  </si>
  <si>
    <t>Residential Consumption</t>
  </si>
  <si>
    <t>Consumption Per Residential Customer</t>
  </si>
  <si>
    <t>Commercial Customers</t>
  </si>
  <si>
    <t>Commercial Consumption</t>
  </si>
  <si>
    <t>Commercial Equivalent Domestic Unit</t>
  </si>
  <si>
    <t>Residential + Commercial EDUs</t>
  </si>
  <si>
    <t>Town of Clayton</t>
  </si>
  <si>
    <t>City of Villa Grove</t>
  </si>
  <si>
    <t xml:space="preserve">City of Bellflower </t>
  </si>
  <si>
    <t>Greenville Sanitary Authority</t>
  </si>
  <si>
    <t>Creekside Development</t>
  </si>
  <si>
    <t>East Dunkard Water Authority</t>
  </si>
  <si>
    <t>Borough of Shenandoah</t>
  </si>
  <si>
    <t>Recommended Capital Structure and Cost Rates</t>
  </si>
  <si>
    <t>Type Of Capital</t>
  </si>
  <si>
    <t>Ratios (1)</t>
  </si>
  <si>
    <t>Cost Rate</t>
  </si>
  <si>
    <t>Weighted Cost Rate</t>
  </si>
  <si>
    <t>Long-Term Debt</t>
  </si>
  <si>
    <t>(2)</t>
  </si>
  <si>
    <t>Common Equity</t>
  </si>
  <si>
    <t>(3)</t>
  </si>
  <si>
    <t>Notes:</t>
  </si>
  <si>
    <t>(1)</t>
  </si>
  <si>
    <t>From page 4 of this Appendix.</t>
  </si>
  <si>
    <t>From page 2 of this Appendix.</t>
  </si>
  <si>
    <t>From page 3 of this Appendix.</t>
  </si>
  <si>
    <t>Calculation of Average Yields for</t>
  </si>
  <si>
    <t>Moody's A2-Rated Utility Bonds</t>
  </si>
  <si>
    <t>Moody's</t>
  </si>
  <si>
    <t>A2-Rated Utility</t>
  </si>
  <si>
    <t>Bond Yields</t>
  </si>
  <si>
    <t>Source of Information:</t>
  </si>
  <si>
    <t>Bloomberg Professional Services</t>
  </si>
  <si>
    <t>Brief Summary of Common Equity Cost Rate</t>
  </si>
  <si>
    <t>Line No.</t>
  </si>
  <si>
    <t>Principal Methods</t>
  </si>
  <si>
    <t>Min</t>
  </si>
  <si>
    <t>1.</t>
  </si>
  <si>
    <t>Discounted Cash Flow Model (DCF) (1)</t>
  </si>
  <si>
    <t>Max</t>
  </si>
  <si>
    <t>Midpoint</t>
  </si>
  <si>
    <t>2.</t>
  </si>
  <si>
    <t>Risk Premium Model (RPM) (2)</t>
  </si>
  <si>
    <t>3.</t>
  </si>
  <si>
    <t>Capital Asset Pricing Model (CAPM) (3)</t>
  </si>
  <si>
    <t>8.36% - 11.56%</t>
  </si>
  <si>
    <t>5.</t>
  </si>
  <si>
    <t xml:space="preserve"> Notes:  </t>
  </si>
  <si>
    <t>From Page 5 of this Appendix.</t>
  </si>
  <si>
    <t>From Page 21 of this Appendix.</t>
  </si>
  <si>
    <t>(4)</t>
  </si>
  <si>
    <t>Capital Structure Based upon Total Permanent Capital for the</t>
  </si>
  <si>
    <t>5 YEAR</t>
  </si>
  <si>
    <t>AVERAGE</t>
  </si>
  <si>
    <t>%</t>
  </si>
  <si>
    <t>Max Equity</t>
  </si>
  <si>
    <t>Preferred Stock</t>
  </si>
  <si>
    <t>Min Equity</t>
  </si>
  <si>
    <t xml:space="preserve">     Total Capital</t>
  </si>
  <si>
    <t xml:space="preserve">     Annual Forms 10-K</t>
  </si>
  <si>
    <t>Indicated Common Equity Cost Rate Using the Discounted Cash Flow Model for the</t>
  </si>
  <si>
    <t>[5]</t>
  </si>
  <si>
    <t>[6]</t>
  </si>
  <si>
    <t>[7]</t>
  </si>
  <si>
    <t>Average Dividend Yield (1)</t>
  </si>
  <si>
    <t>Value Line Projected Five Year Growth in EPS (2)</t>
  </si>
  <si>
    <t>Zack's Five Year Projected Growth Rate in EPS</t>
  </si>
  <si>
    <t>Yahoo! Finance Projected Five Year Growth in EPS</t>
  </si>
  <si>
    <t>Average Projected Five Year Growth in EPS (3)</t>
  </si>
  <si>
    <t>Adjusted Dividend Yield (4)</t>
  </si>
  <si>
    <t>Indicated Common Equity Cost Rate (5)</t>
  </si>
  <si>
    <t>Mean excl. MSEX</t>
  </si>
  <si>
    <t>Median excl. MSEX</t>
  </si>
  <si>
    <t>Average of Mean and Median</t>
  </si>
  <si>
    <t>Average of Mean and Median Excluding Middlesex Water (6)</t>
  </si>
  <si>
    <t>Indicated DCF Result</t>
  </si>
  <si>
    <t>NA= Not Available</t>
  </si>
  <si>
    <t>From pages 6 through 11 of this Appendix.</t>
  </si>
  <si>
    <t>Average of columns 2 through 4 excluding negative growth rates.</t>
  </si>
  <si>
    <t>(5)</t>
  </si>
  <si>
    <t>Column 5 + column 6.</t>
  </si>
  <si>
    <t>(6)</t>
  </si>
  <si>
    <t>The indicated DCF cost rate for Middlesex Water Company is excluded as it is indistinguishable from the prospective yield on A-rated public utility bonds.</t>
  </si>
  <si>
    <t>Value Line Investment Survey</t>
  </si>
  <si>
    <t>Indicated Common Equity Cost Rate</t>
  </si>
  <si>
    <t>Through Use of a Risk Premium Model</t>
  </si>
  <si>
    <t>Using an Adjusted Total Market Approach</t>
  </si>
  <si>
    <t>Prospective Yield on Aaa Rated</t>
  </si>
  <si>
    <t xml:space="preserve">   Corporate Bonds (1)</t>
  </si>
  <si>
    <t>Adjustment to Reflect Yield Spread</t>
  </si>
  <si>
    <t xml:space="preserve">   Between Aaa Rated Corporate</t>
  </si>
  <si>
    <t xml:space="preserve">   Bonds and A2 Rated Public</t>
  </si>
  <si>
    <t xml:space="preserve">   Utility Bonds</t>
  </si>
  <si>
    <t>Adjusted Prospective Yield on A2 Rated</t>
  </si>
  <si>
    <t xml:space="preserve">   Public Utility Bonds</t>
  </si>
  <si>
    <t>4.</t>
  </si>
  <si>
    <t>Adjustment to Reflect Bond</t>
  </si>
  <si>
    <t xml:space="preserve">    Rating Difference of Proxy Group (3)</t>
  </si>
  <si>
    <t>Adjusted Bond Yield</t>
  </si>
  <si>
    <t>6.</t>
  </si>
  <si>
    <t>Equity Risk Premium (4)</t>
  </si>
  <si>
    <t xml:space="preserve">     </t>
  </si>
  <si>
    <t>7.</t>
  </si>
  <si>
    <t>Risk Premium Derived Common</t>
  </si>
  <si>
    <t xml:space="preserve">      Equity Cost Rate</t>
  </si>
  <si>
    <t xml:space="preserve">Notes:  </t>
  </si>
  <si>
    <t>Consensus forecast of Moody's Aaa Rated Corporate bonds from Blue Chip Financial Forecasts (see pages 18 and 19 of this Appendix).</t>
  </si>
  <si>
    <t>From page 16 of this Appendix.</t>
  </si>
  <si>
    <t xml:space="preserve">Interest Rates and Bond Spreads for </t>
  </si>
  <si>
    <t>Moody's Corporate and Public Utility Bonds</t>
  </si>
  <si>
    <t>Selected Bond Yields - Moody's</t>
  </si>
  <si>
    <t>Aaa Rated Corporate Bond</t>
  </si>
  <si>
    <t>A2 Rated Public Utility Bond</t>
  </si>
  <si>
    <t>Baa2 Rated Public Utility Bond</t>
  </si>
  <si>
    <t>Selected Bond Spreads</t>
  </si>
  <si>
    <t>A2 Rated Public Utility Bonds Over Aaa Rated Corporate Bonds:</t>
  </si>
  <si>
    <t>% (1)</t>
  </si>
  <si>
    <t>Baa2 Rated Public Utility Bonds Over A2 Rated Public Utility Bonds:</t>
  </si>
  <si>
    <t>% (2)</t>
  </si>
  <si>
    <t>Column [2] - Column [1].</t>
  </si>
  <si>
    <t>Column [3] - Column [2].</t>
  </si>
  <si>
    <t>Bloomberg Professional Service</t>
  </si>
  <si>
    <t>Comparison of Long-Term Issuer Ratings for</t>
  </si>
  <si>
    <t>Standard &amp; Poor's</t>
  </si>
  <si>
    <t>Long-Term Issuer Rating</t>
  </si>
  <si>
    <t>Long-Term Issuer Rating (1)</t>
  </si>
  <si>
    <t>Numerical Weighting (2)</t>
  </si>
  <si>
    <t>A3</t>
  </si>
  <si>
    <t>A</t>
  </si>
  <si>
    <t>Ratings are that of the average of each company's utility operating subsidiaries.</t>
  </si>
  <si>
    <t>From page 15 of this Appendix.</t>
  </si>
  <si>
    <t>Source Information:</t>
  </si>
  <si>
    <t>Moody's Investors Service</t>
  </si>
  <si>
    <t>Standard &amp; Poor's Global Utilities Rating Service</t>
  </si>
  <si>
    <t>Numerical Assignment for</t>
  </si>
  <si>
    <t xml:space="preserve"> Moody's and Standard &amp; Poor's Bond Ratings</t>
  </si>
  <si>
    <t>Moody's Bond Rating</t>
  </si>
  <si>
    <t>Numerical Bond Weighting</t>
  </si>
  <si>
    <t>Standard &amp; Poor's Bond Rating</t>
  </si>
  <si>
    <t>Aaa</t>
  </si>
  <si>
    <t>AAA</t>
  </si>
  <si>
    <t>Aa1</t>
  </si>
  <si>
    <t>AA+</t>
  </si>
  <si>
    <t>Aa2</t>
  </si>
  <si>
    <t>AA</t>
  </si>
  <si>
    <t>Aa3</t>
  </si>
  <si>
    <t>AA-</t>
  </si>
  <si>
    <t>A1</t>
  </si>
  <si>
    <t>A+</t>
  </si>
  <si>
    <t>A2</t>
  </si>
  <si>
    <t>A-</t>
  </si>
  <si>
    <t>Baa1</t>
  </si>
  <si>
    <t>BBB+</t>
  </si>
  <si>
    <t>Baa2</t>
  </si>
  <si>
    <t>BBB</t>
  </si>
  <si>
    <t>Baa3</t>
  </si>
  <si>
    <t>BBB-</t>
  </si>
  <si>
    <t>Ba1</t>
  </si>
  <si>
    <t>BB+</t>
  </si>
  <si>
    <t>Ba2</t>
  </si>
  <si>
    <t>BB</t>
  </si>
  <si>
    <t>Ba3</t>
  </si>
  <si>
    <t>BB-</t>
  </si>
  <si>
    <t>B1</t>
  </si>
  <si>
    <t>B+</t>
  </si>
  <si>
    <t>B2</t>
  </si>
  <si>
    <t>B</t>
  </si>
  <si>
    <t>B3</t>
  </si>
  <si>
    <t>B-</t>
  </si>
  <si>
    <t>Judgment of Equity Risk Premium for</t>
  </si>
  <si>
    <t>Line
No.</t>
  </si>
  <si>
    <t>Calculated equity risk</t>
  </si>
  <si>
    <t xml:space="preserve">   premium based on the</t>
  </si>
  <si>
    <t xml:space="preserve">   total market using</t>
  </si>
  <si>
    <t xml:space="preserve">   the beta approach (1)</t>
  </si>
  <si>
    <t xml:space="preserve">Mean equity risk premium </t>
  </si>
  <si>
    <t xml:space="preserve">   based on a study</t>
  </si>
  <si>
    <t xml:space="preserve">   using the holding period</t>
  </si>
  <si>
    <t xml:space="preserve">   returns of public utilities</t>
  </si>
  <si>
    <t xml:space="preserve">   with A rated bonds (2)</t>
  </si>
  <si>
    <t>Average equity risk premium</t>
  </si>
  <si>
    <t>From page 17 of this Appendix.</t>
  </si>
  <si>
    <t>From page 20 of this Appendix.</t>
  </si>
  <si>
    <t>Derivation of Equity Risk Premium Based on the Total Market Approach</t>
  </si>
  <si>
    <t>Using the Beta for the</t>
  </si>
  <si>
    <t>Equity Risk Premium Measure</t>
  </si>
  <si>
    <t>Ibbotson Equity Risk Premium (1)</t>
  </si>
  <si>
    <t>Regression on Ibbotson Risk Premium Data (2)</t>
  </si>
  <si>
    <t>Equity Risk Premium Based on Value Line Summary and Index (3)</t>
  </si>
  <si>
    <t>Equity Risk Premium Based on Value Line S&amp;P 500 Companies (4)</t>
  </si>
  <si>
    <t>Equity Risk Premium Based on Bloomberg S&amp;P 500 Companies (5)</t>
  </si>
  <si>
    <t>Conclusion of Equity Risk Premium</t>
  </si>
  <si>
    <t>Adjusted Beta (6)</t>
  </si>
  <si>
    <t>8.</t>
  </si>
  <si>
    <t>Forecasted Equity Risk Premium</t>
  </si>
  <si>
    <t>This equity risk premium is based on a regression of the monthly equity risk premiums of large company common stocks relative to Moody's average Aaa and Aa2 rated corporate bond yields from 1928-2022 referenced in note 1 above.  Using the equation generated from the regression, an expected equity risk premium is calculated using the average consensus forecast of Aaa corporate bonds of 4.75% (from page 12 of this Appendix).</t>
  </si>
  <si>
    <t xml:space="preserve">Average of mean and median beta from page 21 of this Appendix. </t>
  </si>
  <si>
    <t>Sources of Information:</t>
  </si>
  <si>
    <t>Stocks, Bonds, Bills, and Inflation -  2023 SBBI Yearbook, Kroll.</t>
  </si>
  <si>
    <t>Industrial Manual and Mergent Bond Record Monthly Update.</t>
  </si>
  <si>
    <t>Value Line Summary and Index</t>
  </si>
  <si>
    <t>Derivation of Mean Equity Risk Premium Based Studies</t>
  </si>
  <si>
    <t>Using Holding Period Returns and</t>
  </si>
  <si>
    <t>Projected Market Appreciation of the S&amp;P Utility Index</t>
  </si>
  <si>
    <t>Implied Equity Risk Premium</t>
  </si>
  <si>
    <t>Historical Equity Risk Premium (1)</t>
  </si>
  <si>
    <t xml:space="preserve">Regression of Historical Equity Risk Premium </t>
  </si>
  <si>
    <t xml:space="preserve">Forecasted Equity Risk Premium based on Projected Total Return on the S&amp;P Utilities Index (Value Line Data) </t>
  </si>
  <si>
    <t>Forecasted Equity Risk Premium based on Projected Total Return on the S&amp;P Utilities Index (Bloomberg Data)</t>
  </si>
  <si>
    <t>NMF</t>
  </si>
  <si>
    <t>Average Equity Risk Premium (5)</t>
  </si>
  <si>
    <t>Based on S&amp;P Public Utility Index monthly total returns and Moody's Public Utility Bond average monthly yields from 1928-2022.  Holding period returns are calculated based upon income received (dividends and interest) plus the relative change in the market value of a security over a one-year holding period.</t>
  </si>
  <si>
    <t>This equity risk premium is based on a regression of the monthly equity risk premiums of the S&amp;P Utility Index relative to Moody's A2 rated public utility bond yields from 1928 - 2022 referenced in note 1 above. Using the equation generated from the regression, an expected equity risk premium is calculated using the prospective A2 rated public utility bond yield of 5.44% (from line 3, page 12 of this Appendix).</t>
  </si>
  <si>
    <t>Using data from Value Line for the S&amp;P Utilities Index, an expected return of 10.00% was derived based on expected dividend yields as a proxy for income returns and long-term growth estimates as a proxy for market appreciation. Subtracting the expected A2 rated public utility bond yield of 5.44%, calculated on line 3 of page 12 of this Appendix results in an equity risk premium of 5.44%. (10.00% - 5.44% = 4.56%)</t>
  </si>
  <si>
    <t>Using data from Bloomberg Professional Service for the S&amp;P Utilities Index, an expected return of 4.25% was derived based on expected dividend yields as a proxy for income returns and long-term growth estimates as a proxy for market appreciation. Subtracting the expected A2 rated public utility bond yield of 5.44%, calculated on line 3 of page 12 of this Appendix results in an equity risk premium of -1.19%. (4.25% - 5.44% = -1.19%). Because a negative risk premium is inconsistent with financial theory, it is not included in the final average.</t>
  </si>
  <si>
    <t>Average of lines 1 through 3.</t>
  </si>
  <si>
    <t>Indicated Common Equity Cost Rate Through Use</t>
  </si>
  <si>
    <t>of the Traditional Capital Asset Pricing Model (CAPM) and Empirical Capital Asset Pricing Model (ECAPM)</t>
  </si>
  <si>
    <t>[8]</t>
  </si>
  <si>
    <t>Value Line Adjusted Beta</t>
  </si>
  <si>
    <t>Bloomberg Adjusted Beta</t>
  </si>
  <si>
    <t>Average Beta</t>
  </si>
  <si>
    <t>Market Risk Premium (1)</t>
  </si>
  <si>
    <t>Risk-Free Rate (2)</t>
  </si>
  <si>
    <t>Traditional CAPM Cost Rate</t>
  </si>
  <si>
    <t>ECAPM Cost Rate</t>
  </si>
  <si>
    <t>Indicated Common Equity Cost Rate (4)</t>
  </si>
  <si>
    <t>Mean</t>
  </si>
  <si>
    <t>Notes on page 22 of this Appendix.</t>
  </si>
  <si>
    <t>Notes to Accompany the Application of the CAPM and ECAPM</t>
  </si>
  <si>
    <t>The market risk premium (MRP) is derived by using five different measures from three sources: Ibbotson, Value Line, and Bloomberg as illustrated below:</t>
  </si>
  <si>
    <t>Historical Data MRP Estimates:</t>
  </si>
  <si>
    <t>Arithmetic Mean Income Returns on Long-Term Government Bonds:</t>
  </si>
  <si>
    <t>MRP based on Ibbotson Historical Data:</t>
  </si>
  <si>
    <t>Measure 2: Application of a Regression Analysis to Ibbotson Historical Data</t>
  </si>
  <si>
    <t>(1926-2022)</t>
  </si>
  <si>
    <t>Value Line MRP Estimates:</t>
  </si>
  <si>
    <t>Total projected return on the market 3-5 years hence*:</t>
  </si>
  <si>
    <t>Risk-Free Rate (see note 2):</t>
  </si>
  <si>
    <t>MRP based on Value Line Summary &amp; Index:</t>
  </si>
  <si>
    <t>*Forcasted 3-5 year capital appreciation plus expected dividend yield</t>
  </si>
  <si>
    <t>Measure 4: Value Line Projected Return on the Market based on the S&amp;P 500</t>
  </si>
  <si>
    <t>Total return on the Market based on the S&amp;P 500:</t>
  </si>
  <si>
    <t>MRP based on Value Line data</t>
  </si>
  <si>
    <t>Measure 5: Bloomberg Projected MRP</t>
  </si>
  <si>
    <t>MRP based on Bloomberg data</t>
  </si>
  <si>
    <t>Average of Value Line, Ibbotson, and Bloomberg MRP:</t>
  </si>
  <si>
    <t>For reasons explained in the direct testimony, the appropriate risk-free rate for cost of capital purposes is the average forecast of 30 year Treasury Bonds per the consensus of nearly 50 economists reported in Blue Chip Financial Forecasts. (See pages 18 and 19 of this Appendix.) The projection of the risk-free rate is illustrated below:</t>
  </si>
  <si>
    <t>Average of Column 6 and Column 7.</t>
  </si>
  <si>
    <t>Derivation of Investment Risk Adjustment Based upon</t>
  </si>
  <si>
    <t>Ibbotson Associates' Size Premia for the Decile Portfolios of the NYSE/AMEX/NASDAQ</t>
  </si>
  <si>
    <t>Spread from Applicable Size Premium (4)</t>
  </si>
  <si>
    <t>Market Capitalization on December 31, 2022 (1)</t>
  </si>
  <si>
    <t>Applicable Decile of the NYSE/AMEX/   NASDAQ (2)</t>
  </si>
  <si>
    <t>Applicable Size Premium (3)</t>
  </si>
  <si>
    <t/>
  </si>
  <si>
    <t>( millions )</t>
  </si>
  <si>
    <t>(times larger)</t>
  </si>
  <si>
    <t>x</t>
  </si>
  <si>
    <t>[A]</t>
  </si>
  <si>
    <t>[B]</t>
  </si>
  <si>
    <t>[C]</t>
  </si>
  <si>
    <t>[D]</t>
  </si>
  <si>
    <t>Decile</t>
  </si>
  <si>
    <t>Market Capitalization of Smallest Company</t>
  </si>
  <si>
    <t>Market Capitalization of Largest Company</t>
  </si>
  <si>
    <t>Size Premium (Return in Excess of CAPM)*</t>
  </si>
  <si>
    <t>Largest</t>
  </si>
  <si>
    <t>Smallest</t>
  </si>
  <si>
    <t>*From 2023 Kroll Cost of Capital Navigator</t>
  </si>
  <si>
    <t>From page 23 of this Appendix.</t>
  </si>
  <si>
    <t>Gleaned from Columns [B] and [C] on the bottom of this page.  The appropriate decile (Column [A]) corresponds to the market capitalization of the proxy group, which is found in Column [1].</t>
  </si>
  <si>
    <t>Corresponding risk premium to the decile is provided in Column [D] on the bottom of this page.</t>
  </si>
  <si>
    <t>Company</t>
  </si>
  <si>
    <t>Exchange</t>
  </si>
  <si>
    <t>Common Stock Shares Outstanding at Fiscal Year End 2022</t>
  </si>
  <si>
    <t>Book Value per Share at Fiscal Year End 2022 (1)</t>
  </si>
  <si>
    <t>Total Common Equity at Fiscal Year End 2022</t>
  </si>
  <si>
    <t>NA</t>
  </si>
  <si>
    <t>Column 3 / Column 1.</t>
  </si>
  <si>
    <t>Column 4 /  Column 2.</t>
  </si>
  <si>
    <t>Column 1 * Column 4.</t>
  </si>
  <si>
    <t>Net Book Value (Asset Approach) multiplied by equity ratio.</t>
  </si>
  <si>
    <t>Column [3] multiplied by Column [5].</t>
  </si>
  <si>
    <t>2022 Annual Forms 10K</t>
  </si>
  <si>
    <t>yahoo.finance.com</t>
  </si>
  <si>
    <t>Bloomberg Professional</t>
  </si>
  <si>
    <t>Utility Proxy Group</t>
  </si>
  <si>
    <t>Proxy Company - Exchange</t>
  </si>
  <si>
    <t>Growth Rate Input Date</t>
  </si>
  <si>
    <t>AWR</t>
  </si>
  <si>
    <t>NYSE</t>
  </si>
  <si>
    <t>AWK</t>
  </si>
  <si>
    <t>CWT</t>
  </si>
  <si>
    <t>User Computer Title</t>
  </si>
  <si>
    <t>WTRG</t>
  </si>
  <si>
    <t>MSEX</t>
  </si>
  <si>
    <t>NASDAQ</t>
  </si>
  <si>
    <t>SJW</t>
  </si>
  <si>
    <t>Recommended Common Equity Cost Rate</t>
  </si>
  <si>
    <t>DATA INPUTS</t>
  </si>
  <si>
    <t>Capital Structure</t>
  </si>
  <si>
    <t>Source:</t>
  </si>
  <si>
    <t>Long-Term Debt %</t>
  </si>
  <si>
    <t>Company Provided</t>
  </si>
  <si>
    <t>Equity %</t>
  </si>
  <si>
    <t>Short-Term Debt %</t>
  </si>
  <si>
    <t>Long-Term Debt Cost (%)</t>
  </si>
  <si>
    <t>Company to Provide</t>
  </si>
  <si>
    <t>Short-Term Debt Cost (%)</t>
  </si>
  <si>
    <t>SBBI (1926-2022)</t>
  </si>
  <si>
    <t>SBBI Common Stocks Total Return (%)</t>
  </si>
  <si>
    <t>Update annually from Stocks, Bonds, Bills, and Inflation - Ibbotson® SBBI® Market Report</t>
  </si>
  <si>
    <t>SBBI Long-Term Gov't Bonds Income (%)</t>
  </si>
  <si>
    <t>VL Appr Potential Week Ending:</t>
  </si>
  <si>
    <t>Blue Chip Update Date ("Month Day, Year")</t>
  </si>
  <si>
    <t>June 2, 2023 and June 30, 2023</t>
  </si>
  <si>
    <t>S&amp;P Utilties Index Companies</t>
  </si>
  <si>
    <t>Abbreviated</t>
  </si>
  <si>
    <t>AEE</t>
  </si>
  <si>
    <t>AEP</t>
  </si>
  <si>
    <t>AES</t>
  </si>
  <si>
    <t>Regulatory Jurisdiction</t>
  </si>
  <si>
    <t>ATO</t>
  </si>
  <si>
    <t>Proxy Group of Six Water Companies</t>
  </si>
  <si>
    <t>CEG</t>
  </si>
  <si>
    <t>Industry ("Natural Gas", "Water", "Electric")</t>
  </si>
  <si>
    <t>CMS</t>
  </si>
  <si>
    <t>Water</t>
  </si>
  <si>
    <t>CNP</t>
  </si>
  <si>
    <t>- If Data not available, input NA</t>
  </si>
  <si>
    <t>D</t>
  </si>
  <si>
    <t>Common Stock Shares Outstanding at Fiscal Year End</t>
  </si>
  <si>
    <t>DTE</t>
  </si>
  <si>
    <t>DUK</t>
  </si>
  <si>
    <t>ED</t>
  </si>
  <si>
    <t>Book Value per Share at Fiscal Year End</t>
  </si>
  <si>
    <t>EIX</t>
  </si>
  <si>
    <t>ES</t>
  </si>
  <si>
    <t>ETR</t>
  </si>
  <si>
    <t>Rate Base</t>
  </si>
  <si>
    <t>EVRG</t>
  </si>
  <si>
    <t>Net Plant from Asset Approach</t>
  </si>
  <si>
    <t>EXC</t>
  </si>
  <si>
    <t>FE</t>
  </si>
  <si>
    <t xml:space="preserve">Closing Stock Market Price </t>
  </si>
  <si>
    <t>LNT</t>
  </si>
  <si>
    <t>NEE</t>
  </si>
  <si>
    <t>NI</t>
  </si>
  <si>
    <t>Date of Annual Report Filing ("'Month Day, Year")</t>
  </si>
  <si>
    <t>NRG</t>
  </si>
  <si>
    <t>December 31, 2022</t>
  </si>
  <si>
    <t>PCG</t>
  </si>
  <si>
    <t>PEG</t>
  </si>
  <si>
    <t>Business Risk Adjustment</t>
  </si>
  <si>
    <t>PNW</t>
  </si>
  <si>
    <t>PPL</t>
  </si>
  <si>
    <t>SO</t>
  </si>
  <si>
    <t>SRE</t>
  </si>
  <si>
    <t>WEC</t>
  </si>
  <si>
    <t>XEL</t>
  </si>
  <si>
    <t>Bond Index - Date</t>
  </si>
  <si>
    <t>MOODUA Index</t>
  </si>
  <si>
    <t>MOODUBAA Index</t>
  </si>
  <si>
    <t>MOODCAAA Index</t>
  </si>
  <si>
    <t>MOODCAA Index</t>
  </si>
  <si>
    <t>MOODCA Index</t>
  </si>
  <si>
    <t>MOODCBAA Index</t>
  </si>
  <si>
    <t>Historical Risk Premium Data</t>
  </si>
  <si>
    <t>Arithmetic Mean of Monthly Returns on Large Company Common Stocks (1928 - 2022)</t>
  </si>
  <si>
    <t>Arithmetic Mean of Moody's Aaa and Aa Corporate Bond Yields (1928 - 2022)</t>
  </si>
  <si>
    <t>Arithmetic Mean Holding Period Returns on the S&amp;P Utility Index (1928 - 2022)</t>
  </si>
  <si>
    <t>Arithmetic Mean on Moody's A Rated Public Utility Bond Yields (1928 - 2022)</t>
  </si>
  <si>
    <t>EPS Growth Rates</t>
  </si>
  <si>
    <t>Beta</t>
  </si>
  <si>
    <t>Annual Div.</t>
  </si>
  <si>
    <t>Bond Ratings</t>
  </si>
  <si>
    <t>Ticker</t>
  </si>
  <si>
    <t>Zacks</t>
  </si>
  <si>
    <t>Yahoo</t>
  </si>
  <si>
    <t>Value Line</t>
  </si>
  <si>
    <t>Bloomberg</t>
  </si>
  <si>
    <t>S&amp;P</t>
  </si>
  <si>
    <t>Golden State Water Company (A+, A2)</t>
  </si>
  <si>
    <t>New Jersey American Water Co. (A, A3), PA American Water Co (A, A3)</t>
  </si>
  <si>
    <t>NR</t>
  </si>
  <si>
    <t>Essential Utilities Inc.</t>
  </si>
  <si>
    <t>Aqua Pennsylvania, Inc. (A, NR); PNG Companies (A, Baa1)</t>
  </si>
  <si>
    <t>San Jose Water (A); Connecticut Water Inc. (A-);  Connecticut Water Service Inc. (A-)</t>
  </si>
  <si>
    <t>Tickers</t>
  </si>
  <si>
    <t>PX_LAST</t>
  </si>
  <si>
    <t>Average Price</t>
  </si>
  <si>
    <t>Indicated Dividend</t>
  </si>
  <si>
    <t>Indicated Dividend Yield</t>
  </si>
  <si>
    <t>Est. Median Appreciation Potential 3 - 5 Yrs. Hence</t>
  </si>
  <si>
    <t xml:space="preserve">Est. Median Annual Appreciation Potential </t>
  </si>
  <si>
    <t>Date of Value Line Summary &amp; Index</t>
  </si>
  <si>
    <t>Est. Median Dividend Yield</t>
  </si>
  <si>
    <t>Est. Median Annual Total Return</t>
  </si>
  <si>
    <t>Blue Chip Financial Forecasts</t>
  </si>
  <si>
    <t>Consensus Forecast Yield for 30-year Treasury Bonds</t>
  </si>
  <si>
    <t>Aaa Bonds</t>
  </si>
  <si>
    <t>Baa Bonds</t>
  </si>
  <si>
    <t>Third Quarter 2023</t>
  </si>
  <si>
    <t>Fourth Quarter 2023</t>
  </si>
  <si>
    <t>First Quarter 2024</t>
  </si>
  <si>
    <t>Second Quarter 2024</t>
  </si>
  <si>
    <t>Third Quarter 2024</t>
  </si>
  <si>
    <t>Fourth Quarter 2024</t>
  </si>
  <si>
    <t>Projected</t>
  </si>
  <si>
    <t>2025-2029</t>
  </si>
  <si>
    <t>2030-2034</t>
  </si>
  <si>
    <t>Risk Premium</t>
  </si>
  <si>
    <t>Total Projected Return on S&amp;P 500</t>
  </si>
  <si>
    <t>Based on Value Line</t>
  </si>
  <si>
    <t>Average of Value Line MRPs:</t>
  </si>
  <si>
    <t>Ibbotson-Based MRPs:</t>
  </si>
  <si>
    <t>SBBI Common Stocks Total Return -</t>
  </si>
  <si>
    <t xml:space="preserve">   1926 - 2022</t>
  </si>
  <si>
    <t>SBBI Long-Term Gov't Bonds Income</t>
  </si>
  <si>
    <t xml:space="preserve">   Return 1926 - 2022</t>
  </si>
  <si>
    <t>Historical Market Risk Premium</t>
  </si>
  <si>
    <t>Regression analysis on SBBI data 1926-2022</t>
  </si>
  <si>
    <t>Average of Ibbotson-Based MRPs:</t>
  </si>
  <si>
    <t>Based on Bloomberg</t>
  </si>
  <si>
    <t>Average of Hist'l &amp; Proj'd Market</t>
  </si>
  <si>
    <t xml:space="preserve">   Risk Premium</t>
  </si>
  <si>
    <t xml:space="preserve"> </t>
  </si>
  <si>
    <t xml:space="preserve">Source of Information:  </t>
  </si>
  <si>
    <t>Blue Chip Financial Forecasts May 1, 2023 and December 2, 2022</t>
  </si>
  <si>
    <t>Stocks, Bonds, Bills, and Inflation -  2023 SBBI Yearbook, Appendix A Tables, John Wiley &amp; Sons, Inc.</t>
  </si>
  <si>
    <t>Proxy Group</t>
  </si>
  <si>
    <t>VL Beta</t>
  </si>
  <si>
    <t>Today:</t>
  </si>
  <si>
    <t>NAME</t>
  </si>
  <si>
    <t>TICKER</t>
  </si>
  <si>
    <t>CUR_MKT_CAP</t>
  </si>
  <si>
    <t>EQY_DVD_YLD_EST</t>
  </si>
  <si>
    <t>BEST_EST_LONG_TERM_GROWTH</t>
  </si>
  <si>
    <t>EQY_SH_OUT</t>
  </si>
  <si>
    <t>Market 
Capitalization</t>
  </si>
  <si>
    <t>Estimated Dividend Yield</t>
  </si>
  <si>
    <t>Long-Term Growth Est.</t>
  </si>
  <si>
    <t>DCF Result</t>
  </si>
  <si>
    <t>% Total Mkt Cap</t>
  </si>
  <si>
    <t>Weighted
DCF Result</t>
  </si>
  <si>
    <t>A UN Equity</t>
  </si>
  <si>
    <t>Agilent Technologies Inc</t>
  </si>
  <si>
    <t>AAL UW Equity</t>
  </si>
  <si>
    <t>American Airlines Group Inc</t>
  </si>
  <si>
    <t>AAL</t>
  </si>
  <si>
    <t>AAP UN Equity</t>
  </si>
  <si>
    <t>Advance Auto Parts Inc</t>
  </si>
  <si>
    <t>AAP</t>
  </si>
  <si>
    <t>AAPL UW Equity</t>
  </si>
  <si>
    <t>Apple Inc</t>
  </si>
  <si>
    <t>AAPL</t>
  </si>
  <si>
    <t>ABBV UN Equity</t>
  </si>
  <si>
    <t>AbbVie Inc</t>
  </si>
  <si>
    <t>ABBV</t>
  </si>
  <si>
    <t>ABC UN Equity</t>
  </si>
  <si>
    <t>AmerisourceBergen Corp</t>
  </si>
  <si>
    <t>ABC</t>
  </si>
  <si>
    <t>ABT UN Equity</t>
  </si>
  <si>
    <t>Abbott Laboratories</t>
  </si>
  <si>
    <t>ABT</t>
  </si>
  <si>
    <t>ACGL UW Equity</t>
  </si>
  <si>
    <t>Arch Capital Group Ltd</t>
  </si>
  <si>
    <t>ACGL</t>
  </si>
  <si>
    <t>#N/A N/A</t>
  </si>
  <si>
    <t>ACN UN Equity</t>
  </si>
  <si>
    <t>Accenture PLC</t>
  </si>
  <si>
    <t>ACN</t>
  </si>
  <si>
    <t>ADBE UW Equity</t>
  </si>
  <si>
    <t>Adobe Inc</t>
  </si>
  <si>
    <t>ADBE</t>
  </si>
  <si>
    <t>ADI UW Equity</t>
  </si>
  <si>
    <t>Analog Devices Inc</t>
  </si>
  <si>
    <t>ADI</t>
  </si>
  <si>
    <t>ADM UN Equity</t>
  </si>
  <si>
    <t>Archer-Daniels-Midland Co</t>
  </si>
  <si>
    <t>ADM</t>
  </si>
  <si>
    <t>ADP UW Equity</t>
  </si>
  <si>
    <t>Automatic Data Processing Inc</t>
  </si>
  <si>
    <t>ADP</t>
  </si>
  <si>
    <t>ADSK UW Equity</t>
  </si>
  <si>
    <t>Autodesk Inc</t>
  </si>
  <si>
    <t>ADSK</t>
  </si>
  <si>
    <t>AEE UN Equity</t>
  </si>
  <si>
    <t>Ameren Corp</t>
  </si>
  <si>
    <t>AEP UW Equity</t>
  </si>
  <si>
    <t>American Electric Power Co Inc</t>
  </si>
  <si>
    <t>AES UN Equity</t>
  </si>
  <si>
    <t>AES Corp/The</t>
  </si>
  <si>
    <t>AFL UN Equity</t>
  </si>
  <si>
    <t>Aflac Inc</t>
  </si>
  <si>
    <t>AFL</t>
  </si>
  <si>
    <t>AIG UN Equity</t>
  </si>
  <si>
    <t>American International Group Inc</t>
  </si>
  <si>
    <t>AIG</t>
  </si>
  <si>
    <t>AIZ UN Equity</t>
  </si>
  <si>
    <t>Assurant Inc</t>
  </si>
  <si>
    <t>AIZ</t>
  </si>
  <si>
    <t>AJG UN Equity</t>
  </si>
  <si>
    <t>Arthur J Gallagher &amp; Co</t>
  </si>
  <si>
    <t>AJG</t>
  </si>
  <si>
    <t>AKAM UW Equity</t>
  </si>
  <si>
    <t>Akamai Technologies Inc</t>
  </si>
  <si>
    <t>AKAM</t>
  </si>
  <si>
    <t>ALB UN Equity</t>
  </si>
  <si>
    <t>Albemarle Corp</t>
  </si>
  <si>
    <t>ALB</t>
  </si>
  <si>
    <t>ALGN UW Equity</t>
  </si>
  <si>
    <t>Align Technology Inc</t>
  </si>
  <si>
    <t>ALGN</t>
  </si>
  <si>
    <t>ALK UN Equity</t>
  </si>
  <si>
    <t>Alaska Air Group Inc</t>
  </si>
  <si>
    <t>ALK</t>
  </si>
  <si>
    <t>ALL UN Equity</t>
  </si>
  <si>
    <t>Allstate Corp/The</t>
  </si>
  <si>
    <t>ALL</t>
  </si>
  <si>
    <t>ALLE UN Equity</t>
  </si>
  <si>
    <t>Allegion plc</t>
  </si>
  <si>
    <t>ALLE</t>
  </si>
  <si>
    <t>AMAT UW Equity</t>
  </si>
  <si>
    <t>Applied Materials Inc</t>
  </si>
  <si>
    <t>AMAT</t>
  </si>
  <si>
    <t>AMCR UN Equity</t>
  </si>
  <si>
    <t>Amcor PLC</t>
  </si>
  <si>
    <t>AMCR</t>
  </si>
  <si>
    <t>AMD UW Equity</t>
  </si>
  <si>
    <t>Advanced Micro Devices Inc</t>
  </si>
  <si>
    <t>AMD</t>
  </si>
  <si>
    <t>AME UN Equity</t>
  </si>
  <si>
    <t>AMETEK Inc</t>
  </si>
  <si>
    <t>AME</t>
  </si>
  <si>
    <t>AMGN UW Equity</t>
  </si>
  <si>
    <t>Amgen Inc</t>
  </si>
  <si>
    <t>AMGN</t>
  </si>
  <si>
    <t>AMP UN Equity</t>
  </si>
  <si>
    <t>Ameriprise Financial Inc</t>
  </si>
  <si>
    <t>AMP</t>
  </si>
  <si>
    <t>AMT UN Equity</t>
  </si>
  <si>
    <t>American Tower Corp</t>
  </si>
  <si>
    <t>AMT</t>
  </si>
  <si>
    <t>AMZN UW Equity</t>
  </si>
  <si>
    <t>Amazon.com Inc</t>
  </si>
  <si>
    <t>AMZN</t>
  </si>
  <si>
    <t>ANET UN Equity</t>
  </si>
  <si>
    <t>Arista Networks Inc</t>
  </si>
  <si>
    <t>ANET</t>
  </si>
  <si>
    <t>ANSS UW Equity</t>
  </si>
  <si>
    <t>ANSYS Inc</t>
  </si>
  <si>
    <t>ANSS</t>
  </si>
  <si>
    <t>AON UN Equity</t>
  </si>
  <si>
    <t>Aon PLC</t>
  </si>
  <si>
    <t>AON</t>
  </si>
  <si>
    <t>AOS UN Equity</t>
  </si>
  <si>
    <t>A O Smith Corp</t>
  </si>
  <si>
    <t>AOS</t>
  </si>
  <si>
    <t>APA UW Equity</t>
  </si>
  <si>
    <t>APA Corp</t>
  </si>
  <si>
    <t>APA</t>
  </si>
  <si>
    <t>APD UN Equity</t>
  </si>
  <si>
    <t>Air Products and Chemicals Inc</t>
  </si>
  <si>
    <t>APD</t>
  </si>
  <si>
    <t>APH UN Equity</t>
  </si>
  <si>
    <t>Amphenol Corp</t>
  </si>
  <si>
    <t>APH</t>
  </si>
  <si>
    <t>APTV UN Equity</t>
  </si>
  <si>
    <t>Aptiv PLC</t>
  </si>
  <si>
    <t>APTV</t>
  </si>
  <si>
    <t>ARE UN Equity</t>
  </si>
  <si>
    <t>Alexandria Real Estate Equities Inc</t>
  </si>
  <si>
    <t>ARE</t>
  </si>
  <si>
    <t>ATO UN Equity</t>
  </si>
  <si>
    <t>Atmos Energy Corp</t>
  </si>
  <si>
    <t>ATVI UW Equity</t>
  </si>
  <si>
    <t>Activision Blizzard Inc</t>
  </si>
  <si>
    <t>ATVI</t>
  </si>
  <si>
    <t>AVB UN Equity</t>
  </si>
  <si>
    <t>AvalonBay Communities Inc</t>
  </si>
  <si>
    <t>AVB</t>
  </si>
  <si>
    <t>AVGO UW Equity</t>
  </si>
  <si>
    <t>Broadcom Inc</t>
  </si>
  <si>
    <t>AVGO</t>
  </si>
  <si>
    <t>AVY UN Equity</t>
  </si>
  <si>
    <t>Avery Dennison Corp</t>
  </si>
  <si>
    <t>AVY</t>
  </si>
  <si>
    <t>AWK UN Equity</t>
  </si>
  <si>
    <t>American Water Works Co Inc</t>
  </si>
  <si>
    <t>AXON UW Equity</t>
  </si>
  <si>
    <t>Axon Enterprise Inc</t>
  </si>
  <si>
    <t>AXON</t>
  </si>
  <si>
    <t>AXP UN Equity</t>
  </si>
  <si>
    <t>American Express Co</t>
  </si>
  <si>
    <t>AXP</t>
  </si>
  <si>
    <t>AZO UN Equity</t>
  </si>
  <si>
    <t>AutoZone Inc</t>
  </si>
  <si>
    <t>AZO</t>
  </si>
  <si>
    <t>BA UN Equity</t>
  </si>
  <si>
    <t>Boeing Co/The</t>
  </si>
  <si>
    <t>BA</t>
  </si>
  <si>
    <t>BAC UN Equity</t>
  </si>
  <si>
    <t>Bank of America Corp</t>
  </si>
  <si>
    <t>BAC</t>
  </si>
  <si>
    <t>BALL UN Equity</t>
  </si>
  <si>
    <t>Ball Corp</t>
  </si>
  <si>
    <t>BALL</t>
  </si>
  <si>
    <t>BAX UN Equity</t>
  </si>
  <si>
    <t>Baxter International Inc</t>
  </si>
  <si>
    <t>BAX</t>
  </si>
  <si>
    <t>BBWI UN Equity</t>
  </si>
  <si>
    <t>Bath &amp; Body Works Inc</t>
  </si>
  <si>
    <t>BBWI</t>
  </si>
  <si>
    <t>BBY UN Equity</t>
  </si>
  <si>
    <t>Best Buy Co Inc</t>
  </si>
  <si>
    <t>BBY</t>
  </si>
  <si>
    <t>BDX UN Equity</t>
  </si>
  <si>
    <t>Becton Dickinson &amp; Co</t>
  </si>
  <si>
    <t>BDX</t>
  </si>
  <si>
    <t>BEN UN Equity</t>
  </si>
  <si>
    <t>Franklin Resources Inc</t>
  </si>
  <si>
    <t>BEN</t>
  </si>
  <si>
    <t>BF/B UN Equity</t>
  </si>
  <si>
    <t>Brown-Forman Corp</t>
  </si>
  <si>
    <t>BF/B</t>
  </si>
  <si>
    <t>BG UN Equity</t>
  </si>
  <si>
    <t>Bunge Ltd</t>
  </si>
  <si>
    <t>BG</t>
  </si>
  <si>
    <t>BIIB UW Equity</t>
  </si>
  <si>
    <t>Biogen Inc</t>
  </si>
  <si>
    <t>BIIB</t>
  </si>
  <si>
    <t>BIO UN Equity</t>
  </si>
  <si>
    <t>Bio-Rad Laboratories Inc</t>
  </si>
  <si>
    <t>BIO</t>
  </si>
  <si>
    <t>BK UN Equity</t>
  </si>
  <si>
    <t>Bank of New York Mellon Corp/The</t>
  </si>
  <si>
    <t>BK</t>
  </si>
  <si>
    <t>BKNG UW Equity</t>
  </si>
  <si>
    <t>Booking Holdings Inc</t>
  </si>
  <si>
    <t>BKNG</t>
  </si>
  <si>
    <t>BKR UW Equity</t>
  </si>
  <si>
    <t>Baker Hughes Co</t>
  </si>
  <si>
    <t>BKR</t>
  </si>
  <si>
    <t>BLK UN Equity</t>
  </si>
  <si>
    <t>BlackRock Inc</t>
  </si>
  <si>
    <t>BLK</t>
  </si>
  <si>
    <t>BMY UN Equity</t>
  </si>
  <si>
    <t>Bristol-Myers Squibb Co</t>
  </si>
  <si>
    <t>BMY</t>
  </si>
  <si>
    <t>BR UN Equity</t>
  </si>
  <si>
    <t>Broadridge Financial Solutions Inc</t>
  </si>
  <si>
    <t>BR</t>
  </si>
  <si>
    <t>BRK/B UN Equity</t>
  </si>
  <si>
    <t>Berkshire Hathaway Inc</t>
  </si>
  <si>
    <t>BRK/B</t>
  </si>
  <si>
    <t>BRO UN Equity</t>
  </si>
  <si>
    <t>Brown &amp; Brown Inc</t>
  </si>
  <si>
    <t>BRO</t>
  </si>
  <si>
    <t>BSX UN Equity</t>
  </si>
  <si>
    <t>Boston Scientific Corp</t>
  </si>
  <si>
    <t>BSX</t>
  </si>
  <si>
    <t>BWA UN Equity</t>
  </si>
  <si>
    <t>BorgWarner Inc</t>
  </si>
  <si>
    <t>BWA</t>
  </si>
  <si>
    <t>BXP UN Equity</t>
  </si>
  <si>
    <t>Boston Properties Inc</t>
  </si>
  <si>
    <t>BXP</t>
  </si>
  <si>
    <t>C UN Equity</t>
  </si>
  <si>
    <t>Citigroup Inc</t>
  </si>
  <si>
    <t>C</t>
  </si>
  <si>
    <t>CAG UN Equity</t>
  </si>
  <si>
    <t>Conagra Brands Inc</t>
  </si>
  <si>
    <t>CAG</t>
  </si>
  <si>
    <t>CAH UN Equity</t>
  </si>
  <si>
    <t>Cardinal Health Inc</t>
  </si>
  <si>
    <t>CAH</t>
  </si>
  <si>
    <t>CARR UN Equity</t>
  </si>
  <si>
    <t>Carrier Global Corp</t>
  </si>
  <si>
    <t>CARR</t>
  </si>
  <si>
    <t>CAT UN Equity</t>
  </si>
  <si>
    <t>Caterpillar Inc</t>
  </si>
  <si>
    <t>CAT</t>
  </si>
  <si>
    <t>CB UN Equity</t>
  </si>
  <si>
    <t>Chubb Ltd</t>
  </si>
  <si>
    <t>CB</t>
  </si>
  <si>
    <t>CBOE UF Equity</t>
  </si>
  <si>
    <t>Cboe Global Markets Inc</t>
  </si>
  <si>
    <t>CBOE</t>
  </si>
  <si>
    <t>CBRE UN Equity</t>
  </si>
  <si>
    <t>CBRE Group Inc</t>
  </si>
  <si>
    <t>CBRE</t>
  </si>
  <si>
    <t>CCI UN Equity</t>
  </si>
  <si>
    <t>Crown Castle Inc</t>
  </si>
  <si>
    <t>CCI</t>
  </si>
  <si>
    <t>CCL UN Equity</t>
  </si>
  <si>
    <t>Carnival Corp</t>
  </si>
  <si>
    <t>CCL</t>
  </si>
  <si>
    <t>CDAY UN Equity</t>
  </si>
  <si>
    <t>Ceridian HCM Holding Inc</t>
  </si>
  <si>
    <t>CDAY</t>
  </si>
  <si>
    <t>CDNS UW Equity</t>
  </si>
  <si>
    <t>Cadence Design Systems Inc</t>
  </si>
  <si>
    <t>CDNS</t>
  </si>
  <si>
    <t>CDW UW Equity</t>
  </si>
  <si>
    <t>CDW Corp/DE</t>
  </si>
  <si>
    <t>CDW</t>
  </si>
  <si>
    <t>CE UN Equity</t>
  </si>
  <si>
    <t>Celanese Corp</t>
  </si>
  <si>
    <t>CE</t>
  </si>
  <si>
    <t>CEG UW Equity</t>
  </si>
  <si>
    <t>Constellation Energy Corp</t>
  </si>
  <si>
    <t>CF UN Equity</t>
  </si>
  <si>
    <t>CF Industries Holdings Inc</t>
  </si>
  <si>
    <t>CF</t>
  </si>
  <si>
    <t>CFG UN Equity</t>
  </si>
  <si>
    <t>Citizens Financial Group Inc</t>
  </si>
  <si>
    <t>CFG</t>
  </si>
  <si>
    <t>CHD UN Equity</t>
  </si>
  <si>
    <t>Church &amp; Dwight Co Inc</t>
  </si>
  <si>
    <t>CHD</t>
  </si>
  <si>
    <t>CHRW UW Equity</t>
  </si>
  <si>
    <t>CH Robinson Worldwide Inc</t>
  </si>
  <si>
    <t>CHRW</t>
  </si>
  <si>
    <t>CHTR UW Equity</t>
  </si>
  <si>
    <t>Charter Communications Inc</t>
  </si>
  <si>
    <t>CHTR</t>
  </si>
  <si>
    <t>CI UN Equity</t>
  </si>
  <si>
    <t>Cigna Group/The</t>
  </si>
  <si>
    <t>CI</t>
  </si>
  <si>
    <t>CINF UW Equity</t>
  </si>
  <si>
    <t>Cincinnati Financial Corp</t>
  </si>
  <si>
    <t>CINF</t>
  </si>
  <si>
    <t>CL UN Equity</t>
  </si>
  <si>
    <t>Colgate-Palmolive Co</t>
  </si>
  <si>
    <t>CL</t>
  </si>
  <si>
    <t>CLX UN Equity</t>
  </si>
  <si>
    <t>Clorox Co/The</t>
  </si>
  <si>
    <t>CLX</t>
  </si>
  <si>
    <t>CMA UN Equity</t>
  </si>
  <si>
    <t>Comerica Inc</t>
  </si>
  <si>
    <t>CMA</t>
  </si>
  <si>
    <t>CMCSA UW Equity</t>
  </si>
  <si>
    <t>Comcast Corp</t>
  </si>
  <si>
    <t>CMCSA</t>
  </si>
  <si>
    <t>CME UW Equity</t>
  </si>
  <si>
    <t>CME Group Inc</t>
  </si>
  <si>
    <t>CME</t>
  </si>
  <si>
    <t>CMG UN Equity</t>
  </si>
  <si>
    <t>Chipotle Mexican Grill Inc</t>
  </si>
  <si>
    <t>CMG</t>
  </si>
  <si>
    <t>CMI UN Equity</t>
  </si>
  <si>
    <t>Cummins Inc</t>
  </si>
  <si>
    <t>CMI</t>
  </si>
  <si>
    <t>CMS UN Equity</t>
  </si>
  <si>
    <t>CMS Energy Corp</t>
  </si>
  <si>
    <t>CNC UN Equity</t>
  </si>
  <si>
    <t>Centene Corp</t>
  </si>
  <si>
    <t>CNC</t>
  </si>
  <si>
    <t>CNP UN Equity</t>
  </si>
  <si>
    <t>CenterPoint Energy Inc</t>
  </si>
  <si>
    <t>COF UN Equity</t>
  </si>
  <si>
    <t>Capital One Financial Corp</t>
  </si>
  <si>
    <t>COF</t>
  </si>
  <si>
    <t>COO UN Equity</t>
  </si>
  <si>
    <t>Cooper Cos Inc/The</t>
  </si>
  <si>
    <t>COO</t>
  </si>
  <si>
    <t>COP UN Equity</t>
  </si>
  <si>
    <t>ConocoPhillips</t>
  </si>
  <si>
    <t>COP</t>
  </si>
  <si>
    <t>COST UW Equity</t>
  </si>
  <si>
    <t>Costco Wholesale Corp</t>
  </si>
  <si>
    <t>COST</t>
  </si>
  <si>
    <t>CPB UN Equity</t>
  </si>
  <si>
    <t>Campbell Soup Co</t>
  </si>
  <si>
    <t>CPB</t>
  </si>
  <si>
    <t>CPRT UW Equity</t>
  </si>
  <si>
    <t>Copart Inc</t>
  </si>
  <si>
    <t>CPRT</t>
  </si>
  <si>
    <t>CPT UN Equity</t>
  </si>
  <si>
    <t>Camden Property Trust</t>
  </si>
  <si>
    <t>CPT</t>
  </si>
  <si>
    <t>CRL UN Equity</t>
  </si>
  <si>
    <t>Charles River Laboratories International Inc</t>
  </si>
  <si>
    <t>CRL</t>
  </si>
  <si>
    <t>CRM UN Equity</t>
  </si>
  <si>
    <t>Salesforce Inc</t>
  </si>
  <si>
    <t>CRM</t>
  </si>
  <si>
    <t>CSCO UW Equity</t>
  </si>
  <si>
    <t>Cisco Systems Inc</t>
  </si>
  <si>
    <t>CSCO</t>
  </si>
  <si>
    <t>CSGP UW Equity</t>
  </si>
  <si>
    <t>CoStar Group Inc</t>
  </si>
  <si>
    <t>CSGP</t>
  </si>
  <si>
    <t>CSX UW Equity</t>
  </si>
  <si>
    <t>CSX Corp</t>
  </si>
  <si>
    <t>CSX</t>
  </si>
  <si>
    <t>CTAS UW Equity</t>
  </si>
  <si>
    <t>Cintas Corp</t>
  </si>
  <si>
    <t>CTAS</t>
  </si>
  <si>
    <t>CTLT UN Equity</t>
  </si>
  <si>
    <t>Catalent Inc</t>
  </si>
  <si>
    <t>CTLT</t>
  </si>
  <si>
    <t>CTRA UN Equity</t>
  </si>
  <si>
    <t>Coterra Energy Inc</t>
  </si>
  <si>
    <t>CTRA</t>
  </si>
  <si>
    <t>CTSH UW Equity</t>
  </si>
  <si>
    <t>Cognizant Technology Solutions Corp</t>
  </si>
  <si>
    <t>CTSH</t>
  </si>
  <si>
    <t>CTVA UN Equity</t>
  </si>
  <si>
    <t>Corteva Inc</t>
  </si>
  <si>
    <t>CTVA</t>
  </si>
  <si>
    <t>CVS UN Equity</t>
  </si>
  <si>
    <t>CVS Health Corp</t>
  </si>
  <si>
    <t>CVS</t>
  </si>
  <si>
    <t>CVX UN Equity</t>
  </si>
  <si>
    <t>Chevron Corp</t>
  </si>
  <si>
    <t>CVX</t>
  </si>
  <si>
    <t>CZR UW Equity</t>
  </si>
  <si>
    <t>Caesars Entertainment Inc</t>
  </si>
  <si>
    <t>CZR</t>
  </si>
  <si>
    <t>D UN Equity</t>
  </si>
  <si>
    <t>Dominion Energy Inc</t>
  </si>
  <si>
    <t>DAL UN Equity</t>
  </si>
  <si>
    <t>Delta Air Lines Inc</t>
  </si>
  <si>
    <t>DAL</t>
  </si>
  <si>
    <t>DD UN Equity</t>
  </si>
  <si>
    <t>DuPont de Nemours Inc</t>
  </si>
  <si>
    <t>DD</t>
  </si>
  <si>
    <t>DE UN Equity</t>
  </si>
  <si>
    <t>Deere &amp; Co</t>
  </si>
  <si>
    <t>DFS UN Equity</t>
  </si>
  <si>
    <t>Discover Financial Services</t>
  </si>
  <si>
    <t>DFS</t>
  </si>
  <si>
    <t>DG UN Equity</t>
  </si>
  <si>
    <t>Dollar General Corp</t>
  </si>
  <si>
    <t>DG</t>
  </si>
  <si>
    <t>DGX UN Equity</t>
  </si>
  <si>
    <t>Quest Diagnostics Inc</t>
  </si>
  <si>
    <t>DGX</t>
  </si>
  <si>
    <t>DHI UN Equity</t>
  </si>
  <si>
    <t>DR Horton Inc</t>
  </si>
  <si>
    <t>DHI</t>
  </si>
  <si>
    <t>DHR UN Equity</t>
  </si>
  <si>
    <t>Danaher Corp</t>
  </si>
  <si>
    <t>DHR</t>
  </si>
  <si>
    <t>DIS UN Equity</t>
  </si>
  <si>
    <t>Walt Disney Co/The</t>
  </si>
  <si>
    <t>DIS</t>
  </si>
  <si>
    <t>DLR UN Equity</t>
  </si>
  <si>
    <t>Digital Realty Trust Inc</t>
  </si>
  <si>
    <t>DLR</t>
  </si>
  <si>
    <t>DLTR UW Equity</t>
  </si>
  <si>
    <t>Dollar Tree Inc</t>
  </si>
  <si>
    <t>DLTR</t>
  </si>
  <si>
    <t>DOV UN Equity</t>
  </si>
  <si>
    <t>Dover Corp</t>
  </si>
  <si>
    <t>DOV</t>
  </si>
  <si>
    <t>DOW UN Equity</t>
  </si>
  <si>
    <t>Dow Inc</t>
  </si>
  <si>
    <t>DOW</t>
  </si>
  <si>
    <t>DPZ UN Equity</t>
  </si>
  <si>
    <t>Domino's Pizza Inc</t>
  </si>
  <si>
    <t>DPZ</t>
  </si>
  <si>
    <t>DRI UN Equity</t>
  </si>
  <si>
    <t>Darden Restaurants Inc</t>
  </si>
  <si>
    <t>DRI</t>
  </si>
  <si>
    <t>DTE UN Equity</t>
  </si>
  <si>
    <t>DTE Energy Co</t>
  </si>
  <si>
    <t>DUK UN Equity</t>
  </si>
  <si>
    <t>Duke Energy Corp</t>
  </si>
  <si>
    <t>DVA UN Equity</t>
  </si>
  <si>
    <t>DaVita Inc</t>
  </si>
  <si>
    <t>DVA</t>
  </si>
  <si>
    <t>DVN UN Equity</t>
  </si>
  <si>
    <t>Devon Energy Corp</t>
  </si>
  <si>
    <t>DVN</t>
  </si>
  <si>
    <t>DXC UN Equity</t>
  </si>
  <si>
    <t>DXC Technology Co</t>
  </si>
  <si>
    <t>DXC</t>
  </si>
  <si>
    <t>DXCM UW Equity</t>
  </si>
  <si>
    <t>Dexcom Inc</t>
  </si>
  <si>
    <t>DXCM</t>
  </si>
  <si>
    <t>EA UW Equity</t>
  </si>
  <si>
    <t>Electronic Arts Inc</t>
  </si>
  <si>
    <t>EA</t>
  </si>
  <si>
    <t>EBAY UW Equity</t>
  </si>
  <si>
    <t>eBay Inc</t>
  </si>
  <si>
    <t>EBAY</t>
  </si>
  <si>
    <t>ECL UN Equity</t>
  </si>
  <si>
    <t>Ecolab Inc</t>
  </si>
  <si>
    <t>ECL</t>
  </si>
  <si>
    <t>ED UN Equity</t>
  </si>
  <si>
    <t>Consolidated Edison Inc</t>
  </si>
  <si>
    <t>EFX UN Equity</t>
  </si>
  <si>
    <t>Equifax Inc</t>
  </si>
  <si>
    <t>EFX</t>
  </si>
  <si>
    <t>EG UN Equity</t>
  </si>
  <si>
    <t>Everest Group Ltd</t>
  </si>
  <si>
    <t>EG</t>
  </si>
  <si>
    <t>EIX UN Equity</t>
  </si>
  <si>
    <t>Edison International</t>
  </si>
  <si>
    <t>EL UN Equity</t>
  </si>
  <si>
    <t>Estee Lauder Cos Inc/The</t>
  </si>
  <si>
    <t>EL</t>
  </si>
  <si>
    <t>ELV UN Equity</t>
  </si>
  <si>
    <t>Elevance Health Inc</t>
  </si>
  <si>
    <t>ELV</t>
  </si>
  <si>
    <t>EMN UN Equity</t>
  </si>
  <si>
    <t>Eastman Chemical Co</t>
  </si>
  <si>
    <t>EMN</t>
  </si>
  <si>
    <t>EMR UN Equity</t>
  </si>
  <si>
    <t>Emerson Electric Co</t>
  </si>
  <si>
    <t>EMR</t>
  </si>
  <si>
    <t>ENPH UQ Equity</t>
  </si>
  <si>
    <t>Enphase Energy Inc</t>
  </si>
  <si>
    <t>ENPH</t>
  </si>
  <si>
    <t>EOG UN Equity</t>
  </si>
  <si>
    <t>EOG Resources Inc</t>
  </si>
  <si>
    <t>EOG</t>
  </si>
  <si>
    <t>EPAM UN Equity</t>
  </si>
  <si>
    <t>EPAM Systems Inc</t>
  </si>
  <si>
    <t>EPAM</t>
  </si>
  <si>
    <t>EQIX UW Equity</t>
  </si>
  <si>
    <t>Equinix Inc</t>
  </si>
  <si>
    <t>EQIX</t>
  </si>
  <si>
    <t>EQR UN Equity</t>
  </si>
  <si>
    <t>Equity Residential</t>
  </si>
  <si>
    <t>EQR</t>
  </si>
  <si>
    <t>EQT UN Equity</t>
  </si>
  <si>
    <t>EQT Corp</t>
  </si>
  <si>
    <t>EQT</t>
  </si>
  <si>
    <t>ES UN Equity</t>
  </si>
  <si>
    <t>ESS UN Equity</t>
  </si>
  <si>
    <t>Essex Property Trust Inc</t>
  </si>
  <si>
    <t>ESS</t>
  </si>
  <si>
    <t>ETN UN Equity</t>
  </si>
  <si>
    <t>Eaton Corp PLC</t>
  </si>
  <si>
    <t>ETN</t>
  </si>
  <si>
    <t>ETR UN Equity</t>
  </si>
  <si>
    <t>Entergy Corp</t>
  </si>
  <si>
    <t>ETSY UW Equity</t>
  </si>
  <si>
    <t>Etsy Inc</t>
  </si>
  <si>
    <t>ETSY</t>
  </si>
  <si>
    <t>EVRG UW Equity</t>
  </si>
  <si>
    <t>Evergy Inc</t>
  </si>
  <si>
    <t>EW UN Equity</t>
  </si>
  <si>
    <t>Edwards Lifesciences Corp</t>
  </si>
  <si>
    <t>EW</t>
  </si>
  <si>
    <t>EXC UW Equity</t>
  </si>
  <si>
    <t>Exelon Corp</t>
  </si>
  <si>
    <t>EXPD UW Equity</t>
  </si>
  <si>
    <t>Expeditors International of Washington Inc</t>
  </si>
  <si>
    <t>EXPD</t>
  </si>
  <si>
    <t>EXPE UW Equity</t>
  </si>
  <si>
    <t>Expedia Group Inc</t>
  </si>
  <si>
    <t>EXPE</t>
  </si>
  <si>
    <t>EXR UN Equity</t>
  </si>
  <si>
    <t>Extra Space Storage Inc</t>
  </si>
  <si>
    <t>EXR</t>
  </si>
  <si>
    <t>F UN Equity</t>
  </si>
  <si>
    <t>Ford Motor Co</t>
  </si>
  <si>
    <t>F</t>
  </si>
  <si>
    <t>FANG UW Equity</t>
  </si>
  <si>
    <t>Diamondback Energy Inc</t>
  </si>
  <si>
    <t>FANG</t>
  </si>
  <si>
    <t>FAST UW Equity</t>
  </si>
  <si>
    <t>Fastenal Co</t>
  </si>
  <si>
    <t>FAST</t>
  </si>
  <si>
    <t>FCX UN Equity</t>
  </si>
  <si>
    <t>Freeport-McMoRan Inc</t>
  </si>
  <si>
    <t>FCX</t>
  </si>
  <si>
    <t>FDS UN Equity</t>
  </si>
  <si>
    <t>FactSet Research Systems Inc</t>
  </si>
  <si>
    <t>FDS</t>
  </si>
  <si>
    <t>FDX UN Equity</t>
  </si>
  <si>
    <t>FedEx Corp</t>
  </si>
  <si>
    <t>FDX</t>
  </si>
  <si>
    <t>FE UN Equity</t>
  </si>
  <si>
    <t>FirstEnergy Corp</t>
  </si>
  <si>
    <t>FFIV UW Equity</t>
  </si>
  <si>
    <t>F5 Inc</t>
  </si>
  <si>
    <t>FFIV</t>
  </si>
  <si>
    <t>FI UN Equity</t>
  </si>
  <si>
    <t>Fiserv Inc</t>
  </si>
  <si>
    <t>FI</t>
  </si>
  <si>
    <t>FICO UN Equity</t>
  </si>
  <si>
    <t>Fair Isaac Corp</t>
  </si>
  <si>
    <t>FICO</t>
  </si>
  <si>
    <t>FIS UN Equity</t>
  </si>
  <si>
    <t>Fidelity National Information Services Inc</t>
  </si>
  <si>
    <t>FIS</t>
  </si>
  <si>
    <t>FITB UW Equity</t>
  </si>
  <si>
    <t>Fifth Third Bancorp</t>
  </si>
  <si>
    <t>FITB</t>
  </si>
  <si>
    <t>FLT UN Equity</t>
  </si>
  <si>
    <t>FleetCor Technologies Inc</t>
  </si>
  <si>
    <t>FLT</t>
  </si>
  <si>
    <t>FMC UN Equity</t>
  </si>
  <si>
    <t>FMC Corp</t>
  </si>
  <si>
    <t>FMC</t>
  </si>
  <si>
    <t>FOXA UW Equity</t>
  </si>
  <si>
    <t>Fox Corp</t>
  </si>
  <si>
    <t>FOXA</t>
  </si>
  <si>
    <t>FRT UN Equity</t>
  </si>
  <si>
    <t>Federal Realty Investment Trust</t>
  </si>
  <si>
    <t>FRT</t>
  </si>
  <si>
    <t>FSLR UW Equity</t>
  </si>
  <si>
    <t>First Solar Inc</t>
  </si>
  <si>
    <t>FSLR</t>
  </si>
  <si>
    <t>FTNT UW Equity</t>
  </si>
  <si>
    <t>Fortinet Inc</t>
  </si>
  <si>
    <t>FTNT</t>
  </si>
  <si>
    <t>FTV UN Equity</t>
  </si>
  <si>
    <t>Fortive Corp</t>
  </si>
  <si>
    <t>FTV</t>
  </si>
  <si>
    <t>GD UN Equity</t>
  </si>
  <si>
    <t>General Dynamics Corp</t>
  </si>
  <si>
    <t>GD</t>
  </si>
  <si>
    <t>GE UN Equity</t>
  </si>
  <si>
    <t>General Electric Co</t>
  </si>
  <si>
    <t>GE</t>
  </si>
  <si>
    <t>GEHC UW Equity</t>
  </si>
  <si>
    <t>GE HealthCare Technologies Inc</t>
  </si>
  <si>
    <t>GEHC</t>
  </si>
  <si>
    <t>GEN UW Equity</t>
  </si>
  <si>
    <t>Gen Digital Inc</t>
  </si>
  <si>
    <t>GEN</t>
  </si>
  <si>
    <t>GILD UW Equity</t>
  </si>
  <si>
    <t>Gilead Sciences Inc</t>
  </si>
  <si>
    <t>GILD</t>
  </si>
  <si>
    <t>GIS UN Equity</t>
  </si>
  <si>
    <t>General Mills Inc</t>
  </si>
  <si>
    <t>GIS</t>
  </si>
  <si>
    <t>GL UN Equity</t>
  </si>
  <si>
    <t>Globe Life Inc</t>
  </si>
  <si>
    <t>GL</t>
  </si>
  <si>
    <t>GLW UN Equity</t>
  </si>
  <si>
    <t>Corning Inc</t>
  </si>
  <si>
    <t>GLW</t>
  </si>
  <si>
    <t>GM UN Equity</t>
  </si>
  <si>
    <t>General Motors Co</t>
  </si>
  <si>
    <t>GM</t>
  </si>
  <si>
    <t>GNRC UN Equity</t>
  </si>
  <si>
    <t>Generac Holdings Inc</t>
  </si>
  <si>
    <t>GNRC</t>
  </si>
  <si>
    <t>GOOG UW Equity</t>
  </si>
  <si>
    <t>Alphabet Inc</t>
  </si>
  <si>
    <t>GOOG</t>
  </si>
  <si>
    <t>GPC UN Equity</t>
  </si>
  <si>
    <t>Genuine Parts Co</t>
  </si>
  <si>
    <t>GPC</t>
  </si>
  <si>
    <t>GPN UN Equity</t>
  </si>
  <si>
    <t>Global Payments Inc</t>
  </si>
  <si>
    <t>GPN</t>
  </si>
  <si>
    <t>GRMN UN Equity</t>
  </si>
  <si>
    <t>Garmin Ltd</t>
  </si>
  <si>
    <t>GRMN</t>
  </si>
  <si>
    <t>GS UN Equity</t>
  </si>
  <si>
    <t>Goldman Sachs Group Inc/The</t>
  </si>
  <si>
    <t>GS</t>
  </si>
  <si>
    <t>GWW UN Equity</t>
  </si>
  <si>
    <t>WW Grainger Inc</t>
  </si>
  <si>
    <t>GWW</t>
  </si>
  <si>
    <t>HAL UN Equity</t>
  </si>
  <si>
    <t>Halliburton Co</t>
  </si>
  <si>
    <t>HAL</t>
  </si>
  <si>
    <t>HAS UW Equity</t>
  </si>
  <si>
    <t>Hasbro Inc</t>
  </si>
  <si>
    <t>HAS</t>
  </si>
  <si>
    <t>HBAN UW Equity</t>
  </si>
  <si>
    <t>Huntington Bancshares Inc/OH</t>
  </si>
  <si>
    <t>HBAN</t>
  </si>
  <si>
    <t>HCA UN Equity</t>
  </si>
  <si>
    <t>HCA Healthcare Inc</t>
  </si>
  <si>
    <t>HCA</t>
  </si>
  <si>
    <t>HD UN Equity</t>
  </si>
  <si>
    <t>Home Depot Inc/The</t>
  </si>
  <si>
    <t>HD</t>
  </si>
  <si>
    <t>HES UN Equity</t>
  </si>
  <si>
    <t>Hess Corp</t>
  </si>
  <si>
    <t>HES</t>
  </si>
  <si>
    <t>HIG UN Equity</t>
  </si>
  <si>
    <t>Hartford Financial Services Group Inc/The</t>
  </si>
  <si>
    <t>HIG</t>
  </si>
  <si>
    <t>HII UN Equity</t>
  </si>
  <si>
    <t>Huntington Ingalls Industries Inc</t>
  </si>
  <si>
    <t>HII</t>
  </si>
  <si>
    <t>HLT UN Equity</t>
  </si>
  <si>
    <t>Hilton Worldwide Holdings Inc</t>
  </si>
  <si>
    <t>HLT</t>
  </si>
  <si>
    <t>HOLX UW Equity</t>
  </si>
  <si>
    <t>Hologic Inc</t>
  </si>
  <si>
    <t>HOLX</t>
  </si>
  <si>
    <t>HON UW Equity</t>
  </si>
  <si>
    <t>Honeywell International Inc</t>
  </si>
  <si>
    <t>HON</t>
  </si>
  <si>
    <t>HPE UN Equity</t>
  </si>
  <si>
    <t>Hewlett Packard Enterprise Co</t>
  </si>
  <si>
    <t>HPE</t>
  </si>
  <si>
    <t>HPQ UN Equity</t>
  </si>
  <si>
    <t>HP Inc</t>
  </si>
  <si>
    <t>HPQ</t>
  </si>
  <si>
    <t>HRL UN Equity</t>
  </si>
  <si>
    <t>Hormel Foods Corp</t>
  </si>
  <si>
    <t>HRL</t>
  </si>
  <si>
    <t>HSIC UW Equity</t>
  </si>
  <si>
    <t>Henry Schein Inc</t>
  </si>
  <si>
    <t>HSIC</t>
  </si>
  <si>
    <t>HST UW Equity</t>
  </si>
  <si>
    <t>Host Hotels &amp; Resorts Inc</t>
  </si>
  <si>
    <t>HST</t>
  </si>
  <si>
    <t>HSY UN Equity</t>
  </si>
  <si>
    <t>Hershey Co/The</t>
  </si>
  <si>
    <t>HSY</t>
  </si>
  <si>
    <t>HUM UN Equity</t>
  </si>
  <si>
    <t>Humana Inc</t>
  </si>
  <si>
    <t>HUM</t>
  </si>
  <si>
    <t>HWM UN Equity</t>
  </si>
  <si>
    <t>Howmet Aerospace Inc</t>
  </si>
  <si>
    <t>HWM</t>
  </si>
  <si>
    <t>IBM UN Equity</t>
  </si>
  <si>
    <t>International Business Machines Corp</t>
  </si>
  <si>
    <t>IBM</t>
  </si>
  <si>
    <t>ICE UN Equity</t>
  </si>
  <si>
    <t>Intercontinental Exchange Inc</t>
  </si>
  <si>
    <t>ICE</t>
  </si>
  <si>
    <t>IDXX UW Equity</t>
  </si>
  <si>
    <t>IDEXX Laboratories Inc</t>
  </si>
  <si>
    <t>IDXX</t>
  </si>
  <si>
    <t>IEX UN Equity</t>
  </si>
  <si>
    <t>IDEX Corp</t>
  </si>
  <si>
    <t>IEX</t>
  </si>
  <si>
    <t>IFF UN Equity</t>
  </si>
  <si>
    <t>International Flavors &amp; Fragrances Inc</t>
  </si>
  <si>
    <t>IFF</t>
  </si>
  <si>
    <t>ILMN UW Equity</t>
  </si>
  <si>
    <t>Illumina Inc</t>
  </si>
  <si>
    <t>ILMN</t>
  </si>
  <si>
    <t>INCY UW Equity</t>
  </si>
  <si>
    <t>Incyte Corp</t>
  </si>
  <si>
    <t>INCY</t>
  </si>
  <si>
    <t>INTC UW Equity</t>
  </si>
  <si>
    <t>Intel Corp</t>
  </si>
  <si>
    <t>INTC</t>
  </si>
  <si>
    <t>INTU UW Equity</t>
  </si>
  <si>
    <t>Intuit Inc</t>
  </si>
  <si>
    <t>INTU</t>
  </si>
  <si>
    <t>INVH UN Equity</t>
  </si>
  <si>
    <t>Invitation Homes Inc</t>
  </si>
  <si>
    <t>INVH</t>
  </si>
  <si>
    <t>IP UN Equity</t>
  </si>
  <si>
    <t>International Paper Co</t>
  </si>
  <si>
    <t>IP</t>
  </si>
  <si>
    <t>IPG UN Equity</t>
  </si>
  <si>
    <t>Interpublic Group of Cos Inc/The</t>
  </si>
  <si>
    <t>IPG</t>
  </si>
  <si>
    <t>IQV UN Equity</t>
  </si>
  <si>
    <t>IQVIA Holdings Inc</t>
  </si>
  <si>
    <t>IQV</t>
  </si>
  <si>
    <t>IR UN Equity</t>
  </si>
  <si>
    <t>Ingersoll Rand Inc</t>
  </si>
  <si>
    <t>IR</t>
  </si>
  <si>
    <t>IRM UN Equity</t>
  </si>
  <si>
    <t>Iron Mountain Inc</t>
  </si>
  <si>
    <t>IRM</t>
  </si>
  <si>
    <t>ISRG UW Equity</t>
  </si>
  <si>
    <t>Intuitive Surgical Inc</t>
  </si>
  <si>
    <t>ISRG</t>
  </si>
  <si>
    <t>IT UN Equity</t>
  </si>
  <si>
    <t>Gartner Inc</t>
  </si>
  <si>
    <t>IT</t>
  </si>
  <si>
    <t>ITW UN Equity</t>
  </si>
  <si>
    <t>Illinois Tool Works Inc</t>
  </si>
  <si>
    <t>ITW</t>
  </si>
  <si>
    <t>IVZ UN Equity</t>
  </si>
  <si>
    <t>Invesco Ltd</t>
  </si>
  <si>
    <t>IVZ</t>
  </si>
  <si>
    <t>J UN Equity</t>
  </si>
  <si>
    <t>Jacobs Solutions Inc</t>
  </si>
  <si>
    <t>J</t>
  </si>
  <si>
    <t>JBHT UW Equity</t>
  </si>
  <si>
    <t>JB Hunt Transport Services Inc</t>
  </si>
  <si>
    <t>JBHT</t>
  </si>
  <si>
    <t>JCI UN Equity</t>
  </si>
  <si>
    <t>Johnson Controls International plc</t>
  </si>
  <si>
    <t>JCI</t>
  </si>
  <si>
    <t>JKHY UW Equity</t>
  </si>
  <si>
    <t>Jack Henry &amp; Associates Inc</t>
  </si>
  <si>
    <t>JKHY</t>
  </si>
  <si>
    <t>JNJ UN Equity</t>
  </si>
  <si>
    <t>Johnson &amp; Johnson</t>
  </si>
  <si>
    <t>JNJ</t>
  </si>
  <si>
    <t>JNPR UN Equity</t>
  </si>
  <si>
    <t>Juniper Networks Inc</t>
  </si>
  <si>
    <t>JNPR</t>
  </si>
  <si>
    <t>JPM UN Equity</t>
  </si>
  <si>
    <t>JPMorgan Chase &amp; Co</t>
  </si>
  <si>
    <t>JPM</t>
  </si>
  <si>
    <t>K UN Equity</t>
  </si>
  <si>
    <t>Kellogg Co</t>
  </si>
  <si>
    <t>K</t>
  </si>
  <si>
    <t>KDP UW Equity</t>
  </si>
  <si>
    <t>Keurig Dr Pepper Inc</t>
  </si>
  <si>
    <t>KDP</t>
  </si>
  <si>
    <t>KEY UN Equity</t>
  </si>
  <si>
    <t>KeyCorp</t>
  </si>
  <si>
    <t>KEY</t>
  </si>
  <si>
    <t>KEYS UN Equity</t>
  </si>
  <si>
    <t>Keysight Technologies Inc</t>
  </si>
  <si>
    <t>KEYS</t>
  </si>
  <si>
    <t>KHC UW Equity</t>
  </si>
  <si>
    <t>Kraft Heinz Co/The</t>
  </si>
  <si>
    <t>KHC</t>
  </si>
  <si>
    <t>KIM UN Equity</t>
  </si>
  <si>
    <t>Kimco Realty Corp</t>
  </si>
  <si>
    <t>KIM</t>
  </si>
  <si>
    <t>KLAC UW Equity</t>
  </si>
  <si>
    <t>KLA Corp</t>
  </si>
  <si>
    <t>KLAC</t>
  </si>
  <si>
    <t>KMB UN Equity</t>
  </si>
  <si>
    <t>Kimberly-Clark Corp</t>
  </si>
  <si>
    <t>KMB</t>
  </si>
  <si>
    <t>KMI UN Equity</t>
  </si>
  <si>
    <t>Kinder Morgan Inc</t>
  </si>
  <si>
    <t>KMI</t>
  </si>
  <si>
    <t>KMX UN Equity</t>
  </si>
  <si>
    <t>CarMax Inc</t>
  </si>
  <si>
    <t>KMX</t>
  </si>
  <si>
    <t>KO UN Equity</t>
  </si>
  <si>
    <t>Coca-Cola Co/The</t>
  </si>
  <si>
    <t>KO</t>
  </si>
  <si>
    <t>KR UN Equity</t>
  </si>
  <si>
    <t>Kroger Co/The</t>
  </si>
  <si>
    <t>KR</t>
  </si>
  <si>
    <t>L UN Equity</t>
  </si>
  <si>
    <t>Loews Corp</t>
  </si>
  <si>
    <t>L</t>
  </si>
  <si>
    <t>LDOS UN Equity</t>
  </si>
  <si>
    <t>Leidos Holdings Inc</t>
  </si>
  <si>
    <t>LDOS</t>
  </si>
  <si>
    <t>LEN UN Equity</t>
  </si>
  <si>
    <t>Lennar Corp</t>
  </si>
  <si>
    <t>LEN</t>
  </si>
  <si>
    <t>LH UN Equity</t>
  </si>
  <si>
    <t>Laboratory Corp of America Holdings</t>
  </si>
  <si>
    <t>LH</t>
  </si>
  <si>
    <t>LHX UN Equity</t>
  </si>
  <si>
    <t>L3Harris Technologies Inc</t>
  </si>
  <si>
    <t>LHX</t>
  </si>
  <si>
    <t>LIN UN Equity</t>
  </si>
  <si>
    <t>Linde PLC</t>
  </si>
  <si>
    <t>LIN</t>
  </si>
  <si>
    <t>LKQ UW Equity</t>
  </si>
  <si>
    <t>LKQ Corp</t>
  </si>
  <si>
    <t>LKQ</t>
  </si>
  <si>
    <t>LLY UN Equity</t>
  </si>
  <si>
    <t>Eli Lilly &amp; Co</t>
  </si>
  <si>
    <t>LLY</t>
  </si>
  <si>
    <t>LMT UN Equity</t>
  </si>
  <si>
    <t>Lockheed Martin Corp</t>
  </si>
  <si>
    <t>LMT</t>
  </si>
  <si>
    <t>LNC UN Equity</t>
  </si>
  <si>
    <t>Lincoln National Corp</t>
  </si>
  <si>
    <t>LNC</t>
  </si>
  <si>
    <t>LNT UW Equity</t>
  </si>
  <si>
    <t>Alliant Energy Corp</t>
  </si>
  <si>
    <t>LOW UN Equity</t>
  </si>
  <si>
    <t>Lowe's Cos Inc</t>
  </si>
  <si>
    <t>LOW</t>
  </si>
  <si>
    <t>LRCX UW Equity</t>
  </si>
  <si>
    <t>Lam Research Corp</t>
  </si>
  <si>
    <t>LRCX</t>
  </si>
  <si>
    <t>LUV UN Equity</t>
  </si>
  <si>
    <t>Southwest Airlines Co</t>
  </si>
  <si>
    <t>LUV</t>
  </si>
  <si>
    <t>LVS UN Equity</t>
  </si>
  <si>
    <t>Las Vegas Sands Corp</t>
  </si>
  <si>
    <t>LVS</t>
  </si>
  <si>
    <t>LW UN Equity</t>
  </si>
  <si>
    <t>Lamb Weston Holdings Inc</t>
  </si>
  <si>
    <t>LW</t>
  </si>
  <si>
    <t>LYB UN Equity</t>
  </si>
  <si>
    <t>LyondellBasell Industries NV</t>
  </si>
  <si>
    <t>LYB</t>
  </si>
  <si>
    <t>LYV UN Equity</t>
  </si>
  <si>
    <t>Live Nation Entertainment Inc</t>
  </si>
  <si>
    <t>LYV</t>
  </si>
  <si>
    <t>MA UN Equity</t>
  </si>
  <si>
    <t>Mastercard Inc</t>
  </si>
  <si>
    <t>MA</t>
  </si>
  <si>
    <t>MAA UN Equity</t>
  </si>
  <si>
    <t>Mid-America Apartment Communities Inc</t>
  </si>
  <si>
    <t>MAA</t>
  </si>
  <si>
    <t>MAR UW Equity</t>
  </si>
  <si>
    <t>Marriott International Inc/MD</t>
  </si>
  <si>
    <t>MAR</t>
  </si>
  <si>
    <t>MAS UN Equity</t>
  </si>
  <si>
    <t>Masco Corp</t>
  </si>
  <si>
    <t>MAS</t>
  </si>
  <si>
    <t>MCD UN Equity</t>
  </si>
  <si>
    <t>McDonald's Corp</t>
  </si>
  <si>
    <t>MCD</t>
  </si>
  <si>
    <t>MCHP UW Equity</t>
  </si>
  <si>
    <t>Microchip Technology Inc</t>
  </si>
  <si>
    <t>MCHP</t>
  </si>
  <si>
    <t>MCK UN Equity</t>
  </si>
  <si>
    <t>McKesson Corp</t>
  </si>
  <si>
    <t>MCK</t>
  </si>
  <si>
    <t>MCO UN Equity</t>
  </si>
  <si>
    <t>Moody's Corp</t>
  </si>
  <si>
    <t>MCO</t>
  </si>
  <si>
    <t>MDLZ UW Equity</t>
  </si>
  <si>
    <t>Mondelez International Inc</t>
  </si>
  <si>
    <t>MDLZ</t>
  </si>
  <si>
    <t>MDT UN Equity</t>
  </si>
  <si>
    <t>Medtronic PLC</t>
  </si>
  <si>
    <t>MDT</t>
  </si>
  <si>
    <t>MET UN Equity</t>
  </si>
  <si>
    <t>MetLife Inc</t>
  </si>
  <si>
    <t>MET</t>
  </si>
  <si>
    <t>META UW Equity</t>
  </si>
  <si>
    <t>Meta Platforms Inc</t>
  </si>
  <si>
    <t>META</t>
  </si>
  <si>
    <t>MGM UN Equity</t>
  </si>
  <si>
    <t>MGM Resorts International</t>
  </si>
  <si>
    <t>MGM</t>
  </si>
  <si>
    <t>MHK UN Equity</t>
  </si>
  <si>
    <t>Mohawk Industries Inc</t>
  </si>
  <si>
    <t>MHK</t>
  </si>
  <si>
    <t>MKC UN Equity</t>
  </si>
  <si>
    <t>McCormick &amp; Co Inc/MD</t>
  </si>
  <si>
    <t>MKC</t>
  </si>
  <si>
    <t>MKTX UW Equity</t>
  </si>
  <si>
    <t>MarketAxess Holdings Inc</t>
  </si>
  <si>
    <t>MKTX</t>
  </si>
  <si>
    <t>MLM UN Equity</t>
  </si>
  <si>
    <t>Martin Marietta Materials Inc</t>
  </si>
  <si>
    <t>MLM</t>
  </si>
  <si>
    <t>MMC UN Equity</t>
  </si>
  <si>
    <t>Marsh &amp; McLennan Cos Inc</t>
  </si>
  <si>
    <t>MMC</t>
  </si>
  <si>
    <t>MMM UN Equity</t>
  </si>
  <si>
    <t>3M Co</t>
  </si>
  <si>
    <t>MMM</t>
  </si>
  <si>
    <t>MNST UW Equity</t>
  </si>
  <si>
    <t>Monster Beverage Corp</t>
  </si>
  <si>
    <t>MNST</t>
  </si>
  <si>
    <t>MO UN Equity</t>
  </si>
  <si>
    <t>Altria Group Inc</t>
  </si>
  <si>
    <t>MOH UN Equity</t>
  </si>
  <si>
    <t>Molina Healthcare Inc</t>
  </si>
  <si>
    <t>MOH</t>
  </si>
  <si>
    <t>MOS UN Equity</t>
  </si>
  <si>
    <t>Mosaic Co/The</t>
  </si>
  <si>
    <t>MOS</t>
  </si>
  <si>
    <t>MPC UN Equity</t>
  </si>
  <si>
    <t>Marathon Petroleum Corp</t>
  </si>
  <si>
    <t>MPC</t>
  </si>
  <si>
    <t>MPWR UW Equity</t>
  </si>
  <si>
    <t>Monolithic Power Systems Inc</t>
  </si>
  <si>
    <t>MPWR</t>
  </si>
  <si>
    <t>MRK UN Equity</t>
  </si>
  <si>
    <t>Merck &amp; Co Inc</t>
  </si>
  <si>
    <t>MRK</t>
  </si>
  <si>
    <t>MRNA UW Equity</t>
  </si>
  <si>
    <t>Moderna Inc</t>
  </si>
  <si>
    <t>MRNA</t>
  </si>
  <si>
    <t>MRO UN Equity</t>
  </si>
  <si>
    <t>Marathon Oil Corp</t>
  </si>
  <si>
    <t>MRO</t>
  </si>
  <si>
    <t>MS UN Equity</t>
  </si>
  <si>
    <t>Morgan Stanley</t>
  </si>
  <si>
    <t>MS</t>
  </si>
  <si>
    <t>MSCI UN Equity</t>
  </si>
  <si>
    <t>MSCI Inc</t>
  </si>
  <si>
    <t>MSCI</t>
  </si>
  <si>
    <t>MSFT UW Equity</t>
  </si>
  <si>
    <t>Microsoft Corp</t>
  </si>
  <si>
    <t>MSFT</t>
  </si>
  <si>
    <t>MSI UN Equity</t>
  </si>
  <si>
    <t>Motorola Solutions Inc</t>
  </si>
  <si>
    <t>MSI</t>
  </si>
  <si>
    <t>MTB UN Equity</t>
  </si>
  <si>
    <t>M&amp;T Bank Corp</t>
  </si>
  <si>
    <t>MTB</t>
  </si>
  <si>
    <t>MTCH UW Equity</t>
  </si>
  <si>
    <t>Match Group Inc</t>
  </si>
  <si>
    <t>MTCH</t>
  </si>
  <si>
    <t>MTD UN Equity</t>
  </si>
  <si>
    <t>Mettler-Toledo International Inc</t>
  </si>
  <si>
    <t>MTD</t>
  </si>
  <si>
    <t>MU UW Equity</t>
  </si>
  <si>
    <t>Micron Technology Inc</t>
  </si>
  <si>
    <t>MU</t>
  </si>
  <si>
    <t>NCLH UN Equity</t>
  </si>
  <si>
    <t>Norwegian Cruise Line Holdings Ltd</t>
  </si>
  <si>
    <t>NCLH</t>
  </si>
  <si>
    <t>NDAQ UW Equity</t>
  </si>
  <si>
    <t>Nasdaq Inc</t>
  </si>
  <si>
    <t>NDAQ</t>
  </si>
  <si>
    <t>NDSN UW Equity</t>
  </si>
  <si>
    <t>Nordson Corp</t>
  </si>
  <si>
    <t>NDSN</t>
  </si>
  <si>
    <t>NEE UN Equity</t>
  </si>
  <si>
    <t>NextEra Energy Inc</t>
  </si>
  <si>
    <t>NEM UN Equity</t>
  </si>
  <si>
    <t>Newmont Corp</t>
  </si>
  <si>
    <t>NEM</t>
  </si>
  <si>
    <t>NFLX UW Equity</t>
  </si>
  <si>
    <t>Netflix Inc</t>
  </si>
  <si>
    <t>NFLX</t>
  </si>
  <si>
    <t>NI UN Equity</t>
  </si>
  <si>
    <t>NiSource Inc</t>
  </si>
  <si>
    <t>NKE UN Equity</t>
  </si>
  <si>
    <t>NIKE Inc</t>
  </si>
  <si>
    <t>NKE</t>
  </si>
  <si>
    <t>NOC UN Equity</t>
  </si>
  <si>
    <t>Northrop Grumman Corp</t>
  </si>
  <si>
    <t>NOC</t>
  </si>
  <si>
    <t>NOW UN Equity</t>
  </si>
  <si>
    <t>ServiceNow Inc</t>
  </si>
  <si>
    <t>NOW</t>
  </si>
  <si>
    <t>NRG UN Equity</t>
  </si>
  <si>
    <t>NRG Energy Inc</t>
  </si>
  <si>
    <t>NSC UN Equity</t>
  </si>
  <si>
    <t>Norfolk Southern Corp</t>
  </si>
  <si>
    <t>NSC</t>
  </si>
  <si>
    <t>NTAP UW Equity</t>
  </si>
  <si>
    <t>NetApp Inc</t>
  </si>
  <si>
    <t>NTAP</t>
  </si>
  <si>
    <t>NTRS UW Equity</t>
  </si>
  <si>
    <t>Northern Trust Corp</t>
  </si>
  <si>
    <t>NTRS</t>
  </si>
  <si>
    <t>NUE UN Equity</t>
  </si>
  <si>
    <t>Nucor Corp</t>
  </si>
  <si>
    <t>NUE</t>
  </si>
  <si>
    <t>NVDA UW Equity</t>
  </si>
  <si>
    <t>NVIDIA Corp</t>
  </si>
  <si>
    <t>NVDA</t>
  </si>
  <si>
    <t>NVR UN Equity</t>
  </si>
  <si>
    <t>NVR Inc</t>
  </si>
  <si>
    <t>NVR</t>
  </si>
  <si>
    <t>NWL UW Equity</t>
  </si>
  <si>
    <t>Newell Brands Inc</t>
  </si>
  <si>
    <t>NWL</t>
  </si>
  <si>
    <t>NWSA UW Equity</t>
  </si>
  <si>
    <t>News Corp</t>
  </si>
  <si>
    <t>NWSA</t>
  </si>
  <si>
    <t>NXPI UW Equity</t>
  </si>
  <si>
    <t>NXP Semiconductors NV</t>
  </si>
  <si>
    <t>NXPI</t>
  </si>
  <si>
    <t>O UN Equity</t>
  </si>
  <si>
    <t>Realty Income Corp</t>
  </si>
  <si>
    <t>O</t>
  </si>
  <si>
    <t>ODFL UW Equity</t>
  </si>
  <si>
    <t>Old Dominion Freight Line Inc</t>
  </si>
  <si>
    <t>ODFL</t>
  </si>
  <si>
    <t>OGN UN Equity</t>
  </si>
  <si>
    <t>Organon &amp; Co</t>
  </si>
  <si>
    <t>OGN</t>
  </si>
  <si>
    <t>OKE UN Equity</t>
  </si>
  <si>
    <t>ONEOK Inc</t>
  </si>
  <si>
    <t>OKE</t>
  </si>
  <si>
    <t>OMC UN Equity</t>
  </si>
  <si>
    <t>Omnicom Group Inc</t>
  </si>
  <si>
    <t>OMC</t>
  </si>
  <si>
    <t>ON UW Equity</t>
  </si>
  <si>
    <t>ON Semiconductor Corp</t>
  </si>
  <si>
    <t>ON</t>
  </si>
  <si>
    <t>ORCL UN Equity</t>
  </si>
  <si>
    <t>Oracle Corp</t>
  </si>
  <si>
    <t>ORCL</t>
  </si>
  <si>
    <t>ORLY UW Equity</t>
  </si>
  <si>
    <t>O'Reilly Automotive Inc</t>
  </si>
  <si>
    <t>ORLY</t>
  </si>
  <si>
    <t>OTIS UN Equity</t>
  </si>
  <si>
    <t>Otis Worldwide Corp</t>
  </si>
  <si>
    <t>OTIS</t>
  </si>
  <si>
    <t>OXY UN Equity</t>
  </si>
  <si>
    <t>Occidental Petroleum Corp</t>
  </si>
  <si>
    <t>OXY</t>
  </si>
  <si>
    <t>PANW UW Equity</t>
  </si>
  <si>
    <t>Palo Alto Networks Inc</t>
  </si>
  <si>
    <t>PANW</t>
  </si>
  <si>
    <t>PARA UW Equity</t>
  </si>
  <si>
    <t>Paramount Global</t>
  </si>
  <si>
    <t>PARA</t>
  </si>
  <si>
    <t>PAYC UN Equity</t>
  </si>
  <si>
    <t>Paycom Software Inc</t>
  </si>
  <si>
    <t>PAYC</t>
  </si>
  <si>
    <t>PAYX UW Equity</t>
  </si>
  <si>
    <t>Paychex Inc</t>
  </si>
  <si>
    <t>PAYX</t>
  </si>
  <si>
    <t>PCAR UW Equity</t>
  </si>
  <si>
    <t>PACCAR Inc</t>
  </si>
  <si>
    <t>PCAR</t>
  </si>
  <si>
    <t>PCG UN Equity</t>
  </si>
  <si>
    <t>PG&amp;E Corp</t>
  </si>
  <si>
    <t>PEAK UN Equity</t>
  </si>
  <si>
    <t>Healthpeak Properties Inc</t>
  </si>
  <si>
    <t>PEAK</t>
  </si>
  <si>
    <t>PEG UN Equity</t>
  </si>
  <si>
    <t>Public Service Enterprise Group Inc</t>
  </si>
  <si>
    <t>PEP UW Equity</t>
  </si>
  <si>
    <t>PepsiCo Inc</t>
  </si>
  <si>
    <t>PEP</t>
  </si>
  <si>
    <t>PFE UN Equity</t>
  </si>
  <si>
    <t>Pfizer Inc</t>
  </si>
  <si>
    <t>PFE</t>
  </si>
  <si>
    <t>PFG UW Equity</t>
  </si>
  <si>
    <t>Principal Financial Group Inc</t>
  </si>
  <si>
    <t>PFG</t>
  </si>
  <si>
    <t>PG UN Equity</t>
  </si>
  <si>
    <t>Procter &amp; Gamble Co/The</t>
  </si>
  <si>
    <t>PG</t>
  </si>
  <si>
    <t>PGR UN Equity</t>
  </si>
  <si>
    <t>Progressive Corp/The</t>
  </si>
  <si>
    <t>PGR</t>
  </si>
  <si>
    <t>PH UN Equity</t>
  </si>
  <si>
    <t>Parker-Hannifin Corp</t>
  </si>
  <si>
    <t>PH</t>
  </si>
  <si>
    <t>PHM UN Equity</t>
  </si>
  <si>
    <t>PulteGroup Inc</t>
  </si>
  <si>
    <t>PHM</t>
  </si>
  <si>
    <t>PKG UN Equity</t>
  </si>
  <si>
    <t>Packaging Corp of America</t>
  </si>
  <si>
    <t>PKG</t>
  </si>
  <si>
    <t>PLD UN Equity</t>
  </si>
  <si>
    <t>Prologis Inc</t>
  </si>
  <si>
    <t>PLD</t>
  </si>
  <si>
    <t>PM UN Equity</t>
  </si>
  <si>
    <t>Philip Morris International Inc</t>
  </si>
  <si>
    <t>PM</t>
  </si>
  <si>
    <t>PNC UN Equity</t>
  </si>
  <si>
    <t>PNC Financial Services Group Inc/The</t>
  </si>
  <si>
    <t>PNC</t>
  </si>
  <si>
    <t>PNR UN Equity</t>
  </si>
  <si>
    <t>Pentair PLC</t>
  </si>
  <si>
    <t>PNR</t>
  </si>
  <si>
    <t>PNW UN Equity</t>
  </si>
  <si>
    <t>Pinnacle West Capital Corp</t>
  </si>
  <si>
    <t>PODD UW Equity</t>
  </si>
  <si>
    <t>Insulet Corp</t>
  </si>
  <si>
    <t>PODD</t>
  </si>
  <si>
    <t>POOL UW Equity</t>
  </si>
  <si>
    <t>Pool Corp</t>
  </si>
  <si>
    <t>POOL</t>
  </si>
  <si>
    <t>PPG UN Equity</t>
  </si>
  <si>
    <t>PPG Industries Inc</t>
  </si>
  <si>
    <t>PPG</t>
  </si>
  <si>
    <t>PPL UN Equity</t>
  </si>
  <si>
    <t>PPL Corp</t>
  </si>
  <si>
    <t>PRU UN Equity</t>
  </si>
  <si>
    <t>Prudential Financial Inc</t>
  </si>
  <si>
    <t>PRU</t>
  </si>
  <si>
    <t>PSA UN Equity</t>
  </si>
  <si>
    <t>Public Storage</t>
  </si>
  <si>
    <t>PSA</t>
  </si>
  <si>
    <t>PSX UN Equity</t>
  </si>
  <si>
    <t>Phillips 66</t>
  </si>
  <si>
    <t>PSX</t>
  </si>
  <si>
    <t>PTC UW Equity</t>
  </si>
  <si>
    <t>PTC Inc</t>
  </si>
  <si>
    <t>PTC</t>
  </si>
  <si>
    <t>PWR UN Equity</t>
  </si>
  <si>
    <t>Quanta Services Inc</t>
  </si>
  <si>
    <t>PWR</t>
  </si>
  <si>
    <t>PXD UN Equity</t>
  </si>
  <si>
    <t>Pioneer Natural Resources Co</t>
  </si>
  <si>
    <t>PXD</t>
  </si>
  <si>
    <t>PYPL UW Equity</t>
  </si>
  <si>
    <t>PayPal Holdings Inc</t>
  </si>
  <si>
    <t>PYPL</t>
  </si>
  <si>
    <t>QCOM UW Equity</t>
  </si>
  <si>
    <t>QUALCOMM Inc</t>
  </si>
  <si>
    <t>QCOM</t>
  </si>
  <si>
    <t>QRVO UW Equity</t>
  </si>
  <si>
    <t>Qorvo Inc</t>
  </si>
  <si>
    <t>QRVO</t>
  </si>
  <si>
    <t>RCL UN Equity</t>
  </si>
  <si>
    <t>Royal Caribbean Cruises Ltd</t>
  </si>
  <si>
    <t>RCL</t>
  </si>
  <si>
    <t>REG UW Equity</t>
  </si>
  <si>
    <t>Regency Centers Corp</t>
  </si>
  <si>
    <t>REG</t>
  </si>
  <si>
    <t>REGN UW Equity</t>
  </si>
  <si>
    <t>Regeneron Pharmaceuticals Inc</t>
  </si>
  <si>
    <t>REGN</t>
  </si>
  <si>
    <t>RF UN Equity</t>
  </si>
  <si>
    <t>Regions Financial Corp</t>
  </si>
  <si>
    <t>RF</t>
  </si>
  <si>
    <t>RHI UN Equity</t>
  </si>
  <si>
    <t>Robert Half International Inc</t>
  </si>
  <si>
    <t>RHI</t>
  </si>
  <si>
    <t>RJF UN Equity</t>
  </si>
  <si>
    <t>Raymond James Financial Inc</t>
  </si>
  <si>
    <t>RJF</t>
  </si>
  <si>
    <t>RL UN Equity</t>
  </si>
  <si>
    <t>Ralph Lauren Corp</t>
  </si>
  <si>
    <t>RL</t>
  </si>
  <si>
    <t>RMD UN Equity</t>
  </si>
  <si>
    <t>ResMed Inc</t>
  </si>
  <si>
    <t>RMD</t>
  </si>
  <si>
    <t>ROK UN Equity</t>
  </si>
  <si>
    <t>Rockwell Automation Inc</t>
  </si>
  <si>
    <t>ROK</t>
  </si>
  <si>
    <t>ROL UN Equity</t>
  </si>
  <si>
    <t>Rollins Inc</t>
  </si>
  <si>
    <t>ROL</t>
  </si>
  <si>
    <t>ROP UW Equity</t>
  </si>
  <si>
    <t>Roper Technologies Inc</t>
  </si>
  <si>
    <t>ROP</t>
  </si>
  <si>
    <t>ROST UW Equity</t>
  </si>
  <si>
    <t>Ross Stores Inc</t>
  </si>
  <si>
    <t>ROST</t>
  </si>
  <si>
    <t>RSG UN Equity</t>
  </si>
  <si>
    <t>Republic Services Inc</t>
  </si>
  <si>
    <t>RSG</t>
  </si>
  <si>
    <t>RTX UN Equity</t>
  </si>
  <si>
    <t>Raytheon Technologies Corp</t>
  </si>
  <si>
    <t>RTX</t>
  </si>
  <si>
    <t>RVTY UN Equity</t>
  </si>
  <si>
    <t>Revvity Inc</t>
  </si>
  <si>
    <t>RVTY</t>
  </si>
  <si>
    <t>SBAC UW Equity</t>
  </si>
  <si>
    <t>SBA Communications Corp</t>
  </si>
  <si>
    <t>SBAC</t>
  </si>
  <si>
    <t>SBUX UW Equity</t>
  </si>
  <si>
    <t>Starbucks Corp</t>
  </si>
  <si>
    <t>SBUX</t>
  </si>
  <si>
    <t>SCHW UN Equity</t>
  </si>
  <si>
    <t>Charles Schwab Corp/The</t>
  </si>
  <si>
    <t>SCHW</t>
  </si>
  <si>
    <t>SEDG UW Equity</t>
  </si>
  <si>
    <t>SolarEdge Technologies Inc</t>
  </si>
  <si>
    <t>SEDG</t>
  </si>
  <si>
    <t>SEE UN Equity</t>
  </si>
  <si>
    <t>Sealed Air Corp</t>
  </si>
  <si>
    <t>SEE</t>
  </si>
  <si>
    <t>SHW UN Equity</t>
  </si>
  <si>
    <t>Sherwin-Williams Co/The</t>
  </si>
  <si>
    <t>SHW</t>
  </si>
  <si>
    <t>SJM UN Equity</t>
  </si>
  <si>
    <t>J M Smucker Co/The</t>
  </si>
  <si>
    <t>SJM</t>
  </si>
  <si>
    <t>SLB UN Equity</t>
  </si>
  <si>
    <t>Schlumberger NV</t>
  </si>
  <si>
    <t>SLB</t>
  </si>
  <si>
    <t>SNA UN Equity</t>
  </si>
  <si>
    <t>Snap-on Inc</t>
  </si>
  <si>
    <t>SNA</t>
  </si>
  <si>
    <t>SNPS UW Equity</t>
  </si>
  <si>
    <t>Synopsys Inc</t>
  </si>
  <si>
    <t>SNPS</t>
  </si>
  <si>
    <t>SO UN Equity</t>
  </si>
  <si>
    <t>Southern Co/The</t>
  </si>
  <si>
    <t>SPG UN Equity</t>
  </si>
  <si>
    <t>Simon Property Group Inc</t>
  </si>
  <si>
    <t>SPG</t>
  </si>
  <si>
    <t>SPGI UN Equity</t>
  </si>
  <si>
    <t>S&amp;P Global Inc</t>
  </si>
  <si>
    <t>SPGI</t>
  </si>
  <si>
    <t>SRE UN Equity</t>
  </si>
  <si>
    <t>Sempra</t>
  </si>
  <si>
    <t>STE UN Equity</t>
  </si>
  <si>
    <t>STERIS PLC</t>
  </si>
  <si>
    <t>STE</t>
  </si>
  <si>
    <t>STLD UW Equity</t>
  </si>
  <si>
    <t>Steel Dynamics Inc</t>
  </si>
  <si>
    <t>STLD</t>
  </si>
  <si>
    <t>STT UN Equity</t>
  </si>
  <si>
    <t>State Street Corp</t>
  </si>
  <si>
    <t>STT</t>
  </si>
  <si>
    <t>STX UW Equity</t>
  </si>
  <si>
    <t>Seagate Technology Holdings PLC</t>
  </si>
  <si>
    <t>STX</t>
  </si>
  <si>
    <t>STZ UN Equity</t>
  </si>
  <si>
    <t>Constellation Brands Inc</t>
  </si>
  <si>
    <t>STZ</t>
  </si>
  <si>
    <t>SWK UN Equity</t>
  </si>
  <si>
    <t>Stanley Black &amp; Decker Inc</t>
  </si>
  <si>
    <t>SWK</t>
  </si>
  <si>
    <t>SWKS UW Equity</t>
  </si>
  <si>
    <t>Skyworks Solutions Inc</t>
  </si>
  <si>
    <t>SWKS</t>
  </si>
  <si>
    <t>SYF UN Equity</t>
  </si>
  <si>
    <t>Synchrony Financial</t>
  </si>
  <si>
    <t>SYF</t>
  </si>
  <si>
    <t>SYK UN Equity</t>
  </si>
  <si>
    <t>Stryker Corp</t>
  </si>
  <si>
    <t>SYK</t>
  </si>
  <si>
    <t>SYY UN Equity</t>
  </si>
  <si>
    <t>Sysco Corp</t>
  </si>
  <si>
    <t>SYY</t>
  </si>
  <si>
    <t>T UN Equity</t>
  </si>
  <si>
    <t>AT&amp;T Inc</t>
  </si>
  <si>
    <t>T</t>
  </si>
  <si>
    <t>TAP UN Equity</t>
  </si>
  <si>
    <t>Molson Coors Beverage Co</t>
  </si>
  <si>
    <t>TAP</t>
  </si>
  <si>
    <t>TDG UN Equity</t>
  </si>
  <si>
    <t>TransDigm Group Inc</t>
  </si>
  <si>
    <t>TDG</t>
  </si>
  <si>
    <t>TDY UN Equity</t>
  </si>
  <si>
    <t>Teledyne Technologies Inc</t>
  </si>
  <si>
    <t>TDY</t>
  </si>
  <si>
    <t>TECH UW Equity</t>
  </si>
  <si>
    <t>Bio-Techne Corp</t>
  </si>
  <si>
    <t>TECH</t>
  </si>
  <si>
    <t>TEL UN Equity</t>
  </si>
  <si>
    <t>TE Connectivity Ltd</t>
  </si>
  <si>
    <t>TEL</t>
  </si>
  <si>
    <t>TER UW Equity</t>
  </si>
  <si>
    <t>Teradyne Inc</t>
  </si>
  <si>
    <t>TER</t>
  </si>
  <si>
    <t>TFC UN Equity</t>
  </si>
  <si>
    <t>Truist Financial Corp</t>
  </si>
  <si>
    <t>TFC</t>
  </si>
  <si>
    <t>TFX UN Equity</t>
  </si>
  <si>
    <t>Teleflex Inc</t>
  </si>
  <si>
    <t>TFX</t>
  </si>
  <si>
    <t>TGT UN Equity</t>
  </si>
  <si>
    <t>Target Corp</t>
  </si>
  <si>
    <t>TGT</t>
  </si>
  <si>
    <t>TJX UN Equity</t>
  </si>
  <si>
    <t>TJX Cos Inc/The</t>
  </si>
  <si>
    <t>TJX</t>
  </si>
  <si>
    <t>TMO UN Equity</t>
  </si>
  <si>
    <t>Thermo Fisher Scientific Inc</t>
  </si>
  <si>
    <t>TMO</t>
  </si>
  <si>
    <t>TMUS UW Equity</t>
  </si>
  <si>
    <t>T-Mobile US Inc</t>
  </si>
  <si>
    <t>TMUS</t>
  </si>
  <si>
    <t>TPR UN Equity</t>
  </si>
  <si>
    <t>Tapestry Inc</t>
  </si>
  <si>
    <t>TPR</t>
  </si>
  <si>
    <t>TRGP UN Equity</t>
  </si>
  <si>
    <t>Targa Resources Corp</t>
  </si>
  <si>
    <t>TRGP</t>
  </si>
  <si>
    <t>TRMB UW Equity</t>
  </si>
  <si>
    <t>Trimble Inc</t>
  </si>
  <si>
    <t>TRMB</t>
  </si>
  <si>
    <t>TROW UW Equity</t>
  </si>
  <si>
    <t>T Rowe Price Group Inc</t>
  </si>
  <si>
    <t>TROW</t>
  </si>
  <si>
    <t>TRV UN Equity</t>
  </si>
  <si>
    <t>Travelers Cos Inc/The</t>
  </si>
  <si>
    <t>TRV</t>
  </si>
  <si>
    <t>TSCO UW Equity</t>
  </si>
  <si>
    <t>Tractor Supply Co</t>
  </si>
  <si>
    <t>TSCO</t>
  </si>
  <si>
    <t>TSLA UW Equity</t>
  </si>
  <si>
    <t>Tesla Inc</t>
  </si>
  <si>
    <t>TSLA</t>
  </si>
  <si>
    <t>TSN UN Equity</t>
  </si>
  <si>
    <t>Tyson Foods Inc</t>
  </si>
  <si>
    <t>TSN</t>
  </si>
  <si>
    <t>TT UN Equity</t>
  </si>
  <si>
    <t>Trane Technologies PLC</t>
  </si>
  <si>
    <t>TT</t>
  </si>
  <si>
    <t>TTWO UW Equity</t>
  </si>
  <si>
    <t>Take-Two Interactive Software Inc</t>
  </si>
  <si>
    <t>TTWO</t>
  </si>
  <si>
    <t>TXN UW Equity</t>
  </si>
  <si>
    <t>Texas Instruments Inc</t>
  </si>
  <si>
    <t>TXN</t>
  </si>
  <si>
    <t>TXT UN Equity</t>
  </si>
  <si>
    <t>Textron Inc</t>
  </si>
  <si>
    <t>TXT</t>
  </si>
  <si>
    <t>TYL UN Equity</t>
  </si>
  <si>
    <t>Tyler Technologies Inc</t>
  </si>
  <si>
    <t>TYL</t>
  </si>
  <si>
    <t>UAL UW Equity</t>
  </si>
  <si>
    <t>United Airlines Holdings Inc</t>
  </si>
  <si>
    <t>UAL</t>
  </si>
  <si>
    <t>UDR UN Equity</t>
  </si>
  <si>
    <t>UDR Inc</t>
  </si>
  <si>
    <t>UDR</t>
  </si>
  <si>
    <t>UHS UN Equity</t>
  </si>
  <si>
    <t>Universal Health Services Inc</t>
  </si>
  <si>
    <t>UHS</t>
  </si>
  <si>
    <t>ULTA UW Equity</t>
  </si>
  <si>
    <t>Ulta Beauty Inc</t>
  </si>
  <si>
    <t>ULTA</t>
  </si>
  <si>
    <t>UNH UN Equity</t>
  </si>
  <si>
    <t>UnitedHealth Group Inc</t>
  </si>
  <si>
    <t>UNH</t>
  </si>
  <si>
    <t>UNP UN Equity</t>
  </si>
  <si>
    <t>Union Pacific Corp</t>
  </si>
  <si>
    <t>UNP</t>
  </si>
  <si>
    <t>UPS UN Equity</t>
  </si>
  <si>
    <t>United Parcel Service Inc</t>
  </si>
  <si>
    <t>UPS</t>
  </si>
  <si>
    <t>URI UN Equity</t>
  </si>
  <si>
    <t>United Rentals Inc</t>
  </si>
  <si>
    <t>URI</t>
  </si>
  <si>
    <t>USB UN Equity</t>
  </si>
  <si>
    <t>US Bancorp</t>
  </si>
  <si>
    <t>USB</t>
  </si>
  <si>
    <t>V UN Equity</t>
  </si>
  <si>
    <t>Visa Inc</t>
  </si>
  <si>
    <t>V</t>
  </si>
  <si>
    <t>VFC UN Equity</t>
  </si>
  <si>
    <t>VF Corp</t>
  </si>
  <si>
    <t>VFC</t>
  </si>
  <si>
    <t>VICI UN Equity</t>
  </si>
  <si>
    <t>VICI Properties Inc</t>
  </si>
  <si>
    <t>VICI</t>
  </si>
  <si>
    <t>VLO UN Equity</t>
  </si>
  <si>
    <t>Valero Energy Corp</t>
  </si>
  <si>
    <t>VLO</t>
  </si>
  <si>
    <t>VMC UN Equity</t>
  </si>
  <si>
    <t>Vulcan Materials Co</t>
  </si>
  <si>
    <t>VMC</t>
  </si>
  <si>
    <t>VRSK UW Equity</t>
  </si>
  <si>
    <t>Verisk Analytics Inc</t>
  </si>
  <si>
    <t>VRSK</t>
  </si>
  <si>
    <t>VRSN UW Equity</t>
  </si>
  <si>
    <t>VeriSign Inc</t>
  </si>
  <si>
    <t>VRSN</t>
  </si>
  <si>
    <t>VRTX UW Equity</t>
  </si>
  <si>
    <t>Vertex Pharmaceuticals Inc</t>
  </si>
  <si>
    <t>VRTX</t>
  </si>
  <si>
    <t>VTR UN Equity</t>
  </si>
  <si>
    <t>Ventas Inc</t>
  </si>
  <si>
    <t>VTR</t>
  </si>
  <si>
    <t>VTRS UW Equity</t>
  </si>
  <si>
    <t>Viatris Inc</t>
  </si>
  <si>
    <t>VTRS</t>
  </si>
  <si>
    <t>VZ UN Equity</t>
  </si>
  <si>
    <t>Verizon Communications Inc</t>
  </si>
  <si>
    <t>VZ</t>
  </si>
  <si>
    <t>WAB UN Equity</t>
  </si>
  <si>
    <t>Westinghouse Air Brake Technologies Corp</t>
  </si>
  <si>
    <t>WAB</t>
  </si>
  <si>
    <t>WAT UN Equity</t>
  </si>
  <si>
    <t>Waters Corp</t>
  </si>
  <si>
    <t>WAT</t>
  </si>
  <si>
    <t>WBA UW Equity</t>
  </si>
  <si>
    <t>Walgreens Boots Alliance Inc</t>
  </si>
  <si>
    <t>WBA</t>
  </si>
  <si>
    <t>WBD UW Equity</t>
  </si>
  <si>
    <t>Warner Bros Discovery Inc</t>
  </si>
  <si>
    <t>WBD</t>
  </si>
  <si>
    <t>WDC UW Equity</t>
  </si>
  <si>
    <t>Western Digital Corp</t>
  </si>
  <si>
    <t>WDC</t>
  </si>
  <si>
    <t>WEC UN Equity</t>
  </si>
  <si>
    <t>WEC Energy Group Inc</t>
  </si>
  <si>
    <t>WELL UN Equity</t>
  </si>
  <si>
    <t>Welltower Inc</t>
  </si>
  <si>
    <t>WELL</t>
  </si>
  <si>
    <t>WFC UN Equity</t>
  </si>
  <si>
    <t>Wells Fargo &amp; Co</t>
  </si>
  <si>
    <t>WFC</t>
  </si>
  <si>
    <t>WHR UN Equity</t>
  </si>
  <si>
    <t>Whirlpool Corp</t>
  </si>
  <si>
    <t>WHR</t>
  </si>
  <si>
    <t>WM UN Equity</t>
  </si>
  <si>
    <t>Waste Management Inc</t>
  </si>
  <si>
    <t>WM</t>
  </si>
  <si>
    <t>WMB UN Equity</t>
  </si>
  <si>
    <t>Williams Cos Inc/The</t>
  </si>
  <si>
    <t>WMB</t>
  </si>
  <si>
    <t>WMT UN Equity</t>
  </si>
  <si>
    <t>Walmart Inc</t>
  </si>
  <si>
    <t>WMT</t>
  </si>
  <si>
    <t>WRB UN Equity</t>
  </si>
  <si>
    <t>W R Berkley Corp</t>
  </si>
  <si>
    <t>WRB</t>
  </si>
  <si>
    <t>WRK UN Equity</t>
  </si>
  <si>
    <t>Westrock Co</t>
  </si>
  <si>
    <t>WRK</t>
  </si>
  <si>
    <t>WST UN Equity</t>
  </si>
  <si>
    <t>West Pharmaceutical Services Inc</t>
  </si>
  <si>
    <t>WST</t>
  </si>
  <si>
    <t>WTW UW Equity</t>
  </si>
  <si>
    <t>Willis Towers Watson PLC</t>
  </si>
  <si>
    <t>WTW</t>
  </si>
  <si>
    <t>WY UN Equity</t>
  </si>
  <si>
    <t>Weyerhaeuser Co</t>
  </si>
  <si>
    <t>WY</t>
  </si>
  <si>
    <t>WYNN UW Equity</t>
  </si>
  <si>
    <t>Wynn Resorts Ltd</t>
  </si>
  <si>
    <t>WYNN</t>
  </si>
  <si>
    <t>XEL UW Equity</t>
  </si>
  <si>
    <t>Xcel Energy Inc</t>
  </si>
  <si>
    <t>XOM UN Equity</t>
  </si>
  <si>
    <t>Exxon Mobil Corp</t>
  </si>
  <si>
    <t>XOM</t>
  </si>
  <si>
    <t>XRAY UW Equity</t>
  </si>
  <si>
    <t>DENTSPLY SIRONA Inc</t>
  </si>
  <si>
    <t>XRAY</t>
  </si>
  <si>
    <t>XYL UN Equity</t>
  </si>
  <si>
    <t>Xylem Inc/NY</t>
  </si>
  <si>
    <t>XYL</t>
  </si>
  <si>
    <t>YUM UN Equity</t>
  </si>
  <si>
    <t>Yum! Brands Inc</t>
  </si>
  <si>
    <t>YUM</t>
  </si>
  <si>
    <t>ZBH UN Equity</t>
  </si>
  <si>
    <t>Zimmer Biomet Holdings Inc</t>
  </si>
  <si>
    <t>ZBH</t>
  </si>
  <si>
    <t>ZBRA UW Equity</t>
  </si>
  <si>
    <t>Zebra Technologies Corp</t>
  </si>
  <si>
    <t>ZBRA</t>
  </si>
  <si>
    <t>ZION UW Equity</t>
  </si>
  <si>
    <t>Zions Bancorp NA</t>
  </si>
  <si>
    <t>ZION</t>
  </si>
  <si>
    <t>ZTS UN Equity</t>
  </si>
  <si>
    <t>Zoetis Inc</t>
  </si>
  <si>
    <t>ZTS</t>
  </si>
  <si>
    <t>Total Market Capitalization:</t>
  </si>
  <si>
    <t>S&amp;P 500 Est. Required Market Return</t>
  </si>
  <si>
    <t>S&amp;P 500</t>
  </si>
  <si>
    <t>Market Capitalization</t>
  </si>
  <si>
    <t>Dividend Yield</t>
  </si>
  <si>
    <t>Projected EPS
Growth</t>
  </si>
  <si>
    <t>Weight in Index</t>
  </si>
  <si>
    <t>Weighted DCF</t>
  </si>
  <si>
    <t>N/A</t>
  </si>
  <si>
    <t>Mkt Cap</t>
  </si>
  <si>
    <t>Div Yield</t>
  </si>
  <si>
    <t>LT EPS Growth</t>
  </si>
  <si>
    <t>DCF</t>
  </si>
  <si>
    <t>Wgtd DCF</t>
  </si>
  <si>
    <t>AEP UN Equity</t>
  </si>
  <si>
    <t>AES Corp/VA</t>
  </si>
  <si>
    <t>EVRG UN Equity</t>
  </si>
  <si>
    <t>Sempra Energy</t>
  </si>
  <si>
    <t>Input Date:</t>
  </si>
  <si>
    <t>(ROE model)</t>
  </si>
  <si>
    <t>SUMMARY OUTPUT</t>
  </si>
  <si>
    <t>User:</t>
  </si>
  <si>
    <t>(CPU title)</t>
  </si>
  <si>
    <t>Regression Statistics</t>
  </si>
  <si>
    <t>Market Return</t>
  </si>
  <si>
    <t>S&amp;P Return</t>
  </si>
  <si>
    <t>Ibbot LT RF</t>
  </si>
  <si>
    <t>Aaa Corp</t>
  </si>
  <si>
    <t>Aa Corp</t>
  </si>
  <si>
    <t>Avg Aaa and Aa Corp</t>
  </si>
  <si>
    <t>A PU</t>
  </si>
  <si>
    <t>RPMKT</t>
  </si>
  <si>
    <t>RPAAAAA</t>
  </si>
  <si>
    <t>RPSPA</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</si>
  <si>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</si>
  <si>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</si>
  <si>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</si>
  <si>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</si>
  <si>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</si>
  <si>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</si>
  <si>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</si>
  <si>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</si>
  <si>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</si>
  <si>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</si>
  <si>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</si>
  <si>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</si>
  <si>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</si>
  <si>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</si>
  <si>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</si>
  <si>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</si>
  <si>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</si>
  <si>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</si>
  <si>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</si>
  <si>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Coefficients</t>
  </si>
  <si>
    <t>t Stat</t>
  </si>
  <si>
    <t>P-value</t>
  </si>
  <si>
    <t>Lower 95%</t>
  </si>
  <si>
    <t>Upper 95%</t>
  </si>
  <si>
    <t>Lower 95.0%</t>
  </si>
  <si>
    <t>Upper 95.0%</t>
  </si>
  <si>
    <t>Intercept</t>
  </si>
  <si>
    <t>X Variable 1</t>
  </si>
  <si>
    <t>Risk-Free Rate</t>
  </si>
  <si>
    <t>RP</t>
  </si>
  <si>
    <t>AAA Bond</t>
  </si>
  <si>
    <t>A PU Bond</t>
  </si>
  <si>
    <t xml:space="preserve"> Ticker </t>
  </si>
  <si>
    <t xml:space="preserve">Amer. States Water  </t>
  </si>
  <si>
    <t>CAPITALIZATION AND FINANCIAL STATISTICS  (1)</t>
  </si>
  <si>
    <t>2018 - 2022, Inclusive</t>
  </si>
  <si>
    <t>FYE: 12/31/2022</t>
  </si>
  <si>
    <t>Capital Structure:</t>
  </si>
  <si>
    <t xml:space="preserve">     Long Term Debt</t>
  </si>
  <si>
    <t>LTDEBT</t>
  </si>
  <si>
    <t xml:space="preserve">     Preferred Stock</t>
  </si>
  <si>
    <t>PFD</t>
  </si>
  <si>
    <t>(MILLIONS OF DOLLARS)</t>
  </si>
  <si>
    <t>CAPITALIZATION STATISTICS</t>
  </si>
  <si>
    <t>Common Shares Outst.</t>
  </si>
  <si>
    <t>Input Data</t>
  </si>
  <si>
    <t>TOTEQ</t>
  </si>
  <si>
    <t>AMOUNT OF CAPITAL EMPLOYED</t>
  </si>
  <si>
    <t>Sinking Fund Requirements</t>
  </si>
  <si>
    <t xml:space="preserve">     TOTAL PERMANENT CAPITAL</t>
  </si>
  <si>
    <t xml:space="preserve">     SHORT-TERM DEBT</t>
  </si>
  <si>
    <t>Short Term Debt</t>
  </si>
  <si>
    <t>STDEBT</t>
  </si>
  <si>
    <t xml:space="preserve">          TOTAL CAPITAL EMPLOYED</t>
  </si>
  <si>
    <t>EPS excluding extra</t>
  </si>
  <si>
    <t>EPSAPPCOMM</t>
  </si>
  <si>
    <t>INDICATED AVERAGE CAPITAL COST RATES  (2)</t>
  </si>
  <si>
    <t>Price - High</t>
  </si>
  <si>
    <t xml:space="preserve">     TOTAL DEBT </t>
  </si>
  <si>
    <t>Price - Low</t>
  </si>
  <si>
    <t xml:space="preserve">     PREFERRED STOCK</t>
  </si>
  <si>
    <t>CAPITAL STRUCTURE RATIOS</t>
  </si>
  <si>
    <t>DPS by payable date</t>
  </si>
  <si>
    <t xml:space="preserve">     BASED ON TOTAL PERMANENT CAPITAL:</t>
  </si>
  <si>
    <t xml:space="preserve">          LONG-TERM DEBT</t>
  </si>
  <si>
    <t>AFUDC</t>
  </si>
  <si>
    <t xml:space="preserve">          PREFERRED STOCK</t>
  </si>
  <si>
    <t xml:space="preserve">          COMMON EQUITY</t>
  </si>
  <si>
    <t>Total Interest</t>
  </si>
  <si>
    <t>INTEXP</t>
  </si>
  <si>
    <t xml:space="preserve">               TOTAL</t>
  </si>
  <si>
    <t>Net Income before Extra.</t>
  </si>
  <si>
    <t>NETINC</t>
  </si>
  <si>
    <t xml:space="preserve">     BASED ON TOTAL CAPITAL:</t>
  </si>
  <si>
    <t xml:space="preserve">          TOTAL DEBT, INCLUDING SHORT-TERM</t>
  </si>
  <si>
    <t>CE Income before Extra.</t>
  </si>
  <si>
    <t>INCAVAILCOMM</t>
  </si>
  <si>
    <t>Preferred Stock Dividends</t>
  </si>
  <si>
    <t>PFDDIV</t>
  </si>
  <si>
    <t>Common Dividends</t>
  </si>
  <si>
    <t>COMDIVS1</t>
  </si>
  <si>
    <t>Income Bef Extra Items-S&amp;U</t>
  </si>
  <si>
    <t>INCBEFEXT</t>
  </si>
  <si>
    <t>FINANCIAL STATISTICS</t>
  </si>
  <si>
    <t>Net Operating Cash Flow</t>
  </si>
  <si>
    <t>NETOPGFC</t>
  </si>
  <si>
    <t>Change in op'g Assets + Liabilities</t>
  </si>
  <si>
    <t>CHGOPASLIAB</t>
  </si>
  <si>
    <t>FINANCIAL RATIOS - MARKET BASED</t>
  </si>
  <si>
    <t>Depreciation &amp; Amortization</t>
  </si>
  <si>
    <t>DEPAMORT</t>
  </si>
  <si>
    <t xml:space="preserve">     EARNINGS / PRICE RATIO</t>
  </si>
  <si>
    <t>Income Tax Expense</t>
  </si>
  <si>
    <t>INCTAX</t>
  </si>
  <si>
    <t xml:space="preserve">     MARKET / AVERAGE BOOK RATIO </t>
  </si>
  <si>
    <t xml:space="preserve">     DIVIDEND YIELD</t>
  </si>
  <si>
    <t>Calculations</t>
  </si>
  <si>
    <t xml:space="preserve">     DIVIDEND PAYOUT RATIO</t>
  </si>
  <si>
    <t>Com Eq / Shares Out.</t>
  </si>
  <si>
    <t>calc</t>
  </si>
  <si>
    <t>RATE OF RETURN ON AVERAGE BOOK COMMON EQUITY</t>
  </si>
  <si>
    <t>Total Permanent Capital</t>
  </si>
  <si>
    <t>TOTAL DEBT / EBITDA (3)</t>
  </si>
  <si>
    <t>FUNDS FROM OPERATIONS / TOTAL DEBT (4)</t>
  </si>
  <si>
    <t>Total Debt</t>
  </si>
  <si>
    <t>TOTAL DEBT / TOTAL CAPITAL</t>
  </si>
  <si>
    <t>Total Capital</t>
  </si>
  <si>
    <t>Preferred Stk + Sink Fund Req.</t>
  </si>
  <si>
    <t>NETOPGFC + CHGOPASLIAB - AFUDC</t>
  </si>
  <si>
    <t>SEE PAGE 2 FOR NOTES.</t>
  </si>
  <si>
    <t xml:space="preserve">  Ticker  </t>
  </si>
  <si>
    <t xml:space="preserve">Amer. Water Works   </t>
  </si>
  <si>
    <t>California Water</t>
  </si>
  <si>
    <t>Essential Utilities, Inc.</t>
  </si>
  <si>
    <t>Middlesex Water</t>
  </si>
  <si>
    <t>SJW Corp.</t>
  </si>
  <si>
    <t>Value - 2023 through 2050</t>
  </si>
  <si>
    <t>From Page 12 of this Appendix.</t>
  </si>
  <si>
    <t>Recommended Cost of Common Equity Cost Rate</t>
  </si>
  <si>
    <t>Closing Stock Market Price on July 14, 2023</t>
  </si>
  <si>
    <t>Market-to-Book Ratio on July 14, 2023 (2)</t>
  </si>
  <si>
    <t>Market Capitalization on July 14, 2023 (3)</t>
  </si>
  <si>
    <t>Rate Increase 2023</t>
  </si>
  <si>
    <t>Rate Increases 2024 on</t>
  </si>
  <si>
    <t>Village of Broadlands Water System</t>
  </si>
  <si>
    <t xml:space="preserve">Illinois American Water </t>
  </si>
  <si>
    <t>Audubon Water Company</t>
  </si>
  <si>
    <t xml:space="preserve">5. </t>
  </si>
  <si>
    <t>Indicated Range of Common Equity Cost Rates</t>
  </si>
  <si>
    <t>SCADA Upgrade</t>
  </si>
  <si>
    <t>A-Line feed doesn't work</t>
  </si>
  <si>
    <t>WTP</t>
  </si>
  <si>
    <t>2 pump stations</t>
  </si>
  <si>
    <t>2 sewer project</t>
  </si>
  <si>
    <t>Water/Wastewater Company</t>
  </si>
  <si>
    <t>Traditionally Financed</t>
  </si>
  <si>
    <t>WPCA Budget Report</t>
  </si>
  <si>
    <t>From Date: 08/01/2023</t>
  </si>
  <si>
    <t>To Date: 08/31/2023</t>
  </si>
  <si>
    <t>Fiscal Year: 2023-24 (FY Starts July)</t>
  </si>
  <si>
    <t>Account Number</t>
  </si>
  <si>
    <t>Budget</t>
  </si>
  <si>
    <t>Adjustments</t>
  </si>
  <si>
    <t>GL Budget</t>
  </si>
  <si>
    <t>Current</t>
  </si>
  <si>
    <t>YTD</t>
  </si>
  <si>
    <t xml:space="preserve">Balance </t>
  </si>
  <si>
    <t>Encumbrane</t>
  </si>
  <si>
    <t xml:space="preserve">Budget Bal </t>
  </si>
  <si>
    <t>% Rem</t>
  </si>
  <si>
    <t>6108.82.8201.820167.55990.00000</t>
  </si>
  <si>
    <t>Admin Allocation</t>
  </si>
  <si>
    <t>6108.82.8201.820108.51900.00000</t>
  </si>
  <si>
    <t>Board Secretary</t>
  </si>
  <si>
    <t>6108.82.8201.820116.53200.00000</t>
  </si>
  <si>
    <t>Education</t>
  </si>
  <si>
    <t>6108.82.8201.820120.53020.00000</t>
  </si>
  <si>
    <t>Legal</t>
  </si>
  <si>
    <t>6108.82.8201.820124.53410.00000</t>
  </si>
  <si>
    <t>Annual Audit</t>
  </si>
  <si>
    <t>6108.82.8201.820134.55010.00000</t>
  </si>
  <si>
    <t>Plant Permit</t>
  </si>
  <si>
    <t>6108.82.8201.820156.55301.00000</t>
  </si>
  <si>
    <t>Postage</t>
  </si>
  <si>
    <t>6108.82.8201.820150.54300.00000</t>
  </si>
  <si>
    <t>Building Repairs</t>
  </si>
  <si>
    <t>6108.82.8201.820152.54310.00000</t>
  </si>
  <si>
    <t>Sewer Line Repairs</t>
  </si>
  <si>
    <t>6108.82.8201.820146.54300.00000</t>
  </si>
  <si>
    <t>Repairs Equipment</t>
  </si>
  <si>
    <t>6108.82.8201.820168.59140.00000</t>
  </si>
  <si>
    <t>Contingency</t>
  </si>
  <si>
    <t>6108.82.8201.820145.54102.00000</t>
  </si>
  <si>
    <t>Sludge Removal</t>
  </si>
  <si>
    <t>6108.82.8201.820136.56290.00000</t>
  </si>
  <si>
    <t>Chemicals</t>
  </si>
  <si>
    <t>6108.82.8201.820157.56010.00000</t>
  </si>
  <si>
    <t>Office Supplies</t>
  </si>
  <si>
    <t>6108.82.8201.820160.55500.00000</t>
  </si>
  <si>
    <t>Office Printing</t>
  </si>
  <si>
    <t>6108.82.8201.820162.56100.00000</t>
  </si>
  <si>
    <t>Plant Supplies</t>
  </si>
  <si>
    <t>6108.82.8201.820164.56010.00000</t>
  </si>
  <si>
    <t xml:space="preserve">Plant Offices Supplies </t>
  </si>
  <si>
    <t>6108.82.8201.820126.54900.00000</t>
  </si>
  <si>
    <t>Engineering Expense</t>
  </si>
  <si>
    <t>6108.82.8201.820132.53900.00000</t>
  </si>
  <si>
    <t>Nutrient Testing</t>
  </si>
  <si>
    <t>6108.82.8201.820148.54300.00000</t>
  </si>
  <si>
    <t>Contract Services</t>
  </si>
  <si>
    <t>6108.82.8201.820158.53510.00000</t>
  </si>
  <si>
    <t>RWA Data Purchase</t>
  </si>
  <si>
    <t>6108.82.8201.820100.51610.00000</t>
  </si>
  <si>
    <t>Plant Wages</t>
  </si>
  <si>
    <t>6108.82.8201.820102.51610.00000</t>
  </si>
  <si>
    <t>Office Wages</t>
  </si>
  <si>
    <t>6108.82.8201.820104.53410.00000</t>
  </si>
  <si>
    <t>Wages PT Finance</t>
  </si>
  <si>
    <t>6108.82.8201.820106.51620.00000</t>
  </si>
  <si>
    <t>Wages Overtime</t>
  </si>
  <si>
    <t>6108.82.8201.820110.52800.00000</t>
  </si>
  <si>
    <t>Fringe Benefits</t>
  </si>
  <si>
    <t>6108.82.8201.820112.52300.00000</t>
  </si>
  <si>
    <t>Pension</t>
  </si>
  <si>
    <t>6108.82.8201.820114.52200.00000</t>
  </si>
  <si>
    <t>Social Security (ER)</t>
  </si>
  <si>
    <t>6108.82.8201.820118.52900.00000</t>
  </si>
  <si>
    <t>Accumulated Benefits</t>
  </si>
  <si>
    <t>6108.82.8201.820122.58200.00000</t>
  </si>
  <si>
    <t>Claims/Deductables</t>
  </si>
  <si>
    <t>6108.82.8201.820137.56220.00000</t>
  </si>
  <si>
    <t>Utilities - Electricity</t>
  </si>
  <si>
    <t>6108.82.8201.820138.54411.00000</t>
  </si>
  <si>
    <t>Utilities - Water</t>
  </si>
  <si>
    <t>6108.82.8201.820140.56210.00000</t>
  </si>
  <si>
    <t>Utilities - Gas/Oil</t>
  </si>
  <si>
    <t>6108.82.8201.820142.55300.00000</t>
  </si>
  <si>
    <t>Utilities - Phone</t>
  </si>
  <si>
    <t>Category - SM</t>
  </si>
  <si>
    <t>Town of New Hartford</t>
  </si>
  <si>
    <t>Aquarion Water Company, Inc.</t>
  </si>
  <si>
    <t>Total Consumption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</si>
</sst>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00"/>
    <numFmt numFmtId="168" formatCode="_(* #,##0.0000_);_(* \(#,##0.0000\);_(* &quot;-&quot;??_);_(@_)"/>
    <numFmt numFmtId="169" formatCode="_(* #,##0.000_);_(* \(#,##0.000\);_(* &quot;-&quot;??_);_(@_)"/>
    <numFmt numFmtId="170" formatCode="_(* #,##0.0_);_(* \(#,##0.0\);_(* &quot;-&quot;??_);_(@_)"/>
    <numFmt numFmtId="171" formatCode="0.0%"/>
    <numFmt numFmtId="172" formatCode="0.0000"/>
    <numFmt numFmtId="173" formatCode="#,##0.0_);\(#,##0.0\)"/>
    <numFmt numFmtId="174" formatCode="mm\/dd\/yy"/>
    <numFmt numFmtId="175" formatCode="_([$$-409]* #,##0_);_([$$-409]* \(#,##0\);_([$$-409]* &quot;-&quot;_);_(@_)"/>
    <numFmt numFmtId="176" formatCode="0.000"/>
    <numFmt numFmtId="177" formatCode="#,##0.0"/>
    <numFmt numFmtId="178" formatCode="0.00_);\(0.00\)"/>
    <numFmt numFmtId="179" formatCode="0.0000%"/>
    <numFmt numFmtId="180" formatCode="mmm\-yyyy"/>
    <numFmt numFmtId="181" formatCode="mmmm\ yyyy"/>
    <numFmt numFmtId="182" formatCode="0.0"/>
    <numFmt numFmtId="183" formatCode="_(&quot;$&quot;* #,##0.000_);_(&quot;$&quot;* \(#,##0.000\);_(&quot;$&quot;* &quot; - &quot;??_);_(@_)"/>
    <numFmt numFmtId="184" formatCode="&quot;$&quot;#,##0.000"/>
    <numFmt numFmtId="185" formatCode="_(&quot;$&quot;* #,##0.000_);_(&quot;$&quot;* \(#,##0.000\);_(&quot;$&quot;* &quot;-&quot;??_);_(@_)"/>
    <numFmt numFmtId="186" formatCode="&quot;$&quot;#,##0.00"/>
    <numFmt numFmtId="187" formatCode="_(* #,##0.000_);_(* \(#,##0.000\);_(* &quot; - &quot;??_);_(@_)"/>
    <numFmt numFmtId="188" formatCode="_(* #,##0.00_);_(* \(#,##0.00\);_(* &quot; - &quot;??_);_(@_)"/>
    <numFmt numFmtId="189" formatCode="_(* #,##0.0_);_(* \(#,##0.0\);_(* &quot; - &quot;??_);_(@_)"/>
    <numFmt numFmtId="190" formatCode="&quot;$&quot;#,##0"/>
    <numFmt numFmtId="191" formatCode="_(* #,##0.0000_);_(* \(#,##0.0000\);_(* &quot;-&quot;????_);_(@_)"/>
    <numFmt numFmtId="192" formatCode="0.00000"/>
    <numFmt numFmtId="193" formatCode="[$-409]d\-mmm\-yyyy;@"/>
    <numFmt numFmtId="194" formatCode="d\-mmm\-yyyy"/>
    <numFmt numFmtId="195" formatCode="0.000%"/>
    <numFmt numFmtId="196" formatCode="[$-409]mmm\-yy;@"/>
    <numFmt numFmtId="197" formatCode="#,##0.000"/>
    <numFmt numFmtId="198" formatCode="&quot;$&quot;#,##0.000_);\(&quot;$&quot;#,##0.000\)"/>
    <numFmt numFmtId="199" formatCode="_(* #,##0.000_);_(* \(#,##0.000\);_(* &quot;-&quot;???_);_(@_)"/>
  </numFmts>
  <fonts count="69" x14ac:knownFonts="1">
    <font>
      <sz val="11"/>
      <color theme="1"/>
      <name val="Calibri"/>
      <family val="2"/>
      <scheme val="minor"/>
    </font>
    <font>
      <sz val="11"/>
      <color theme="1"/>
      <name val="Calibri"/>
      <family val="2"/>
      <scheme val="minor"/>
    </font>
    <font>
      <sz val="10"/>
      <name val="Arial"/>
      <family val="2"/>
    </font>
    <font>
      <u/>
      <sz val="12"/>
      <color theme="1"/>
      <name val="Arial"/>
      <family val="2"/>
    </font>
    <font>
      <sz val="12"/>
      <color theme="1"/>
      <name val="Arial"/>
      <family val="2"/>
    </font>
    <font>
      <b/>
      <sz val="12"/>
      <color theme="1"/>
      <name val="Arial"/>
      <family val="2"/>
    </font>
    <font>
      <u/>
      <sz val="11"/>
      <color theme="1"/>
      <name val="Arial"/>
      <family val="2"/>
    </font>
    <font>
      <sz val="11"/>
      <color theme="1"/>
      <name val="Arial"/>
      <family val="2"/>
    </font>
    <font>
      <b/>
      <u/>
      <sz val="11"/>
      <color theme="1"/>
      <name val="Arial"/>
      <family val="2"/>
    </font>
    <font>
      <b/>
      <sz val="11"/>
      <color theme="1"/>
      <name val="Arial"/>
      <family val="2"/>
    </font>
    <font>
      <sz val="11"/>
      <name val="Arial"/>
      <family val="2"/>
    </font>
    <font>
      <b/>
      <sz val="20"/>
      <name val="Times New Roman"/>
      <family val="1"/>
    </font>
    <font>
      <sz val="8"/>
      <name val="Times New Roman"/>
      <family val="1"/>
    </font>
    <font>
      <b/>
      <sz val="10"/>
      <name val="Times New Roman"/>
      <family val="1"/>
    </font>
    <font>
      <sz val="10"/>
      <name val="Times New Roman"/>
      <family val="1"/>
    </font>
    <font>
      <b/>
      <sz val="11"/>
      <name val="Times New Roman"/>
      <family val="1"/>
    </font>
    <font>
      <sz val="12"/>
      <name val="Times New Roman"/>
      <family val="1"/>
    </font>
    <font>
      <sz val="9"/>
      <name val="Times New Roman"/>
      <family val="1"/>
    </font>
    <font>
      <b/>
      <sz val="11"/>
      <name val="Arial"/>
      <family val="2"/>
    </font>
    <font>
      <b/>
      <sz val="9"/>
      <name val="Times New Roman"/>
      <family val="1"/>
    </font>
    <font>
      <sz val="7"/>
      <name val="Times New Roman"/>
      <family val="1"/>
    </font>
    <font>
      <sz val="11"/>
      <color indexed="8"/>
      <name val="Calibri"/>
      <family val="2"/>
      <scheme val="minor"/>
    </font>
    <font>
      <sz val="11"/>
      <name val="Calibri"/>
      <family val="2"/>
    </font>
    <font>
      <sz val="10"/>
      <color indexed="8"/>
      <name val="Arial"/>
      <family val="2"/>
    </font>
    <font>
      <i/>
      <sz val="11"/>
      <color theme="1"/>
      <name val="Arial"/>
      <family val="2"/>
    </font>
    <font>
      <sz val="11"/>
      <color rgb="FFC00000"/>
      <name val="Arial"/>
      <family val="2"/>
    </font>
    <font>
      <b/>
      <sz val="10"/>
      <name val="Arial"/>
      <family val="2"/>
    </font>
    <font>
      <sz val="10"/>
      <color theme="1"/>
      <name val="Arial"/>
      <family val="2"/>
    </font>
    <font>
      <i/>
      <sz val="10"/>
      <color theme="1"/>
      <name val="Arial"/>
      <family val="2"/>
    </font>
    <font>
      <sz val="10"/>
      <color indexed="12"/>
      <name val="Arial"/>
      <family val="2"/>
    </font>
    <font>
      <sz val="10"/>
      <color rgb="FFC00000"/>
      <name val="Arial"/>
      <family val="2"/>
    </font>
    <font>
      <b/>
      <sz val="11"/>
      <color theme="1"/>
      <name val="Calibri"/>
      <family val="2"/>
      <scheme val="minor"/>
    </font>
    <font>
      <sz val="10"/>
      <color rgb="FF000000"/>
      <name val="Times New Roman"/>
      <family val="1"/>
    </font>
    <font>
      <b/>
      <sz val="11"/>
      <name val="Calibri"/>
      <family val="2"/>
      <scheme val="minor"/>
    </font>
    <font>
      <sz val="11"/>
      <name val="Calibri"/>
      <family val="2"/>
      <scheme val="minor"/>
    </font>
    <font>
      <sz val="10"/>
      <color rgb="FFFF0000"/>
      <name val="Arial"/>
      <family val="2"/>
    </font>
    <font>
      <b/>
      <sz val="10"/>
      <color indexed="8"/>
      <name val="Arial"/>
      <family val="2"/>
    </font>
    <font>
      <i/>
      <sz val="10"/>
      <color indexed="8"/>
      <name val="Arial"/>
      <family val="2"/>
    </font>
    <font>
      <u/>
      <sz val="10"/>
      <color indexed="8"/>
      <name val="Arial"/>
      <family val="2"/>
    </font>
    <font>
      <sz val="11"/>
      <color rgb="FFFF0000"/>
      <name val="Calibri"/>
      <family val="2"/>
      <scheme val="minor"/>
    </font>
    <font>
      <sz val="12"/>
      <name val="Arial"/>
      <family val="2"/>
    </font>
    <font>
      <sz val="10"/>
      <name val="Cambria"/>
      <family val="1"/>
    </font>
    <font>
      <sz val="12"/>
      <name val="Cambria"/>
      <family val="1"/>
    </font>
    <font>
      <sz val="11"/>
      <color indexed="8"/>
      <name val="Calibri"/>
      <family val="2"/>
    </font>
    <font>
      <u/>
      <sz val="12"/>
      <name val="Calibri"/>
      <family val="2"/>
      <scheme val="minor"/>
    </font>
    <font>
      <sz val="12"/>
      <name val="Calibri"/>
      <family val="2"/>
      <scheme val="minor"/>
    </font>
    <font>
      <sz val="10"/>
      <name val="Calibri"/>
      <family val="2"/>
      <scheme val="minor"/>
    </font>
    <font>
      <sz val="12"/>
      <color theme="1"/>
      <name val="Calibri"/>
      <family val="2"/>
      <scheme val="minor"/>
    </font>
    <font>
      <b/>
      <u val="singleAccounting"/>
      <sz val="10"/>
      <name val="Calibri"/>
      <family val="2"/>
      <scheme val="minor"/>
    </font>
    <font>
      <u/>
      <sz val="10"/>
      <name val="Calibri"/>
      <family val="2"/>
      <scheme val="minor"/>
    </font>
    <font>
      <b/>
      <u/>
      <sz val="10"/>
      <name val="Calibri"/>
      <family val="2"/>
      <scheme val="minor"/>
    </font>
    <font>
      <u val="double"/>
      <sz val="10"/>
      <name val="Calibri"/>
      <family val="2"/>
      <scheme val="minor"/>
    </font>
    <font>
      <sz val="10"/>
      <color indexed="10"/>
      <name val="Calibri"/>
      <family val="2"/>
      <scheme val="minor"/>
    </font>
    <font>
      <i/>
      <sz val="10"/>
      <name val="Calibri"/>
      <family val="2"/>
      <scheme val="minor"/>
    </font>
    <font>
      <i/>
      <sz val="11"/>
      <name val="Calibri"/>
      <family val="2"/>
      <scheme val="minor"/>
    </font>
    <font>
      <sz val="10"/>
      <color indexed="8"/>
      <name val="Calibri"/>
      <family val="2"/>
      <scheme val="minor"/>
    </font>
    <font>
      <sz val="10"/>
      <color theme="1"/>
      <name val="Calibri"/>
      <family val="2"/>
      <scheme val="minor"/>
    </font>
    <font>
      <b/>
      <sz val="12"/>
      <name val="Calibri"/>
      <family val="2"/>
      <scheme val="minor"/>
    </font>
    <font>
      <b/>
      <sz val="10"/>
      <color theme="1"/>
      <name val="Calibri"/>
      <family val="2"/>
      <scheme val="minor"/>
    </font>
    <font>
      <sz val="11"/>
      <color rgb="FF000000"/>
      <name val="Calibri"/>
      <family val="2"/>
      <scheme val="minor"/>
    </font>
    <font>
      <i/>
      <sz val="12"/>
      <name val="Calibri"/>
      <family val="2"/>
      <scheme val="minor"/>
    </font>
    <font>
      <u/>
      <sz val="12"/>
      <name val="Cambria"/>
      <family val="1"/>
    </font>
    <font>
      <sz val="12"/>
      <color rgb="FFC00000"/>
      <name val="Cambria"/>
      <family val="1"/>
    </font>
    <font>
      <sz val="12"/>
      <color indexed="8"/>
      <name val="Cambria"/>
      <family val="1"/>
    </font>
    <font>
      <sz val="12"/>
      <color theme="1"/>
      <name val="Cambria"/>
      <family val="1"/>
    </font>
    <font>
      <b/>
      <sz val="11"/>
      <color theme="1"/>
      <name val="Cambria"/>
      <family val="1"/>
    </font>
    <font>
      <sz val="11"/>
      <color theme="1"/>
      <name val="Cambria"/>
      <family val="1"/>
    </font>
    <font>
      <u/>
      <sz val="12"/>
      <color indexed="8"/>
      <name val="Cambria"/>
      <family val="1"/>
    </font>
    <font>
      <u/>
      <sz val="12"/>
      <color theme="1"/>
      <name val="Cambria"/>
      <family val="1"/>
    </font>
  </fonts>
  <fills count="9">
    <fill>
      <patternFill patternType="none"/>
    </fill>
    <fill>
      <patternFill patternType="gray125"/>
    </fill>
    <fill>
      <patternFill patternType="solid">
        <fgColor theme="0" tint="-0.249977111117893"/>
        <bgColor indexed="64"/>
      </patternFill>
    </fill>
    <fill>
      <patternFill patternType="solid">
        <fgColor indexed="9"/>
        <bgColor indexed="9"/>
      </patternFill>
    </fill>
    <fill>
      <patternFill patternType="solid">
        <fgColor theme="0"/>
        <bgColor indexed="64"/>
      </patternFill>
    </fill>
    <fill>
      <patternFill patternType="solid">
        <fgColor theme="0"/>
        <bgColor indexed="9"/>
      </patternFill>
    </fill>
    <fill>
      <patternFill patternType="solid">
        <fgColor rgb="FF92D050"/>
        <bgColor indexed="9"/>
      </patternFill>
    </fill>
    <fill>
      <patternFill patternType="solid">
        <fgColor rgb="FFFFFF00"/>
        <bgColor indexed="64"/>
      </patternFill>
    </fill>
    <fill>
      <patternFill patternType="solid">
        <fgColor rgb="FFC0C0C0"/>
      </patternFill>
    </fill>
  </fills>
  <borders count="65">
    <border>
      <left/>
      <right/>
      <top/>
      <bottom/>
      <diagonal/>
    </border>
    <border>
      <left/>
      <right/>
      <top/>
      <bottom style="medium">
        <color auto="1"/>
      </bottom>
      <diagonal/>
    </border>
    <border>
      <left/>
      <right/>
      <top style="medium">
        <color auto="1"/>
      </top>
      <bottom style="medium">
        <color auto="1"/>
      </bottom>
      <diagonal/>
    </border>
    <border>
      <left/>
      <right/>
      <top/>
      <bottom style="thin">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indexed="8"/>
      </bottom>
      <diagonal/>
    </border>
    <border>
      <left style="thin">
        <color indexed="64"/>
      </left>
      <right style="thin">
        <color indexed="64"/>
      </right>
      <top/>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64"/>
      </right>
      <top/>
      <bottom style="thin">
        <color indexed="8"/>
      </bottom>
      <diagonal/>
    </border>
    <border>
      <left style="thin">
        <color indexed="64"/>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right/>
      <top/>
      <bottom style="thin">
        <color indexed="64"/>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64"/>
      </top>
      <bottom/>
      <diagonal/>
    </border>
    <border>
      <left style="thin">
        <color auto="1"/>
      </left>
      <right style="thin">
        <color auto="1"/>
      </right>
      <top style="thin">
        <color auto="1"/>
      </top>
      <bottom style="thin">
        <color indexed="8"/>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indexed="64"/>
      </top>
      <bottom style="double">
        <color indexed="64"/>
      </bottom>
      <diagonal/>
    </border>
    <border>
      <left/>
      <right/>
      <top style="thin">
        <color auto="1"/>
      </top>
      <bottom/>
      <diagonal/>
    </border>
    <border>
      <left/>
      <right/>
      <top style="thin">
        <color indexed="8"/>
      </top>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style="thin">
        <color indexed="64"/>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diagonal/>
    </border>
    <border>
      <left style="medium">
        <color auto="1"/>
      </left>
      <right style="medium">
        <color auto="1"/>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right/>
      <top style="medium">
        <color auto="1"/>
      </top>
      <bottom style="thin">
        <color auto="1"/>
      </bottom>
      <diagonal/>
    </border>
    <border>
      <left style="medium">
        <color auto="1"/>
      </left>
      <right style="medium">
        <color auto="1"/>
      </right>
      <top/>
      <bottom style="medium">
        <color auto="1"/>
      </bottom>
      <diagonal/>
    </border>
  </borders>
  <cellStyleXfs count="56">
    <xf numFmtId="0" fontId="0"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44" fontId="1" fillId="0" borderId="0" applyFont="0" applyFill="0" applyBorder="0" applyAlignment="0" applyProtection="0"/>
    <xf numFmtId="0" fontId="2" fillId="0" borderId="0">
      <alignment vertical="top"/>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44" fontId="2" fillId="0" borderId="0" applyFont="0" applyFill="0" applyBorder="0" applyAlignment="0" applyProtection="0"/>
    <xf numFmtId="0" fontId="14" fillId="0" borderId="0"/>
    <xf numFmtId="43" fontId="1" fillId="0" borderId="0" applyFont="0" applyFill="0" applyBorder="0" applyAlignment="0" applyProtection="0"/>
    <xf numFmtId="0" fontId="32" fillId="0" borderId="0"/>
    <xf numFmtId="44" fontId="32" fillId="0" borderId="0" applyFont="0" applyFill="0" applyBorder="0" applyAlignment="0" applyProtection="0"/>
    <xf numFmtId="0" fontId="2" fillId="0" borderId="0"/>
    <xf numFmtId="0" fontId="23" fillId="0" borderId="0">
      <alignment vertical="top"/>
    </xf>
    <xf numFmtId="0" fontId="40" fillId="0" borderId="0"/>
    <xf numFmtId="9" fontId="2" fillId="0" borderId="0" applyFont="0" applyFill="0" applyBorder="0" applyAlignment="0" applyProtection="0"/>
    <xf numFmtId="0" fontId="2" fillId="0" borderId="0"/>
    <xf numFmtId="0" fontId="1" fillId="0" borderId="0"/>
    <xf numFmtId="0" fontId="40"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43" fillId="0" borderId="0" applyFont="0" applyFill="0" applyBorder="0" applyAlignment="0" applyProtection="0"/>
    <xf numFmtId="0" fontId="1" fillId="0" borderId="0"/>
    <xf numFmtId="0" fontId="2" fillId="0" borderId="0"/>
    <xf numFmtId="0" fontId="1" fillId="0" borderId="0"/>
    <xf numFmtId="0" fontId="2" fillId="0" borderId="0"/>
    <xf numFmtId="9" fontId="43" fillId="0" borderId="0" applyFont="0" applyFill="0" applyBorder="0" applyAlignment="0" applyProtection="0"/>
    <xf numFmtId="0" fontId="27" fillId="0" borderId="0"/>
    <xf numFmtId="44"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7"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2" fillId="0" borderId="0" applyFont="0" applyFill="0" applyBorder="0" applyAlignment="0" applyProtection="0"/>
  </cellStyleXfs>
  <cellXfs count="963">
    <xf numFmtId="0" fontId="0" fillId="0" borderId="0" xfId="0"/>
    <xf numFmtId="0" fontId="2" fillId="0" borderId="0" xfId="1"/>
    <xf numFmtId="0" fontId="4" fillId="0" borderId="0" xfId="1" applyFont="1" applyAlignment="1">
      <alignment horizontal="center"/>
    </xf>
    <xf numFmtId="0" fontId="4" fillId="0" borderId="0" xfId="1" applyFont="1"/>
    <xf numFmtId="0" fontId="5" fillId="0" borderId="1" xfId="1" applyFont="1" applyBorder="1" applyAlignment="1">
      <alignment horizontal="centerContinuous"/>
    </xf>
    <xf numFmtId="0" fontId="4" fillId="0" borderId="2" xfId="1" applyFont="1" applyBorder="1" applyAlignment="1">
      <alignment horizontal="centerContinuous"/>
    </xf>
    <xf numFmtId="0" fontId="4" fillId="0" borderId="0" xfId="1" applyFont="1" applyAlignment="1">
      <alignment horizontal="right"/>
    </xf>
    <xf numFmtId="0" fontId="4" fillId="0" borderId="0" xfId="1" applyFont="1" applyAlignment="1">
      <alignment horizontal="left" indent="1"/>
    </xf>
    <xf numFmtId="12" fontId="4" fillId="0" borderId="0" xfId="3" applyNumberFormat="1" applyFont="1" applyAlignment="1">
      <alignment horizontal="center"/>
    </xf>
    <xf numFmtId="164" fontId="4" fillId="0" borderId="0" xfId="1" applyNumberFormat="1" applyFont="1"/>
    <xf numFmtId="165" fontId="4" fillId="0" borderId="0" xfId="2" applyNumberFormat="1" applyFont="1" applyFill="1" applyBorder="1"/>
    <xf numFmtId="165" fontId="4" fillId="0" borderId="0" xfId="1" applyNumberFormat="1" applyFont="1"/>
    <xf numFmtId="165" fontId="4" fillId="0" borderId="0" xfId="4" applyNumberFormat="1" applyFont="1" applyFill="1"/>
    <xf numFmtId="165" fontId="4" fillId="0" borderId="3" xfId="1" applyNumberFormat="1" applyFont="1" applyBorder="1"/>
    <xf numFmtId="0" fontId="5" fillId="0" borderId="0" xfId="1" applyFont="1" applyAlignment="1">
      <alignment horizontal="left"/>
    </xf>
    <xf numFmtId="0" fontId="5" fillId="0" borderId="0" xfId="1" applyFont="1"/>
    <xf numFmtId="164" fontId="5" fillId="0" borderId="4" xfId="1" applyNumberFormat="1" applyFont="1" applyBorder="1"/>
    <xf numFmtId="0" fontId="7" fillId="0" borderId="0" xfId="5" applyFont="1"/>
    <xf numFmtId="0" fontId="8" fillId="0" borderId="0" xfId="5" applyFont="1" applyAlignment="1">
      <alignment horizontal="center"/>
    </xf>
    <xf numFmtId="0" fontId="7" fillId="0" borderId="0" xfId="5" quotePrefix="1" applyFont="1" applyAlignment="1">
      <alignment horizontal="center"/>
    </xf>
    <xf numFmtId="0" fontId="7" fillId="0" borderId="3" xfId="5" quotePrefix="1" applyFont="1" applyBorder="1" applyAlignment="1">
      <alignment horizontal="center"/>
    </xf>
    <xf numFmtId="0" fontId="9" fillId="0" borderId="3" xfId="5" applyFont="1" applyBorder="1" applyAlignment="1">
      <alignment horizontal="center" wrapText="1"/>
    </xf>
    <xf numFmtId="0" fontId="9" fillId="0" borderId="0" xfId="5" applyFont="1"/>
    <xf numFmtId="0" fontId="2" fillId="3" borderId="0" xfId="7" applyFill="1" applyAlignment="1"/>
    <xf numFmtId="0" fontId="11" fillId="3" borderId="0" xfId="7" applyFont="1" applyFill="1" applyAlignment="1">
      <alignment horizontal="center"/>
    </xf>
    <xf numFmtId="0" fontId="12" fillId="3" borderId="0" xfId="7" applyFont="1" applyFill="1" applyAlignment="1"/>
    <xf numFmtId="0" fontId="13" fillId="3" borderId="0" xfId="7" applyFont="1" applyFill="1" applyAlignment="1">
      <alignment horizontal="left"/>
    </xf>
    <xf numFmtId="0" fontId="14" fillId="3" borderId="0" xfId="7" applyFont="1" applyFill="1" applyAlignment="1"/>
    <xf numFmtId="0" fontId="13" fillId="3" borderId="0" xfId="7" applyFont="1" applyFill="1" applyAlignment="1"/>
    <xf numFmtId="0" fontId="13" fillId="3" borderId="0" xfId="7" applyFont="1" applyFill="1" applyAlignment="1">
      <alignment horizontal="right"/>
    </xf>
    <xf numFmtId="0" fontId="13" fillId="3" borderId="0" xfId="7" applyFont="1" applyFill="1" applyAlignment="1">
      <alignment vertical="center"/>
    </xf>
    <xf numFmtId="0" fontId="15" fillId="3" borderId="0" xfId="7" applyFont="1" applyFill="1" applyAlignment="1"/>
    <xf numFmtId="0" fontId="2" fillId="4" borderId="0" xfId="7" applyFill="1" applyAlignment="1"/>
    <xf numFmtId="0" fontId="13" fillId="4" borderId="0" xfId="7" applyFont="1" applyFill="1" applyAlignment="1"/>
    <xf numFmtId="0" fontId="12" fillId="3" borderId="0" xfId="7" applyFont="1" applyFill="1" applyAlignment="1">
      <alignment horizontal="left"/>
    </xf>
    <xf numFmtId="0" fontId="15" fillId="3" borderId="0" xfId="7" applyFont="1" applyFill="1" applyAlignment="1">
      <alignment horizontal="left"/>
    </xf>
    <xf numFmtId="0" fontId="16" fillId="3" borderId="0" xfId="7" applyFont="1" applyFill="1" applyAlignment="1">
      <alignment horizontal="left"/>
    </xf>
    <xf numFmtId="0" fontId="2" fillId="3" borderId="0" xfId="7" applyFill="1" applyAlignment="1">
      <alignment horizontal="left"/>
    </xf>
    <xf numFmtId="0" fontId="17" fillId="3" borderId="0" xfId="7" applyFont="1" applyFill="1" applyAlignment="1"/>
    <xf numFmtId="0" fontId="15" fillId="3" borderId="0" xfId="7" applyFont="1" applyFill="1" applyAlignment="1">
      <alignment vertical="center"/>
    </xf>
    <xf numFmtId="0" fontId="2" fillId="3" borderId="0" xfId="7" applyFill="1" applyAlignment="1">
      <alignment vertical="center"/>
    </xf>
    <xf numFmtId="0" fontId="2" fillId="3" borderId="0" xfId="7" applyFill="1" applyAlignment="1">
      <alignment horizontal="left" vertical="center"/>
    </xf>
    <xf numFmtId="0" fontId="18" fillId="3" borderId="0" xfId="7" applyFont="1" applyFill="1" applyAlignment="1">
      <alignment vertical="center"/>
    </xf>
    <xf numFmtId="0" fontId="15" fillId="4" borderId="0" xfId="7" applyFont="1" applyFill="1" applyAlignment="1"/>
    <xf numFmtId="0" fontId="12" fillId="3" borderId="0" xfId="7" applyFont="1" applyFill="1" applyAlignment="1">
      <alignment textRotation="255"/>
    </xf>
    <xf numFmtId="0" fontId="2" fillId="3" borderId="6" xfId="7" applyFill="1" applyBorder="1" applyAlignment="1"/>
    <xf numFmtId="0" fontId="12" fillId="3" borderId="7" xfId="7" applyFont="1" applyFill="1" applyBorder="1" applyAlignment="1">
      <alignment horizontal="left"/>
    </xf>
    <xf numFmtId="0" fontId="12" fillId="3" borderId="6" xfId="7" applyFont="1" applyFill="1" applyBorder="1" applyAlignment="1"/>
    <xf numFmtId="0" fontId="19" fillId="3" borderId="8" xfId="7" applyFont="1" applyFill="1" applyBorder="1" applyAlignment="1">
      <alignment horizontal="centerContinuous" vertical="center"/>
    </xf>
    <xf numFmtId="0" fontId="17" fillId="3" borderId="9" xfId="7" applyFont="1" applyFill="1" applyBorder="1" applyAlignment="1">
      <alignment horizontal="centerContinuous"/>
    </xf>
    <xf numFmtId="0" fontId="17" fillId="3" borderId="10" xfId="7" applyFont="1" applyFill="1" applyBorder="1" applyAlignment="1">
      <alignment horizontal="centerContinuous"/>
    </xf>
    <xf numFmtId="0" fontId="17" fillId="3" borderId="7" xfId="7" applyFont="1" applyFill="1" applyBorder="1" applyAlignment="1">
      <alignment horizontal="centerContinuous"/>
    </xf>
    <xf numFmtId="0" fontId="19" fillId="3" borderId="9" xfId="7" applyFont="1" applyFill="1" applyBorder="1" applyAlignment="1">
      <alignment vertical="center"/>
    </xf>
    <xf numFmtId="0" fontId="12" fillId="3" borderId="17" xfId="7" applyFont="1" applyFill="1" applyBorder="1" applyAlignment="1">
      <alignment horizontal="center"/>
    </xf>
    <xf numFmtId="0" fontId="17" fillId="3" borderId="17" xfId="7" applyFont="1" applyFill="1" applyBorder="1" applyAlignment="1"/>
    <xf numFmtId="0" fontId="17" fillId="3" borderId="6" xfId="7" applyFont="1" applyFill="1" applyBorder="1" applyAlignment="1">
      <alignment horizontal="left"/>
    </xf>
    <xf numFmtId="0" fontId="17" fillId="3" borderId="17" xfId="7" applyFont="1" applyFill="1" applyBorder="1" applyAlignment="1">
      <alignment horizontal="left"/>
    </xf>
    <xf numFmtId="0" fontId="17" fillId="3" borderId="18" xfId="7" applyFont="1" applyFill="1" applyBorder="1" applyAlignment="1">
      <alignment horizontal="centerContinuous"/>
    </xf>
    <xf numFmtId="0" fontId="17" fillId="3" borderId="19" xfId="7" applyFont="1" applyFill="1" applyBorder="1" applyAlignment="1">
      <alignment horizontal="centerContinuous"/>
    </xf>
    <xf numFmtId="0" fontId="17" fillId="3" borderId="20" xfId="7" applyFont="1" applyFill="1" applyBorder="1" applyAlignment="1">
      <alignment horizontal="centerContinuous"/>
    </xf>
    <xf numFmtId="0" fontId="17" fillId="3" borderId="0" xfId="7" applyFont="1" applyFill="1" applyAlignment="1">
      <alignment horizontal="centerContinuous"/>
    </xf>
    <xf numFmtId="0" fontId="17" fillId="3" borderId="21" xfId="7" applyFont="1" applyFill="1" applyBorder="1" applyAlignment="1">
      <alignment horizontal="centerContinuous"/>
    </xf>
    <xf numFmtId="0" fontId="17" fillId="3" borderId="17" xfId="7" applyFont="1" applyFill="1" applyBorder="1" applyAlignment="1">
      <alignment horizontal="center" textRotation="255"/>
    </xf>
    <xf numFmtId="0" fontId="12" fillId="3" borderId="18" xfId="7" applyFont="1" applyFill="1" applyBorder="1" applyAlignment="1">
      <alignment horizontal="centerContinuous"/>
    </xf>
    <xf numFmtId="0" fontId="12" fillId="3" borderId="21" xfId="7" applyFont="1" applyFill="1" applyBorder="1" applyAlignment="1">
      <alignment horizontal="centerContinuous"/>
    </xf>
    <xf numFmtId="0" fontId="17" fillId="3" borderId="6" xfId="7" applyFont="1" applyFill="1" applyBorder="1" applyAlignment="1">
      <alignment horizontal="center" textRotation="255"/>
    </xf>
    <xf numFmtId="0" fontId="12" fillId="3" borderId="22" xfId="7" applyFont="1" applyFill="1" applyBorder="1" applyAlignment="1">
      <alignment horizontal="center"/>
    </xf>
    <xf numFmtId="0" fontId="12" fillId="3" borderId="17" xfId="7" applyFont="1" applyFill="1" applyBorder="1" applyAlignment="1">
      <alignment horizontal="center" textRotation="255"/>
    </xf>
    <xf numFmtId="0" fontId="12" fillId="3" borderId="27" xfId="7" applyFont="1" applyFill="1" applyBorder="1" applyAlignment="1">
      <alignment horizontal="center" vertical="center" textRotation="255"/>
    </xf>
    <xf numFmtId="0" fontId="20" fillId="3" borderId="21" xfId="7" applyFont="1" applyFill="1" applyBorder="1" applyAlignment="1">
      <alignment horizontal="center" vertical="center"/>
    </xf>
    <xf numFmtId="0" fontId="17" fillId="3" borderId="27" xfId="7" applyFont="1" applyFill="1" applyBorder="1" applyAlignment="1">
      <alignment horizontal="center" textRotation="255"/>
    </xf>
    <xf numFmtId="0" fontId="17" fillId="3" borderId="28" xfId="7" applyFont="1" applyFill="1" applyBorder="1" applyAlignment="1">
      <alignment horizontal="center" wrapText="1"/>
    </xf>
    <xf numFmtId="0" fontId="17" fillId="3" borderId="8" xfId="7" applyFont="1" applyFill="1" applyBorder="1" applyAlignment="1">
      <alignment horizontal="center" wrapText="1"/>
    </xf>
    <xf numFmtId="0" fontId="17" fillId="3" borderId="22" xfId="7" applyFont="1" applyFill="1" applyBorder="1" applyAlignment="1">
      <alignment horizontal="center" textRotation="255"/>
    </xf>
    <xf numFmtId="0" fontId="17" fillId="3" borderId="0" xfId="7" applyFont="1" applyFill="1" applyAlignment="1">
      <alignment horizontal="center" textRotation="255" wrapText="1"/>
    </xf>
    <xf numFmtId="0" fontId="17" fillId="3" borderId="10" xfId="7" applyFont="1" applyFill="1" applyBorder="1" applyAlignment="1">
      <alignment horizontal="center" wrapText="1"/>
    </xf>
    <xf numFmtId="0" fontId="17" fillId="3" borderId="29" xfId="7" applyFont="1" applyFill="1" applyBorder="1" applyAlignment="1">
      <alignment horizontal="center" textRotation="255"/>
    </xf>
    <xf numFmtId="0" fontId="12" fillId="3" borderId="28" xfId="7" applyFont="1" applyFill="1" applyBorder="1" applyAlignment="1">
      <alignment horizontal="center" vertical="center" wrapText="1"/>
    </xf>
    <xf numFmtId="0" fontId="12" fillId="3" borderId="6" xfId="7" applyFont="1" applyFill="1" applyBorder="1" applyAlignment="1">
      <alignment horizontal="center" vertical="center" wrapText="1"/>
    </xf>
    <xf numFmtId="0" fontId="12" fillId="3" borderId="17" xfId="7" applyFont="1" applyFill="1" applyBorder="1" applyAlignment="1">
      <alignment horizontal="center" vertical="center" wrapText="1"/>
    </xf>
    <xf numFmtId="0" fontId="17" fillId="3" borderId="28" xfId="7" applyFont="1" applyFill="1" applyBorder="1" applyAlignment="1">
      <alignment horizontal="center" vertical="center" wrapText="1"/>
    </xf>
    <xf numFmtId="0" fontId="12" fillId="3" borderId="5" xfId="7" applyFont="1" applyFill="1" applyBorder="1" applyAlignment="1">
      <alignment horizontal="center" vertical="center" wrapText="1"/>
    </xf>
    <xf numFmtId="0" fontId="12" fillId="5" borderId="28" xfId="7" applyFont="1" applyFill="1" applyBorder="1" applyAlignment="1">
      <alignment horizontal="center" vertical="center" wrapText="1"/>
    </xf>
    <xf numFmtId="49" fontId="17" fillId="3" borderId="29" xfId="7" applyNumberFormat="1" applyFont="1" applyFill="1" applyBorder="1" applyAlignment="1">
      <alignment horizontal="center" textRotation="255"/>
    </xf>
    <xf numFmtId="0" fontId="17" fillId="3" borderId="6" xfId="7" applyFont="1" applyFill="1" applyBorder="1" applyAlignment="1">
      <alignment horizontal="center"/>
    </xf>
    <xf numFmtId="0" fontId="19" fillId="3" borderId="17" xfId="7" applyFont="1" applyFill="1" applyBorder="1" applyAlignment="1">
      <alignment horizontal="left"/>
    </xf>
    <xf numFmtId="1" fontId="17" fillId="3" borderId="30" xfId="7" applyNumberFormat="1" applyFont="1" applyFill="1" applyBorder="1" applyAlignment="1">
      <alignment horizontal="right"/>
    </xf>
    <xf numFmtId="1" fontId="17" fillId="3" borderId="17" xfId="7" applyNumberFormat="1" applyFont="1" applyFill="1" applyBorder="1" applyAlignment="1">
      <alignment horizontal="right"/>
    </xf>
    <xf numFmtId="1" fontId="17" fillId="3" borderId="31" xfId="7" applyNumberFormat="1" applyFont="1" applyFill="1" applyBorder="1" applyAlignment="1">
      <alignment horizontal="right"/>
    </xf>
    <xf numFmtId="1" fontId="17" fillId="3" borderId="0" xfId="7" applyNumberFormat="1" applyFont="1" applyFill="1" applyAlignment="1">
      <alignment horizontal="right"/>
    </xf>
    <xf numFmtId="1" fontId="17" fillId="3" borderId="32" xfId="7" applyNumberFormat="1" applyFont="1" applyFill="1" applyBorder="1" applyAlignment="1">
      <alignment horizontal="right"/>
    </xf>
    <xf numFmtId="1" fontId="17" fillId="3" borderId="20" xfId="7" applyNumberFormat="1" applyFont="1" applyFill="1" applyBorder="1" applyAlignment="1">
      <alignment horizontal="right"/>
    </xf>
    <xf numFmtId="1" fontId="17" fillId="3" borderId="33" xfId="7" applyNumberFormat="1" applyFont="1" applyFill="1" applyBorder="1" applyAlignment="1">
      <alignment horizontal="right"/>
    </xf>
    <xf numFmtId="1" fontId="17" fillId="3" borderId="33" xfId="7" applyNumberFormat="1" applyFont="1" applyFill="1" applyBorder="1" applyAlignment="1"/>
    <xf numFmtId="1" fontId="17" fillId="3" borderId="34" xfId="7" applyNumberFormat="1" applyFont="1" applyFill="1" applyBorder="1" applyAlignment="1"/>
    <xf numFmtId="0" fontId="2" fillId="3" borderId="17" xfId="7" applyFill="1" applyBorder="1" applyAlignment="1"/>
    <xf numFmtId="0" fontId="2" fillId="3" borderId="32" xfId="7" applyFill="1" applyBorder="1" applyAlignment="1"/>
    <xf numFmtId="0" fontId="17" fillId="3" borderId="17" xfId="7" applyFont="1" applyFill="1" applyBorder="1" applyAlignment="1">
      <alignment horizontal="right"/>
    </xf>
    <xf numFmtId="0" fontId="17" fillId="4" borderId="33" xfId="7" applyFont="1" applyFill="1" applyBorder="1" applyAlignment="1"/>
    <xf numFmtId="0" fontId="17" fillId="3" borderId="17" xfId="7" applyFont="1" applyFill="1" applyBorder="1" applyAlignment="1">
      <alignment horizontal="center"/>
    </xf>
    <xf numFmtId="1" fontId="17" fillId="3" borderId="31" xfId="7" applyNumberFormat="1" applyFont="1" applyFill="1" applyBorder="1" applyAlignment="1"/>
    <xf numFmtId="1" fontId="17" fillId="3" borderId="20" xfId="7" applyNumberFormat="1" applyFont="1" applyFill="1" applyBorder="1" applyAlignment="1">
      <alignment horizontal="center"/>
    </xf>
    <xf numFmtId="1" fontId="17" fillId="3" borderId="20" xfId="7" applyNumberFormat="1" applyFont="1" applyFill="1" applyBorder="1" applyAlignment="1"/>
    <xf numFmtId="1" fontId="17" fillId="3" borderId="35" xfId="7" applyNumberFormat="1" applyFont="1" applyFill="1" applyBorder="1" applyAlignment="1"/>
    <xf numFmtId="0" fontId="2" fillId="3" borderId="20" xfId="7" applyFill="1" applyBorder="1" applyAlignment="1"/>
    <xf numFmtId="0" fontId="17" fillId="4" borderId="20" xfId="7" applyFont="1" applyFill="1" applyBorder="1" applyAlignment="1"/>
    <xf numFmtId="1" fontId="17" fillId="3" borderId="17" xfId="7" applyNumberFormat="1" applyFont="1" applyFill="1" applyBorder="1" applyAlignment="1">
      <alignment horizontal="center"/>
    </xf>
    <xf numFmtId="0" fontId="17" fillId="4" borderId="20" xfId="7" quotePrefix="1" applyFont="1" applyFill="1" applyBorder="1" applyAlignment="1">
      <alignment horizontal="center"/>
    </xf>
    <xf numFmtId="1" fontId="17" fillId="3" borderId="31" xfId="7" applyNumberFormat="1" applyFont="1" applyFill="1" applyBorder="1" applyAlignment="1">
      <alignment horizontal="center"/>
    </xf>
    <xf numFmtId="1" fontId="17" fillId="3" borderId="30" xfId="7" applyNumberFormat="1" applyFont="1" applyFill="1" applyBorder="1" applyAlignment="1">
      <alignment horizontal="center"/>
    </xf>
    <xf numFmtId="1" fontId="17" fillId="3" borderId="0" xfId="7" applyNumberFormat="1" applyFont="1" applyFill="1" applyAlignment="1">
      <alignment horizontal="center"/>
    </xf>
    <xf numFmtId="1" fontId="17" fillId="3" borderId="20" xfId="7" quotePrefix="1" applyNumberFormat="1" applyFont="1" applyFill="1" applyBorder="1" applyAlignment="1">
      <alignment horizontal="center"/>
    </xf>
    <xf numFmtId="1" fontId="17" fillId="3" borderId="0" xfId="7" quotePrefix="1" applyNumberFormat="1" applyFont="1" applyFill="1" applyAlignment="1">
      <alignment horizontal="center"/>
    </xf>
    <xf numFmtId="1" fontId="17" fillId="3" borderId="31" xfId="7" quotePrefix="1" applyNumberFormat="1" applyFont="1" applyFill="1" applyBorder="1" applyAlignment="1">
      <alignment horizontal="center"/>
    </xf>
    <xf numFmtId="1" fontId="17" fillId="3" borderId="35" xfId="7" quotePrefix="1" applyNumberFormat="1" applyFont="1" applyFill="1" applyBorder="1" applyAlignment="1">
      <alignment horizontal="center"/>
    </xf>
    <xf numFmtId="0" fontId="17" fillId="3" borderId="17" xfId="7" quotePrefix="1" applyFont="1" applyFill="1" applyBorder="1" applyAlignment="1">
      <alignment horizontal="center"/>
    </xf>
    <xf numFmtId="0" fontId="17" fillId="3" borderId="27" xfId="7" applyFont="1" applyFill="1" applyBorder="1" applyAlignment="1">
      <alignment horizontal="center"/>
    </xf>
    <xf numFmtId="0" fontId="17" fillId="3" borderId="27" xfId="7" applyFont="1" applyFill="1" applyBorder="1" applyAlignment="1">
      <alignment horizontal="left"/>
    </xf>
    <xf numFmtId="1" fontId="17" fillId="3" borderId="18" xfId="7" applyNumberFormat="1" applyFont="1" applyFill="1" applyBorder="1" applyAlignment="1">
      <alignment horizontal="right"/>
    </xf>
    <xf numFmtId="1" fontId="17" fillId="3" borderId="27" xfId="7" applyNumberFormat="1" applyFont="1" applyFill="1" applyBorder="1" applyAlignment="1">
      <alignment horizontal="right"/>
    </xf>
    <xf numFmtId="1" fontId="17" fillId="3" borderId="19" xfId="7" applyNumberFormat="1" applyFont="1" applyFill="1" applyBorder="1" applyAlignment="1">
      <alignment horizontal="right"/>
    </xf>
    <xf numFmtId="1" fontId="17" fillId="3" borderId="21" xfId="7" applyNumberFormat="1" applyFont="1" applyFill="1" applyBorder="1" applyAlignment="1">
      <alignment horizontal="right"/>
    </xf>
    <xf numFmtId="1" fontId="17" fillId="3" borderId="22" xfId="7" applyNumberFormat="1" applyFont="1" applyFill="1" applyBorder="1" applyAlignment="1">
      <alignment horizontal="right"/>
    </xf>
    <xf numFmtId="1" fontId="17" fillId="3" borderId="36" xfId="7" applyNumberFormat="1" applyFont="1" applyFill="1" applyBorder="1" applyAlignment="1">
      <alignment horizontal="right"/>
    </xf>
    <xf numFmtId="1" fontId="17" fillId="3" borderId="36" xfId="7" applyNumberFormat="1" applyFont="1" applyFill="1" applyBorder="1" applyAlignment="1"/>
    <xf numFmtId="1" fontId="17" fillId="3" borderId="37" xfId="7" applyNumberFormat="1" applyFont="1" applyFill="1" applyBorder="1" applyAlignment="1"/>
    <xf numFmtId="0" fontId="17" fillId="3" borderId="27" xfId="7" applyFont="1" applyFill="1" applyBorder="1" applyAlignment="1"/>
    <xf numFmtId="0" fontId="2" fillId="3" borderId="22" xfId="7" applyFill="1" applyBorder="1" applyAlignment="1"/>
    <xf numFmtId="0" fontId="17" fillId="4" borderId="22" xfId="7" applyFont="1" applyFill="1" applyBorder="1" applyAlignment="1"/>
    <xf numFmtId="0" fontId="17" fillId="3" borderId="19" xfId="7" applyFont="1" applyFill="1" applyBorder="1" applyAlignment="1">
      <alignment horizontal="right"/>
    </xf>
    <xf numFmtId="0" fontId="2" fillId="3" borderId="0" xfId="7" applyFill="1" applyAlignment="1">
      <alignment horizontal="center"/>
    </xf>
    <xf numFmtId="0" fontId="2" fillId="3" borderId="0" xfId="7" applyFill="1" applyAlignment="1">
      <alignment horizontal="right"/>
    </xf>
    <xf numFmtId="0" fontId="2" fillId="0" borderId="0" xfId="7" applyAlignment="1"/>
    <xf numFmtId="1" fontId="17" fillId="6" borderId="20" xfId="7" applyNumberFormat="1" applyFont="1" applyFill="1" applyBorder="1" applyAlignment="1">
      <alignment horizontal="right"/>
    </xf>
    <xf numFmtId="0" fontId="22" fillId="8" borderId="38" xfId="11" applyFont="1" applyFill="1" applyBorder="1" applyAlignment="1">
      <alignment horizontal="center" vertical="center" wrapText="1"/>
    </xf>
    <xf numFmtId="0" fontId="21" fillId="0" borderId="0" xfId="11"/>
    <xf numFmtId="166" fontId="23" fillId="0" borderId="0" xfId="11" applyNumberFormat="1" applyFont="1" applyAlignment="1">
      <alignment horizontal="right"/>
    </xf>
    <xf numFmtId="2" fontId="21" fillId="0" borderId="0" xfId="11" applyNumberFormat="1"/>
    <xf numFmtId="167" fontId="23" fillId="0" borderId="0" xfId="11" applyNumberFormat="1" applyFont="1" applyAlignment="1">
      <alignment horizontal="right"/>
    </xf>
    <xf numFmtId="0" fontId="17" fillId="3" borderId="39" xfId="1" applyFont="1" applyFill="1" applyBorder="1" applyAlignment="1">
      <alignment horizontal="left"/>
    </xf>
    <xf numFmtId="1" fontId="17" fillId="6" borderId="17" xfId="7" applyNumberFormat="1" applyFont="1" applyFill="1" applyBorder="1" applyAlignment="1">
      <alignment horizontal="right"/>
    </xf>
    <xf numFmtId="0" fontId="7" fillId="0" borderId="0" xfId="0" applyFont="1"/>
    <xf numFmtId="0" fontId="6" fillId="0" borderId="0" xfId="0" applyFont="1" applyAlignment="1">
      <alignment horizontal="center"/>
    </xf>
    <xf numFmtId="0" fontId="7" fillId="0" borderId="3" xfId="0" applyFont="1" applyBorder="1" applyAlignment="1">
      <alignment horizontal="center" wrapText="1"/>
    </xf>
    <xf numFmtId="164" fontId="7" fillId="0" borderId="0" xfId="9" applyNumberFormat="1" applyFont="1" applyFill="1"/>
    <xf numFmtId="0" fontId="7" fillId="0" borderId="3" xfId="0" applyFont="1" applyBorder="1" applyAlignment="1">
      <alignment horizontal="center"/>
    </xf>
    <xf numFmtId="164" fontId="7" fillId="0" borderId="0" xfId="0" applyNumberFormat="1" applyFont="1"/>
    <xf numFmtId="9" fontId="7" fillId="0" borderId="0" xfId="10" applyFont="1"/>
    <xf numFmtId="164" fontId="9" fillId="0" borderId="4" xfId="0" applyNumberFormat="1" applyFont="1" applyBorder="1"/>
    <xf numFmtId="0" fontId="7" fillId="0" borderId="3" xfId="0" applyFont="1" applyBorder="1"/>
    <xf numFmtId="0" fontId="7" fillId="0" borderId="0" xfId="12" applyFont="1"/>
    <xf numFmtId="0" fontId="7" fillId="0" borderId="0" xfId="12" applyFont="1" applyAlignment="1">
      <alignment horizontal="center" wrapText="1"/>
    </xf>
    <xf numFmtId="168" fontId="7" fillId="0" borderId="0" xfId="13" applyNumberFormat="1" applyFont="1"/>
    <xf numFmtId="165" fontId="7" fillId="0" borderId="0" xfId="8" applyNumberFormat="1" applyFont="1" applyFill="1"/>
    <xf numFmtId="43" fontId="7" fillId="0" borderId="0" xfId="8" applyFont="1" applyFill="1"/>
    <xf numFmtId="169" fontId="7" fillId="0" borderId="0" xfId="8" applyNumberFormat="1" applyFont="1"/>
    <xf numFmtId="14" fontId="7" fillId="0" borderId="0" xfId="0" applyNumberFormat="1" applyFont="1"/>
    <xf numFmtId="168" fontId="7" fillId="0" borderId="4" xfId="8" applyNumberFormat="1" applyFont="1" applyBorder="1"/>
    <xf numFmtId="168" fontId="7" fillId="0" borderId="0" xfId="8" applyNumberFormat="1" applyFont="1"/>
    <xf numFmtId="0" fontId="7" fillId="0" borderId="0" xfId="0" applyFont="1" applyAlignment="1">
      <alignment vertical="top" wrapText="1"/>
    </xf>
    <xf numFmtId="169" fontId="7" fillId="0" borderId="3" xfId="8" applyNumberFormat="1" applyFont="1" applyBorder="1"/>
    <xf numFmtId="164" fontId="7" fillId="0" borderId="4" xfId="0" applyNumberFormat="1" applyFont="1" applyBorder="1"/>
    <xf numFmtId="43" fontId="7" fillId="0" borderId="0" xfId="0" applyNumberFormat="1" applyFont="1"/>
    <xf numFmtId="43" fontId="7" fillId="0" borderId="0" xfId="8" applyFont="1"/>
    <xf numFmtId="0" fontId="7" fillId="0" borderId="0" xfId="0" applyFont="1" applyAlignment="1">
      <alignment wrapText="1"/>
    </xf>
    <xf numFmtId="0" fontId="7" fillId="0" borderId="0" xfId="14" applyFont="1" applyAlignment="1">
      <alignment horizontal="left" vertical="center"/>
    </xf>
    <xf numFmtId="43" fontId="7" fillId="0" borderId="0" xfId="15" applyFont="1" applyFill="1"/>
    <xf numFmtId="14" fontId="7" fillId="0" borderId="0" xfId="16" applyNumberFormat="1" applyFont="1" applyFill="1"/>
    <xf numFmtId="0" fontId="7" fillId="0" borderId="0" xfId="14" applyFont="1"/>
    <xf numFmtId="165" fontId="7" fillId="0" borderId="0" xfId="8" applyNumberFormat="1" applyFont="1" applyFill="1" applyAlignment="1">
      <alignment horizontal="right"/>
    </xf>
    <xf numFmtId="14" fontId="7" fillId="0" borderId="0" xfId="14" applyNumberFormat="1" applyFont="1" applyAlignment="1">
      <alignment horizontal="right"/>
    </xf>
    <xf numFmtId="14" fontId="7" fillId="0" borderId="0" xfId="14" applyNumberFormat="1" applyFont="1"/>
    <xf numFmtId="14" fontId="7" fillId="0" borderId="0" xfId="16" applyNumberFormat="1" applyFont="1" applyFill="1" applyAlignment="1">
      <alignment horizontal="right"/>
    </xf>
    <xf numFmtId="170" fontId="7" fillId="0" borderId="0" xfId="8" applyNumberFormat="1" applyFont="1" applyFill="1"/>
    <xf numFmtId="0" fontId="7" fillId="0" borderId="0" xfId="17" applyFont="1"/>
    <xf numFmtId="14" fontId="7" fillId="0" borderId="0" xfId="17" applyNumberFormat="1" applyFont="1"/>
    <xf numFmtId="0" fontId="7" fillId="0" borderId="0" xfId="17" applyFont="1" applyAlignment="1">
      <alignment horizontal="left" vertical="center"/>
    </xf>
    <xf numFmtId="165" fontId="7" fillId="0" borderId="0" xfId="8" applyNumberFormat="1" applyFont="1" applyFill="1" applyBorder="1"/>
    <xf numFmtId="43" fontId="7" fillId="0" borderId="0" xfId="15" applyFont="1" applyFill="1" applyBorder="1"/>
    <xf numFmtId="43" fontId="7" fillId="0" borderId="3" xfId="15" applyFont="1" applyFill="1" applyBorder="1" applyAlignment="1">
      <alignment horizontal="right"/>
    </xf>
    <xf numFmtId="165" fontId="7" fillId="0" borderId="0" xfId="0" applyNumberFormat="1" applyFont="1"/>
    <xf numFmtId="0" fontId="7" fillId="0" borderId="0" xfId="0" applyFont="1" applyAlignment="1">
      <alignment horizontal="right"/>
    </xf>
    <xf numFmtId="2" fontId="7" fillId="0" borderId="0" xfId="0" applyNumberFormat="1" applyFont="1"/>
    <xf numFmtId="42" fontId="7" fillId="0" borderId="0" xfId="9" applyNumberFormat="1" applyFont="1" applyFill="1"/>
    <xf numFmtId="0" fontId="8" fillId="0" borderId="0" xfId="0" applyFont="1" applyAlignment="1">
      <alignment horizontal="right"/>
    </xf>
    <xf numFmtId="0" fontId="6" fillId="0" borderId="0" xfId="0" applyFont="1" applyAlignment="1">
      <alignment horizontal="left"/>
    </xf>
    <xf numFmtId="37" fontId="7" fillId="0" borderId="0" xfId="0" applyNumberFormat="1" applyFont="1"/>
    <xf numFmtId="14" fontId="7" fillId="0" borderId="0" xfId="0" applyNumberFormat="1" applyFont="1" applyAlignment="1">
      <alignment horizontal="left"/>
    </xf>
    <xf numFmtId="0" fontId="7" fillId="0" borderId="0" xfId="0" applyFont="1" applyAlignment="1">
      <alignment horizontal="left"/>
    </xf>
    <xf numFmtId="37" fontId="7" fillId="0" borderId="0" xfId="0" applyNumberFormat="1" applyFont="1" applyAlignment="1">
      <alignment horizontal="left"/>
    </xf>
    <xf numFmtId="0" fontId="24" fillId="0" borderId="0" xfId="0" applyFont="1"/>
    <xf numFmtId="14" fontId="6" fillId="0" borderId="0" xfId="0" applyNumberFormat="1" applyFont="1" applyAlignment="1">
      <alignment horizontal="right"/>
    </xf>
    <xf numFmtId="0" fontId="6" fillId="0" borderId="0" xfId="0" applyFont="1"/>
    <xf numFmtId="14" fontId="6" fillId="0" borderId="0" xfId="0" applyNumberFormat="1" applyFont="1" applyAlignment="1">
      <alignment horizontal="right" wrapText="1"/>
    </xf>
    <xf numFmtId="14" fontId="9" fillId="0" borderId="0" xfId="0" applyNumberFormat="1" applyFont="1" applyAlignment="1">
      <alignment horizontal="left" wrapText="1"/>
    </xf>
    <xf numFmtId="37" fontId="24" fillId="0" borderId="0" xfId="0" applyNumberFormat="1" applyFont="1" applyAlignment="1">
      <alignment horizontal="right"/>
    </xf>
    <xf numFmtId="14" fontId="9" fillId="0" borderId="0" xfId="0" applyNumberFormat="1" applyFont="1" applyAlignment="1">
      <alignment wrapText="1"/>
    </xf>
    <xf numFmtId="0" fontId="25" fillId="0" borderId="0" xfId="12" applyFont="1" applyAlignment="1">
      <alignment wrapText="1"/>
    </xf>
    <xf numFmtId="0" fontId="25" fillId="0" borderId="0" xfId="12" applyFont="1"/>
    <xf numFmtId="43" fontId="25" fillId="0" borderId="0" xfId="8" applyFont="1" applyFill="1"/>
    <xf numFmtId="0" fontId="26" fillId="0" borderId="0" xfId="19" applyFont="1"/>
    <xf numFmtId="10" fontId="2" fillId="0" borderId="0" xfId="16" applyNumberFormat="1" applyFont="1" applyFill="1"/>
    <xf numFmtId="0" fontId="26" fillId="0" borderId="0" xfId="19" applyFont="1" applyAlignment="1">
      <alignment horizontal="center"/>
    </xf>
    <xf numFmtId="164" fontId="27" fillId="0" borderId="0" xfId="21" applyNumberFormat="1" applyFont="1" applyFill="1"/>
    <xf numFmtId="171" fontId="28" fillId="0" borderId="0" xfId="21" applyNumberFormat="1" applyFont="1" applyFill="1"/>
    <xf numFmtId="3" fontId="29" fillId="0" borderId="0" xfId="22" applyNumberFormat="1" applyFont="1"/>
    <xf numFmtId="3" fontId="26" fillId="0" borderId="0" xfId="19" applyNumberFormat="1" applyFont="1"/>
    <xf numFmtId="0" fontId="27" fillId="0" borderId="0" xfId="19" applyFont="1"/>
    <xf numFmtId="37" fontId="30" fillId="0" borderId="0" xfId="19" applyNumberFormat="1" applyFont="1"/>
    <xf numFmtId="165" fontId="2" fillId="0" borderId="0" xfId="23" applyNumberFormat="1" applyFont="1" applyFill="1"/>
    <xf numFmtId="0" fontId="31" fillId="0" borderId="0" xfId="0" applyFont="1"/>
    <xf numFmtId="37" fontId="0" fillId="0" borderId="0" xfId="0" applyNumberFormat="1"/>
    <xf numFmtId="3" fontId="0" fillId="0" borderId="0" xfId="0" applyNumberFormat="1" applyAlignment="1">
      <alignment horizontal="right"/>
    </xf>
    <xf numFmtId="10" fontId="31" fillId="0" borderId="0" xfId="0" applyNumberFormat="1" applyFont="1"/>
    <xf numFmtId="43" fontId="2" fillId="0" borderId="0" xfId="8" applyFont="1"/>
    <xf numFmtId="0" fontId="7" fillId="0" borderId="0" xfId="0" applyFont="1" applyAlignment="1">
      <alignment horizontal="center" wrapText="1"/>
    </xf>
    <xf numFmtId="0" fontId="6" fillId="7" borderId="0" xfId="0" applyFont="1" applyFill="1" applyAlignment="1">
      <alignment horizontal="center"/>
    </xf>
    <xf numFmtId="164" fontId="4" fillId="0" borderId="0" xfId="2" applyNumberFormat="1" applyFont="1" applyFill="1"/>
    <xf numFmtId="0" fontId="10" fillId="0" borderId="0" xfId="5" applyFont="1"/>
    <xf numFmtId="37" fontId="10" fillId="0" borderId="0" xfId="5" applyNumberFormat="1" applyFont="1"/>
    <xf numFmtId="0" fontId="7" fillId="7" borderId="0" xfId="12" applyFont="1" applyFill="1" applyAlignment="1">
      <alignment horizontal="center" wrapText="1"/>
    </xf>
    <xf numFmtId="168" fontId="7" fillId="0" borderId="0" xfId="13" applyNumberFormat="1" applyFont="1" applyBorder="1"/>
    <xf numFmtId="168" fontId="7" fillId="0" borderId="0" xfId="8" applyNumberFormat="1" applyFont="1" applyBorder="1"/>
    <xf numFmtId="173" fontId="7" fillId="0" borderId="0" xfId="0" applyNumberFormat="1" applyFont="1"/>
    <xf numFmtId="14" fontId="8" fillId="0" borderId="0" xfId="0" applyNumberFormat="1" applyFont="1"/>
    <xf numFmtId="0" fontId="10" fillId="0" borderId="0" xfId="12" applyFont="1" applyAlignment="1">
      <alignment wrapText="1"/>
    </xf>
    <xf numFmtId="0" fontId="10" fillId="0" borderId="0" xfId="12" applyFont="1"/>
    <xf numFmtId="0" fontId="7" fillId="0" borderId="3" xfId="12" applyFont="1" applyBorder="1" applyAlignment="1">
      <alignment horizontal="center" wrapText="1"/>
    </xf>
    <xf numFmtId="168" fontId="7" fillId="0" borderId="40" xfId="13" applyNumberFormat="1" applyFont="1" applyBorder="1"/>
    <xf numFmtId="173" fontId="10" fillId="0" borderId="0" xfId="8" applyNumberFormat="1" applyFont="1" applyFill="1"/>
    <xf numFmtId="173" fontId="10" fillId="0" borderId="0" xfId="8" applyNumberFormat="1" applyFont="1" applyFill="1" applyAlignment="1">
      <alignment horizontal="right" vertical="top"/>
    </xf>
    <xf numFmtId="173" fontId="10" fillId="0" borderId="0" xfId="8" applyNumberFormat="1" applyFont="1"/>
    <xf numFmtId="173" fontId="10" fillId="0" borderId="0" xfId="12" applyNumberFormat="1" applyFont="1"/>
    <xf numFmtId="173" fontId="10" fillId="0" borderId="0" xfId="0" applyNumberFormat="1" applyFont="1"/>
    <xf numFmtId="168" fontId="7" fillId="0" borderId="0" xfId="13" applyNumberFormat="1" applyFont="1" applyFill="1"/>
    <xf numFmtId="1" fontId="17" fillId="6" borderId="20" xfId="7" applyNumberFormat="1" applyFont="1" applyFill="1" applyBorder="1" applyAlignment="1">
      <alignment horizontal="center"/>
    </xf>
    <xf numFmtId="0" fontId="21" fillId="0" borderId="0" xfId="11" applyAlignment="1">
      <alignment horizontal="left"/>
    </xf>
    <xf numFmtId="10" fontId="0" fillId="0" borderId="0" xfId="0" applyNumberFormat="1"/>
    <xf numFmtId="37" fontId="0" fillId="0" borderId="0" xfId="0" applyNumberFormat="1" applyAlignment="1">
      <alignment horizontal="right"/>
    </xf>
    <xf numFmtId="37" fontId="10" fillId="0" borderId="0" xfId="2" applyNumberFormat="1" applyFont="1" applyFill="1"/>
    <xf numFmtId="0" fontId="27" fillId="0" borderId="0" xfId="0" applyFont="1"/>
    <xf numFmtId="0" fontId="12" fillId="3" borderId="21" xfId="7" applyFont="1" applyFill="1" applyBorder="1" applyAlignment="1">
      <alignment horizontal="center" vertical="center"/>
    </xf>
    <xf numFmtId="41" fontId="27" fillId="0" borderId="0" xfId="21" applyNumberFormat="1" applyFont="1" applyFill="1"/>
    <xf numFmtId="0" fontId="15" fillId="3" borderId="0" xfId="7" applyFont="1" applyFill="1" applyAlignment="1">
      <alignment horizontal="left" vertical="center"/>
    </xf>
    <xf numFmtId="0" fontId="2" fillId="3" borderId="9" xfId="7" applyFill="1" applyBorder="1" applyAlignment="1">
      <alignment vertical="center"/>
    </xf>
    <xf numFmtId="0" fontId="19" fillId="3" borderId="41" xfId="7" applyFont="1" applyFill="1" applyBorder="1" applyAlignment="1">
      <alignment vertical="center"/>
    </xf>
    <xf numFmtId="0" fontId="17" fillId="3" borderId="6" xfId="7" applyFont="1" applyFill="1" applyBorder="1" applyAlignment="1">
      <alignment horizontal="left" vertical="center"/>
    </xf>
    <xf numFmtId="0" fontId="17" fillId="3" borderId="17" xfId="7" applyFont="1" applyFill="1" applyBorder="1" applyAlignment="1">
      <alignment horizontal="left" vertical="center"/>
    </xf>
    <xf numFmtId="0" fontId="12" fillId="3" borderId="6" xfId="7" applyFont="1" applyFill="1" applyBorder="1" applyAlignment="1">
      <alignment horizontal="centerContinuous"/>
    </xf>
    <xf numFmtId="0" fontId="12" fillId="3" borderId="6" xfId="7" applyFont="1" applyFill="1" applyBorder="1" applyAlignment="1">
      <alignment horizontal="center"/>
    </xf>
    <xf numFmtId="0" fontId="12" fillId="3" borderId="19" xfId="7" applyFont="1" applyFill="1" applyBorder="1" applyAlignment="1">
      <alignment horizontal="centerContinuous"/>
    </xf>
    <xf numFmtId="0" fontId="12" fillId="3" borderId="19" xfId="7" applyFont="1" applyFill="1" applyBorder="1" applyAlignment="1">
      <alignment horizontal="center" vertical="center"/>
    </xf>
    <xf numFmtId="0" fontId="12" fillId="3" borderId="0" xfId="7" applyFont="1" applyFill="1" applyAlignment="1">
      <alignment horizontal="center" vertical="center"/>
    </xf>
    <xf numFmtId="0" fontId="12" fillId="3" borderId="3" xfId="7" applyFont="1" applyFill="1" applyBorder="1" applyAlignment="1">
      <alignment horizontal="center"/>
    </xf>
    <xf numFmtId="0" fontId="12" fillId="3" borderId="44" xfId="7" applyFont="1" applyFill="1" applyBorder="1" applyAlignment="1">
      <alignment horizontal="centerContinuous"/>
    </xf>
    <xf numFmtId="0" fontId="12" fillId="3" borderId="45" xfId="7" applyFont="1" applyFill="1" applyBorder="1" applyAlignment="1">
      <alignment horizontal="centerContinuous"/>
    </xf>
    <xf numFmtId="0" fontId="12" fillId="3" borderId="42" xfId="7" applyFont="1" applyFill="1" applyBorder="1" applyAlignment="1">
      <alignment horizontal="centerContinuous"/>
    </xf>
    <xf numFmtId="0" fontId="12" fillId="3" borderId="43" xfId="7" applyFont="1" applyFill="1" applyBorder="1" applyAlignment="1">
      <alignment horizontal="centerContinuous"/>
    </xf>
    <xf numFmtId="0" fontId="12" fillId="3" borderId="46" xfId="7" applyFont="1" applyFill="1" applyBorder="1" applyAlignment="1">
      <alignment horizontal="center"/>
    </xf>
    <xf numFmtId="0" fontId="17" fillId="3" borderId="47" xfId="7" applyFont="1" applyFill="1" applyBorder="1" applyAlignment="1">
      <alignment horizontal="center" textRotation="255"/>
    </xf>
    <xf numFmtId="0" fontId="17" fillId="3" borderId="10" xfId="7" applyFont="1" applyFill="1" applyBorder="1" applyAlignment="1">
      <alignment horizontal="center" vertical="center" wrapText="1"/>
    </xf>
    <xf numFmtId="0" fontId="12" fillId="3" borderId="27" xfId="7" applyFont="1" applyFill="1" applyBorder="1" applyAlignment="1">
      <alignment horizontal="center" vertical="center" wrapText="1"/>
    </xf>
    <xf numFmtId="0" fontId="12" fillId="3" borderId="8" xfId="7" applyFont="1" applyFill="1" applyBorder="1" applyAlignment="1">
      <alignment horizontal="center" vertical="center" wrapText="1"/>
    </xf>
    <xf numFmtId="0" fontId="12" fillId="3" borderId="48" xfId="7" applyFont="1" applyFill="1" applyBorder="1" applyAlignment="1">
      <alignment horizontal="center" vertical="center" wrapText="1"/>
    </xf>
    <xf numFmtId="0" fontId="12" fillId="3" borderId="46" xfId="7" applyFont="1" applyFill="1" applyBorder="1" applyAlignment="1">
      <alignment horizontal="center" vertical="center" wrapText="1"/>
    </xf>
    <xf numFmtId="0" fontId="17" fillId="3" borderId="30" xfId="7" applyFont="1" applyFill="1" applyBorder="1" applyAlignment="1">
      <alignment horizontal="center"/>
    </xf>
    <xf numFmtId="1" fontId="17" fillId="3" borderId="6" xfId="7" applyNumberFormat="1" applyFont="1" applyFill="1" applyBorder="1" applyAlignment="1">
      <alignment horizontal="right"/>
    </xf>
    <xf numFmtId="0" fontId="17" fillId="3" borderId="6" xfId="7" applyFont="1" applyFill="1" applyBorder="1" applyAlignment="1"/>
    <xf numFmtId="1" fontId="17" fillId="3" borderId="6" xfId="7" applyNumberFormat="1" applyFont="1" applyFill="1" applyBorder="1" applyAlignment="1"/>
    <xf numFmtId="0" fontId="17" fillId="3" borderId="39" xfId="7" applyFont="1" applyFill="1" applyBorder="1" applyAlignment="1"/>
    <xf numFmtId="0" fontId="17" fillId="3" borderId="49" xfId="7" applyFont="1" applyFill="1" applyBorder="1" applyAlignment="1"/>
    <xf numFmtId="0" fontId="17" fillId="3" borderId="50" xfId="7" applyFont="1" applyFill="1" applyBorder="1" applyAlignment="1"/>
    <xf numFmtId="0" fontId="17" fillId="6" borderId="17" xfId="7" applyFont="1" applyFill="1" applyBorder="1" applyAlignment="1">
      <alignment horizontal="right"/>
    </xf>
    <xf numFmtId="0" fontId="2" fillId="3" borderId="50" xfId="7" applyFill="1" applyBorder="1" applyAlignment="1"/>
    <xf numFmtId="1" fontId="17" fillId="3" borderId="17" xfId="7" applyNumberFormat="1" applyFont="1" applyFill="1" applyBorder="1" applyAlignment="1"/>
    <xf numFmtId="0" fontId="2" fillId="3" borderId="39" xfId="7" applyFill="1" applyBorder="1" applyAlignment="1"/>
    <xf numFmtId="0" fontId="17" fillId="3" borderId="31" xfId="7" applyFont="1" applyFill="1" applyBorder="1" applyAlignment="1">
      <alignment horizontal="right"/>
    </xf>
    <xf numFmtId="0" fontId="17" fillId="3" borderId="30" xfId="7" applyFont="1" applyFill="1" applyBorder="1" applyAlignment="1">
      <alignment horizontal="right"/>
    </xf>
    <xf numFmtId="0" fontId="17" fillId="3" borderId="0" xfId="7" applyFont="1" applyFill="1" applyAlignment="1">
      <alignment horizontal="right"/>
    </xf>
    <xf numFmtId="0" fontId="17" fillId="3" borderId="31" xfId="7" applyFont="1" applyFill="1" applyBorder="1" applyAlignment="1"/>
    <xf numFmtId="0" fontId="17" fillId="3" borderId="27" xfId="7" applyFont="1" applyFill="1" applyBorder="1" applyAlignment="1">
      <alignment horizontal="right"/>
    </xf>
    <xf numFmtId="0" fontId="17" fillId="3" borderId="21" xfId="7" applyFont="1" applyFill="1" applyBorder="1" applyAlignment="1">
      <alignment horizontal="right"/>
    </xf>
    <xf numFmtId="0" fontId="17" fillId="3" borderId="18" xfId="7" applyFont="1" applyFill="1" applyBorder="1" applyAlignment="1">
      <alignment horizontal="right"/>
    </xf>
    <xf numFmtId="0" fontId="2" fillId="3" borderId="51" xfId="7" applyFill="1" applyBorder="1" applyAlignment="1"/>
    <xf numFmtId="0" fontId="17" fillId="3" borderId="51" xfId="7" applyFont="1" applyFill="1" applyBorder="1" applyAlignment="1"/>
    <xf numFmtId="0" fontId="17" fillId="3" borderId="44" xfId="7" applyFont="1" applyFill="1" applyBorder="1" applyAlignment="1"/>
    <xf numFmtId="0" fontId="17" fillId="4" borderId="51" xfId="7" applyFont="1" applyFill="1" applyBorder="1" applyAlignment="1"/>
    <xf numFmtId="0" fontId="33" fillId="2" borderId="5" xfId="0" applyFont="1" applyFill="1" applyBorder="1" applyAlignment="1">
      <alignment wrapText="1"/>
    </xf>
    <xf numFmtId="0" fontId="34" fillId="0" borderId="0" xfId="7" applyFont="1" applyAlignment="1">
      <alignment horizontal="left"/>
    </xf>
    <xf numFmtId="0" fontId="35" fillId="0" borderId="0" xfId="1" applyFont="1"/>
    <xf numFmtId="0" fontId="0" fillId="0" borderId="0" xfId="0" applyAlignment="1">
      <alignment wrapText="1"/>
    </xf>
    <xf numFmtId="0" fontId="31" fillId="0" borderId="0" xfId="0" applyFont="1" applyAlignment="1">
      <alignment wrapText="1"/>
    </xf>
    <xf numFmtId="42" fontId="7" fillId="0" borderId="0" xfId="0" applyNumberFormat="1" applyFont="1"/>
    <xf numFmtId="0" fontId="7" fillId="0" borderId="40" xfId="0" applyFont="1" applyBorder="1" applyAlignment="1">
      <alignment wrapText="1"/>
    </xf>
    <xf numFmtId="0" fontId="7" fillId="0" borderId="0" xfId="0" applyFont="1" applyAlignment="1">
      <alignment horizontal="left" wrapText="1"/>
    </xf>
    <xf numFmtId="9" fontId="7" fillId="0" borderId="0" xfId="10" applyFont="1" applyBorder="1"/>
    <xf numFmtId="37" fontId="10" fillId="0" borderId="40" xfId="2" applyNumberFormat="1" applyFont="1" applyFill="1" applyBorder="1"/>
    <xf numFmtId="164" fontId="9" fillId="0" borderId="4" xfId="6" applyNumberFormat="1" applyFont="1" applyBorder="1"/>
    <xf numFmtId="41" fontId="7" fillId="0" borderId="40" xfId="9" applyNumberFormat="1" applyFont="1" applyFill="1" applyBorder="1"/>
    <xf numFmtId="0" fontId="2" fillId="0" borderId="0" xfId="19"/>
    <xf numFmtId="2" fontId="2" fillId="0" borderId="0" xfId="19" applyNumberFormat="1"/>
    <xf numFmtId="10" fontId="2" fillId="0" borderId="0" xfId="19" applyNumberFormat="1"/>
    <xf numFmtId="0" fontId="2" fillId="0" borderId="0" xfId="19" applyAlignment="1">
      <alignment horizontal="center"/>
    </xf>
    <xf numFmtId="172" fontId="2" fillId="0" borderId="0" xfId="19" applyNumberFormat="1"/>
    <xf numFmtId="3" fontId="2" fillId="0" borderId="0" xfId="19" applyNumberFormat="1"/>
    <xf numFmtId="165" fontId="2" fillId="0" borderId="0" xfId="19" applyNumberFormat="1"/>
    <xf numFmtId="0" fontId="7" fillId="7" borderId="0" xfId="0" applyFont="1" applyFill="1"/>
    <xf numFmtId="0" fontId="25" fillId="0" borderId="0" xfId="0" applyFont="1"/>
    <xf numFmtId="0" fontId="9" fillId="0" borderId="40" xfId="5" applyFont="1" applyBorder="1" applyAlignment="1">
      <alignment horizontal="center" wrapText="1"/>
    </xf>
    <xf numFmtId="0" fontId="23" fillId="0" borderId="0" xfId="27">
      <alignment vertical="top"/>
    </xf>
    <xf numFmtId="0" fontId="36" fillId="2" borderId="5" xfId="27" applyFont="1" applyFill="1" applyBorder="1" applyAlignment="1">
      <alignment horizontal="center" vertical="top" wrapText="1" readingOrder="1"/>
    </xf>
    <xf numFmtId="0" fontId="23" fillId="0" borderId="0" xfId="27" applyAlignment="1">
      <alignment horizontal="left" vertical="top" readingOrder="1"/>
    </xf>
    <xf numFmtId="174" fontId="23" fillId="0" borderId="0" xfId="27" applyNumberFormat="1" applyAlignment="1">
      <alignment horizontal="left" vertical="top"/>
    </xf>
    <xf numFmtId="41" fontId="23" fillId="0" borderId="0" xfId="27" applyNumberFormat="1">
      <alignment vertical="top"/>
    </xf>
    <xf numFmtId="0" fontId="23" fillId="0" borderId="0" xfId="27" applyAlignment="1">
      <alignment horizontal="left" vertical="top"/>
    </xf>
    <xf numFmtId="0" fontId="37" fillId="0" borderId="0" xfId="27" applyFont="1">
      <alignment vertical="top"/>
    </xf>
    <xf numFmtId="0" fontId="7" fillId="0" borderId="40" xfId="5" quotePrefix="1" applyFont="1" applyBorder="1" applyAlignment="1">
      <alignment horizontal="center"/>
    </xf>
    <xf numFmtId="37" fontId="23" fillId="0" borderId="0" xfId="27" applyNumberFormat="1">
      <alignment vertical="top"/>
    </xf>
    <xf numFmtId="37" fontId="23" fillId="0" borderId="0" xfId="27" applyNumberFormat="1" applyAlignment="1">
      <alignment horizontal="right" vertical="top"/>
    </xf>
    <xf numFmtId="0" fontId="38" fillId="0" borderId="0" xfId="27" applyFont="1" applyAlignment="1">
      <alignment horizontal="centerContinuous" vertical="top"/>
    </xf>
    <xf numFmtId="0" fontId="23" fillId="0" borderId="0" xfId="27" applyAlignment="1">
      <alignment horizontal="right" vertical="top"/>
    </xf>
    <xf numFmtId="39" fontId="23" fillId="0" borderId="0" xfId="27" applyNumberFormat="1" applyAlignment="1">
      <alignment horizontal="right" vertical="top"/>
    </xf>
    <xf numFmtId="3" fontId="0" fillId="0" borderId="0" xfId="0" applyNumberFormat="1"/>
    <xf numFmtId="0" fontId="18" fillId="0" borderId="0" xfId="0" applyFont="1" applyAlignment="1">
      <alignment horizontal="center"/>
    </xf>
    <xf numFmtId="0" fontId="10" fillId="0" borderId="0" xfId="26" applyFont="1"/>
    <xf numFmtId="10" fontId="10" fillId="0" borderId="0" xfId="16" applyNumberFormat="1" applyFont="1" applyFill="1" applyBorder="1"/>
    <xf numFmtId="0" fontId="10" fillId="0" borderId="0" xfId="0" applyFont="1"/>
    <xf numFmtId="0" fontId="9" fillId="0" borderId="0" xfId="0" applyFont="1"/>
    <xf numFmtId="0" fontId="9" fillId="0" borderId="0" xfId="0" applyFont="1" applyAlignment="1">
      <alignment horizontal="center"/>
    </xf>
    <xf numFmtId="164" fontId="7" fillId="0" borderId="0" xfId="9" applyNumberFormat="1" applyFont="1" applyFill="1" applyBorder="1"/>
    <xf numFmtId="164" fontId="10" fillId="0" borderId="0" xfId="9" applyNumberFormat="1" applyFont="1" applyFill="1" applyBorder="1"/>
    <xf numFmtId="37" fontId="10" fillId="0" borderId="0" xfId="0" applyNumberFormat="1" applyFont="1"/>
    <xf numFmtId="0" fontId="7" fillId="0" borderId="0" xfId="0" quotePrefix="1" applyFont="1"/>
    <xf numFmtId="0" fontId="18" fillId="0" borderId="0" xfId="26" applyFont="1"/>
    <xf numFmtId="0" fontId="18" fillId="0" borderId="0" xfId="0" applyFont="1"/>
    <xf numFmtId="165" fontId="10" fillId="0" borderId="0" xfId="0" applyNumberFormat="1" applyFont="1"/>
    <xf numFmtId="41" fontId="23" fillId="0" borderId="0" xfId="27" applyNumberFormat="1" applyAlignment="1">
      <alignment horizontal="right" vertical="top"/>
    </xf>
    <xf numFmtId="175" fontId="10" fillId="0" borderId="0" xfId="5" applyNumberFormat="1" applyFont="1"/>
    <xf numFmtId="37" fontId="10" fillId="0" borderId="40" xfId="5" applyNumberFormat="1" applyFont="1" applyBorder="1"/>
    <xf numFmtId="37" fontId="7" fillId="0" borderId="0" xfId="0" applyNumberFormat="1" applyFont="1" applyAlignment="1">
      <alignment horizontal="right"/>
    </xf>
    <xf numFmtId="176" fontId="27" fillId="0" borderId="0" xfId="0" applyNumberFormat="1" applyFont="1"/>
    <xf numFmtId="176" fontId="0" fillId="0" borderId="0" xfId="0" applyNumberFormat="1"/>
    <xf numFmtId="0" fontId="31" fillId="0" borderId="0" xfId="34" applyFont="1" applyAlignment="1">
      <alignment horizontal="center"/>
    </xf>
    <xf numFmtId="0" fontId="41" fillId="0" borderId="0" xfId="30" applyFont="1"/>
    <xf numFmtId="0" fontId="41" fillId="0" borderId="0" xfId="30" applyFont="1" applyAlignment="1">
      <alignment horizontal="center"/>
    </xf>
    <xf numFmtId="0" fontId="41" fillId="0" borderId="0" xfId="30" applyFont="1" applyAlignment="1">
      <alignment horizontal="centerContinuous"/>
    </xf>
    <xf numFmtId="0" fontId="42" fillId="0" borderId="0" xfId="30" applyFont="1"/>
    <xf numFmtId="0" fontId="41" fillId="0" borderId="40" xfId="30" applyFont="1" applyBorder="1" applyAlignment="1">
      <alignment horizontal="center" wrapText="1"/>
    </xf>
    <xf numFmtId="0" fontId="34" fillId="0" borderId="0" xfId="30" applyFont="1"/>
    <xf numFmtId="2" fontId="34" fillId="0" borderId="0" xfId="30" applyNumberFormat="1" applyFont="1"/>
    <xf numFmtId="0" fontId="39" fillId="0" borderId="0" xfId="30" applyFont="1" applyAlignment="1">
      <alignment horizontal="left"/>
    </xf>
    <xf numFmtId="14" fontId="39" fillId="0" borderId="0" xfId="30" applyNumberFormat="1" applyFont="1" applyAlignment="1">
      <alignment horizontal="left"/>
    </xf>
    <xf numFmtId="14" fontId="34" fillId="0" borderId="0" xfId="30" applyNumberFormat="1" applyFont="1"/>
    <xf numFmtId="0" fontId="34" fillId="0" borderId="40" xfId="30" applyFont="1" applyBorder="1"/>
    <xf numFmtId="0" fontId="34" fillId="0" borderId="40" xfId="30" applyFont="1" applyBorder="1" applyAlignment="1">
      <alignment horizontal="center" wrapText="1"/>
    </xf>
    <xf numFmtId="44" fontId="34" fillId="0" borderId="0" xfId="2" applyFont="1" applyAlignment="1">
      <alignment horizontal="center"/>
    </xf>
    <xf numFmtId="10" fontId="34" fillId="0" borderId="0" xfId="29" applyNumberFormat="1" applyFont="1"/>
    <xf numFmtId="10" fontId="34" fillId="0" borderId="0" xfId="29" applyNumberFormat="1" applyFont="1" applyAlignment="1">
      <alignment horizontal="center"/>
    </xf>
    <xf numFmtId="179" fontId="34" fillId="0" borderId="0" xfId="29" applyNumberFormat="1" applyFont="1" applyAlignment="1">
      <alignment horizontal="center"/>
    </xf>
    <xf numFmtId="44" fontId="34" fillId="0" borderId="53" xfId="2" applyFont="1" applyFill="1" applyBorder="1"/>
    <xf numFmtId="44" fontId="34" fillId="0" borderId="0" xfId="30" applyNumberFormat="1" applyFont="1"/>
    <xf numFmtId="10" fontId="34" fillId="0" borderId="53" xfId="29" applyNumberFormat="1" applyFont="1" applyBorder="1"/>
    <xf numFmtId="0" fontId="1" fillId="0" borderId="0" xfId="30" applyFont="1"/>
    <xf numFmtId="44" fontId="34" fillId="0" borderId="0" xfId="45" applyFont="1" applyFill="1" applyBorder="1" applyAlignment="1">
      <alignment horizontal="right"/>
    </xf>
    <xf numFmtId="10" fontId="34" fillId="0" borderId="0" xfId="46" applyNumberFormat="1" applyFont="1" applyFill="1" applyBorder="1" applyAlignment="1">
      <alignment horizontal="right"/>
    </xf>
    <xf numFmtId="179" fontId="34" fillId="0" borderId="0" xfId="46" applyNumberFormat="1" applyFont="1" applyFill="1" applyBorder="1" applyAlignment="1">
      <alignment horizontal="right"/>
    </xf>
    <xf numFmtId="10" fontId="21" fillId="0" borderId="0" xfId="47" applyNumberFormat="1" applyFont="1" applyFill="1" applyAlignment="1">
      <alignment horizontal="right"/>
    </xf>
    <xf numFmtId="44" fontId="34" fillId="0" borderId="0" xfId="48" applyFont="1" applyFill="1" applyAlignment="1">
      <alignment horizontal="center"/>
    </xf>
    <xf numFmtId="10" fontId="34" fillId="0" borderId="0" xfId="29" applyNumberFormat="1" applyFont="1" applyFill="1" applyAlignment="1">
      <alignment horizontal="center"/>
    </xf>
    <xf numFmtId="10" fontId="34" fillId="0" borderId="0" xfId="49" applyNumberFormat="1" applyFont="1" applyFill="1" applyAlignment="1">
      <alignment horizontal="center"/>
    </xf>
    <xf numFmtId="179" fontId="34" fillId="0" borderId="0" xfId="49" applyNumberFormat="1" applyFont="1" applyFill="1" applyAlignment="1">
      <alignment horizontal="center"/>
    </xf>
    <xf numFmtId="172" fontId="34" fillId="0" borderId="0" xfId="30" applyNumberFormat="1" applyFont="1"/>
    <xf numFmtId="44" fontId="34" fillId="0" borderId="53" xfId="48" applyFont="1" applyFill="1" applyBorder="1"/>
    <xf numFmtId="0" fontId="34" fillId="0" borderId="53" xfId="30" applyFont="1" applyBorder="1"/>
    <xf numFmtId="10" fontId="34" fillId="0" borderId="53" xfId="30" applyNumberFormat="1" applyFont="1" applyBorder="1"/>
    <xf numFmtId="10" fontId="34" fillId="0" borderId="53" xfId="49" applyNumberFormat="1" applyFont="1" applyFill="1" applyBorder="1"/>
    <xf numFmtId="0" fontId="46" fillId="0" borderId="0" xfId="30" applyFont="1"/>
    <xf numFmtId="0" fontId="45" fillId="0" borderId="0" xfId="30" applyFont="1"/>
    <xf numFmtId="0" fontId="46" fillId="0" borderId="0" xfId="54" applyFont="1"/>
    <xf numFmtId="43" fontId="48" fillId="0" borderId="56" xfId="54" applyNumberFormat="1" applyFont="1" applyBorder="1" applyAlignment="1">
      <alignment horizontal="center"/>
    </xf>
    <xf numFmtId="0" fontId="46" fillId="0" borderId="64" xfId="54" applyFont="1" applyBorder="1" applyAlignment="1">
      <alignment horizontal="center"/>
    </xf>
    <xf numFmtId="0" fontId="49" fillId="0" borderId="0" xfId="54" applyFont="1" applyAlignment="1">
      <alignment horizontal="center"/>
    </xf>
    <xf numFmtId="0" fontId="50" fillId="0" borderId="0" xfId="54" applyFont="1" applyAlignment="1">
      <alignment horizontal="centerContinuous"/>
    </xf>
    <xf numFmtId="0" fontId="49" fillId="0" borderId="0" xfId="54" applyFont="1" applyAlignment="1">
      <alignment horizontal="centerContinuous"/>
    </xf>
    <xf numFmtId="0" fontId="46" fillId="0" borderId="0" xfId="54" applyFont="1" applyAlignment="1">
      <alignment horizontal="centerContinuous"/>
    </xf>
    <xf numFmtId="4" fontId="46" fillId="0" borderId="0" xfId="53" applyNumberFormat="1" applyFont="1" applyFill="1"/>
    <xf numFmtId="197" fontId="46" fillId="0" borderId="0" xfId="53" applyNumberFormat="1" applyFont="1" applyFill="1"/>
    <xf numFmtId="0" fontId="49" fillId="0" borderId="0" xfId="40" applyFont="1" applyAlignment="1">
      <alignment horizontal="center"/>
    </xf>
    <xf numFmtId="0" fontId="46" fillId="0" borderId="0" xfId="40" applyFont="1"/>
    <xf numFmtId="0" fontId="46" fillId="0" borderId="0" xfId="40" applyFont="1" applyAlignment="1">
      <alignment horizontal="centerContinuous"/>
    </xf>
    <xf numFmtId="0" fontId="46" fillId="0" borderId="0" xfId="40" applyFont="1" applyAlignment="1">
      <alignment horizontal="center"/>
    </xf>
    <xf numFmtId="197" fontId="46" fillId="0" borderId="0" xfId="54" applyNumberFormat="1" applyFont="1"/>
    <xf numFmtId="0" fontId="49" fillId="0" borderId="0" xfId="54" applyFont="1"/>
    <xf numFmtId="198" fontId="46" fillId="0" borderId="0" xfId="40" applyNumberFormat="1" applyFont="1"/>
    <xf numFmtId="198" fontId="49" fillId="0" borderId="0" xfId="40" applyNumberFormat="1" applyFont="1"/>
    <xf numFmtId="198" fontId="51" fillId="0" borderId="0" xfId="40" applyNumberFormat="1" applyFont="1"/>
    <xf numFmtId="2" fontId="46" fillId="0" borderId="0" xfId="40" applyNumberFormat="1" applyFont="1"/>
    <xf numFmtId="182" fontId="46" fillId="0" borderId="0" xfId="40" applyNumberFormat="1" applyFont="1"/>
    <xf numFmtId="2" fontId="49" fillId="0" borderId="0" xfId="40" applyNumberFormat="1" applyFont="1"/>
    <xf numFmtId="2" fontId="51" fillId="0" borderId="0" xfId="40" applyNumberFormat="1" applyFont="1"/>
    <xf numFmtId="0" fontId="52" fillId="0" borderId="0" xfId="54" applyFont="1"/>
    <xf numFmtId="197" fontId="52" fillId="0" borderId="0" xfId="54" applyNumberFormat="1" applyFont="1"/>
    <xf numFmtId="0" fontId="49" fillId="0" borderId="0" xfId="54" applyFont="1" applyAlignment="1">
      <alignment horizontal="left"/>
    </xf>
    <xf numFmtId="0" fontId="46" fillId="0" borderId="0" xfId="54" applyFont="1" applyAlignment="1">
      <alignment wrapText="1"/>
    </xf>
    <xf numFmtId="176" fontId="46" fillId="0" borderId="0" xfId="54" applyNumberFormat="1" applyFont="1"/>
    <xf numFmtId="173" fontId="46" fillId="0" borderId="0" xfId="54" applyNumberFormat="1" applyFont="1"/>
    <xf numFmtId="0" fontId="46" fillId="0" borderId="0" xfId="52" applyFont="1"/>
    <xf numFmtId="43" fontId="48" fillId="0" borderId="56" xfId="52" applyNumberFormat="1" applyFont="1" applyBorder="1" applyAlignment="1">
      <alignment horizontal="center"/>
    </xf>
    <xf numFmtId="0" fontId="1" fillId="0" borderId="0" xfId="52"/>
    <xf numFmtId="0" fontId="46" fillId="0" borderId="64" xfId="52" applyFont="1" applyBorder="1" applyAlignment="1">
      <alignment horizontal="center"/>
    </xf>
    <xf numFmtId="0" fontId="49" fillId="0" borderId="0" xfId="52" applyFont="1"/>
    <xf numFmtId="0" fontId="49" fillId="0" borderId="0" xfId="52" applyFont="1" applyAlignment="1">
      <alignment horizontal="centerContinuous"/>
    </xf>
    <xf numFmtId="0" fontId="46" fillId="0" borderId="0" xfId="52" applyFont="1" applyAlignment="1">
      <alignment horizontal="centerContinuous"/>
    </xf>
    <xf numFmtId="0" fontId="49" fillId="0" borderId="0" xfId="52" applyFont="1" applyAlignment="1">
      <alignment horizontal="center"/>
    </xf>
    <xf numFmtId="197" fontId="46" fillId="0" borderId="0" xfId="52" applyNumberFormat="1" applyFont="1"/>
    <xf numFmtId="2" fontId="46" fillId="0" borderId="0" xfId="54" applyNumberFormat="1" applyFont="1"/>
    <xf numFmtId="182" fontId="46" fillId="0" borderId="0" xfId="54" applyNumberFormat="1" applyFont="1"/>
    <xf numFmtId="0" fontId="52" fillId="0" borderId="0" xfId="52" applyFont="1"/>
    <xf numFmtId="197" fontId="52" fillId="0" borderId="0" xfId="52" applyNumberFormat="1" applyFont="1"/>
    <xf numFmtId="0" fontId="49" fillId="0" borderId="0" xfId="52" applyFont="1" applyAlignment="1">
      <alignment horizontal="left"/>
    </xf>
    <xf numFmtId="0" fontId="46" fillId="0" borderId="0" xfId="52" applyFont="1" applyAlignment="1">
      <alignment wrapText="1"/>
    </xf>
    <xf numFmtId="176" fontId="46" fillId="0" borderId="0" xfId="52" applyNumberFormat="1" applyFont="1"/>
    <xf numFmtId="173" fontId="46" fillId="0" borderId="0" xfId="52" applyNumberFormat="1" applyFont="1"/>
    <xf numFmtId="0" fontId="50" fillId="0" borderId="0" xfId="52" applyFont="1" applyAlignment="1">
      <alignment horizontal="centerContinuous"/>
    </xf>
    <xf numFmtId="176" fontId="52" fillId="0" borderId="0" xfId="52" applyNumberFormat="1" applyFont="1"/>
    <xf numFmtId="197" fontId="46" fillId="0" borderId="0" xfId="4" applyNumberFormat="1" applyFont="1" applyFill="1"/>
    <xf numFmtId="176" fontId="46" fillId="0" borderId="0" xfId="55" applyNumberFormat="1" applyFont="1" applyFill="1"/>
    <xf numFmtId="43" fontId="46" fillId="0" borderId="0" xfId="55" applyFont="1" applyFill="1"/>
    <xf numFmtId="199" fontId="46" fillId="0" borderId="0" xfId="52" applyNumberFormat="1" applyFont="1"/>
    <xf numFmtId="43" fontId="46" fillId="0" borderId="0" xfId="53" applyFont="1"/>
    <xf numFmtId="3" fontId="1" fillId="0" borderId="0" xfId="52" applyNumberFormat="1"/>
    <xf numFmtId="3" fontId="46" fillId="0" borderId="0" xfId="52" applyNumberFormat="1" applyFont="1"/>
    <xf numFmtId="4" fontId="46" fillId="0" borderId="0" xfId="30" applyNumberFormat="1" applyFont="1"/>
    <xf numFmtId="4" fontId="46" fillId="0" borderId="0" xfId="52" applyNumberFormat="1" applyFont="1"/>
    <xf numFmtId="2" fontId="46" fillId="0" borderId="0" xfId="52" applyNumberFormat="1" applyFont="1"/>
    <xf numFmtId="43" fontId="46" fillId="0" borderId="0" xfId="53" applyFont="1" applyFill="1"/>
    <xf numFmtId="0" fontId="1" fillId="0" borderId="0" xfId="50" applyFont="1"/>
    <xf numFmtId="14" fontId="34" fillId="0" borderId="57" xfId="51" applyNumberFormat="1" applyFont="1" applyFill="1" applyBorder="1"/>
    <xf numFmtId="179" fontId="34" fillId="0" borderId="0" xfId="51" applyNumberFormat="1" applyFont="1" applyFill="1"/>
    <xf numFmtId="179" fontId="34" fillId="0" borderId="57" xfId="51" applyNumberFormat="1" applyFont="1" applyFill="1" applyBorder="1"/>
    <xf numFmtId="0" fontId="53" fillId="0" borderId="63" xfId="30" applyFont="1" applyBorder="1" applyAlignment="1">
      <alignment horizontal="centerContinuous"/>
    </xf>
    <xf numFmtId="179" fontId="34" fillId="0" borderId="0" xfId="51" applyNumberFormat="1" applyFont="1" applyFill="1" applyAlignment="1">
      <alignment wrapText="1"/>
    </xf>
    <xf numFmtId="17" fontId="1" fillId="0" borderId="0" xfId="50" applyNumberFormat="1" applyFont="1"/>
    <xf numFmtId="179" fontId="21" fillId="0" borderId="0" xfId="51" applyNumberFormat="1" applyFont="1" applyFill="1"/>
    <xf numFmtId="0" fontId="46" fillId="0" borderId="1" xfId="30" applyFont="1" applyBorder="1"/>
    <xf numFmtId="0" fontId="53" fillId="0" borderId="63" xfId="30" applyFont="1" applyBorder="1" applyAlignment="1">
      <alignment horizontal="center"/>
    </xf>
    <xf numFmtId="10" fontId="34" fillId="0" borderId="0" xfId="47" applyNumberFormat="1" applyFont="1" applyFill="1"/>
    <xf numFmtId="10" fontId="1" fillId="0" borderId="0" xfId="50" applyNumberFormat="1" applyFont="1"/>
    <xf numFmtId="0" fontId="34" fillId="0" borderId="0" xfId="40" applyFont="1"/>
    <xf numFmtId="0" fontId="54" fillId="0" borderId="63" xfId="40" applyFont="1" applyBorder="1" applyAlignment="1">
      <alignment horizontal="center"/>
    </xf>
    <xf numFmtId="10" fontId="34" fillId="0" borderId="0" xfId="3" applyNumberFormat="1" applyFont="1" applyFill="1"/>
    <xf numFmtId="10" fontId="34" fillId="0" borderId="0" xfId="29" applyNumberFormat="1" applyFont="1" applyFill="1"/>
    <xf numFmtId="0" fontId="53" fillId="0" borderId="0" xfId="30" applyFont="1" applyAlignment="1">
      <alignment horizontal="centerContinuous"/>
    </xf>
    <xf numFmtId="0" fontId="53" fillId="0" borderId="0" xfId="30" applyFont="1" applyAlignment="1">
      <alignment horizontal="center"/>
    </xf>
    <xf numFmtId="179" fontId="21" fillId="0" borderId="0" xfId="51" applyNumberFormat="1" applyFont="1" applyFill="1" applyAlignment="1"/>
    <xf numFmtId="179" fontId="1" fillId="0" borderId="0" xfId="51" applyNumberFormat="1" applyFont="1" applyFill="1"/>
    <xf numFmtId="179" fontId="34" fillId="0" borderId="0" xfId="51" applyNumberFormat="1" applyFont="1" applyFill="1" applyBorder="1" applyAlignment="1" applyProtection="1"/>
    <xf numFmtId="179" fontId="34" fillId="0" borderId="0" xfId="51" applyNumberFormat="1" applyFont="1" applyFill="1" applyAlignment="1"/>
    <xf numFmtId="196" fontId="1" fillId="0" borderId="0" xfId="50" applyNumberFormat="1" applyFont="1"/>
    <xf numFmtId="179" fontId="34" fillId="0" borderId="0" xfId="51" applyNumberFormat="1" applyFont="1" applyFill="1" applyBorder="1"/>
    <xf numFmtId="196" fontId="34" fillId="0" borderId="0" xfId="30" applyNumberFormat="1" applyFont="1"/>
    <xf numFmtId="179" fontId="34" fillId="0" borderId="0" xfId="51" applyNumberFormat="1" applyFont="1"/>
    <xf numFmtId="10" fontId="34" fillId="0" borderId="0" xfId="47" applyNumberFormat="1" applyFont="1"/>
    <xf numFmtId="0" fontId="46" fillId="0" borderId="40" xfId="30" applyFont="1" applyBorder="1" applyAlignment="1">
      <alignment horizontal="center" wrapText="1"/>
    </xf>
    <xf numFmtId="0" fontId="1" fillId="0" borderId="0" xfId="36"/>
    <xf numFmtId="10" fontId="1" fillId="0" borderId="0" xfId="36" applyNumberFormat="1" applyAlignment="1">
      <alignment horizontal="right"/>
    </xf>
    <xf numFmtId="0" fontId="1" fillId="0" borderId="0" xfId="36" quotePrefix="1"/>
    <xf numFmtId="0" fontId="47" fillId="0" borderId="0" xfId="36" quotePrefix="1" applyFont="1"/>
    <xf numFmtId="0" fontId="47" fillId="0" borderId="0" xfId="36" applyFont="1"/>
    <xf numFmtId="44" fontId="1" fillId="0" borderId="53" xfId="36" applyNumberFormat="1" applyBorder="1"/>
    <xf numFmtId="10" fontId="1" fillId="0" borderId="0" xfId="36" applyNumberFormat="1"/>
    <xf numFmtId="195" fontId="1" fillId="0" borderId="53" xfId="36" applyNumberFormat="1" applyBorder="1"/>
    <xf numFmtId="0" fontId="46" fillId="0" borderId="0" xfId="30" applyFont="1" applyAlignment="1">
      <alignment wrapText="1"/>
    </xf>
    <xf numFmtId="0" fontId="55" fillId="0" borderId="15" xfId="44" applyFont="1" applyBorder="1" applyAlignment="1">
      <alignment horizontal="center" wrapText="1"/>
    </xf>
    <xf numFmtId="176" fontId="46" fillId="0" borderId="0" xfId="30" applyNumberFormat="1" applyFont="1"/>
    <xf numFmtId="0" fontId="56" fillId="0" borderId="0" xfId="36" quotePrefix="1" applyFont="1"/>
    <xf numFmtId="0" fontId="56" fillId="0" borderId="0" xfId="36" quotePrefix="1" applyFont="1" applyAlignment="1">
      <alignment horizontal="center"/>
    </xf>
    <xf numFmtId="44" fontId="46" fillId="0" borderId="0" xfId="45" applyFont="1" applyFill="1" applyBorder="1" applyAlignment="1">
      <alignment horizontal="right"/>
    </xf>
    <xf numFmtId="10" fontId="46" fillId="0" borderId="0" xfId="46" applyNumberFormat="1" applyFont="1" applyFill="1" applyBorder="1" applyAlignment="1">
      <alignment horizontal="right"/>
    </xf>
    <xf numFmtId="10" fontId="56" fillId="0" borderId="0" xfId="36" applyNumberFormat="1" applyFont="1" applyAlignment="1">
      <alignment horizontal="right"/>
    </xf>
    <xf numFmtId="10" fontId="55" fillId="0" borderId="0" xfId="47" applyNumberFormat="1" applyFont="1" applyFill="1" applyAlignment="1">
      <alignment horizontal="right"/>
    </xf>
    <xf numFmtId="179" fontId="46" fillId="0" borderId="0" xfId="46" applyNumberFormat="1" applyFont="1" applyFill="1" applyBorder="1" applyAlignment="1">
      <alignment horizontal="right"/>
    </xf>
    <xf numFmtId="10" fontId="56" fillId="0" borderId="0" xfId="47" applyNumberFormat="1" applyFont="1" applyFill="1" applyAlignment="1">
      <alignment horizontal="center"/>
    </xf>
    <xf numFmtId="10" fontId="46" fillId="0" borderId="0" xfId="30" applyNumberFormat="1" applyFont="1"/>
    <xf numFmtId="0" fontId="55" fillId="0" borderId="15" xfId="44" applyFont="1" applyBorder="1"/>
    <xf numFmtId="0" fontId="55" fillId="0" borderId="15" xfId="44" applyFont="1" applyBorder="1" applyAlignment="1">
      <alignment horizontal="right"/>
    </xf>
    <xf numFmtId="43" fontId="56" fillId="0" borderId="15" xfId="4" applyFont="1" applyFill="1" applyBorder="1" applyAlignment="1">
      <alignment horizontal="right"/>
    </xf>
    <xf numFmtId="10" fontId="55" fillId="0" borderId="15" xfId="47" applyNumberFormat="1" applyFont="1" applyBorder="1" applyAlignment="1">
      <alignment horizontal="center"/>
    </xf>
    <xf numFmtId="10" fontId="56" fillId="0" borderId="15" xfId="47" applyNumberFormat="1" applyFont="1" applyBorder="1" applyAlignment="1">
      <alignment horizontal="center"/>
    </xf>
    <xf numFmtId="10" fontId="55" fillId="0" borderId="15" xfId="44" applyNumberFormat="1" applyFont="1" applyBorder="1" applyAlignment="1">
      <alignment horizontal="center"/>
    </xf>
    <xf numFmtId="43" fontId="46" fillId="0" borderId="0" xfId="30" applyNumberFormat="1" applyFont="1"/>
    <xf numFmtId="14" fontId="45" fillId="0" borderId="0" xfId="1" applyNumberFormat="1" applyFont="1"/>
    <xf numFmtId="0" fontId="47" fillId="0" borderId="0" xfId="33" applyFont="1"/>
    <xf numFmtId="0" fontId="45" fillId="0" borderId="0" xfId="1" applyFont="1"/>
    <xf numFmtId="0" fontId="45" fillId="0" borderId="0" xfId="1" applyFont="1" applyAlignment="1">
      <alignment horizontal="center"/>
    </xf>
    <xf numFmtId="0" fontId="45" fillId="0" borderId="0" xfId="33" applyFont="1" applyAlignment="1">
      <alignment horizontal="center"/>
    </xf>
    <xf numFmtId="0" fontId="45" fillId="0" borderId="0" xfId="33" applyFont="1"/>
    <xf numFmtId="14" fontId="45" fillId="0" borderId="0" xfId="1" applyNumberFormat="1" applyFont="1" applyAlignment="1">
      <alignment horizontal="right"/>
    </xf>
    <xf numFmtId="193" fontId="45" fillId="0" borderId="58" xfId="1" applyNumberFormat="1" applyFont="1" applyBorder="1" applyAlignment="1">
      <alignment horizontal="left"/>
    </xf>
    <xf numFmtId="9" fontId="45" fillId="0" borderId="61" xfId="43" applyFont="1" applyFill="1" applyBorder="1" applyAlignment="1">
      <alignment horizontal="center"/>
    </xf>
    <xf numFmtId="9" fontId="45" fillId="0" borderId="0" xfId="43" applyFont="1" applyFill="1" applyBorder="1" applyAlignment="1">
      <alignment horizontal="right"/>
    </xf>
    <xf numFmtId="9" fontId="45" fillId="0" borderId="0" xfId="43" applyFont="1" applyFill="1" applyBorder="1" applyAlignment="1">
      <alignment horizontal="center"/>
    </xf>
    <xf numFmtId="10" fontId="45" fillId="0" borderId="0" xfId="43" applyNumberFormat="1" applyFont="1" applyFill="1" applyBorder="1"/>
    <xf numFmtId="10" fontId="45" fillId="0" borderId="0" xfId="43" applyNumberFormat="1" applyFont="1" applyFill="1" applyBorder="1" applyAlignment="1">
      <alignment horizontal="right"/>
    </xf>
    <xf numFmtId="10" fontId="45" fillId="0" borderId="61" xfId="43" applyNumberFormat="1" applyFont="1" applyFill="1" applyBorder="1" applyAlignment="1">
      <alignment horizontal="center"/>
    </xf>
    <xf numFmtId="10" fontId="45" fillId="0" borderId="0" xfId="43" applyNumberFormat="1" applyFont="1" applyFill="1" applyAlignment="1">
      <alignment horizontal="right"/>
    </xf>
    <xf numFmtId="10" fontId="45" fillId="0" borderId="0" xfId="33" applyNumberFormat="1" applyFont="1"/>
    <xf numFmtId="10" fontId="45" fillId="0" borderId="0" xfId="33" applyNumberFormat="1" applyFont="1" applyAlignment="1">
      <alignment horizontal="right"/>
    </xf>
    <xf numFmtId="14" fontId="47" fillId="0" borderId="0" xfId="33" applyNumberFormat="1" applyFont="1"/>
    <xf numFmtId="9" fontId="45" fillId="0" borderId="58" xfId="43" applyFont="1" applyFill="1" applyBorder="1" applyAlignment="1">
      <alignment horizontal="center"/>
    </xf>
    <xf numFmtId="10" fontId="45" fillId="0" borderId="58" xfId="43" applyNumberFormat="1" applyFont="1" applyFill="1" applyBorder="1" applyAlignment="1">
      <alignment horizontal="center"/>
    </xf>
    <xf numFmtId="10" fontId="45" fillId="0" borderId="0" xfId="3" applyNumberFormat="1" applyFont="1" applyFill="1"/>
    <xf numFmtId="10" fontId="45" fillId="0" borderId="0" xfId="1" applyNumberFormat="1" applyFont="1"/>
    <xf numFmtId="194" fontId="45" fillId="0" borderId="0" xfId="33" applyNumberFormat="1" applyFont="1" applyAlignment="1">
      <alignment horizontal="left"/>
    </xf>
    <xf numFmtId="9" fontId="45" fillId="0" borderId="0" xfId="43" applyFont="1" applyFill="1" applyAlignment="1">
      <alignment horizontal="center"/>
    </xf>
    <xf numFmtId="10" fontId="45" fillId="0" borderId="0" xfId="43" applyNumberFormat="1" applyFont="1" applyFill="1"/>
    <xf numFmtId="49" fontId="45" fillId="0" borderId="0" xfId="33" quotePrefix="1" applyNumberFormat="1" applyFont="1"/>
    <xf numFmtId="49" fontId="45" fillId="0" borderId="0" xfId="33" applyNumberFormat="1" applyFont="1"/>
    <xf numFmtId="10" fontId="45" fillId="0" borderId="0" xfId="43" applyNumberFormat="1" applyFont="1" applyFill="1" applyAlignment="1">
      <alignment horizontal="center"/>
    </xf>
    <xf numFmtId="10" fontId="45" fillId="0" borderId="0" xfId="33" applyNumberFormat="1" applyFont="1" applyAlignment="1">
      <alignment horizontal="center"/>
    </xf>
    <xf numFmtId="0" fontId="45" fillId="0" borderId="58" xfId="1" quotePrefix="1" applyFont="1" applyBorder="1"/>
    <xf numFmtId="0" fontId="45" fillId="0" borderId="0" xfId="1" quotePrefix="1" applyFont="1"/>
    <xf numFmtId="43" fontId="45" fillId="0" borderId="61" xfId="4" applyFont="1" applyFill="1" applyBorder="1"/>
    <xf numFmtId="2" fontId="47" fillId="0" borderId="61" xfId="33" applyNumberFormat="1" applyFont="1" applyBorder="1"/>
    <xf numFmtId="2" fontId="45" fillId="0" borderId="61" xfId="1" applyNumberFormat="1" applyFont="1" applyBorder="1"/>
    <xf numFmtId="43" fontId="45" fillId="0" borderId="58" xfId="4" applyFont="1" applyFill="1" applyBorder="1"/>
    <xf numFmtId="2" fontId="47" fillId="0" borderId="58" xfId="33" applyNumberFormat="1" applyFont="1" applyBorder="1"/>
    <xf numFmtId="2" fontId="45" fillId="0" borderId="58" xfId="1" applyNumberFormat="1" applyFont="1" applyBorder="1"/>
    <xf numFmtId="170" fontId="45" fillId="0" borderId="0" xfId="4" applyNumberFormat="1" applyFont="1" applyFill="1" applyBorder="1"/>
    <xf numFmtId="0" fontId="45" fillId="0" borderId="62" xfId="1" quotePrefix="1" applyFont="1" applyBorder="1"/>
    <xf numFmtId="43" fontId="45" fillId="0" borderId="62" xfId="4" applyFont="1" applyFill="1" applyBorder="1"/>
    <xf numFmtId="0" fontId="45" fillId="0" borderId="40" xfId="1" applyFont="1" applyBorder="1" applyAlignment="1">
      <alignment horizontal="center"/>
    </xf>
    <xf numFmtId="2" fontId="45" fillId="0" borderId="62" xfId="1" applyNumberFormat="1" applyFont="1" applyBorder="1"/>
    <xf numFmtId="43" fontId="45" fillId="0" borderId="0" xfId="4" applyFont="1" applyFill="1"/>
    <xf numFmtId="0" fontId="45" fillId="0" borderId="0" xfId="1" applyFont="1" applyAlignment="1">
      <alignment horizontal="right"/>
    </xf>
    <xf numFmtId="43" fontId="45" fillId="0" borderId="4" xfId="4" applyFont="1" applyFill="1" applyBorder="1"/>
    <xf numFmtId="43" fontId="45" fillId="0" borderId="0" xfId="38" applyFont="1" applyFill="1" applyBorder="1"/>
    <xf numFmtId="2" fontId="45" fillId="0" borderId="0" xfId="1" applyNumberFormat="1" applyFont="1"/>
    <xf numFmtId="43" fontId="45" fillId="0" borderId="0" xfId="4" applyFont="1" applyFill="1" applyBorder="1"/>
    <xf numFmtId="43" fontId="45" fillId="0" borderId="40" xfId="38" applyFont="1" applyFill="1" applyBorder="1"/>
    <xf numFmtId="0" fontId="45" fillId="0" borderId="0" xfId="1" applyFont="1" applyAlignment="1">
      <alignment horizontal="left"/>
    </xf>
    <xf numFmtId="43" fontId="45" fillId="0" borderId="4" xfId="38" applyFont="1" applyFill="1" applyBorder="1"/>
    <xf numFmtId="43" fontId="45" fillId="0" borderId="0" xfId="1" applyNumberFormat="1" applyFont="1"/>
    <xf numFmtId="43" fontId="45" fillId="0" borderId="40" xfId="1" applyNumberFormat="1" applyFont="1" applyBorder="1"/>
    <xf numFmtId="43" fontId="45" fillId="0" borderId="4" xfId="1" applyNumberFormat="1" applyFont="1" applyBorder="1"/>
    <xf numFmtId="0" fontId="57" fillId="0" borderId="0" xfId="1" applyFont="1"/>
    <xf numFmtId="0" fontId="47" fillId="0" borderId="0" xfId="34" applyFont="1"/>
    <xf numFmtId="0" fontId="45" fillId="0" borderId="0" xfId="1" applyFont="1" applyAlignment="1">
      <alignment wrapText="1"/>
    </xf>
    <xf numFmtId="2" fontId="45" fillId="0" borderId="0" xfId="1" applyNumberFormat="1" applyFont="1" applyAlignment="1">
      <alignment wrapText="1"/>
    </xf>
    <xf numFmtId="14" fontId="47" fillId="0" borderId="0" xfId="36" applyNumberFormat="1" applyFont="1"/>
    <xf numFmtId="2" fontId="47" fillId="0" borderId="0" xfId="36" applyNumberFormat="1" applyFont="1"/>
    <xf numFmtId="43" fontId="47" fillId="0" borderId="0" xfId="4" applyFont="1" applyFill="1"/>
    <xf numFmtId="176" fontId="47" fillId="0" borderId="0" xfId="36" applyNumberFormat="1" applyFont="1"/>
    <xf numFmtId="10" fontId="47" fillId="0" borderId="0" xfId="29" applyNumberFormat="1" applyFont="1" applyFill="1"/>
    <xf numFmtId="172" fontId="47" fillId="0" borderId="0" xfId="36" applyNumberFormat="1" applyFont="1"/>
    <xf numFmtId="192" fontId="47" fillId="0" borderId="0" xfId="36" applyNumberFormat="1" applyFont="1"/>
    <xf numFmtId="0" fontId="58" fillId="0" borderId="0" xfId="34" applyFont="1" applyAlignment="1">
      <alignment horizontal="center" vertical="center" wrapText="1"/>
    </xf>
    <xf numFmtId="0" fontId="58" fillId="0" borderId="0" xfId="34" applyFont="1"/>
    <xf numFmtId="0" fontId="56" fillId="0" borderId="0" xfId="34" applyFont="1"/>
    <xf numFmtId="14" fontId="46" fillId="0" borderId="0" xfId="30" applyNumberFormat="1" applyFont="1"/>
    <xf numFmtId="2" fontId="46" fillId="0" borderId="0" xfId="30" applyNumberFormat="1" applyFont="1"/>
    <xf numFmtId="2" fontId="56" fillId="0" borderId="0" xfId="34" applyNumberFormat="1" applyFont="1"/>
    <xf numFmtId="14" fontId="56" fillId="0" borderId="0" xfId="34" applyNumberFormat="1" applyFont="1"/>
    <xf numFmtId="0" fontId="1" fillId="0" borderId="0" xfId="34"/>
    <xf numFmtId="0" fontId="31" fillId="0" borderId="0" xfId="34" applyFont="1" applyAlignment="1">
      <alignment horizontal="centerContinuous"/>
    </xf>
    <xf numFmtId="0" fontId="31" fillId="0" borderId="0" xfId="34" applyFont="1" applyAlignment="1">
      <alignment horizontal="center" wrapText="1"/>
    </xf>
    <xf numFmtId="0" fontId="45" fillId="0" borderId="0" xfId="34" applyFont="1"/>
    <xf numFmtId="0" fontId="31" fillId="0" borderId="0" xfId="34" applyFont="1"/>
    <xf numFmtId="0" fontId="31" fillId="0" borderId="0" xfId="34" applyFont="1" applyAlignment="1">
      <alignment vertical="center" wrapText="1"/>
    </xf>
    <xf numFmtId="0" fontId="33" fillId="0" borderId="0" xfId="34" applyFont="1" applyAlignment="1">
      <alignment horizontal="center"/>
    </xf>
    <xf numFmtId="0" fontId="34" fillId="0" borderId="0" xfId="34" applyFont="1"/>
    <xf numFmtId="10" fontId="34" fillId="0" borderId="0" xfId="35" applyNumberFormat="1" applyFont="1" applyFill="1" applyBorder="1" applyAlignment="1">
      <alignment horizontal="center"/>
    </xf>
    <xf numFmtId="191" fontId="1" fillId="0" borderId="0" xfId="4" applyNumberFormat="1" applyFont="1" applyFill="1" applyBorder="1" applyAlignment="1">
      <alignment horizontal="right"/>
    </xf>
    <xf numFmtId="43" fontId="1" fillId="0" borderId="0" xfId="4" applyFont="1" applyFill="1" applyBorder="1" applyAlignment="1"/>
    <xf numFmtId="0" fontId="1" fillId="0" borderId="0" xfId="34" applyAlignment="1">
      <alignment horizontal="center"/>
    </xf>
    <xf numFmtId="43" fontId="33" fillId="0" borderId="0" xfId="4" applyFont="1" applyFill="1" applyBorder="1" applyAlignment="1">
      <alignment horizontal="right"/>
    </xf>
    <xf numFmtId="43" fontId="45" fillId="0" borderId="0" xfId="4" applyFont="1" applyFill="1" applyBorder="1" applyAlignment="1">
      <alignment horizontal="right"/>
    </xf>
    <xf numFmtId="0" fontId="46" fillId="0" borderId="0" xfId="30" applyFont="1" applyAlignment="1">
      <alignment horizontal="center"/>
    </xf>
    <xf numFmtId="43" fontId="34" fillId="0" borderId="0" xfId="4" applyFont="1" applyFill="1" applyBorder="1" applyAlignment="1">
      <alignment horizontal="right"/>
    </xf>
    <xf numFmtId="0" fontId="34" fillId="0" borderId="0" xfId="1" applyFont="1"/>
    <xf numFmtId="0" fontId="1" fillId="0" borderId="0" xfId="34" quotePrefix="1"/>
    <xf numFmtId="10" fontId="46" fillId="0" borderId="0" xfId="35" applyNumberFormat="1" applyFont="1" applyFill="1" applyBorder="1" applyAlignment="1">
      <alignment horizontal="center"/>
    </xf>
    <xf numFmtId="168" fontId="1" fillId="0" borderId="0" xfId="4" applyNumberFormat="1" applyFont="1" applyFill="1" applyBorder="1" applyAlignment="1">
      <alignment horizontal="right"/>
    </xf>
    <xf numFmtId="10" fontId="46" fillId="0" borderId="0" xfId="35" applyNumberFormat="1" applyFont="1" applyFill="1" applyAlignment="1">
      <alignment horizontal="center"/>
    </xf>
    <xf numFmtId="43" fontId="1" fillId="0" borderId="0" xfId="4" applyFont="1" applyFill="1" applyAlignment="1">
      <alignment horizontal="right"/>
    </xf>
    <xf numFmtId="43" fontId="1" fillId="0" borderId="0" xfId="34" applyNumberFormat="1" applyAlignment="1">
      <alignment horizontal="center"/>
    </xf>
    <xf numFmtId="43" fontId="46" fillId="0" borderId="0" xfId="35" applyNumberFormat="1" applyFont="1" applyFill="1" applyAlignment="1">
      <alignment horizontal="center"/>
    </xf>
    <xf numFmtId="10" fontId="46" fillId="0" borderId="0" xfId="35" applyNumberFormat="1" applyFont="1" applyFill="1"/>
    <xf numFmtId="17" fontId="1" fillId="0" borderId="0" xfId="34" applyNumberFormat="1" applyAlignment="1">
      <alignment wrapText="1"/>
    </xf>
    <xf numFmtId="17" fontId="1" fillId="0" borderId="0" xfId="34" quotePrefix="1" applyNumberFormat="1"/>
    <xf numFmtId="0" fontId="59" fillId="0" borderId="0" xfId="30" applyFont="1" applyAlignment="1">
      <alignment horizontal="right" vertical="center"/>
    </xf>
    <xf numFmtId="2" fontId="1" fillId="0" borderId="0" xfId="34" applyNumberFormat="1"/>
    <xf numFmtId="43" fontId="1" fillId="0" borderId="0" xfId="4" quotePrefix="1" applyFont="1" applyFill="1" applyAlignment="1"/>
    <xf numFmtId="43" fontId="1" fillId="0" borderId="0" xfId="34" applyNumberFormat="1"/>
    <xf numFmtId="0" fontId="1" fillId="0" borderId="0" xfId="34" quotePrefix="1" applyAlignment="1">
      <alignment horizontal="left" wrapText="1"/>
    </xf>
    <xf numFmtId="10" fontId="1" fillId="0" borderId="0" xfId="34" applyNumberFormat="1"/>
    <xf numFmtId="0" fontId="1" fillId="0" borderId="0" xfId="34" quotePrefix="1" applyAlignment="1">
      <alignment horizontal="left" vertical="top" wrapText="1"/>
    </xf>
    <xf numFmtId="0" fontId="31" fillId="0" borderId="0" xfId="34" applyFont="1" applyAlignment="1">
      <alignment wrapText="1"/>
    </xf>
    <xf numFmtId="0" fontId="1" fillId="0" borderId="56" xfId="34" applyBorder="1"/>
    <xf numFmtId="14" fontId="1" fillId="0" borderId="57" xfId="34" applyNumberFormat="1" applyBorder="1" applyAlignment="1">
      <alignment horizontal="center"/>
    </xf>
    <xf numFmtId="14" fontId="1" fillId="0" borderId="0" xfId="34" applyNumberFormat="1"/>
    <xf numFmtId="0" fontId="1" fillId="0" borderId="58" xfId="34" applyBorder="1"/>
    <xf numFmtId="0" fontId="1" fillId="0" borderId="57" xfId="34" applyBorder="1" applyAlignment="1">
      <alignment horizontal="right"/>
    </xf>
    <xf numFmtId="10" fontId="1" fillId="0" borderId="57" xfId="29" applyNumberFormat="1" applyFont="1" applyFill="1" applyBorder="1"/>
    <xf numFmtId="10" fontId="1" fillId="0" borderId="0" xfId="29" applyNumberFormat="1" applyFont="1" applyFill="1"/>
    <xf numFmtId="0" fontId="1" fillId="0" borderId="59" xfId="34" applyBorder="1"/>
    <xf numFmtId="0" fontId="57" fillId="0" borderId="0" xfId="30" applyFont="1"/>
    <xf numFmtId="0" fontId="60" fillId="0" borderId="40" xfId="30" applyFont="1" applyBorder="1"/>
    <xf numFmtId="0" fontId="60" fillId="0" borderId="40" xfId="30" applyFont="1" applyBorder="1" applyAlignment="1">
      <alignment horizontal="left"/>
    </xf>
    <xf numFmtId="0" fontId="1" fillId="0" borderId="60" xfId="34" applyBorder="1"/>
    <xf numFmtId="10" fontId="34" fillId="0" borderId="61" xfId="3" applyNumberFormat="1" applyFont="1" applyFill="1" applyBorder="1" applyAlignment="1">
      <alignment horizontal="right"/>
    </xf>
    <xf numFmtId="0" fontId="53" fillId="0" borderId="0" xfId="30" applyFont="1" applyAlignment="1">
      <alignment horizontal="left"/>
    </xf>
    <xf numFmtId="10" fontId="46" fillId="0" borderId="0" xfId="29" applyNumberFormat="1" applyFont="1" applyFill="1"/>
    <xf numFmtId="10" fontId="34" fillId="0" borderId="58" xfId="3" applyNumberFormat="1" applyFont="1" applyFill="1" applyBorder="1" applyAlignment="1">
      <alignment horizontal="right"/>
    </xf>
    <xf numFmtId="10" fontId="34" fillId="0" borderId="0" xfId="3" applyNumberFormat="1" applyFont="1" applyFill="1" applyBorder="1"/>
    <xf numFmtId="0" fontId="45" fillId="0" borderId="40" xfId="30" applyFont="1" applyBorder="1" applyAlignment="1">
      <alignment horizontal="left"/>
    </xf>
    <xf numFmtId="43" fontId="46" fillId="0" borderId="61" xfId="4" applyFont="1" applyFill="1" applyBorder="1"/>
    <xf numFmtId="0" fontId="33" fillId="0" borderId="0" xfId="30" applyFont="1"/>
    <xf numFmtId="0" fontId="31" fillId="0" borderId="0" xfId="41" applyFont="1"/>
    <xf numFmtId="14" fontId="34" fillId="0" borderId="57" xfId="30" quotePrefix="1" applyNumberFormat="1" applyFont="1" applyBorder="1" applyAlignment="1">
      <alignment horizontal="center"/>
    </xf>
    <xf numFmtId="49" fontId="34" fillId="0" borderId="57" xfId="42" quotePrefix="1" applyNumberFormat="1" applyFont="1" applyBorder="1"/>
    <xf numFmtId="0" fontId="46" fillId="0" borderId="0" xfId="42" applyFont="1"/>
    <xf numFmtId="0" fontId="1" fillId="0" borderId="61" xfId="34" applyBorder="1"/>
    <xf numFmtId="0" fontId="1" fillId="0" borderId="57" xfId="34" applyBorder="1" applyAlignment="1">
      <alignment horizontal="left"/>
    </xf>
    <xf numFmtId="0" fontId="1" fillId="0" borderId="57" xfId="41" applyBorder="1" applyAlignment="1">
      <alignment horizontal="left"/>
    </xf>
    <xf numFmtId="0" fontId="34" fillId="0" borderId="58" xfId="34" applyFont="1" applyBorder="1"/>
    <xf numFmtId="0" fontId="1" fillId="0" borderId="0" xfId="41"/>
    <xf numFmtId="0" fontId="31" fillId="0" borderId="0" xfId="34" quotePrefix="1" applyFont="1"/>
    <xf numFmtId="49" fontId="1" fillId="0" borderId="57" xfId="34" quotePrefix="1" applyNumberFormat="1" applyBorder="1" applyAlignment="1">
      <alignment horizontal="left"/>
    </xf>
    <xf numFmtId="0" fontId="1" fillId="0" borderId="62" xfId="34" applyBorder="1"/>
    <xf numFmtId="0" fontId="42" fillId="0" borderId="0" xfId="28" applyFont="1"/>
    <xf numFmtId="0" fontId="42" fillId="0" borderId="0" xfId="28" applyFont="1" applyAlignment="1">
      <alignment horizontal="center"/>
    </xf>
    <xf numFmtId="0" fontId="42" fillId="0" borderId="40" xfId="28" applyFont="1" applyBorder="1"/>
    <xf numFmtId="0" fontId="42" fillId="0" borderId="40" xfId="28" applyFont="1" applyBorder="1" applyAlignment="1">
      <alignment horizontal="center"/>
    </xf>
    <xf numFmtId="0" fontId="42" fillId="0" borderId="40" xfId="28" applyFont="1" applyBorder="1" applyAlignment="1">
      <alignment horizontal="center" wrapText="1"/>
    </xf>
    <xf numFmtId="10" fontId="42" fillId="0" borderId="0" xfId="28" applyNumberFormat="1" applyFont="1"/>
    <xf numFmtId="0" fontId="42" fillId="0" borderId="0" xfId="28" quotePrefix="1" applyFont="1"/>
    <xf numFmtId="10" fontId="42" fillId="0" borderId="0" xfId="28" applyNumberFormat="1" applyFont="1" applyAlignment="1">
      <alignment horizontal="center"/>
    </xf>
    <xf numFmtId="10" fontId="42" fillId="0" borderId="40" xfId="28" applyNumberFormat="1" applyFont="1" applyBorder="1"/>
    <xf numFmtId="10" fontId="42" fillId="0" borderId="0" xfId="29" applyNumberFormat="1" applyFont="1" applyFill="1" applyAlignment="1"/>
    <xf numFmtId="10" fontId="42" fillId="0" borderId="40" xfId="28" applyNumberFormat="1" applyFont="1" applyBorder="1" applyAlignment="1">
      <alignment horizontal="center"/>
    </xf>
    <xf numFmtId="10" fontId="42" fillId="0" borderId="4" xfId="28" applyNumberFormat="1" applyFont="1" applyBorder="1"/>
    <xf numFmtId="10" fontId="42" fillId="0" borderId="4" xfId="28" applyNumberFormat="1" applyFont="1" applyBorder="1" applyAlignment="1">
      <alignment horizontal="center"/>
    </xf>
    <xf numFmtId="0" fontId="42" fillId="0" borderId="0" xfId="28" quotePrefix="1" applyFont="1" applyAlignment="1">
      <alignment horizontal="right" vertical="top"/>
    </xf>
    <xf numFmtId="0" fontId="42" fillId="0" borderId="0" xfId="28" applyFont="1" applyAlignment="1">
      <alignment vertical="top"/>
    </xf>
    <xf numFmtId="0" fontId="42" fillId="0" borderId="0" xfId="28" applyFont="1" applyAlignment="1">
      <alignment vertical="top" wrapText="1"/>
    </xf>
    <xf numFmtId="0" fontId="62" fillId="0" borderId="0" xfId="28" applyFont="1"/>
    <xf numFmtId="0" fontId="61" fillId="0" borderId="0" xfId="30" applyFont="1" applyAlignment="1">
      <alignment horizontal="centerContinuous"/>
    </xf>
    <xf numFmtId="0" fontId="42" fillId="0" borderId="0" xfId="30" applyFont="1" applyAlignment="1">
      <alignment horizontal="centerContinuous"/>
    </xf>
    <xf numFmtId="0" fontId="42" fillId="0" borderId="0" xfId="30" applyFont="1" applyAlignment="1">
      <alignment horizontal="center"/>
    </xf>
    <xf numFmtId="0" fontId="42" fillId="0" borderId="40" xfId="30" applyFont="1" applyBorder="1" applyAlignment="1">
      <alignment horizontal="center" wrapText="1"/>
    </xf>
    <xf numFmtId="0" fontId="42" fillId="0" borderId="0" xfId="30" quotePrefix="1" applyFont="1" applyAlignment="1">
      <alignment horizontal="center"/>
    </xf>
    <xf numFmtId="0" fontId="42" fillId="0" borderId="40" xfId="30" applyFont="1" applyBorder="1" applyAlignment="1">
      <alignment wrapText="1"/>
    </xf>
    <xf numFmtId="187" fontId="42" fillId="0" borderId="4" xfId="30" applyNumberFormat="1" applyFont="1" applyBorder="1" applyAlignment="1">
      <alignment horizontal="right"/>
    </xf>
    <xf numFmtId="0" fontId="42" fillId="0" borderId="0" xfId="30" quotePrefix="1" applyFont="1"/>
    <xf numFmtId="188" fontId="42" fillId="0" borderId="4" xfId="40" applyNumberFormat="1" applyFont="1" applyBorder="1" applyAlignment="1">
      <alignment horizontal="right"/>
    </xf>
    <xf numFmtId="189" fontId="42" fillId="0" borderId="4" xfId="30" applyNumberFormat="1" applyFont="1" applyBorder="1" applyAlignment="1">
      <alignment horizontal="right"/>
    </xf>
    <xf numFmtId="9" fontId="42" fillId="0" borderId="0" xfId="30" quotePrefix="1" applyNumberFormat="1" applyFont="1"/>
    <xf numFmtId="185" fontId="42" fillId="0" borderId="4" xfId="2" applyNumberFormat="1" applyFont="1" applyBorder="1" applyAlignment="1">
      <alignment horizontal="right"/>
    </xf>
    <xf numFmtId="0" fontId="41" fillId="0" borderId="0" xfId="30" applyFont="1" applyAlignment="1">
      <alignment wrapText="1"/>
    </xf>
    <xf numFmtId="189" fontId="42" fillId="0" borderId="0" xfId="30" applyNumberFormat="1" applyFont="1" applyAlignment="1">
      <alignment horizontal="right"/>
    </xf>
    <xf numFmtId="185" fontId="42" fillId="0" borderId="0" xfId="2" applyNumberFormat="1" applyFont="1" applyBorder="1" applyAlignment="1">
      <alignment horizontal="right"/>
    </xf>
    <xf numFmtId="187" fontId="42" fillId="0" borderId="0" xfId="30" applyNumberFormat="1" applyFont="1"/>
    <xf numFmtId="183" fontId="42" fillId="0" borderId="0" xfId="30" applyNumberFormat="1" applyFont="1"/>
    <xf numFmtId="189" fontId="42" fillId="0" borderId="0" xfId="30" applyNumberFormat="1" applyFont="1"/>
    <xf numFmtId="169" fontId="42" fillId="0" borderId="0" xfId="4" applyNumberFormat="1" applyFont="1" applyFill="1"/>
    <xf numFmtId="0" fontId="42" fillId="0" borderId="53" xfId="30" applyFont="1" applyBorder="1"/>
    <xf numFmtId="187" fontId="42" fillId="0" borderId="4" xfId="30" applyNumberFormat="1" applyFont="1" applyBorder="1"/>
    <xf numFmtId="183" fontId="42" fillId="0" borderId="4" xfId="30" applyNumberFormat="1" applyFont="1" applyBorder="1"/>
    <xf numFmtId="189" fontId="42" fillId="0" borderId="4" xfId="30" applyNumberFormat="1" applyFont="1" applyBorder="1"/>
    <xf numFmtId="0" fontId="42" fillId="0" borderId="0" xfId="30" applyFont="1" applyAlignment="1">
      <alignment horizontal="right"/>
    </xf>
    <xf numFmtId="0" fontId="42" fillId="0" borderId="0" xfId="30" quotePrefix="1" applyFont="1" applyAlignment="1">
      <alignment vertical="top"/>
    </xf>
    <xf numFmtId="0" fontId="42" fillId="0" borderId="0" xfId="30" applyFont="1" applyAlignment="1">
      <alignment wrapText="1"/>
    </xf>
    <xf numFmtId="0" fontId="42" fillId="0" borderId="0" xfId="1" applyFont="1"/>
    <xf numFmtId="0" fontId="42" fillId="0" borderId="0" xfId="1" applyFont="1" applyAlignment="1">
      <alignment horizontal="center"/>
    </xf>
    <xf numFmtId="0" fontId="61" fillId="0" borderId="0" xfId="1" applyFont="1"/>
    <xf numFmtId="0" fontId="42" fillId="0" borderId="40" xfId="1" applyFont="1" applyBorder="1" applyAlignment="1">
      <alignment horizontal="center" wrapText="1"/>
    </xf>
    <xf numFmtId="0" fontId="42" fillId="0" borderId="0" xfId="1" quotePrefix="1" applyFont="1" applyAlignment="1">
      <alignment horizontal="center"/>
    </xf>
    <xf numFmtId="0" fontId="42" fillId="0" borderId="40" xfId="1" quotePrefix="1" applyFont="1" applyBorder="1"/>
    <xf numFmtId="183" fontId="42" fillId="0" borderId="0" xfId="2" applyNumberFormat="1" applyFont="1" applyFill="1" applyAlignment="1">
      <alignment horizontal="right"/>
    </xf>
    <xf numFmtId="0" fontId="42" fillId="0" borderId="0" xfId="1" quotePrefix="1" applyFont="1"/>
    <xf numFmtId="184" fontId="42" fillId="0" borderId="0" xfId="1" applyNumberFormat="1" applyFont="1" applyAlignment="1">
      <alignment horizontal="center"/>
    </xf>
    <xf numFmtId="1" fontId="42" fillId="0" borderId="0" xfId="1" quotePrefix="1" applyNumberFormat="1" applyFont="1" applyAlignment="1">
      <alignment horizontal="center"/>
    </xf>
    <xf numFmtId="10" fontId="42" fillId="0" borderId="0" xfId="3" applyNumberFormat="1" applyFont="1" applyFill="1" applyAlignment="1">
      <alignment horizontal="center"/>
    </xf>
    <xf numFmtId="185" fontId="42" fillId="0" borderId="0" xfId="2" applyNumberFormat="1" applyFont="1" applyAlignment="1">
      <alignment horizontal="right"/>
    </xf>
    <xf numFmtId="10" fontId="42" fillId="0" borderId="0" xfId="3" applyNumberFormat="1" applyFont="1" applyAlignment="1">
      <alignment horizontal="center"/>
    </xf>
    <xf numFmtId="0" fontId="42" fillId="0" borderId="40" xfId="1" applyFont="1" applyBorder="1" applyAlignment="1">
      <alignment wrapText="1"/>
    </xf>
    <xf numFmtId="170" fontId="42" fillId="0" borderId="0" xfId="1" applyNumberFormat="1" applyFont="1" applyAlignment="1">
      <alignment horizontal="center"/>
    </xf>
    <xf numFmtId="10" fontId="42" fillId="0" borderId="0" xfId="1" applyNumberFormat="1" applyFont="1"/>
    <xf numFmtId="172" fontId="42" fillId="0" borderId="0" xfId="1" applyNumberFormat="1" applyFont="1"/>
    <xf numFmtId="0" fontId="42" fillId="0" borderId="0" xfId="1" applyFont="1" applyAlignment="1">
      <alignment wrapText="1"/>
    </xf>
    <xf numFmtId="183" fontId="42" fillId="0" borderId="0" xfId="2" applyNumberFormat="1" applyFont="1" applyAlignment="1">
      <alignment horizontal="right"/>
    </xf>
    <xf numFmtId="0" fontId="63" fillId="0" borderId="0" xfId="39" applyFont="1"/>
    <xf numFmtId="0" fontId="63" fillId="0" borderId="0" xfId="39" quotePrefix="1" applyFont="1"/>
    <xf numFmtId="0" fontId="42" fillId="0" borderId="0" xfId="1" applyFont="1" applyAlignment="1">
      <alignment horizontal="right"/>
    </xf>
    <xf numFmtId="185" fontId="42" fillId="0" borderId="0" xfId="2" applyNumberFormat="1" applyFont="1" applyFill="1"/>
    <xf numFmtId="10" fontId="42" fillId="0" borderId="0" xfId="3" applyNumberFormat="1" applyFont="1" applyFill="1"/>
    <xf numFmtId="0" fontId="42" fillId="0" borderId="0" xfId="39" quotePrefix="1" applyFont="1"/>
    <xf numFmtId="184" fontId="42" fillId="0" borderId="0" xfId="39" applyNumberFormat="1" applyFont="1"/>
    <xf numFmtId="184" fontId="42" fillId="0" borderId="0" xfId="1" applyNumberFormat="1" applyFont="1"/>
    <xf numFmtId="44" fontId="42" fillId="0" borderId="0" xfId="1" applyNumberFormat="1" applyFont="1"/>
    <xf numFmtId="185" fontId="42" fillId="0" borderId="0" xfId="1" applyNumberFormat="1" applyFont="1"/>
    <xf numFmtId="186" fontId="42" fillId="0" borderId="0" xfId="1" applyNumberFormat="1" applyFont="1"/>
    <xf numFmtId="43" fontId="42" fillId="0" borderId="0" xfId="1" applyNumberFormat="1" applyFont="1"/>
    <xf numFmtId="169" fontId="42" fillId="0" borderId="0" xfId="4" applyNumberFormat="1" applyFont="1"/>
    <xf numFmtId="0" fontId="42" fillId="0" borderId="0" xfId="1" quotePrefix="1" applyFont="1" applyAlignment="1">
      <alignment vertical="top"/>
    </xf>
    <xf numFmtId="0" fontId="42" fillId="0" borderId="0" xfId="1" applyFont="1" applyAlignment="1">
      <alignment horizontal="left" vertical="top"/>
    </xf>
    <xf numFmtId="0" fontId="42" fillId="0" borderId="0" xfId="1" applyFont="1" applyAlignment="1">
      <alignment horizontal="center" vertical="top"/>
    </xf>
    <xf numFmtId="0" fontId="42" fillId="0" borderId="0" xfId="1" applyFont="1" applyAlignment="1">
      <alignment vertical="top"/>
    </xf>
    <xf numFmtId="169" fontId="42" fillId="0" borderId="0" xfId="4" applyNumberFormat="1" applyFont="1" applyAlignment="1">
      <alignment vertical="top"/>
    </xf>
    <xf numFmtId="0" fontId="61" fillId="0" borderId="0" xfId="30" applyFont="1" applyAlignment="1">
      <alignment horizontal="center"/>
    </xf>
    <xf numFmtId="0" fontId="42" fillId="0" borderId="0" xfId="30" quotePrefix="1" applyFont="1" applyAlignment="1">
      <alignment horizontal="right" vertical="top"/>
    </xf>
    <xf numFmtId="0" fontId="42" fillId="0" borderId="0" xfId="30" applyFont="1" applyAlignment="1">
      <alignment horizontal="left" vertical="top" wrapText="1"/>
    </xf>
    <xf numFmtId="0" fontId="61" fillId="0" borderId="0" xfId="30" applyFont="1"/>
    <xf numFmtId="43" fontId="42" fillId="0" borderId="0" xfId="4" applyFont="1" applyFill="1" applyBorder="1" applyAlignment="1">
      <alignment wrapText="1"/>
    </xf>
    <xf numFmtId="43" fontId="42" fillId="0" borderId="0" xfId="30" applyNumberFormat="1" applyFont="1"/>
    <xf numFmtId="43" fontId="42" fillId="0" borderId="40" xfId="30" applyNumberFormat="1" applyFont="1" applyBorder="1"/>
    <xf numFmtId="43" fontId="42" fillId="0" borderId="4" xfId="30" applyNumberFormat="1" applyFont="1" applyBorder="1"/>
    <xf numFmtId="43" fontId="42" fillId="0" borderId="4" xfId="4" applyFont="1" applyFill="1" applyBorder="1"/>
    <xf numFmtId="0" fontId="61" fillId="0" borderId="0" xfId="30" applyFont="1" applyAlignment="1">
      <alignment horizontal="left" vertical="top"/>
    </xf>
    <xf numFmtId="43" fontId="42" fillId="0" borderId="0" xfId="4" applyFont="1" applyFill="1"/>
    <xf numFmtId="43" fontId="42" fillId="0" borderId="0" xfId="4" applyFont="1" applyFill="1" applyBorder="1"/>
    <xf numFmtId="43" fontId="42" fillId="0" borderId="40" xfId="4" applyFont="1" applyFill="1" applyBorder="1"/>
    <xf numFmtId="0" fontId="42" fillId="0" borderId="0" xfId="30" applyFont="1" applyAlignment="1">
      <alignment horizontal="left"/>
    </xf>
    <xf numFmtId="43" fontId="42" fillId="0" borderId="55" xfId="30" applyNumberFormat="1" applyFont="1" applyBorder="1"/>
    <xf numFmtId="0" fontId="42" fillId="0" borderId="0" xfId="30" quotePrefix="1" applyFont="1" applyAlignment="1">
      <alignment horizontal="right"/>
    </xf>
    <xf numFmtId="0" fontId="42" fillId="0" borderId="0" xfId="30" applyFont="1" applyAlignment="1">
      <alignment horizontal="left" indent="3"/>
    </xf>
    <xf numFmtId="0" fontId="42" fillId="0" borderId="0" xfId="30" applyFont="1" applyAlignment="1">
      <alignment horizontal="center" wrapText="1"/>
    </xf>
    <xf numFmtId="4" fontId="42" fillId="0" borderId="0" xfId="30" applyNumberFormat="1" applyFont="1"/>
    <xf numFmtId="4" fontId="42" fillId="0" borderId="0" xfId="30" quotePrefix="1" applyNumberFormat="1" applyFont="1"/>
    <xf numFmtId="2" fontId="64" fillId="0" borderId="0" xfId="30" applyNumberFormat="1" applyFont="1"/>
    <xf numFmtId="43" fontId="42" fillId="0" borderId="53" xfId="4" applyFont="1" applyFill="1" applyBorder="1"/>
    <xf numFmtId="2" fontId="64" fillId="0" borderId="0" xfId="29" applyNumberFormat="1" applyFont="1" applyFill="1"/>
    <xf numFmtId="2" fontId="42" fillId="0" borderId="0" xfId="30" applyNumberFormat="1" applyFont="1"/>
    <xf numFmtId="0" fontId="61" fillId="0" borderId="0" xfId="32" applyFont="1" applyAlignment="1">
      <alignment horizontal="center"/>
    </xf>
    <xf numFmtId="0" fontId="42" fillId="0" borderId="0" xfId="32" applyFont="1"/>
    <xf numFmtId="0" fontId="42" fillId="0" borderId="0" xfId="32" applyFont="1" applyAlignment="1">
      <alignment horizontal="center"/>
    </xf>
    <xf numFmtId="0" fontId="42" fillId="0" borderId="40" xfId="32" applyFont="1" applyBorder="1" applyAlignment="1">
      <alignment horizontal="center" wrapText="1"/>
    </xf>
    <xf numFmtId="0" fontId="42" fillId="0" borderId="0" xfId="32" applyFont="1" applyAlignment="1">
      <alignment horizontal="center" vertical="center"/>
    </xf>
    <xf numFmtId="39" fontId="42" fillId="0" borderId="0" xfId="32" applyNumberFormat="1" applyFont="1"/>
    <xf numFmtId="0" fontId="42" fillId="0" borderId="0" xfId="32" quotePrefix="1" applyFont="1"/>
    <xf numFmtId="0" fontId="42" fillId="0" borderId="0" xfId="32" applyFont="1" applyAlignment="1">
      <alignment vertical="center"/>
    </xf>
    <xf numFmtId="0" fontId="42" fillId="0" borderId="0" xfId="32" applyFont="1" applyAlignment="1">
      <alignment horizontal="left" wrapText="1"/>
    </xf>
    <xf numFmtId="43" fontId="42" fillId="0" borderId="0" xfId="4" applyFont="1" applyFill="1" applyBorder="1" applyAlignment="1"/>
    <xf numFmtId="0" fontId="42" fillId="0" borderId="0" xfId="32" quotePrefix="1" applyFont="1" applyAlignment="1">
      <alignment horizontal="center" vertical="center"/>
    </xf>
    <xf numFmtId="0" fontId="42" fillId="0" borderId="0" xfId="32" applyFont="1" applyAlignment="1">
      <alignment wrapText="1"/>
    </xf>
    <xf numFmtId="43" fontId="42" fillId="0" borderId="40" xfId="4" applyFont="1" applyFill="1" applyBorder="1" applyAlignment="1">
      <alignment horizontal="right"/>
    </xf>
    <xf numFmtId="39" fontId="42" fillId="0" borderId="4" xfId="32" applyNumberFormat="1" applyFont="1" applyBorder="1"/>
    <xf numFmtId="0" fontId="42" fillId="0" borderId="0" xfId="32" applyFont="1" applyAlignment="1">
      <alignment horizontal="right" vertical="top"/>
    </xf>
    <xf numFmtId="0" fontId="42" fillId="0" borderId="0" xfId="32" applyFont="1" applyAlignment="1">
      <alignment horizontal="left" vertical="top"/>
    </xf>
    <xf numFmtId="0" fontId="42" fillId="0" borderId="0" xfId="32" applyFont="1" applyAlignment="1">
      <alignment horizontal="left" vertical="top" wrapText="1"/>
    </xf>
    <xf numFmtId="0" fontId="42" fillId="0" borderId="0" xfId="32" applyFont="1" applyAlignment="1">
      <alignment vertical="top"/>
    </xf>
    <xf numFmtId="0" fontId="42" fillId="0" borderId="0" xfId="32" quotePrefix="1" applyFont="1" applyAlignment="1">
      <alignment vertical="top"/>
    </xf>
    <xf numFmtId="0" fontId="42" fillId="0" borderId="0" xfId="32" applyFont="1" applyAlignment="1">
      <alignment horizontal="left"/>
    </xf>
    <xf numFmtId="0" fontId="63" fillId="0" borderId="0" xfId="33" applyFont="1"/>
    <xf numFmtId="0" fontId="42" fillId="0" borderId="0" xfId="32" applyFont="1" applyAlignment="1">
      <alignment horizontal="centerContinuous"/>
    </xf>
    <xf numFmtId="0" fontId="42" fillId="0" borderId="40" xfId="32" applyFont="1" applyBorder="1"/>
    <xf numFmtId="178" fontId="42" fillId="0" borderId="0" xfId="32" applyNumberFormat="1" applyFont="1"/>
    <xf numFmtId="178" fontId="42" fillId="0" borderId="0" xfId="32" quotePrefix="1" applyNumberFormat="1" applyFont="1"/>
    <xf numFmtId="178" fontId="42" fillId="0" borderId="0" xfId="32" applyNumberFormat="1" applyFont="1" applyAlignment="1">
      <alignment wrapText="1"/>
    </xf>
    <xf numFmtId="178" fontId="42" fillId="0" borderId="40" xfId="32" applyNumberFormat="1" applyFont="1" applyBorder="1"/>
    <xf numFmtId="0" fontId="42" fillId="0" borderId="0" xfId="32" quotePrefix="1" applyFont="1" applyAlignment="1">
      <alignment horizontal="center"/>
    </xf>
    <xf numFmtId="178" fontId="42" fillId="0" borderId="0" xfId="32" applyNumberFormat="1" applyFont="1" applyAlignment="1">
      <alignment horizontal="left"/>
    </xf>
    <xf numFmtId="43" fontId="42" fillId="0" borderId="0" xfId="32" applyNumberFormat="1" applyFont="1"/>
    <xf numFmtId="178" fontId="42" fillId="0" borderId="4" xfId="32" applyNumberFormat="1" applyFont="1" applyBorder="1"/>
    <xf numFmtId="0" fontId="42" fillId="0" borderId="0" xfId="32" applyFont="1" applyAlignment="1">
      <alignment vertical="top" wrapText="1"/>
    </xf>
    <xf numFmtId="0" fontId="42" fillId="0" borderId="0" xfId="32" quotePrefix="1" applyFont="1" applyAlignment="1">
      <alignment horizontal="left" vertical="top"/>
    </xf>
    <xf numFmtId="0" fontId="64" fillId="0" borderId="0" xfId="33" applyFont="1"/>
    <xf numFmtId="0" fontId="42" fillId="0" borderId="0" xfId="32" applyFont="1" applyAlignment="1">
      <alignment horizontal="center" wrapText="1"/>
    </xf>
    <xf numFmtId="177" fontId="42" fillId="0" borderId="0" xfId="32" applyNumberFormat="1" applyFont="1"/>
    <xf numFmtId="0" fontId="42" fillId="0" borderId="54" xfId="32" applyFont="1" applyBorder="1"/>
    <xf numFmtId="178" fontId="42" fillId="0" borderId="0" xfId="32" applyNumberFormat="1" applyFont="1" applyAlignment="1">
      <alignment horizontal="right"/>
    </xf>
    <xf numFmtId="43" fontId="42" fillId="0" borderId="0" xfId="38" applyFont="1" applyFill="1" applyBorder="1"/>
    <xf numFmtId="0" fontId="42" fillId="0" borderId="0" xfId="32" applyFont="1" applyAlignment="1">
      <alignment horizontal="right"/>
    </xf>
    <xf numFmtId="0" fontId="42" fillId="0" borderId="40" xfId="32" applyFont="1" applyBorder="1" applyAlignment="1">
      <alignment horizontal="centerContinuous"/>
    </xf>
    <xf numFmtId="177" fontId="42" fillId="0" borderId="40" xfId="32" applyNumberFormat="1" applyFont="1" applyBorder="1" applyAlignment="1">
      <alignment horizontal="centerContinuous"/>
    </xf>
    <xf numFmtId="0" fontId="42" fillId="0" borderId="40" xfId="32" applyFont="1" applyBorder="1" applyAlignment="1">
      <alignment horizontal="center"/>
    </xf>
    <xf numFmtId="181" fontId="42" fillId="0" borderId="40" xfId="32" applyNumberFormat="1" applyFont="1" applyBorder="1" applyAlignment="1">
      <alignment horizontal="centerContinuous"/>
    </xf>
    <xf numFmtId="177" fontId="42" fillId="0" borderId="0" xfId="32" applyNumberFormat="1" applyFont="1" applyAlignment="1">
      <alignment horizontal="center"/>
    </xf>
    <xf numFmtId="0" fontId="64" fillId="0" borderId="40" xfId="33" applyFont="1" applyBorder="1" applyAlignment="1">
      <alignment wrapText="1"/>
    </xf>
    <xf numFmtId="0" fontId="61" fillId="0" borderId="0" xfId="32" applyFont="1"/>
    <xf numFmtId="177" fontId="42" fillId="0" borderId="40" xfId="32" applyNumberFormat="1" applyFont="1" applyBorder="1" applyAlignment="1">
      <alignment horizontal="center" wrapText="1"/>
    </xf>
    <xf numFmtId="182" fontId="42" fillId="0" borderId="0" xfId="32" applyNumberFormat="1" applyFont="1" applyAlignment="1">
      <alignment horizontal="center"/>
    </xf>
    <xf numFmtId="0" fontId="65" fillId="0" borderId="0" xfId="34" applyFont="1" applyAlignment="1">
      <alignment horizontal="center"/>
    </xf>
    <xf numFmtId="0" fontId="66" fillId="0" borderId="0" xfId="34" applyFont="1"/>
    <xf numFmtId="0" fontId="42" fillId="0" borderId="0" xfId="32" quotePrefix="1" applyFont="1" applyAlignment="1">
      <alignment horizontal="left"/>
    </xf>
    <xf numFmtId="182" fontId="42" fillId="0" borderId="0" xfId="32" quotePrefix="1" applyNumberFormat="1" applyFont="1" applyAlignment="1">
      <alignment horizontal="center"/>
    </xf>
    <xf numFmtId="182" fontId="42" fillId="0" borderId="40" xfId="32" quotePrefix="1" applyNumberFormat="1" applyFont="1" applyBorder="1" applyAlignment="1">
      <alignment horizontal="center"/>
    </xf>
    <xf numFmtId="0" fontId="63" fillId="0" borderId="0" xfId="33" applyFont="1" applyAlignment="1">
      <alignment horizontal="right"/>
    </xf>
    <xf numFmtId="0" fontId="42" fillId="0" borderId="4" xfId="32" applyFont="1" applyBorder="1" applyAlignment="1">
      <alignment horizontal="center"/>
    </xf>
    <xf numFmtId="182" fontId="42" fillId="0" borderId="4" xfId="32" applyNumberFormat="1" applyFont="1" applyBorder="1" applyAlignment="1">
      <alignment horizontal="center"/>
    </xf>
    <xf numFmtId="0" fontId="63" fillId="0" borderId="0" xfId="37" quotePrefix="1" applyFont="1" applyAlignment="1">
      <alignment horizontal="right"/>
    </xf>
    <xf numFmtId="0" fontId="63" fillId="0" borderId="0" xfId="37" applyFont="1"/>
    <xf numFmtId="0" fontId="61" fillId="0" borderId="0" xfId="32" applyFont="1" applyAlignment="1">
      <alignment horizontal="centerContinuous"/>
    </xf>
    <xf numFmtId="0" fontId="64" fillId="0" borderId="0" xfId="36" applyFont="1" applyAlignment="1">
      <alignment horizontal="center"/>
    </xf>
    <xf numFmtId="0" fontId="64" fillId="0" borderId="0" xfId="36" applyFont="1" applyAlignment="1">
      <alignment horizontal="center" wrapText="1"/>
    </xf>
    <xf numFmtId="180" fontId="64" fillId="0" borderId="0" xfId="36" applyNumberFormat="1" applyFont="1"/>
    <xf numFmtId="43" fontId="64" fillId="0" borderId="0" xfId="4" applyFont="1" applyFill="1"/>
    <xf numFmtId="43" fontId="64" fillId="0" borderId="0" xfId="4" applyFont="1" applyFill="1" applyBorder="1"/>
    <xf numFmtId="43" fontId="42" fillId="0" borderId="0" xfId="4" applyFont="1" applyFill="1" applyAlignment="1"/>
    <xf numFmtId="43" fontId="64" fillId="0" borderId="40" xfId="4" applyFont="1" applyFill="1" applyBorder="1"/>
    <xf numFmtId="43" fontId="42" fillId="0" borderId="4" xfId="32" applyNumberFormat="1" applyFont="1" applyBorder="1"/>
    <xf numFmtId="0" fontId="64" fillId="0" borderId="0" xfId="30" applyFont="1"/>
    <xf numFmtId="9" fontId="42" fillId="0" borderId="0" xfId="32" quotePrefix="1" applyNumberFormat="1" applyFont="1"/>
    <xf numFmtId="0" fontId="42" fillId="0" borderId="0" xfId="32" quotePrefix="1" applyFont="1" applyAlignment="1">
      <alignment horizontal="right"/>
    </xf>
    <xf numFmtId="0" fontId="42" fillId="0" borderId="0" xfId="32" applyFont="1" applyAlignment="1">
      <alignment horizontal="left" indent="1"/>
    </xf>
    <xf numFmtId="0" fontId="67" fillId="0" borderId="0" xfId="33" applyFont="1"/>
    <xf numFmtId="2" fontId="42" fillId="0" borderId="0" xfId="32" applyNumberFormat="1" applyFont="1"/>
    <xf numFmtId="43" fontId="42" fillId="0" borderId="40" xfId="4" applyFont="1" applyFill="1" applyBorder="1" applyAlignment="1"/>
    <xf numFmtId="4" fontId="42" fillId="0" borderId="0" xfId="32" applyNumberFormat="1" applyFont="1"/>
    <xf numFmtId="43" fontId="42" fillId="0" borderId="4" xfId="4" applyFont="1" applyFill="1" applyBorder="1" applyAlignment="1"/>
    <xf numFmtId="0" fontId="42" fillId="0" borderId="0" xfId="32" applyFont="1" applyAlignment="1">
      <alignment horizontal="center" vertical="top"/>
    </xf>
    <xf numFmtId="0" fontId="42" fillId="0" borderId="0" xfId="32" quotePrefix="1" applyFont="1" applyAlignment="1">
      <alignment horizontal="center" vertical="top"/>
    </xf>
    <xf numFmtId="0" fontId="42" fillId="0" borderId="0" xfId="30" quotePrefix="1" applyFont="1" applyAlignment="1">
      <alignment horizontal="centerContinuous"/>
    </xf>
    <xf numFmtId="0" fontId="42" fillId="0" borderId="40" xfId="30" applyFont="1" applyBorder="1" applyAlignment="1">
      <alignment horizontal="centerContinuous" wrapText="1"/>
    </xf>
    <xf numFmtId="0" fontId="42" fillId="0" borderId="40" xfId="30" applyFont="1" applyBorder="1" applyAlignment="1">
      <alignment horizontal="centerContinuous"/>
    </xf>
    <xf numFmtId="43" fontId="42" fillId="0" borderId="0" xfId="30" applyNumberFormat="1" applyFont="1" applyAlignment="1">
      <alignment horizontal="right"/>
    </xf>
    <xf numFmtId="10" fontId="66" fillId="0" borderId="0" xfId="35" applyNumberFormat="1" applyFont="1" applyFill="1" applyAlignment="1">
      <alignment horizontal="center"/>
    </xf>
    <xf numFmtId="43" fontId="42" fillId="0" borderId="0" xfId="30" quotePrefix="1" applyNumberFormat="1" applyFont="1" applyAlignment="1">
      <alignment horizontal="left"/>
    </xf>
    <xf numFmtId="43" fontId="42" fillId="0" borderId="53" xfId="30" applyNumberFormat="1" applyFont="1" applyBorder="1"/>
    <xf numFmtId="10" fontId="42" fillId="0" borderId="0" xfId="30" applyNumberFormat="1" applyFont="1"/>
    <xf numFmtId="0" fontId="66" fillId="0" borderId="0" xfId="35" applyNumberFormat="1" applyFont="1" applyFill="1" applyAlignment="1">
      <alignment horizontal="center"/>
    </xf>
    <xf numFmtId="0" fontId="61" fillId="0" borderId="0" xfId="30" applyFont="1" applyAlignment="1">
      <alignment wrapText="1"/>
    </xf>
    <xf numFmtId="2" fontId="42" fillId="0" borderId="52" xfId="30" applyNumberFormat="1" applyFont="1" applyBorder="1"/>
    <xf numFmtId="2" fontId="42" fillId="0" borderId="0" xfId="30" quotePrefix="1" applyNumberFormat="1" applyFont="1"/>
    <xf numFmtId="0" fontId="42" fillId="0" borderId="40" xfId="32" applyFont="1" applyBorder="1" applyAlignment="1">
      <alignment horizontal="left"/>
    </xf>
    <xf numFmtId="0" fontId="42" fillId="0" borderId="40" xfId="32" applyFont="1" applyBorder="1" applyAlignment="1">
      <alignment horizontal="centerContinuous" wrapText="1"/>
    </xf>
    <xf numFmtId="10" fontId="42" fillId="0" borderId="0" xfId="32" applyNumberFormat="1" applyFont="1"/>
    <xf numFmtId="10" fontId="42" fillId="0" borderId="0" xfId="29" applyNumberFormat="1" applyFont="1" applyFill="1" applyAlignment="1">
      <alignment horizontal="center"/>
    </xf>
    <xf numFmtId="10" fontId="42" fillId="0" borderId="0" xfId="29" applyNumberFormat="1" applyFont="1" applyFill="1" applyBorder="1" applyAlignment="1">
      <alignment horizontal="right"/>
    </xf>
    <xf numFmtId="10" fontId="42" fillId="0" borderId="0" xfId="29" applyNumberFormat="1" applyFont="1" applyFill="1" applyBorder="1" applyAlignment="1">
      <alignment horizontal="center"/>
    </xf>
    <xf numFmtId="10" fontId="42" fillId="0" borderId="0" xfId="29" applyNumberFormat="1" applyFont="1" applyFill="1" applyBorder="1"/>
    <xf numFmtId="10" fontId="42" fillId="0" borderId="40" xfId="29" applyNumberFormat="1" applyFont="1" applyFill="1" applyBorder="1" applyAlignment="1">
      <alignment horizontal="center"/>
    </xf>
    <xf numFmtId="9" fontId="42" fillId="0" borderId="0" xfId="29" applyFont="1" applyFill="1" applyAlignment="1">
      <alignment horizontal="center"/>
    </xf>
    <xf numFmtId="0" fontId="63" fillId="0" borderId="0" xfId="33" applyFont="1" applyAlignment="1">
      <alignment wrapText="1"/>
    </xf>
    <xf numFmtId="10" fontId="42" fillId="0" borderId="4" xfId="29" applyNumberFormat="1" applyFont="1" applyFill="1" applyBorder="1" applyAlignment="1">
      <alignment horizontal="center"/>
    </xf>
    <xf numFmtId="0" fontId="61" fillId="0" borderId="0" xfId="28" applyFont="1"/>
    <xf numFmtId="0" fontId="64" fillId="0" borderId="0" xfId="31" applyFont="1" applyAlignment="1">
      <alignment horizontal="center"/>
    </xf>
    <xf numFmtId="0" fontId="64" fillId="0" borderId="0" xfId="31" applyFont="1"/>
    <xf numFmtId="0" fontId="64" fillId="0" borderId="40" xfId="31" applyFont="1" applyBorder="1" applyAlignment="1">
      <alignment horizontal="center"/>
    </xf>
    <xf numFmtId="14" fontId="64" fillId="0" borderId="0" xfId="31" applyNumberFormat="1" applyFont="1" applyAlignment="1">
      <alignment horizontal="center"/>
    </xf>
    <xf numFmtId="10" fontId="64" fillId="0" borderId="0" xfId="31" applyNumberFormat="1" applyFont="1" applyAlignment="1">
      <alignment horizontal="center"/>
    </xf>
    <xf numFmtId="10" fontId="64" fillId="0" borderId="40" xfId="31" applyNumberFormat="1" applyFont="1" applyBorder="1" applyAlignment="1">
      <alignment horizontal="center"/>
    </xf>
    <xf numFmtId="10" fontId="64" fillId="0" borderId="4" xfId="31" applyNumberFormat="1" applyFont="1" applyBorder="1" applyAlignment="1">
      <alignment horizontal="center"/>
    </xf>
    <xf numFmtId="0" fontId="64" fillId="0" borderId="0" xfId="31" applyFont="1" applyAlignment="1">
      <alignment horizontal="left" indent="1"/>
    </xf>
    <xf numFmtId="190" fontId="1" fillId="0" borderId="57" xfId="2" applyNumberFormat="1" applyFont="1" applyFill="1" applyBorder="1" applyAlignment="1">
      <alignment horizontal="left"/>
    </xf>
    <xf numFmtId="37" fontId="10" fillId="0" borderId="0" xfId="2" applyNumberFormat="1" applyFont="1" applyFill="1" applyBorder="1"/>
    <xf numFmtId="177" fontId="42" fillId="0" borderId="0" xfId="32" quotePrefix="1" applyNumberFormat="1" applyFont="1" applyAlignment="1">
      <alignment horizontal="center"/>
    </xf>
    <xf numFmtId="0" fontId="2" fillId="0" borderId="0" xfId="19" applyAlignment="1">
      <alignment horizontal="right"/>
    </xf>
    <xf numFmtId="37" fontId="2" fillId="0" borderId="0" xfId="19" applyNumberFormat="1"/>
    <xf numFmtId="0" fontId="35" fillId="0" borderId="0" xfId="19" applyFont="1"/>
    <xf numFmtId="171" fontId="7" fillId="0" borderId="0" xfId="0" applyNumberFormat="1" applyFont="1"/>
    <xf numFmtId="186" fontId="0" fillId="0" borderId="0" xfId="0" applyNumberFormat="1"/>
    <xf numFmtId="10" fontId="0" fillId="0" borderId="0" xfId="10" applyNumberFormat="1" applyFont="1"/>
    <xf numFmtId="0" fontId="31" fillId="0" borderId="0" xfId="0" applyFont="1" applyAlignment="1">
      <alignment horizontal="center"/>
    </xf>
    <xf numFmtId="186" fontId="31" fillId="0" borderId="0" xfId="0" applyNumberFormat="1" applyFont="1" applyAlignment="1">
      <alignment horizontal="center"/>
    </xf>
    <xf numFmtId="10" fontId="31" fillId="0" borderId="0" xfId="10" applyNumberFormat="1" applyFont="1" applyAlignment="1">
      <alignment horizontal="center"/>
    </xf>
    <xf numFmtId="43" fontId="2" fillId="0" borderId="0" xfId="8" applyFont="1" applyFill="1"/>
    <xf numFmtId="10" fontId="2" fillId="0" borderId="0" xfId="19" quotePrefix="1" applyNumberFormat="1" applyAlignment="1">
      <alignment horizontal="right"/>
    </xf>
    <xf numFmtId="0" fontId="2" fillId="0" borderId="0" xfId="0" applyFont="1" applyAlignment="1">
      <alignment horizontal="center"/>
    </xf>
    <xf numFmtId="0" fontId="27" fillId="0" borderId="0" xfId="20" applyFont="1" applyAlignment="1">
      <alignment horizontal="left" indent="1"/>
    </xf>
    <xf numFmtId="0" fontId="2" fillId="0" borderId="0" xfId="19" applyAlignment="1">
      <alignment horizontal="left" indent="1"/>
    </xf>
    <xf numFmtId="0" fontId="9" fillId="0" borderId="0" xfId="5" applyFont="1" applyAlignment="1">
      <alignment horizontal="center" wrapText="1"/>
    </xf>
    <xf numFmtId="0" fontId="3" fillId="0" borderId="0" xfId="1" applyFont="1" applyAlignment="1">
      <alignment horizontal="center"/>
    </xf>
    <xf numFmtId="0" fontId="4" fillId="0" borderId="0" xfId="1" applyFont="1" applyAlignment="1">
      <alignment horizontal="center"/>
    </xf>
    <xf numFmtId="0" fontId="6" fillId="0" borderId="0" xfId="5" applyFont="1" applyAlignment="1">
      <alignment horizontal="center"/>
    </xf>
    <xf numFmtId="0" fontId="7" fillId="0" borderId="0" xfId="5" applyFont="1" applyAlignment="1">
      <alignment horizontal="center"/>
    </xf>
    <xf numFmtId="0" fontId="6" fillId="0" borderId="0" xfId="0" applyFont="1" applyAlignment="1">
      <alignment horizontal="center" wrapText="1"/>
    </xf>
    <xf numFmtId="0" fontId="6" fillId="0" borderId="0" xfId="0" applyFont="1" applyAlignment="1">
      <alignment horizontal="center"/>
    </xf>
    <xf numFmtId="0" fontId="7" fillId="0" borderId="0" xfId="0" applyFont="1" applyAlignment="1">
      <alignment horizontal="center" wrapText="1"/>
    </xf>
    <xf numFmtId="0" fontId="7" fillId="0" borderId="0" xfId="12" applyFont="1" applyAlignment="1">
      <alignment horizontal="center"/>
    </xf>
    <xf numFmtId="0" fontId="6" fillId="0" borderId="0" xfId="12" applyFont="1" applyAlignment="1">
      <alignment horizontal="center" wrapText="1"/>
    </xf>
    <xf numFmtId="0" fontId="7" fillId="0" borderId="0" xfId="0" applyFont="1" applyAlignment="1">
      <alignment horizontal="center"/>
    </xf>
    <xf numFmtId="0" fontId="18" fillId="0" borderId="0" xfId="26" applyFont="1" applyAlignment="1">
      <alignment horizontal="center"/>
    </xf>
    <xf numFmtId="0" fontId="18" fillId="0" borderId="0" xfId="0" applyFont="1" applyAlignment="1">
      <alignment horizontal="center"/>
    </xf>
    <xf numFmtId="0" fontId="9" fillId="0" borderId="0" xfId="0" applyFont="1" applyAlignment="1">
      <alignment horizontal="center" wrapText="1"/>
    </xf>
    <xf numFmtId="0" fontId="19" fillId="3" borderId="14" xfId="7" applyFont="1" applyFill="1" applyBorder="1" applyAlignment="1">
      <alignment horizontal="center" vertical="center"/>
    </xf>
    <xf numFmtId="0" fontId="19" fillId="3" borderId="15" xfId="7" applyFont="1" applyFill="1" applyBorder="1" applyAlignment="1">
      <alignment horizontal="center" vertical="center"/>
    </xf>
    <xf numFmtId="0" fontId="19" fillId="3" borderId="16" xfId="7" applyFont="1" applyFill="1" applyBorder="1" applyAlignment="1">
      <alignment horizontal="center" vertical="center"/>
    </xf>
    <xf numFmtId="0" fontId="12" fillId="3" borderId="18"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8" xfId="7" applyFont="1" applyFill="1" applyBorder="1" applyAlignment="1">
      <alignment horizontal="center" vertical="center"/>
    </xf>
    <xf numFmtId="0" fontId="12" fillId="3" borderId="10" xfId="7" applyFont="1" applyFill="1" applyBorder="1" applyAlignment="1">
      <alignment horizontal="center" vertical="center"/>
    </xf>
    <xf numFmtId="0" fontId="2" fillId="3" borderId="10" xfId="7" applyFill="1" applyBorder="1" applyAlignment="1">
      <alignment horizontal="center" vertical="center"/>
    </xf>
    <xf numFmtId="0" fontId="12" fillId="3" borderId="19" xfId="7" applyFont="1" applyFill="1" applyBorder="1" applyAlignment="1">
      <alignment horizontal="center"/>
    </xf>
    <xf numFmtId="0" fontId="12" fillId="3" borderId="21" xfId="7" applyFont="1" applyFill="1" applyBorder="1" applyAlignment="1">
      <alignment horizontal="center"/>
    </xf>
    <xf numFmtId="0" fontId="12" fillId="5" borderId="25" xfId="7" applyFont="1" applyFill="1" applyBorder="1" applyAlignment="1">
      <alignment horizontal="center" vertical="top"/>
    </xf>
    <xf numFmtId="0" fontId="12" fillId="5" borderId="26" xfId="7" applyFont="1" applyFill="1" applyBorder="1" applyAlignment="1">
      <alignment horizontal="center" vertical="top"/>
    </xf>
    <xf numFmtId="0" fontId="12" fillId="3" borderId="18" xfId="7" applyFont="1" applyFill="1" applyBorder="1" applyAlignment="1">
      <alignment horizontal="center"/>
    </xf>
    <xf numFmtId="0" fontId="12" fillId="5" borderId="23" xfId="7" applyFont="1" applyFill="1" applyBorder="1" applyAlignment="1">
      <alignment horizontal="center" vertical="top"/>
    </xf>
    <xf numFmtId="0" fontId="12" fillId="5" borderId="24" xfId="7" applyFont="1" applyFill="1" applyBorder="1" applyAlignment="1">
      <alignment horizontal="center" vertical="top"/>
    </xf>
    <xf numFmtId="0" fontId="19" fillId="3" borderId="8" xfId="7" applyFont="1" applyFill="1" applyBorder="1" applyAlignment="1">
      <alignment horizontal="center" vertical="center"/>
    </xf>
    <xf numFmtId="0" fontId="2" fillId="3" borderId="9" xfId="7" applyFill="1" applyBorder="1" applyAlignment="1">
      <alignment horizontal="center" vertical="center"/>
    </xf>
    <xf numFmtId="0" fontId="19" fillId="3" borderId="11" xfId="7" applyFont="1" applyFill="1" applyBorder="1" applyAlignment="1">
      <alignment horizontal="center" vertical="center"/>
    </xf>
    <xf numFmtId="0" fontId="19" fillId="3" borderId="12" xfId="7" applyFont="1" applyFill="1" applyBorder="1" applyAlignment="1">
      <alignment horizontal="center" vertical="center"/>
    </xf>
    <xf numFmtId="0" fontId="19" fillId="3" borderId="13" xfId="7" applyFont="1" applyFill="1" applyBorder="1" applyAlignment="1">
      <alignment horizontal="center" vertical="center"/>
    </xf>
    <xf numFmtId="0" fontId="19" fillId="3" borderId="9" xfId="7" applyFont="1" applyFill="1" applyBorder="1" applyAlignment="1">
      <alignment horizontal="center" vertical="center"/>
    </xf>
    <xf numFmtId="0" fontId="19" fillId="3" borderId="10" xfId="7" applyFont="1" applyFill="1" applyBorder="1" applyAlignment="1">
      <alignment horizontal="center" vertical="center"/>
    </xf>
    <xf numFmtId="0" fontId="12" fillId="3" borderId="8" xfId="7" applyFont="1" applyFill="1" applyBorder="1" applyAlignment="1">
      <alignment horizontal="center"/>
    </xf>
    <xf numFmtId="0" fontId="12" fillId="3" borderId="10" xfId="7" applyFont="1" applyFill="1" applyBorder="1" applyAlignment="1">
      <alignment horizontal="center"/>
    </xf>
    <xf numFmtId="0" fontId="19" fillId="3" borderId="42" xfId="7" applyFont="1" applyFill="1" applyBorder="1" applyAlignment="1">
      <alignment horizontal="center" vertical="center"/>
    </xf>
    <xf numFmtId="0" fontId="19" fillId="3" borderId="41" xfId="7" applyFont="1" applyFill="1" applyBorder="1" applyAlignment="1">
      <alignment horizontal="center" vertical="center"/>
    </xf>
    <xf numFmtId="0" fontId="19" fillId="3" borderId="43" xfId="7" applyFont="1" applyFill="1" applyBorder="1" applyAlignment="1">
      <alignment horizontal="center" vertical="center"/>
    </xf>
    <xf numFmtId="0" fontId="12" fillId="3" borderId="44" xfId="7" applyFont="1" applyFill="1" applyBorder="1" applyAlignment="1">
      <alignment horizontal="center"/>
    </xf>
    <xf numFmtId="0" fontId="12" fillId="3" borderId="45" xfId="7" applyFont="1" applyFill="1" applyBorder="1" applyAlignment="1">
      <alignment horizontal="center"/>
    </xf>
    <xf numFmtId="0" fontId="12" fillId="3" borderId="6" xfId="7" applyFont="1" applyFill="1" applyBorder="1" applyAlignment="1">
      <alignment horizontal="center"/>
    </xf>
    <xf numFmtId="0" fontId="17" fillId="5" borderId="23" xfId="7" applyFont="1" applyFill="1" applyBorder="1" applyAlignment="1">
      <alignment horizontal="center" vertical="top"/>
    </xf>
    <xf numFmtId="0" fontId="17" fillId="5" borderId="26" xfId="7" applyFont="1" applyFill="1" applyBorder="1" applyAlignment="1">
      <alignment horizontal="center" vertical="top"/>
    </xf>
    <xf numFmtId="0" fontId="12" fillId="3" borderId="42" xfId="7" applyFont="1" applyFill="1" applyBorder="1" applyAlignment="1">
      <alignment horizontal="center"/>
    </xf>
    <xf numFmtId="0" fontId="12" fillId="3" borderId="43" xfId="7" applyFont="1" applyFill="1" applyBorder="1" applyAlignment="1">
      <alignment horizontal="center"/>
    </xf>
    <xf numFmtId="0" fontId="15" fillId="3" borderId="0" xfId="7" applyFont="1" applyFill="1" applyAlignment="1">
      <alignment horizontal="left" vertical="center"/>
    </xf>
    <xf numFmtId="0" fontId="2" fillId="3" borderId="0" xfId="7" applyFill="1" applyAlignment="1">
      <alignment horizontal="left" vertical="center"/>
    </xf>
    <xf numFmtId="0" fontId="15" fillId="3" borderId="0" xfId="7" applyFont="1" applyFill="1" applyAlignment="1">
      <alignment horizontal="left"/>
    </xf>
    <xf numFmtId="0" fontId="2" fillId="3" borderId="0" xfId="7" applyFill="1" applyAlignment="1">
      <alignment horizontal="left"/>
    </xf>
    <xf numFmtId="0" fontId="22" fillId="8" borderId="38" xfId="11" applyFont="1" applyFill="1" applyBorder="1" applyAlignment="1">
      <alignment horizontal="center" vertical="center" wrapText="1"/>
    </xf>
    <xf numFmtId="0" fontId="21" fillId="0" borderId="0" xfId="11"/>
    <xf numFmtId="0" fontId="61" fillId="0" borderId="0" xfId="28" applyFont="1" applyAlignment="1">
      <alignment horizontal="center"/>
    </xf>
    <xf numFmtId="0" fontId="42" fillId="0" borderId="0" xfId="28" applyFont="1" applyAlignment="1">
      <alignment horizontal="center"/>
    </xf>
    <xf numFmtId="0" fontId="64" fillId="0" borderId="0" xfId="31" applyFont="1" applyAlignment="1">
      <alignment horizontal="center"/>
    </xf>
    <xf numFmtId="0" fontId="68" fillId="0" borderId="0" xfId="31" applyFont="1" applyAlignment="1">
      <alignment horizontal="center"/>
    </xf>
    <xf numFmtId="0" fontId="61" fillId="0" borderId="0" xfId="32" applyFont="1" applyAlignment="1">
      <alignment horizontal="center"/>
    </xf>
    <xf numFmtId="0" fontId="42" fillId="0" borderId="0" xfId="30" applyFont="1" applyAlignment="1">
      <alignment vertical="top" wrapText="1"/>
    </xf>
    <xf numFmtId="0" fontId="61" fillId="0" borderId="0" xfId="30" applyFont="1" applyAlignment="1">
      <alignment horizontal="center"/>
    </xf>
    <xf numFmtId="0" fontId="42" fillId="0" borderId="0" xfId="30" quotePrefix="1" applyFont="1" applyAlignment="1">
      <alignment horizontal="center"/>
    </xf>
    <xf numFmtId="0" fontId="42" fillId="0" borderId="0" xfId="30" applyFont="1" applyAlignment="1">
      <alignment horizontal="left" vertical="top" wrapText="1"/>
    </xf>
    <xf numFmtId="0" fontId="42" fillId="0" borderId="0" xfId="32" applyFont="1" applyAlignment="1">
      <alignment horizontal="left" vertical="top" wrapText="1"/>
    </xf>
    <xf numFmtId="0" fontId="42" fillId="0" borderId="0" xfId="32" applyFont="1" applyAlignment="1">
      <alignment horizontal="center"/>
    </xf>
    <xf numFmtId="0" fontId="42" fillId="0" borderId="40" xfId="32" applyFont="1" applyBorder="1" applyAlignment="1">
      <alignment horizontal="center" wrapText="1"/>
    </xf>
    <xf numFmtId="0" fontId="64" fillId="0" borderId="40" xfId="36" applyFont="1" applyBorder="1" applyAlignment="1">
      <alignment horizontal="center" wrapText="1"/>
    </xf>
    <xf numFmtId="0" fontId="42" fillId="0" borderId="40" xfId="32" applyFont="1" applyBorder="1" applyAlignment="1">
      <alignment horizontal="center"/>
    </xf>
    <xf numFmtId="0" fontId="41" fillId="0" borderId="0" xfId="30" applyFont="1" applyAlignment="1">
      <alignment horizontal="center"/>
    </xf>
    <xf numFmtId="0" fontId="42" fillId="0" borderId="0" xfId="30" applyFont="1" applyAlignment="1">
      <alignment horizontal="center"/>
    </xf>
    <xf numFmtId="0" fontId="42" fillId="0" borderId="40" xfId="30" applyFont="1" applyBorder="1" applyAlignment="1">
      <alignment horizontal="center" wrapText="1"/>
    </xf>
    <xf numFmtId="178" fontId="42" fillId="0" borderId="0" xfId="32" applyNumberFormat="1" applyFont="1" applyAlignment="1">
      <alignment horizontal="left" vertical="top" wrapText="1"/>
    </xf>
    <xf numFmtId="178" fontId="42" fillId="0" borderId="0" xfId="32" applyNumberFormat="1" applyFont="1" applyAlignment="1">
      <alignment vertical="top" wrapText="1"/>
    </xf>
    <xf numFmtId="0" fontId="42" fillId="0" borderId="0" xfId="32" applyFont="1" applyAlignment="1">
      <alignment vertical="top" wrapText="1"/>
    </xf>
    <xf numFmtId="0" fontId="42" fillId="0" borderId="40" xfId="30" applyFont="1" applyBorder="1" applyAlignment="1">
      <alignment horizontal="center"/>
    </xf>
    <xf numFmtId="0" fontId="42" fillId="0" borderId="40" xfId="30" applyFont="1" applyBorder="1"/>
    <xf numFmtId="0" fontId="61" fillId="0" borderId="0" xfId="30" applyFont="1" applyAlignment="1">
      <alignment horizontal="center" vertical="top" wrapText="1"/>
    </xf>
    <xf numFmtId="0" fontId="42" fillId="0" borderId="0" xfId="30" applyFont="1" applyAlignment="1">
      <alignment wrapText="1"/>
    </xf>
    <xf numFmtId="0" fontId="63" fillId="0" borderId="0" xfId="39" applyFont="1" applyAlignment="1">
      <alignment horizontal="justify" vertical="top"/>
    </xf>
    <xf numFmtId="0" fontId="63" fillId="0" borderId="0" xfId="39" applyFont="1" applyAlignment="1">
      <alignment vertical="top"/>
    </xf>
    <xf numFmtId="0" fontId="63" fillId="0" borderId="0" xfId="39" applyFont="1" applyAlignment="1">
      <alignment horizontal="justify" vertical="top" wrapText="1"/>
    </xf>
    <xf numFmtId="0" fontId="63" fillId="0" borderId="0" xfId="39" applyFont="1" applyAlignment="1">
      <alignment vertical="top" wrapText="1"/>
    </xf>
    <xf numFmtId="0" fontId="63" fillId="0" borderId="0" xfId="39" applyFont="1" applyAlignment="1">
      <alignment wrapText="1"/>
    </xf>
    <xf numFmtId="0" fontId="61" fillId="0" borderId="0" xfId="1" quotePrefix="1" applyFont="1" applyAlignment="1">
      <alignment horizontal="center"/>
    </xf>
    <xf numFmtId="0" fontId="61" fillId="0" borderId="0" xfId="1" applyFont="1" applyAlignment="1">
      <alignment horizontal="center"/>
    </xf>
    <xf numFmtId="0" fontId="42" fillId="0" borderId="0" xfId="1" applyFont="1" applyAlignment="1">
      <alignment horizontal="center"/>
    </xf>
    <xf numFmtId="0" fontId="42" fillId="0" borderId="0" xfId="1" applyFont="1" applyAlignment="1">
      <alignment horizontal="center" wrapText="1"/>
    </xf>
    <xf numFmtId="0" fontId="42" fillId="0" borderId="40" xfId="1" applyFont="1" applyBorder="1" applyAlignment="1">
      <alignment horizontal="center" wrapText="1"/>
    </xf>
    <xf numFmtId="0" fontId="57" fillId="0" borderId="0" xfId="34" applyFont="1" applyAlignment="1">
      <alignment horizontal="center"/>
    </xf>
    <xf numFmtId="0" fontId="45" fillId="0" borderId="0" xfId="33" applyFont="1" applyAlignment="1">
      <alignment horizontal="center" wrapText="1"/>
    </xf>
    <xf numFmtId="0" fontId="47" fillId="0" borderId="0" xfId="33" applyFont="1" applyAlignment="1">
      <alignment horizontal="center" wrapText="1"/>
    </xf>
    <xf numFmtId="0" fontId="47" fillId="0" borderId="40" xfId="33" applyFont="1" applyBorder="1" applyAlignment="1">
      <alignment horizontal="center" wrapText="1"/>
    </xf>
    <xf numFmtId="0" fontId="45" fillId="0" borderId="0" xfId="1" applyFont="1" applyAlignment="1">
      <alignment horizontal="center"/>
    </xf>
    <xf numFmtId="0" fontId="44" fillId="0" borderId="0" xfId="1" applyFont="1" applyAlignment="1">
      <alignment horizontal="center"/>
    </xf>
    <xf numFmtId="179" fontId="1" fillId="0" borderId="0" xfId="51" applyNumberFormat="1" applyFont="1" applyFill="1" applyAlignment="1">
      <alignment horizontal="center"/>
    </xf>
    <xf numFmtId="0" fontId="49" fillId="0" borderId="0" xfId="40" applyFont="1" applyAlignment="1">
      <alignment horizontal="center"/>
    </xf>
    <xf numFmtId="0" fontId="49" fillId="0" borderId="0" xfId="52" applyFont="1" applyAlignment="1">
      <alignment horizontal="center"/>
    </xf>
    <xf numFmtId="0" fontId="46" fillId="0" borderId="0" xfId="52" applyFont="1" applyAlignment="1">
      <alignment horizontal="center"/>
    </xf>
    <xf numFmtId="0" fontId="46" fillId="0" borderId="0" xfId="40" applyFont="1" applyAlignment="1">
      <alignment horizontal="center"/>
    </xf>
    <xf numFmtId="0" fontId="49" fillId="0" borderId="0" xfId="54" applyFont="1" applyAlignment="1">
      <alignment horizontal="center"/>
    </xf>
    <xf numFmtId="0" fontId="46" fillId="0" borderId="0" xfId="54" applyFont="1" applyAlignment="1">
      <alignment horizontal="center"/>
    </xf>
  </cellXfs>
  <cellStyles count="56">
    <cellStyle name="Comma" xfId="8" builtinId="3"/>
    <cellStyle name="Comma 12" xfId="55" xr:uid="{9E8E22BF-ECE2-4ADF-9907-655F50AEAB1E}"/>
    <cellStyle name="Comma 2" xfId="4" xr:uid="{0EAF3C19-BE91-422E-80F6-957D9B794022}"/>
    <cellStyle name="Comma 2 2" xfId="18" xr:uid="{2FEEB4B7-5DEA-4883-B4FC-3AE0F3078EF6}"/>
    <cellStyle name="Comma 23 2" xfId="13" xr:uid="{58ED3F39-8A17-4862-B44A-8F96B6044365}"/>
    <cellStyle name="Comma 23 2 3" xfId="15" xr:uid="{406121C2-0E95-43C6-8C13-89F985102A70}"/>
    <cellStyle name="Comma 27 2" xfId="53" xr:uid="{8435DB34-86D8-4CDD-806E-973E2D74BE2D}"/>
    <cellStyle name="Comma 4" xfId="23" xr:uid="{F398439D-55D5-4C9D-A25A-84F87B62142F}"/>
    <cellStyle name="Comma 6" xfId="38" xr:uid="{20D1C3E1-47AC-4428-8CFB-8A9063D37C91}"/>
    <cellStyle name="Currency" xfId="9" builtinId="4"/>
    <cellStyle name="Currency 11" xfId="48" xr:uid="{CB2E2058-C52E-4D22-AA51-7744C7919058}"/>
    <cellStyle name="Currency 2" xfId="2" xr:uid="{F2011DE2-E59D-4109-A2FD-B0055C61105A}"/>
    <cellStyle name="Currency 2 2" xfId="21" xr:uid="{BC03BBAB-FB7E-4740-8287-2AD139D6CDB1}"/>
    <cellStyle name="Currency 3" xfId="25" xr:uid="{ACF31CFB-6F04-47FE-91BA-4AEBAE33ED62}"/>
    <cellStyle name="Currency 4" xfId="6" xr:uid="{052DFBCC-480D-4026-88D4-F3D00C1B2F5F}"/>
    <cellStyle name="Currency 9" xfId="45" xr:uid="{A2E265CB-B4BD-4DB2-8A22-D45104145C12}"/>
    <cellStyle name="Normal" xfId="0" builtinId="0"/>
    <cellStyle name="Normal - Style1" xfId="30" xr:uid="{4A262746-C7A4-4C1B-A9A9-B02430962157}"/>
    <cellStyle name="Normal 10 21 3" xfId="40" xr:uid="{F58D849C-2A32-4AE2-83E5-008308E79545}"/>
    <cellStyle name="Normal 13" xfId="33" xr:uid="{9E0D6540-82E6-459E-93B5-9762529C40BE}"/>
    <cellStyle name="Normal 13 10 2" xfId="36" xr:uid="{F1181912-A94A-49D2-9964-4F4846322C53}"/>
    <cellStyle name="Normal 13 10 3 2 3" xfId="39" xr:uid="{C6BB22A3-5D38-417A-92E2-A20948A5FED7}"/>
    <cellStyle name="Normal 13 5 4" xfId="37" xr:uid="{FFD1FCFB-AAAB-4745-88A4-C6C19917651B}"/>
    <cellStyle name="Normal 15 2" xfId="50" xr:uid="{D800641C-1E48-441C-B602-1913EEB75496}"/>
    <cellStyle name="Normal 18" xfId="28" xr:uid="{9AFC90C3-22B9-476E-878F-4EEE8382F238}"/>
    <cellStyle name="Normal 2" xfId="7" xr:uid="{DA2B8FF9-9F8B-4E93-A69B-D51F770F9FFE}"/>
    <cellStyle name="Normal 2 2" xfId="19" xr:uid="{A3C65F64-49C4-411F-893F-5C13897B4E7B}"/>
    <cellStyle name="Normal 2 3" xfId="24" xr:uid="{20D021F1-8803-4E9D-A0B0-363F50D75918}"/>
    <cellStyle name="Normal 2 4" xfId="32" xr:uid="{DE8F5534-7942-43D7-8A35-C5D80A6767BD}"/>
    <cellStyle name="Normal 2 7" xfId="26" xr:uid="{C2EDFCA7-E38D-425A-A424-92E9C2D38474}"/>
    <cellStyle name="Normal 3" xfId="1" xr:uid="{50213B22-A88A-49D5-A1CE-7BB11199FF7F}"/>
    <cellStyle name="Normal 3 5" xfId="44" xr:uid="{69C8ABF7-26EB-4B78-B05E-96382B7FE59A}"/>
    <cellStyle name="Normal 4" xfId="20" xr:uid="{8BA4923F-23D4-45D5-A8EA-013A9B1FCA90}"/>
    <cellStyle name="Normal 5" xfId="11" xr:uid="{E0A2B754-8858-4689-8CF3-C3EDF33359FF}"/>
    <cellStyle name="Normal 5 2" xfId="17" xr:uid="{8C1E57E9-F46E-4E77-9856-CD47D6701812}"/>
    <cellStyle name="Normal 6" xfId="5" xr:uid="{6502F542-F78F-4C15-8680-F4A9BB45FB7C}"/>
    <cellStyle name="Normal 68" xfId="34" xr:uid="{A48E0D77-8DF3-4377-99EC-4D1A256BDD60}"/>
    <cellStyle name="Normal 68 7" xfId="41" xr:uid="{10C6D7F2-5488-4F33-B8B7-743200524FB9}"/>
    <cellStyle name="Normal 69 2 5" xfId="54" xr:uid="{18F059E9-D36A-4EB8-877C-8CEE9563AD83}"/>
    <cellStyle name="Normal 7" xfId="27" xr:uid="{561F52B0-F4A5-42BE-B6C7-E3A6DE8D932F}"/>
    <cellStyle name="Normal 77 3 2" xfId="31" xr:uid="{115FA970-5FC5-4089-B050-0DFEFDAEC41C}"/>
    <cellStyle name="Normal 78 2" xfId="12" xr:uid="{7BFA4C27-5AD5-473C-BEA0-6366CFB4752F}"/>
    <cellStyle name="Normal 78 2 3" xfId="14" xr:uid="{C8ABF7B0-BD1B-4F1E-B8AE-8FE1292EBCF2}"/>
    <cellStyle name="Normal 83 4" xfId="52" xr:uid="{29731C30-07DF-49AD-A321-056230D5F53D}"/>
    <cellStyle name="Normal 84" xfId="42" xr:uid="{830ADD85-8CDC-475D-A44D-C7F7635353F5}"/>
    <cellStyle name="Normal_EOC 1-1-97 (3)" xfId="22" xr:uid="{9B529FC3-4164-4EA5-9662-FDCCDBFDE615}"/>
    <cellStyle name="Percent" xfId="10" builtinId="5"/>
    <cellStyle name="Percent 10" xfId="46" xr:uid="{CC016D59-56F1-4E46-AC1F-D57DC3527591}"/>
    <cellStyle name="Percent 10 2 2" xfId="29" xr:uid="{4F7CC581-B2D2-40BB-AD5F-90CF767EAA29}"/>
    <cellStyle name="Percent 11" xfId="35" xr:uid="{A05CCEEA-EDFB-4156-8DE6-3330E4FEAB74}"/>
    <cellStyle name="Percent 13" xfId="49" xr:uid="{DE281744-8B2A-48AE-AB6E-1D2240D550B5}"/>
    <cellStyle name="Percent 14 2 2" xfId="16" xr:uid="{0DC3233D-61D1-4DB3-B8AC-6F6B1F1552EE}"/>
    <cellStyle name="Percent 2" xfId="3" xr:uid="{6EA376B8-8339-43BC-993A-3588509B130F}"/>
    <cellStyle name="Percent 2 10 3 4 2" xfId="47" xr:uid="{080E71CD-C4CF-493F-8516-7C05D9932144}"/>
    <cellStyle name="Percent 3" xfId="43" xr:uid="{13CA7A6C-99DD-43AB-9420-024421028330}"/>
    <cellStyle name="Percent 6" xfId="51" xr:uid="{E98151BE-E89D-4895-922F-8F970DDA0E7F}"/>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WP'!$N$16:$N$1108</c:f>
              <c:numCache>
                <c:formatCode>0.00%</c:formatCode>
                <c:ptCount val="1093"/>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numCache>
            </c:numRef>
          </c:xVal>
          <c:yVal>
            <c:numRef>
              <c:f>'MRP ERP WP'!$P$16:$P$1108</c:f>
              <c:numCache>
                <c:formatCode>0.00%</c:formatCode>
                <c:ptCount val="1093"/>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numCache>
            </c:numRef>
          </c:yVal>
          <c:smooth val="0"/>
          <c:extLst>
            <c:ext xmlns:c16="http://schemas.microsoft.com/office/drawing/2014/chart" uri="{C3380CC4-5D6E-409C-BE32-E72D297353CC}">
              <c16:uniqueId val="{00000001-6742-4ABC-BB41-664403606DC2}"/>
            </c:ext>
          </c:extLst>
        </c:ser>
        <c:dLbls>
          <c:showLegendKey val="0"/>
          <c:showVal val="0"/>
          <c:showCatName val="0"/>
          <c:showSerName val="0"/>
          <c:showPercent val="0"/>
          <c:showBubbleSize val="0"/>
        </c:dLbls>
        <c:axId val="784047144"/>
        <c:axId val="784049888"/>
      </c:scatterChart>
      <c:valAx>
        <c:axId val="784047144"/>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49888"/>
        <c:crosses val="autoZero"/>
        <c:crossBetween val="midCat"/>
      </c:valAx>
      <c:valAx>
        <c:axId val="78404988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7144"/>
        <c:crosses val="autoZero"/>
        <c:crossBetween val="midCat"/>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WP'!$O$40:$O$1168</c:f>
              <c:numCache>
                <c:formatCode>0.00%</c:formatCode>
                <c:ptCount val="112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pt idx="1081">
                  <c:v>4.0349999999999997E-2</c:v>
                </c:pt>
                <c:pt idx="1082">
                  <c:v>3.8900000000000004E-2</c:v>
                </c:pt>
                <c:pt idx="1083">
                  <c:v>3.8900000000000004E-2</c:v>
                </c:pt>
                <c:pt idx="1084">
                  <c:v>3.7699999999999997E-2</c:v>
                </c:pt>
                <c:pt idx="1085">
                  <c:v>3.7349999999999994E-2</c:v>
                </c:pt>
                <c:pt idx="1086">
                  <c:v>3.7349999999999994E-2</c:v>
                </c:pt>
                <c:pt idx="1087">
                  <c:v>3.3750000000000002E-2</c:v>
                </c:pt>
                <c:pt idx="1088">
                  <c:v>3.3750000000000002E-2</c:v>
                </c:pt>
                <c:pt idx="1089">
                  <c:v>3.0300000000000001E-2</c:v>
                </c:pt>
                <c:pt idx="1090">
                  <c:v>3.0800000000000001E-2</c:v>
                </c:pt>
                <c:pt idx="1091">
                  <c:v>3.1199999999999999E-2</c:v>
                </c:pt>
                <c:pt idx="1092">
                  <c:v>3.0599999999999995E-2</c:v>
                </c:pt>
                <c:pt idx="1093">
                  <c:v>2.9750000000000002E-2</c:v>
                </c:pt>
                <c:pt idx="1094">
                  <c:v>2.8150000000000001E-2</c:v>
                </c:pt>
                <c:pt idx="1095">
                  <c:v>3.0500000000000003E-2</c:v>
                </c:pt>
                <c:pt idx="1096">
                  <c:v>2.5899999999999999E-2</c:v>
                </c:pt>
                <c:pt idx="1097">
                  <c:v>2.6049999999999997E-2</c:v>
                </c:pt>
                <c:pt idx="1098">
                  <c:v>2.52E-2</c:v>
                </c:pt>
                <c:pt idx="1099">
                  <c:v>2.23E-2</c:v>
                </c:pt>
                <c:pt idx="1100">
                  <c:v>2.3100000000000002E-2</c:v>
                </c:pt>
                <c:pt idx="1101">
                  <c:v>2.3900000000000001E-2</c:v>
                </c:pt>
                <c:pt idx="1102">
                  <c:v>2.4499999999999997E-2</c:v>
                </c:pt>
                <c:pt idx="1103">
                  <c:v>2.3849999999999996E-2</c:v>
                </c:pt>
                <c:pt idx="1104">
                  <c:v>2.35E-2</c:v>
                </c:pt>
                <c:pt idx="1105">
                  <c:v>2.5300000000000003E-2</c:v>
                </c:pt>
                <c:pt idx="1106">
                  <c:v>2.7650000000000004E-2</c:v>
                </c:pt>
                <c:pt idx="1107">
                  <c:v>3.1050000000000005E-2</c:v>
                </c:pt>
                <c:pt idx="1108">
                  <c:v>2.9650000000000003E-2</c:v>
                </c:pt>
                <c:pt idx="1109">
                  <c:v>3.015E-2</c:v>
                </c:pt>
                <c:pt idx="1110">
                  <c:v>2.8500000000000004E-2</c:v>
                </c:pt>
                <c:pt idx="1111">
                  <c:v>2.6399999999999996E-2</c:v>
                </c:pt>
                <c:pt idx="1112">
                  <c:v>2.64E-2</c:v>
                </c:pt>
                <c:pt idx="1113">
                  <c:v>2.6299999999999997E-2</c:v>
                </c:pt>
                <c:pt idx="1114">
                  <c:v>2.7699999999999999E-2</c:v>
                </c:pt>
                <c:pt idx="1115">
                  <c:v>2.6949999999999998E-2</c:v>
                </c:pt>
                <c:pt idx="1116">
                  <c:v>2.7049999999999998E-2</c:v>
                </c:pt>
                <c:pt idx="1117">
                  <c:v>2.9750000000000002E-2</c:v>
                </c:pt>
                <c:pt idx="1118">
                  <c:v>3.3049999999999996E-2</c:v>
                </c:pt>
                <c:pt idx="1119">
                  <c:v>3.5250000000000004E-2</c:v>
                </c:pt>
                <c:pt idx="1120">
                  <c:v>3.8350000000000002E-2</c:v>
                </c:pt>
                <c:pt idx="1121">
                  <c:v>4.2450000000000002E-2</c:v>
                </c:pt>
                <c:pt idx="1122">
                  <c:v>4.3650000000000001E-2</c:v>
                </c:pt>
                <c:pt idx="1123">
                  <c:v>4.215E-2</c:v>
                </c:pt>
                <c:pt idx="1124">
                  <c:v>4.215E-2</c:v>
                </c:pt>
                <c:pt idx="1125">
                  <c:v>4.7150000000000011E-2</c:v>
                </c:pt>
                <c:pt idx="1126">
                  <c:v>5.2500000000000005E-2</c:v>
                </c:pt>
                <c:pt idx="1127">
                  <c:v>5.0650000000000001E-2</c:v>
                </c:pt>
                <c:pt idx="1128">
                  <c:v>4.5799999999999993E-2</c:v>
                </c:pt>
              </c:numCache>
            </c:numRef>
          </c:xVal>
          <c:yVal>
            <c:numRef>
              <c:f>'MRP ERP WP'!$Q$40:$Q$1168</c:f>
              <c:numCache>
                <c:formatCode>0.00%</c:formatCode>
                <c:ptCount val="112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pt idx="1081">
                  <c:v>-6.356983975284336E-2</c:v>
                </c:pt>
                <c:pt idx="1082">
                  <c:v>7.8602568695775171E-3</c:v>
                </c:pt>
                <c:pt idx="1083">
                  <c:v>5.5977288993276739E-2</c:v>
                </c:pt>
                <c:pt idx="1084">
                  <c:v>9.7207171944116613E-2</c:v>
                </c:pt>
                <c:pt idx="1085">
                  <c:v>4.7889027015446395E-4</c:v>
                </c:pt>
                <c:pt idx="1086">
                  <c:v>6.6800096436295142E-2</c:v>
                </c:pt>
                <c:pt idx="1087">
                  <c:v>4.6128382014055391E-2</c:v>
                </c:pt>
                <c:pt idx="1088">
                  <c:v>-4.4876490623347309E-3</c:v>
                </c:pt>
                <c:pt idx="1089">
                  <c:v>1.2266925425275625E-2</c:v>
                </c:pt>
                <c:pt idx="1090">
                  <c:v>0.1125991280667708</c:v>
                </c:pt>
                <c:pt idx="1091">
                  <c:v>0.13001571581300941</c:v>
                </c:pt>
                <c:pt idx="1092">
                  <c:v>0.28443180216616731</c:v>
                </c:pt>
                <c:pt idx="1093">
                  <c:v>0.18727230297685499</c:v>
                </c:pt>
                <c:pt idx="1094">
                  <c:v>5.3975150122913658E-2</c:v>
                </c:pt>
                <c:pt idx="1095">
                  <c:v>-0.10006769267928764</c:v>
                </c:pt>
                <c:pt idx="1096">
                  <c:v>-1.7044902336157595E-2</c:v>
                </c:pt>
                <c:pt idx="1097">
                  <c:v>0.1024888150695579</c:v>
                </c:pt>
                <c:pt idx="1098">
                  <c:v>4.9995457720170333E-2</c:v>
                </c:pt>
                <c:pt idx="1099">
                  <c:v>9.7412619810319331E-2</c:v>
                </c:pt>
                <c:pt idx="1100">
                  <c:v>0.19638786544877218</c:v>
                </c:pt>
                <c:pt idx="1101">
                  <c:v>0.12771217881782529</c:v>
                </c:pt>
                <c:pt idx="1102">
                  <c:v>7.2670690869405002E-2</c:v>
                </c:pt>
                <c:pt idx="1103">
                  <c:v>0.150820347891156</c:v>
                </c:pt>
                <c:pt idx="1104">
                  <c:v>0.16052027688815404</c:v>
                </c:pt>
                <c:pt idx="1105">
                  <c:v>0.14723068436532982</c:v>
                </c:pt>
                <c:pt idx="1106">
                  <c:v>0.28529816525423718</c:v>
                </c:pt>
                <c:pt idx="1107">
                  <c:v>0.53250424403008889</c:v>
                </c:pt>
                <c:pt idx="1108">
                  <c:v>0.43024012645035853</c:v>
                </c:pt>
                <c:pt idx="1109">
                  <c:v>0.37316171948788768</c:v>
                </c:pt>
                <c:pt idx="1110">
                  <c:v>0.37948988386307997</c:v>
                </c:pt>
                <c:pt idx="1111">
                  <c:v>0.3381399877877902</c:v>
                </c:pt>
                <c:pt idx="1112">
                  <c:v>0.28531005076643212</c:v>
                </c:pt>
                <c:pt idx="1113">
                  <c:v>0.27382009709541877</c:v>
                </c:pt>
                <c:pt idx="1114">
                  <c:v>0.4015772918654284</c:v>
                </c:pt>
                <c:pt idx="1115">
                  <c:v>0.25237877742366593</c:v>
                </c:pt>
                <c:pt idx="1116">
                  <c:v>0.26016370055108418</c:v>
                </c:pt>
                <c:pt idx="1117">
                  <c:v>0.20336925672552136</c:v>
                </c:pt>
                <c:pt idx="1118">
                  <c:v>0.13106929831590877</c:v>
                </c:pt>
                <c:pt idx="1119">
                  <c:v>0.12139698628418172</c:v>
                </c:pt>
                <c:pt idx="1120">
                  <c:v>-3.6083653806530232E-2</c:v>
                </c:pt>
                <c:pt idx="1121">
                  <c:v>-4.5359209913984025E-2</c:v>
                </c:pt>
                <c:pt idx="1122">
                  <c:v>-0.14964941375557553</c:v>
                </c:pt>
                <c:pt idx="1123">
                  <c:v>-8.842130269958956E-2</c:v>
                </c:pt>
                <c:pt idx="1124">
                  <c:v>-0.15432336330497495</c:v>
                </c:pt>
                <c:pt idx="1125">
                  <c:v>-0.20178261305148015</c:v>
                </c:pt>
                <c:pt idx="1126">
                  <c:v>-0.19852173134160389</c:v>
                </c:pt>
                <c:pt idx="1127">
                  <c:v>-0.14266927914973274</c:v>
                </c:pt>
                <c:pt idx="1128">
                  <c:v>-0.2268097326480743</c:v>
                </c:pt>
              </c:numCache>
            </c:numRef>
          </c:yVal>
          <c:smooth val="0"/>
          <c:extLst>
            <c:ext xmlns:c16="http://schemas.microsoft.com/office/drawing/2014/chart" uri="{C3380CC4-5D6E-409C-BE32-E72D297353CC}">
              <c16:uniqueId val="{00000001-A1E9-4F01-8054-F8A1F5E5C596}"/>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0"/>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WP'!$S$40:$S$1168</c:f>
              <c:numCache>
                <c:formatCode>0.00%</c:formatCode>
                <c:ptCount val="112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pt idx="1081">
                  <c:v>4.3499999999999997E-2</c:v>
                </c:pt>
                <c:pt idx="1082">
                  <c:v>4.2500000000000003E-2</c:v>
                </c:pt>
                <c:pt idx="1083">
                  <c:v>4.2500000000000003E-2</c:v>
                </c:pt>
                <c:pt idx="1084">
                  <c:v>4.0800000000000003E-2</c:v>
                </c:pt>
                <c:pt idx="1085">
                  <c:v>3.9800000000000002E-2</c:v>
                </c:pt>
                <c:pt idx="1086">
                  <c:v>3.9800000000000002E-2</c:v>
                </c:pt>
                <c:pt idx="1087">
                  <c:v>3.6900000000000002E-2</c:v>
                </c:pt>
                <c:pt idx="1088">
                  <c:v>3.6900000000000002E-2</c:v>
                </c:pt>
                <c:pt idx="1089">
                  <c:v>3.2899999999999999E-2</c:v>
                </c:pt>
                <c:pt idx="1090">
                  <c:v>3.3700000000000001E-2</c:v>
                </c:pt>
                <c:pt idx="1091">
                  <c:v>3.4299999999999997E-2</c:v>
                </c:pt>
                <c:pt idx="1092">
                  <c:v>3.3999999999999996E-2</c:v>
                </c:pt>
                <c:pt idx="1093">
                  <c:v>3.2800000000000003E-2</c:v>
                </c:pt>
                <c:pt idx="1094">
                  <c:v>3.1099999999999999E-2</c:v>
                </c:pt>
                <c:pt idx="1095">
                  <c:v>3.5000000000000003E-2</c:v>
                </c:pt>
                <c:pt idx="1096">
                  <c:v>3.1899999999999998E-2</c:v>
                </c:pt>
                <c:pt idx="1097">
                  <c:v>3.1400000000000004E-2</c:v>
                </c:pt>
                <c:pt idx="1098">
                  <c:v>3.0699999999999998E-2</c:v>
                </c:pt>
                <c:pt idx="1099">
                  <c:v>2.7400000000000001E-2</c:v>
                </c:pt>
                <c:pt idx="1100">
                  <c:v>2.7300000000000001E-2</c:v>
                </c:pt>
                <c:pt idx="1101">
                  <c:v>2.8400000000000002E-2</c:v>
                </c:pt>
                <c:pt idx="1102">
                  <c:v>2.9500000000000005E-2</c:v>
                </c:pt>
                <c:pt idx="1103">
                  <c:v>2.8499999999999998E-2</c:v>
                </c:pt>
                <c:pt idx="1104">
                  <c:v>2.7699999999999999E-2</c:v>
                </c:pt>
                <c:pt idx="1105">
                  <c:v>2.9100000000000001E-2</c:v>
                </c:pt>
                <c:pt idx="1106">
                  <c:v>3.09E-2</c:v>
                </c:pt>
                <c:pt idx="1107">
                  <c:v>3.44E-2</c:v>
                </c:pt>
                <c:pt idx="1108">
                  <c:v>3.3000000000000002E-2</c:v>
                </c:pt>
                <c:pt idx="1109">
                  <c:v>3.3300000000000003E-2</c:v>
                </c:pt>
                <c:pt idx="1110">
                  <c:v>3.1600000000000003E-2</c:v>
                </c:pt>
                <c:pt idx="1111">
                  <c:v>2.9500000000000005E-2</c:v>
                </c:pt>
                <c:pt idx="1112">
                  <c:v>2.9500000000000005E-2</c:v>
                </c:pt>
                <c:pt idx="1113">
                  <c:v>2.9600000000000001E-2</c:v>
                </c:pt>
                <c:pt idx="1114">
                  <c:v>3.09E-2</c:v>
                </c:pt>
                <c:pt idx="1115">
                  <c:v>3.0199999999999998E-2</c:v>
                </c:pt>
                <c:pt idx="1116">
                  <c:v>3.0400000000000003E-2</c:v>
                </c:pt>
                <c:pt idx="1117">
                  <c:v>3.3300000000000003E-2</c:v>
                </c:pt>
                <c:pt idx="1118">
                  <c:v>3.6800000000000006E-2</c:v>
                </c:pt>
                <c:pt idx="1119">
                  <c:v>3.9800000000000002E-2</c:v>
                </c:pt>
                <c:pt idx="1120">
                  <c:v>4.2999999999999997E-2</c:v>
                </c:pt>
                <c:pt idx="1121">
                  <c:v>4.7499999999999994E-2</c:v>
                </c:pt>
                <c:pt idx="1122">
                  <c:v>4.8600000000000004E-2</c:v>
                </c:pt>
                <c:pt idx="1123">
                  <c:v>4.7800000000000002E-2</c:v>
                </c:pt>
                <c:pt idx="1124">
                  <c:v>4.7600000000000003E-2</c:v>
                </c:pt>
                <c:pt idx="1125">
                  <c:v>5.2599999999999994E-2</c:v>
                </c:pt>
                <c:pt idx="1126">
                  <c:v>5.8799999999999998E-2</c:v>
                </c:pt>
                <c:pt idx="1127">
                  <c:v>5.7500000000000009E-2</c:v>
                </c:pt>
                <c:pt idx="1128">
                  <c:v>5.2699999999999997E-2</c:v>
                </c:pt>
              </c:numCache>
            </c:numRef>
          </c:xVal>
          <c:yVal>
            <c:numRef>
              <c:f>'MRP ERP WP'!$T$40:$T$1168</c:f>
              <c:numCache>
                <c:formatCode>0.00%</c:formatCode>
                <c:ptCount val="112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pt idx="1081">
                  <c:v>8.2064296232975717E-2</c:v>
                </c:pt>
                <c:pt idx="1082">
                  <c:v>0.1761199966806892</c:v>
                </c:pt>
                <c:pt idx="1083">
                  <c:v>0.16566830739625413</c:v>
                </c:pt>
                <c:pt idx="1084">
                  <c:v>0.15352347958378004</c:v>
                </c:pt>
                <c:pt idx="1085">
                  <c:v>0.15887262436073885</c:v>
                </c:pt>
                <c:pt idx="1086">
                  <c:v>0.16459003491205576</c:v>
                </c:pt>
                <c:pt idx="1087">
                  <c:v>0.14230496938719156</c:v>
                </c:pt>
                <c:pt idx="1088">
                  <c:v>0.18894612312543674</c:v>
                </c:pt>
                <c:pt idx="1089">
                  <c:v>0.25275853456566127</c:v>
                </c:pt>
                <c:pt idx="1090">
                  <c:v>0.21765749274105556</c:v>
                </c:pt>
                <c:pt idx="1091">
                  <c:v>0.15167995497447739</c:v>
                </c:pt>
                <c:pt idx="1092">
                  <c:v>0.24390297679977294</c:v>
                </c:pt>
                <c:pt idx="1093">
                  <c:v>0.26721050056474821</c:v>
                </c:pt>
                <c:pt idx="1094">
                  <c:v>9.4651962172058193E-2</c:v>
                </c:pt>
                <c:pt idx="1095">
                  <c:v>-5.0024625997535849E-2</c:v>
                </c:pt>
                <c:pt idx="1096">
                  <c:v>-2.4491936879772427E-2</c:v>
                </c:pt>
                <c:pt idx="1097">
                  <c:v>2.8133108084899529E-2</c:v>
                </c:pt>
                <c:pt idx="1098">
                  <c:v>-5.1966794329057535E-2</c:v>
                </c:pt>
                <c:pt idx="1099">
                  <c:v>3.0683550748332379E-2</c:v>
                </c:pt>
                <c:pt idx="1100">
                  <c:v>-4.7514488686469028E-2</c:v>
                </c:pt>
                <c:pt idx="1101">
                  <c:v>-7.8023434565094557E-2</c:v>
                </c:pt>
                <c:pt idx="1102">
                  <c:v>-2.3462097144369455E-2</c:v>
                </c:pt>
                <c:pt idx="1103">
                  <c:v>4.1417121318349792E-3</c:v>
                </c:pt>
                <c:pt idx="1104">
                  <c:v>-2.2282017134773676E-2</c:v>
                </c:pt>
                <c:pt idx="1105">
                  <c:v>-9.5030972916153686E-2</c:v>
                </c:pt>
                <c:pt idx="1106">
                  <c:v>-5.7974562979447877E-2</c:v>
                </c:pt>
                <c:pt idx="1107">
                  <c:v>0.15992807643231521</c:v>
                </c:pt>
                <c:pt idx="1108">
                  <c:v>0.17345826189458227</c:v>
                </c:pt>
                <c:pt idx="1109">
                  <c:v>9.5390337256184732E-2</c:v>
                </c:pt>
                <c:pt idx="1110">
                  <c:v>0.12654904159604669</c:v>
                </c:pt>
                <c:pt idx="1111">
                  <c:v>8.6137239524275516E-2</c:v>
                </c:pt>
                <c:pt idx="1112">
                  <c:v>0.16206106269542939</c:v>
                </c:pt>
                <c:pt idx="1113">
                  <c:v>7.6055270762372132E-2</c:v>
                </c:pt>
                <c:pt idx="1114">
                  <c:v>7.1514938509745704E-2</c:v>
                </c:pt>
                <c:pt idx="1115">
                  <c:v>4.6227862033716434E-2</c:v>
                </c:pt>
                <c:pt idx="1116">
                  <c:v>0.14135739138849199</c:v>
                </c:pt>
                <c:pt idx="1117">
                  <c:v>0.1105481548847721</c:v>
                </c:pt>
                <c:pt idx="1118">
                  <c:v>0.13976330046707836</c:v>
                </c:pt>
                <c:pt idx="1119">
                  <c:v>0.13507397474619581</c:v>
                </c:pt>
                <c:pt idx="1120">
                  <c:v>3.5798983269698922E-2</c:v>
                </c:pt>
                <c:pt idx="1121">
                  <c:v>0.10507994908855489</c:v>
                </c:pt>
                <c:pt idx="1122">
                  <c:v>7.0881299520244995E-2</c:v>
                </c:pt>
                <c:pt idx="1123">
                  <c:v>8.9365188662327066E-2</c:v>
                </c:pt>
                <c:pt idx="1124">
                  <c:v>5.166351580328063E-2</c:v>
                </c:pt>
                <c:pt idx="1125">
                  <c:v>-1.3635927087943159E-2</c:v>
                </c:pt>
                <c:pt idx="1126">
                  <c:v>-5.0175572326786745E-2</c:v>
                </c:pt>
                <c:pt idx="1127">
                  <c:v>3.9591701047486313E-2</c:v>
                </c:pt>
                <c:pt idx="1128">
                  <c:v>-5.680594963288102E-2</c:v>
                </c:pt>
              </c:numCache>
            </c:numRef>
          </c:yVal>
          <c:smooth val="0"/>
          <c:extLst>
            <c:ext xmlns:c16="http://schemas.microsoft.com/office/drawing/2014/chart" uri="{C3380CC4-5D6E-409C-BE32-E72D297353CC}">
              <c16:uniqueId val="{00000001-E3B2-4EA4-BDFE-95E52BB2CA9D}"/>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0"/>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WP'!$O$40:$O$1108</c:f>
              <c:numCache>
                <c:formatCode>0.00%</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Cache>
            </c:numRef>
          </c:xVal>
          <c:yVal>
            <c:numRef>
              <c:f>'MRP ERP WP'!$Q$40:$Q$1108</c:f>
              <c:numCache>
                <c:formatCode>0.00%</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Cache>
            </c:numRef>
          </c:yVal>
          <c:smooth val="0"/>
          <c:extLst>
            <c:ext xmlns:c16="http://schemas.microsoft.com/office/drawing/2014/chart" uri="{C3380CC4-5D6E-409C-BE32-E72D297353CC}">
              <c16:uniqueId val="{00000001-CE78-4EDF-A2B0-21EBF7559E9F}"/>
            </c:ext>
          </c:extLst>
        </c:ser>
        <c:dLbls>
          <c:showLegendKey val="0"/>
          <c:showVal val="0"/>
          <c:showCatName val="0"/>
          <c:showSerName val="0"/>
          <c:showPercent val="0"/>
          <c:showBubbleSize val="0"/>
        </c:dLbls>
        <c:axId val="784062040"/>
        <c:axId val="784059296"/>
      </c:scatterChart>
      <c:valAx>
        <c:axId val="784062040"/>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9296"/>
        <c:crosses val="autoZero"/>
        <c:crossBetween val="midCat"/>
      </c:valAx>
      <c:valAx>
        <c:axId val="784059296"/>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62040"/>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WP'!$S$40:$S$1108</c:f>
              <c:numCache>
                <c:formatCode>0.00%</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Cache>
            </c:numRef>
          </c:xVal>
          <c:yVal>
            <c:numRef>
              <c:f>'MRP ERP WP'!$T$40:$T$1108</c:f>
              <c:numCache>
                <c:formatCode>0.00%</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Cache>
            </c:numRef>
          </c:yVal>
          <c:smooth val="0"/>
          <c:extLst>
            <c:ext xmlns:c16="http://schemas.microsoft.com/office/drawing/2014/chart" uri="{C3380CC4-5D6E-409C-BE32-E72D297353CC}">
              <c16:uniqueId val="{00000001-BAED-469F-953A-4A899AAE6110}"/>
            </c:ext>
          </c:extLst>
        </c:ser>
        <c:dLbls>
          <c:showLegendKey val="0"/>
          <c:showVal val="0"/>
          <c:showCatName val="0"/>
          <c:showSerName val="0"/>
          <c:showPercent val="0"/>
          <c:showBubbleSize val="0"/>
        </c:dLbls>
        <c:axId val="784058904"/>
        <c:axId val="784056552"/>
      </c:scatterChart>
      <c:valAx>
        <c:axId val="78405890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6552"/>
        <c:crosses val="autoZero"/>
        <c:crossBetween val="midCat"/>
      </c:valAx>
      <c:valAx>
        <c:axId val="78405655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8904"/>
        <c:crosses val="autoZero"/>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WP'!$N$16:$N$1120</c:f>
              <c:numCache>
                <c:formatCode>0.00%</c:formatCode>
                <c:ptCount val="1105"/>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numCache>
            </c:numRef>
          </c:xVal>
          <c:yVal>
            <c:numRef>
              <c:f>'MRP ERP WP'!$P$16:$P$1120</c:f>
              <c:numCache>
                <c:formatCode>0.00%</c:formatCode>
                <c:ptCount val="1105"/>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numCache>
            </c:numRef>
          </c:yVal>
          <c:smooth val="0"/>
          <c:extLst>
            <c:ext xmlns:c16="http://schemas.microsoft.com/office/drawing/2014/chart" uri="{C3380CC4-5D6E-409C-BE32-E72D297353CC}">
              <c16:uniqueId val="{00000001-0517-4341-8271-145A36474EDD}"/>
            </c:ext>
          </c:extLst>
        </c:ser>
        <c:dLbls>
          <c:showLegendKey val="0"/>
          <c:showVal val="0"/>
          <c:showCatName val="0"/>
          <c:showSerName val="0"/>
          <c:showPercent val="0"/>
          <c:showBubbleSize val="0"/>
        </c:dLbls>
        <c:axId val="784051456"/>
        <c:axId val="784051848"/>
      </c:scatterChart>
      <c:valAx>
        <c:axId val="784051456"/>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784051848"/>
        <c:crosses val="autoZero"/>
        <c:crossBetween val="midCat"/>
      </c:valAx>
      <c:valAx>
        <c:axId val="78405184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45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WP'!$O$40:$O$1120</c:f>
              <c:numCache>
                <c:formatCode>0.00%</c:formatCode>
                <c:ptCount val="1081"/>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numCache>
            </c:numRef>
          </c:xVal>
          <c:yVal>
            <c:numRef>
              <c:f>'MRP ERP WP'!$Q$40:$Q$1120</c:f>
              <c:numCache>
                <c:formatCode>0.00%</c:formatCode>
                <c:ptCount val="1081"/>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numCache>
            </c:numRef>
          </c:yVal>
          <c:smooth val="0"/>
          <c:extLst>
            <c:ext xmlns:c16="http://schemas.microsoft.com/office/drawing/2014/chart" uri="{C3380CC4-5D6E-409C-BE32-E72D297353CC}">
              <c16:uniqueId val="{00000001-FFE7-4949-BB79-5E7911B70CF7}"/>
            </c:ext>
          </c:extLst>
        </c:ser>
        <c:dLbls>
          <c:showLegendKey val="0"/>
          <c:showVal val="0"/>
          <c:showCatName val="0"/>
          <c:showSerName val="0"/>
          <c:showPercent val="0"/>
          <c:showBubbleSize val="0"/>
        </c:dLbls>
        <c:axId val="784049496"/>
        <c:axId val="784057728"/>
      </c:scatterChart>
      <c:valAx>
        <c:axId val="784049496"/>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784057728"/>
        <c:crosses val="autoZero"/>
        <c:crossBetween val="midCat"/>
      </c:valAx>
      <c:valAx>
        <c:axId val="784057728"/>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49496"/>
        <c:crosses val="autoZero"/>
        <c:crossBetween val="midCat"/>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WP'!$S$40:$S$1120</c:f>
              <c:numCache>
                <c:formatCode>0.00%</c:formatCode>
                <c:ptCount val="1081"/>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numCache>
            </c:numRef>
          </c:xVal>
          <c:yVal>
            <c:numRef>
              <c:f>'MRP ERP WP'!$T$40:$T$1120</c:f>
              <c:numCache>
                <c:formatCode>0.00%</c:formatCode>
                <c:ptCount val="1081"/>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numCache>
            </c:numRef>
          </c:yVal>
          <c:smooth val="0"/>
          <c:extLst>
            <c:ext xmlns:c16="http://schemas.microsoft.com/office/drawing/2014/chart" uri="{C3380CC4-5D6E-409C-BE32-E72D297353CC}">
              <c16:uniqueId val="{00000001-B549-4562-92E4-1CF1326C0D01}"/>
            </c:ext>
          </c:extLst>
        </c:ser>
        <c:dLbls>
          <c:showLegendKey val="0"/>
          <c:showVal val="0"/>
          <c:showCatName val="0"/>
          <c:showSerName val="0"/>
          <c:showPercent val="0"/>
          <c:showBubbleSize val="0"/>
        </c:dLbls>
        <c:axId val="784051064"/>
        <c:axId val="784054984"/>
      </c:scatterChart>
      <c:valAx>
        <c:axId val="784051064"/>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784054984"/>
        <c:crosses val="autoZero"/>
        <c:crossBetween val="midCat"/>
      </c:valAx>
      <c:valAx>
        <c:axId val="784054984"/>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78405106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WP'!$N$16:$N$1168</c:f>
              <c:numCache>
                <c:formatCode>0.00%</c:formatCode>
                <c:ptCount val="1153"/>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pt idx="1117">
                  <c:v>2.4E-2</c:v>
                </c:pt>
                <c:pt idx="1118">
                  <c:v>1.8000000000000002E-2</c:v>
                </c:pt>
                <c:pt idx="1119">
                  <c:v>1.5599999999999999E-2</c:v>
                </c:pt>
                <c:pt idx="1120">
                  <c:v>1.0800000000000001E-2</c:v>
                </c:pt>
                <c:pt idx="1121">
                  <c:v>1.0800000000000001E-2</c:v>
                </c:pt>
                <c:pt idx="1122">
                  <c:v>1.0800000000000001E-2</c:v>
                </c:pt>
                <c:pt idx="1123">
                  <c:v>1.2E-2</c:v>
                </c:pt>
                <c:pt idx="1124">
                  <c:v>9.6000000000000009E-3</c:v>
                </c:pt>
                <c:pt idx="1125">
                  <c:v>0</c:v>
                </c:pt>
                <c:pt idx="1126">
                  <c:v>1.0800000000000001E-2</c:v>
                </c:pt>
                <c:pt idx="1127">
                  <c:v>1.32E-2</c:v>
                </c:pt>
                <c:pt idx="1128">
                  <c:v>1.32E-2</c:v>
                </c:pt>
                <c:pt idx="1129">
                  <c:v>1.32E-2</c:v>
                </c:pt>
                <c:pt idx="1130">
                  <c:v>1.44E-2</c:v>
                </c:pt>
                <c:pt idx="1131">
                  <c:v>2.1600000000000001E-2</c:v>
                </c:pt>
                <c:pt idx="1132">
                  <c:v>2.2800000000000001E-2</c:v>
                </c:pt>
                <c:pt idx="1133">
                  <c:v>2.1600000000000001E-2</c:v>
                </c:pt>
                <c:pt idx="1134">
                  <c:v>2.0399999999999998E-2</c:v>
                </c:pt>
                <c:pt idx="1135">
                  <c:v>1.9200000000000002E-2</c:v>
                </c:pt>
                <c:pt idx="1136">
                  <c:v>1.8000000000000002E-2</c:v>
                </c:pt>
                <c:pt idx="1137">
                  <c:v>1.6799999999999999E-2</c:v>
                </c:pt>
                <c:pt idx="1138">
                  <c:v>1.8000000000000002E-2</c:v>
                </c:pt>
                <c:pt idx="1139">
                  <c:v>2.0399999999999998E-2</c:v>
                </c:pt>
                <c:pt idx="1140">
                  <c:v>1.8000000000000002E-2</c:v>
                </c:pt>
                <c:pt idx="1141">
                  <c:v>2.0399999999999998E-2</c:v>
                </c:pt>
                <c:pt idx="1142">
                  <c:v>2.0399999999999998E-2</c:v>
                </c:pt>
                <c:pt idx="1143">
                  <c:v>2.4E-2</c:v>
                </c:pt>
                <c:pt idx="1144">
                  <c:v>2.52E-2</c:v>
                </c:pt>
                <c:pt idx="1145">
                  <c:v>3.3599999999999998E-2</c:v>
                </c:pt>
                <c:pt idx="1146">
                  <c:v>3.3599999999999998E-2</c:v>
                </c:pt>
                <c:pt idx="1147">
                  <c:v>3.2399999999999998E-2</c:v>
                </c:pt>
                <c:pt idx="1148">
                  <c:v>3.4799999999999998E-2</c:v>
                </c:pt>
                <c:pt idx="1149">
                  <c:v>3.4799999999999998E-2</c:v>
                </c:pt>
                <c:pt idx="1150">
                  <c:v>4.2000000000000003E-2</c:v>
                </c:pt>
                <c:pt idx="1151">
                  <c:v>4.3200000000000002E-2</c:v>
                </c:pt>
                <c:pt idx="1152">
                  <c:v>3.9599999999999996E-2</c:v>
                </c:pt>
              </c:numCache>
            </c:numRef>
          </c:xVal>
          <c:yVal>
            <c:numRef>
              <c:f>'MRP ERP WP'!$P$16:$P$1168</c:f>
              <c:numCache>
                <c:formatCode>0.00%</c:formatCode>
                <c:ptCount val="1153"/>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pt idx="1117">
                  <c:v>0.19302230297685499</c:v>
                </c:pt>
                <c:pt idx="1118">
                  <c:v>6.4125150122913657E-2</c:v>
                </c:pt>
                <c:pt idx="1119">
                  <c:v>-8.5167692679287643E-2</c:v>
                </c:pt>
                <c:pt idx="1120">
                  <c:v>-1.9449023361575966E-3</c:v>
                </c:pt>
                <c:pt idx="1121">
                  <c:v>0.11773881506955788</c:v>
                </c:pt>
                <c:pt idx="1122">
                  <c:v>6.4395457720170329E-2</c:v>
                </c:pt>
                <c:pt idx="1123">
                  <c:v>0.10771261981031933</c:v>
                </c:pt>
                <c:pt idx="1124">
                  <c:v>0.20988786544877219</c:v>
                </c:pt>
                <c:pt idx="1125">
                  <c:v>0.15161217881782529</c:v>
                </c:pt>
                <c:pt idx="1126">
                  <c:v>8.6370690869404992E-2</c:v>
                </c:pt>
                <c:pt idx="1127">
                  <c:v>0.161470347891156</c:v>
                </c:pt>
                <c:pt idx="1128">
                  <c:v>0.17082027688815404</c:v>
                </c:pt>
                <c:pt idx="1129">
                  <c:v>0.15933068436532982</c:v>
                </c:pt>
                <c:pt idx="1130">
                  <c:v>0.29854816525423716</c:v>
                </c:pt>
                <c:pt idx="1131">
                  <c:v>0.54195424403008896</c:v>
                </c:pt>
                <c:pt idx="1132">
                  <c:v>0.43709012645035855</c:v>
                </c:pt>
                <c:pt idx="1133">
                  <c:v>0.38171171948788768</c:v>
                </c:pt>
                <c:pt idx="1134">
                  <c:v>0.38758988386308002</c:v>
                </c:pt>
                <c:pt idx="1135">
                  <c:v>0.34533998778779018</c:v>
                </c:pt>
                <c:pt idx="1136">
                  <c:v>0.29371005076643208</c:v>
                </c:pt>
                <c:pt idx="1137">
                  <c:v>0.28332009709541878</c:v>
                </c:pt>
                <c:pt idx="1138">
                  <c:v>0.41127729186542838</c:v>
                </c:pt>
                <c:pt idx="1139">
                  <c:v>0.25892877742366593</c:v>
                </c:pt>
                <c:pt idx="1140">
                  <c:v>0.26921370055108418</c:v>
                </c:pt>
                <c:pt idx="1141">
                  <c:v>0.21271925672552136</c:v>
                </c:pt>
                <c:pt idx="1142">
                  <c:v>0.14371929831590877</c:v>
                </c:pt>
                <c:pt idx="1143">
                  <c:v>0.13264698628418173</c:v>
                </c:pt>
                <c:pt idx="1144">
                  <c:v>-2.293365380653023E-2</c:v>
                </c:pt>
                <c:pt idx="1145">
                  <c:v>-3.6509209913984021E-2</c:v>
                </c:pt>
                <c:pt idx="1146">
                  <c:v>-0.13959941375557552</c:v>
                </c:pt>
                <c:pt idx="1147">
                  <c:v>-7.8671302699589565E-2</c:v>
                </c:pt>
                <c:pt idx="1148">
                  <c:v>-0.14697336330497496</c:v>
                </c:pt>
                <c:pt idx="1149">
                  <c:v>-0.18943261305148013</c:v>
                </c:pt>
                <c:pt idx="1150">
                  <c:v>-0.18802173134160391</c:v>
                </c:pt>
                <c:pt idx="1151">
                  <c:v>-0.13521927914973275</c:v>
                </c:pt>
                <c:pt idx="1152">
                  <c:v>-0.22060973264807429</c:v>
                </c:pt>
              </c:numCache>
            </c:numRef>
          </c:yVal>
          <c:smooth val="0"/>
          <c:extLst>
            <c:ext xmlns:c16="http://schemas.microsoft.com/office/drawing/2014/chart" uri="{C3380CC4-5D6E-409C-BE32-E72D297353CC}">
              <c16:uniqueId val="{00000001-9141-44B3-BA0C-A3FA46A87635}"/>
            </c:ext>
          </c:extLst>
        </c:ser>
        <c:dLbls>
          <c:showLegendKey val="0"/>
          <c:showVal val="0"/>
          <c:showCatName val="0"/>
          <c:showSerName val="0"/>
          <c:showPercent val="0"/>
          <c:showBubbleSize val="0"/>
        </c:dLbls>
        <c:axId val="-2035267600"/>
        <c:axId val="-2035246912"/>
      </c:scatterChart>
      <c:valAx>
        <c:axId val="-2035267600"/>
        <c:scaling>
          <c:orientation val="minMax"/>
        </c:scaling>
        <c:delete val="0"/>
        <c:axPos val="b"/>
        <c:title>
          <c:tx>
            <c:rich>
              <a:bodyPr/>
              <a:lstStyle/>
              <a:p>
                <a:pPr>
                  <a:defRPr/>
                </a:pPr>
                <a:r>
                  <a:rPr lang="en-US"/>
                  <a:t>Risk-Free rate</a:t>
                </a:r>
              </a:p>
            </c:rich>
          </c:tx>
          <c:overlay val="0"/>
        </c:title>
        <c:numFmt formatCode="General" sourceLinked="0"/>
        <c:majorTickMark val="out"/>
        <c:minorTickMark val="none"/>
        <c:tickLblPos val="nextTo"/>
        <c:crossAx val="-2035246912"/>
        <c:crosses val="autoZero"/>
        <c:crossBetween val="midCat"/>
      </c:valAx>
      <c:valAx>
        <c:axId val="-2035246912"/>
        <c:scaling>
          <c:orientation val="minMax"/>
        </c:scaling>
        <c:delete val="0"/>
        <c:axPos val="l"/>
        <c:title>
          <c:tx>
            <c:rich>
              <a:bodyPr/>
              <a:lstStyle/>
              <a:p>
                <a:pPr>
                  <a:defRPr/>
                </a:pPr>
                <a:r>
                  <a:rPr lang="en-US"/>
                  <a:t>Risk Premium</a:t>
                </a:r>
              </a:p>
            </c:rich>
          </c:tx>
          <c:overlay val="0"/>
        </c:title>
        <c:numFmt formatCode="General" sourceLinked="0"/>
        <c:majorTickMark val="out"/>
        <c:minorTickMark val="none"/>
        <c:tickLblPos val="nextTo"/>
        <c:crossAx val="-2035267600"/>
        <c:crosses val="autoZero"/>
        <c:crossBetween val="midCat"/>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Lit>
              <c:formatCode>General</c:formatCode>
              <c:ptCount val="1069"/>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numLit>
          </c:xVal>
          <c:yVal>
            <c:numLit>
              <c:formatCode>General</c:formatCode>
              <c:ptCount val="1069"/>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numLit>
          </c:yVal>
          <c:smooth val="0"/>
          <c:extLst>
            <c:ext xmlns:c16="http://schemas.microsoft.com/office/drawing/2014/chart" uri="{C3380CC4-5D6E-409C-BE32-E72D297353CC}">
              <c16:uniqueId val="{00000001-9633-4111-AE5F-D9355F54B62D}"/>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General" sourceLinked="1"/>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Lit>
              <c:formatCode>General</c:formatCode>
              <c:ptCount val="1069"/>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numLit>
          </c:xVal>
          <c:yVal>
            <c:numLit>
              <c:formatCode>General</c:formatCode>
              <c:ptCount val="1069"/>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numLit>
          </c:yVal>
          <c:smooth val="0"/>
          <c:extLst>
            <c:ext xmlns:c16="http://schemas.microsoft.com/office/drawing/2014/chart" uri="{C3380CC4-5D6E-409C-BE32-E72D297353CC}">
              <c16:uniqueId val="{00000001-ADFA-42E4-B686-B65CFA8E9555}"/>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General" sourceLinked="1"/>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General" sourceLinked="1"/>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24</xdr:col>
      <xdr:colOff>81643</xdr:colOff>
      <xdr:row>20</xdr:row>
      <xdr:rowOff>122464</xdr:rowOff>
    </xdr:from>
    <xdr:to>
      <xdr:col>30</xdr:col>
      <xdr:colOff>81643</xdr:colOff>
      <xdr:row>38</xdr:row>
      <xdr:rowOff>68034</xdr:rowOff>
    </xdr:to>
    <xdr:graphicFrame macro="">
      <xdr:nvGraphicFramePr>
        <xdr:cNvPr id="2" name="Chart 1">
          <a:extLst>
            <a:ext uri="{FF2B5EF4-FFF2-40B4-BE49-F238E27FC236}">
              <a16:creationId xmlns:a16="http://schemas.microsoft.com/office/drawing/2014/main" id="{1328DC8D-82FE-4496-873E-29CC388D0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83004</xdr:colOff>
      <xdr:row>20</xdr:row>
      <xdr:rowOff>190507</xdr:rowOff>
    </xdr:from>
    <xdr:to>
      <xdr:col>40</xdr:col>
      <xdr:colOff>83004</xdr:colOff>
      <xdr:row>38</xdr:row>
      <xdr:rowOff>81642</xdr:rowOff>
    </xdr:to>
    <xdr:graphicFrame macro="">
      <xdr:nvGraphicFramePr>
        <xdr:cNvPr id="3" name="Chart 2">
          <a:extLst>
            <a:ext uri="{FF2B5EF4-FFF2-40B4-BE49-F238E27FC236}">
              <a16:creationId xmlns:a16="http://schemas.microsoft.com/office/drawing/2014/main" id="{DEB65C75-D84C-4BEA-936F-6A34D98D3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62593</xdr:colOff>
      <xdr:row>21</xdr:row>
      <xdr:rowOff>54435</xdr:rowOff>
    </xdr:from>
    <xdr:to>
      <xdr:col>50</xdr:col>
      <xdr:colOff>73479</xdr:colOff>
      <xdr:row>38</xdr:row>
      <xdr:rowOff>13607</xdr:rowOff>
    </xdr:to>
    <xdr:graphicFrame macro="">
      <xdr:nvGraphicFramePr>
        <xdr:cNvPr id="4" name="Chart 3">
          <a:extLst>
            <a:ext uri="{FF2B5EF4-FFF2-40B4-BE49-F238E27FC236}">
              <a16:creationId xmlns:a16="http://schemas.microsoft.com/office/drawing/2014/main" id="{CB3F0A33-51BD-4D6C-9F6D-15A6DFDBE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81643</xdr:colOff>
      <xdr:row>20</xdr:row>
      <xdr:rowOff>122464</xdr:rowOff>
    </xdr:from>
    <xdr:to>
      <xdr:col>30</xdr:col>
      <xdr:colOff>81643</xdr:colOff>
      <xdr:row>38</xdr:row>
      <xdr:rowOff>68034</xdr:rowOff>
    </xdr:to>
    <xdr:graphicFrame macro="">
      <xdr:nvGraphicFramePr>
        <xdr:cNvPr id="5" name="Chart 4">
          <a:extLst>
            <a:ext uri="{FF2B5EF4-FFF2-40B4-BE49-F238E27FC236}">
              <a16:creationId xmlns:a16="http://schemas.microsoft.com/office/drawing/2014/main" id="{8120DCAB-046A-48FC-B75B-D87EDD602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34</xdr:col>
      <xdr:colOff>83004</xdr:colOff>
      <xdr:row>20</xdr:row>
      <xdr:rowOff>190507</xdr:rowOff>
    </xdr:from>
    <xdr:to>
      <xdr:col>40</xdr:col>
      <xdr:colOff>83004</xdr:colOff>
      <xdr:row>38</xdr:row>
      <xdr:rowOff>81642</xdr:rowOff>
    </xdr:to>
    <xdr:graphicFrame macro="">
      <xdr:nvGraphicFramePr>
        <xdr:cNvPr id="6" name="Chart 5">
          <a:extLst>
            <a:ext uri="{FF2B5EF4-FFF2-40B4-BE49-F238E27FC236}">
              <a16:creationId xmlns:a16="http://schemas.microsoft.com/office/drawing/2014/main" id="{04B06B10-4254-4F99-832F-B6D9557BB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62593</xdr:colOff>
      <xdr:row>21</xdr:row>
      <xdr:rowOff>54435</xdr:rowOff>
    </xdr:from>
    <xdr:to>
      <xdr:col>50</xdr:col>
      <xdr:colOff>73479</xdr:colOff>
      <xdr:row>38</xdr:row>
      <xdr:rowOff>13607</xdr:rowOff>
    </xdr:to>
    <xdr:graphicFrame macro="">
      <xdr:nvGraphicFramePr>
        <xdr:cNvPr id="7" name="Chart 6">
          <a:extLst>
            <a:ext uri="{FF2B5EF4-FFF2-40B4-BE49-F238E27FC236}">
              <a16:creationId xmlns:a16="http://schemas.microsoft.com/office/drawing/2014/main" id="{4BBA6722-F219-486A-8978-6B9236DE6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81643</xdr:colOff>
      <xdr:row>20</xdr:row>
      <xdr:rowOff>122464</xdr:rowOff>
    </xdr:from>
    <xdr:to>
      <xdr:col>30</xdr:col>
      <xdr:colOff>81643</xdr:colOff>
      <xdr:row>38</xdr:row>
      <xdr:rowOff>68034</xdr:rowOff>
    </xdr:to>
    <xdr:graphicFrame macro="">
      <xdr:nvGraphicFramePr>
        <xdr:cNvPr id="8" name="Chart 7">
          <a:extLst>
            <a:ext uri="{FF2B5EF4-FFF2-40B4-BE49-F238E27FC236}">
              <a16:creationId xmlns:a16="http://schemas.microsoft.com/office/drawing/2014/main" id="{097D0AF9-ABCD-4B46-B685-603DC65B6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83004</xdr:colOff>
      <xdr:row>20</xdr:row>
      <xdr:rowOff>190507</xdr:rowOff>
    </xdr:from>
    <xdr:to>
      <xdr:col>40</xdr:col>
      <xdr:colOff>83004</xdr:colOff>
      <xdr:row>38</xdr:row>
      <xdr:rowOff>81642</xdr:rowOff>
    </xdr:to>
    <xdr:graphicFrame macro="">
      <xdr:nvGraphicFramePr>
        <xdr:cNvPr id="9" name="Chart 8">
          <a:extLst>
            <a:ext uri="{FF2B5EF4-FFF2-40B4-BE49-F238E27FC236}">
              <a16:creationId xmlns:a16="http://schemas.microsoft.com/office/drawing/2014/main" id="{D4ECD66F-0A61-43FA-8485-1527AF546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44</xdr:col>
      <xdr:colOff>62593</xdr:colOff>
      <xdr:row>21</xdr:row>
      <xdr:rowOff>54435</xdr:rowOff>
    </xdr:from>
    <xdr:to>
      <xdr:col>50</xdr:col>
      <xdr:colOff>73479</xdr:colOff>
      <xdr:row>38</xdr:row>
      <xdr:rowOff>13607</xdr:rowOff>
    </xdr:to>
    <xdr:graphicFrame macro="">
      <xdr:nvGraphicFramePr>
        <xdr:cNvPr id="10" name="Chart 9">
          <a:extLst>
            <a:ext uri="{FF2B5EF4-FFF2-40B4-BE49-F238E27FC236}">
              <a16:creationId xmlns:a16="http://schemas.microsoft.com/office/drawing/2014/main" id="{61954BD4-8324-474D-B97B-083EAA9E8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34</xdr:col>
      <xdr:colOff>83004</xdr:colOff>
      <xdr:row>20</xdr:row>
      <xdr:rowOff>190507</xdr:rowOff>
    </xdr:from>
    <xdr:to>
      <xdr:col>40</xdr:col>
      <xdr:colOff>83004</xdr:colOff>
      <xdr:row>38</xdr:row>
      <xdr:rowOff>81642</xdr:rowOff>
    </xdr:to>
    <xdr:graphicFrame macro="">
      <xdr:nvGraphicFramePr>
        <xdr:cNvPr id="11" name="Chart 10">
          <a:extLst>
            <a:ext uri="{FF2B5EF4-FFF2-40B4-BE49-F238E27FC236}">
              <a16:creationId xmlns:a16="http://schemas.microsoft.com/office/drawing/2014/main" id="{6B49AFEB-EF0C-4DA2-B6BA-DDD628EE9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44</xdr:col>
      <xdr:colOff>62593</xdr:colOff>
      <xdr:row>21</xdr:row>
      <xdr:rowOff>54435</xdr:rowOff>
    </xdr:from>
    <xdr:to>
      <xdr:col>50</xdr:col>
      <xdr:colOff>73479</xdr:colOff>
      <xdr:row>38</xdr:row>
      <xdr:rowOff>13607</xdr:rowOff>
    </xdr:to>
    <xdr:graphicFrame macro="">
      <xdr:nvGraphicFramePr>
        <xdr:cNvPr id="12" name="Chart 11">
          <a:extLst>
            <a:ext uri="{FF2B5EF4-FFF2-40B4-BE49-F238E27FC236}">
              <a16:creationId xmlns:a16="http://schemas.microsoft.com/office/drawing/2014/main" id="{ECE5CE20-382B-4DEE-97BF-36F4B7B6D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91DC3-8644-43F6-B65B-23095AC2EB8E}">
  <dimension ref="A1:G20"/>
  <sheetViews>
    <sheetView tabSelected="1" view="pageBreakPreview" zoomScaleNormal="100" zoomScaleSheetLayoutView="100" workbookViewId="0">
      <selection sqref="A1:E1"/>
    </sheetView>
  </sheetViews>
  <sheetFormatPr defaultColWidth="9" defaultRowHeight="12.45" x14ac:dyDescent="0.3"/>
  <cols>
    <col min="1" max="1" width="20.15234375" style="1" bestFit="1" customWidth="1"/>
    <col min="2" max="2" width="9" style="1"/>
    <col min="3" max="3" width="18.53515625" style="1" customWidth="1"/>
    <col min="4" max="4" width="9" style="1"/>
    <col min="5" max="5" width="18.53515625" style="1" customWidth="1"/>
    <col min="6" max="16384" width="9" style="1"/>
  </cols>
  <sheetData>
    <row r="1" spans="1:7" ht="15" x14ac:dyDescent="0.35">
      <c r="A1" s="863" t="s">
        <v>1116</v>
      </c>
      <c r="B1" s="863"/>
      <c r="C1" s="863"/>
      <c r="D1" s="863"/>
      <c r="E1" s="863"/>
    </row>
    <row r="2" spans="1:7" ht="15" x14ac:dyDescent="0.35">
      <c r="A2" s="864" t="s">
        <v>0</v>
      </c>
      <c r="B2" s="864"/>
      <c r="C2" s="864"/>
      <c r="D2" s="864"/>
      <c r="E2" s="864"/>
    </row>
    <row r="3" spans="1:7" ht="15" x14ac:dyDescent="0.35">
      <c r="A3" s="863" t="s">
        <v>1</v>
      </c>
      <c r="B3" s="863"/>
      <c r="C3" s="863"/>
      <c r="D3" s="863"/>
      <c r="E3" s="863"/>
    </row>
    <row r="4" spans="1:7" ht="15" x14ac:dyDescent="0.35">
      <c r="A4" s="3"/>
      <c r="B4" s="3"/>
      <c r="C4" s="3"/>
      <c r="D4" s="3"/>
      <c r="E4" s="3"/>
    </row>
    <row r="5" spans="1:7" ht="15" x14ac:dyDescent="0.35">
      <c r="A5" s="3"/>
      <c r="B5" s="3"/>
      <c r="C5" s="3"/>
      <c r="D5" s="3"/>
      <c r="E5" s="3"/>
    </row>
    <row r="6" spans="1:7" ht="15" x14ac:dyDescent="0.35">
      <c r="A6" s="864" t="str">
        <f>A1</f>
        <v>City of Ansonia</v>
      </c>
      <c r="B6" s="864"/>
      <c r="C6" s="864"/>
      <c r="D6" s="864"/>
      <c r="E6" s="864"/>
    </row>
    <row r="7" spans="1:7" ht="15" x14ac:dyDescent="0.35">
      <c r="A7" s="3"/>
      <c r="B7" s="3"/>
      <c r="C7" s="3"/>
      <c r="D7" s="3"/>
      <c r="E7" s="3"/>
    </row>
    <row r="8" spans="1:7" ht="15.9" thickBot="1" x14ac:dyDescent="0.45">
      <c r="A8" s="3"/>
      <c r="B8" s="3"/>
      <c r="C8" s="4" t="s">
        <v>2</v>
      </c>
      <c r="D8" s="4"/>
      <c r="E8" s="4"/>
    </row>
    <row r="9" spans="1:7" ht="15.45" thickBot="1" x14ac:dyDescent="0.4">
      <c r="A9" s="3" t="s">
        <v>3</v>
      </c>
      <c r="B9" s="3"/>
      <c r="C9" s="5" t="s">
        <v>4</v>
      </c>
      <c r="D9" s="5"/>
      <c r="E9" s="5"/>
    </row>
    <row r="10" spans="1:7" ht="15" x14ac:dyDescent="0.35">
      <c r="A10" s="2"/>
      <c r="B10" s="2"/>
      <c r="C10" s="2" t="s">
        <v>5</v>
      </c>
      <c r="D10" s="2"/>
      <c r="E10" s="2" t="s">
        <v>6</v>
      </c>
    </row>
    <row r="11" spans="1:7" ht="15" x14ac:dyDescent="0.35">
      <c r="A11" s="2"/>
      <c r="B11" s="2"/>
      <c r="C11" s="2" t="s">
        <v>7</v>
      </c>
      <c r="D11" s="2" t="s">
        <v>8</v>
      </c>
      <c r="E11" s="2" t="s">
        <v>7</v>
      </c>
    </row>
    <row r="12" spans="1:7" ht="15" x14ac:dyDescent="0.35">
      <c r="A12" s="3"/>
      <c r="B12" s="3"/>
      <c r="C12" s="6"/>
      <c r="D12" s="6"/>
      <c r="E12" s="6"/>
    </row>
    <row r="13" spans="1:7" ht="15" x14ac:dyDescent="0.35">
      <c r="A13" s="7" t="s">
        <v>9</v>
      </c>
      <c r="B13" s="3"/>
      <c r="C13" s="217">
        <f>'1.1 Cost Approach Summary'!D17</f>
        <v>71903390.220499516</v>
      </c>
      <c r="D13" s="8">
        <v>0.33333333333333331</v>
      </c>
      <c r="E13" s="9">
        <f>ROUND(C13*D13,0)</f>
        <v>23967797</v>
      </c>
    </row>
    <row r="14" spans="1:7" ht="15" x14ac:dyDescent="0.35">
      <c r="A14" s="7"/>
      <c r="B14" s="3"/>
      <c r="C14" s="6"/>
      <c r="D14" s="8"/>
      <c r="E14" s="6"/>
    </row>
    <row r="15" spans="1:7" ht="15" x14ac:dyDescent="0.35">
      <c r="A15" s="7" t="s">
        <v>10</v>
      </c>
      <c r="B15" s="3"/>
      <c r="C15" s="10">
        <f>'2.1 Market'!C24</f>
        <v>52355310.3545371</v>
      </c>
      <c r="D15" s="8">
        <v>0.33333333333333331</v>
      </c>
      <c r="E15" s="11">
        <f>ROUND(C15*D15,0)</f>
        <v>17451770</v>
      </c>
      <c r="G15" s="289"/>
    </row>
    <row r="16" spans="1:7" ht="15" x14ac:dyDescent="0.35">
      <c r="A16" s="7"/>
      <c r="B16" s="3"/>
      <c r="C16" s="6"/>
      <c r="D16" s="8"/>
      <c r="E16" s="6"/>
      <c r="G16" s="289"/>
    </row>
    <row r="17" spans="1:5" ht="15" x14ac:dyDescent="0.35">
      <c r="A17" s="7" t="s">
        <v>11</v>
      </c>
      <c r="B17" s="3"/>
      <c r="C17" s="12">
        <f ca="1">'3.1 Income Approach'!M39</f>
        <v>40022079.044711903</v>
      </c>
      <c r="D17" s="8">
        <v>0.33333333333333331</v>
      </c>
      <c r="E17" s="13">
        <f ca="1">ROUND(C17*D17,0)</f>
        <v>13340693</v>
      </c>
    </row>
    <row r="18" spans="1:5" ht="15" x14ac:dyDescent="0.35">
      <c r="A18" s="3"/>
      <c r="B18" s="3"/>
      <c r="C18" s="6"/>
      <c r="D18" s="6"/>
      <c r="E18" s="6"/>
    </row>
    <row r="19" spans="1:5" ht="15.9" thickBot="1" x14ac:dyDescent="0.45">
      <c r="A19" s="14" t="s">
        <v>12</v>
      </c>
      <c r="B19" s="15"/>
      <c r="C19" s="15"/>
      <c r="D19" s="15"/>
      <c r="E19" s="16">
        <f ca="1">SUM(E13:E17)</f>
        <v>54760260</v>
      </c>
    </row>
    <row r="20" spans="1:5" ht="15.45" thickTop="1" x14ac:dyDescent="0.35">
      <c r="A20" s="3"/>
      <c r="B20" s="3"/>
      <c r="C20" s="3"/>
      <c r="D20" s="3"/>
      <c r="E20" s="3"/>
    </row>
  </sheetData>
  <mergeCells count="4">
    <mergeCell ref="A1:E1"/>
    <mergeCell ref="A2:E2"/>
    <mergeCell ref="A3:E3"/>
    <mergeCell ref="A6:E6"/>
  </mergeCell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CEFBF-A87D-43DD-86F2-9948FB85F440}">
  <dimension ref="A1:N25"/>
  <sheetViews>
    <sheetView view="pageBreakPreview" zoomScaleNormal="90" zoomScaleSheetLayoutView="100" workbookViewId="0">
      <selection sqref="A1:K1"/>
    </sheetView>
  </sheetViews>
  <sheetFormatPr defaultColWidth="9" defaultRowHeight="14.15" x14ac:dyDescent="0.35"/>
  <cols>
    <col min="1" max="1" width="31" style="141" bestFit="1" customWidth="1"/>
    <col min="2" max="2" width="9.69140625" style="141" bestFit="1" customWidth="1"/>
    <col min="3" max="3" width="15" style="141" customWidth="1"/>
    <col min="4" max="4" width="3" style="141" customWidth="1"/>
    <col min="5" max="5" width="14.53515625" style="141" customWidth="1"/>
    <col min="6" max="6" width="3.15234375" style="141" customWidth="1"/>
    <col min="7" max="7" width="14.3828125" style="141" customWidth="1"/>
    <col min="8" max="8" width="3.15234375" style="141" customWidth="1"/>
    <col min="9" max="9" width="14.3828125" style="326" customWidth="1"/>
    <col min="10" max="10" width="3.53515625" style="141" customWidth="1"/>
    <col min="11" max="11" width="14.53515625" style="141" customWidth="1"/>
    <col min="12" max="12" width="9" style="141"/>
    <col min="13" max="13" width="20.07421875" style="141" bestFit="1" customWidth="1"/>
    <col min="14" max="16384" width="9" style="141"/>
  </cols>
  <sheetData>
    <row r="1" spans="1:14" x14ac:dyDescent="0.35">
      <c r="A1" s="873" t="str">
        <f>Summary!A1</f>
        <v>City of Ansonia</v>
      </c>
      <c r="B1" s="873"/>
      <c r="C1" s="873"/>
      <c r="D1" s="873"/>
      <c r="E1" s="873"/>
      <c r="F1" s="873"/>
      <c r="G1" s="873"/>
      <c r="H1" s="873"/>
      <c r="I1" s="873"/>
      <c r="J1" s="873"/>
      <c r="K1" s="873"/>
    </row>
    <row r="2" spans="1:14" x14ac:dyDescent="0.35">
      <c r="A2" s="874" t="s">
        <v>1123</v>
      </c>
      <c r="B2" s="874"/>
      <c r="C2" s="874"/>
      <c r="D2" s="874"/>
      <c r="E2" s="874"/>
      <c r="F2" s="874"/>
      <c r="G2" s="874"/>
      <c r="H2" s="874"/>
      <c r="I2" s="874"/>
      <c r="J2" s="874"/>
      <c r="K2" s="874"/>
    </row>
    <row r="3" spans="1:14" x14ac:dyDescent="0.35">
      <c r="A3" s="324"/>
      <c r="B3" s="325"/>
      <c r="C3" s="325"/>
      <c r="D3" s="325"/>
    </row>
    <row r="4" spans="1:14" x14ac:dyDescent="0.35">
      <c r="A4" s="324"/>
      <c r="B4" s="325"/>
      <c r="C4" s="325"/>
      <c r="D4" s="325"/>
      <c r="K4" s="326"/>
    </row>
    <row r="5" spans="1:14" ht="15.65" customHeight="1" x14ac:dyDescent="0.35">
      <c r="C5" s="875" t="s">
        <v>950</v>
      </c>
      <c r="D5" s="875"/>
      <c r="E5" s="875"/>
      <c r="F5" s="875"/>
      <c r="G5" s="875"/>
      <c r="H5" s="875"/>
      <c r="I5" s="875"/>
      <c r="J5" s="875"/>
      <c r="K5" s="875"/>
    </row>
    <row r="6" spans="1:14" x14ac:dyDescent="0.35">
      <c r="A6" s="327" t="s">
        <v>953</v>
      </c>
      <c r="B6" s="327"/>
      <c r="C6" s="328">
        <v>2018</v>
      </c>
      <c r="D6" s="327"/>
      <c r="E6" s="328">
        <v>2019</v>
      </c>
      <c r="F6" s="327"/>
      <c r="G6" s="328">
        <v>2020</v>
      </c>
      <c r="H6" s="327"/>
      <c r="I6" s="323">
        <v>2021</v>
      </c>
      <c r="K6" s="323">
        <v>2022</v>
      </c>
    </row>
    <row r="7" spans="1:14" x14ac:dyDescent="0.35">
      <c r="M7" s="848" t="s">
        <v>3220</v>
      </c>
      <c r="N7" s="849">
        <v>200000</v>
      </c>
    </row>
    <row r="8" spans="1:14" x14ac:dyDescent="0.35">
      <c r="A8" s="141" t="s">
        <v>1124</v>
      </c>
      <c r="C8" s="329">
        <v>1742428</v>
      </c>
      <c r="E8" s="329">
        <v>1697876</v>
      </c>
      <c r="F8" s="186"/>
      <c r="G8" s="329">
        <v>1624216</v>
      </c>
      <c r="H8" s="186"/>
      <c r="I8" s="330">
        <v>2069545</v>
      </c>
      <c r="K8" s="330">
        <v>2295656</v>
      </c>
      <c r="M8" s="848" t="s">
        <v>3219</v>
      </c>
      <c r="N8" s="849">
        <v>180000</v>
      </c>
    </row>
    <row r="9" spans="1:14" x14ac:dyDescent="0.35">
      <c r="E9" s="186"/>
      <c r="F9" s="186"/>
      <c r="G9" s="186"/>
      <c r="H9" s="186"/>
      <c r="I9" s="331"/>
      <c r="K9" s="331"/>
      <c r="M9" s="848" t="s">
        <v>3222</v>
      </c>
      <c r="N9" s="849">
        <v>100000</v>
      </c>
    </row>
    <row r="10" spans="1:14" x14ac:dyDescent="0.35">
      <c r="A10" s="150" t="s">
        <v>1131</v>
      </c>
      <c r="B10" s="327"/>
      <c r="C10" s="329">
        <f>SUM(C8:C8)</f>
        <v>1742428</v>
      </c>
      <c r="D10" s="329"/>
      <c r="E10" s="329">
        <f>SUM(E8:E8)</f>
        <v>1697876</v>
      </c>
      <c r="F10" s="329"/>
      <c r="G10" s="329">
        <f>SUM(G8:G8)</f>
        <v>1624216</v>
      </c>
      <c r="H10" s="329"/>
      <c r="I10" s="329">
        <f>SUM(I8:I8)</f>
        <v>2069545</v>
      </c>
      <c r="J10" s="332"/>
      <c r="K10" s="329">
        <f>SUM(K8:K8)</f>
        <v>2295656</v>
      </c>
      <c r="M10" s="848" t="s">
        <v>3223</v>
      </c>
      <c r="N10" s="849">
        <v>450000</v>
      </c>
    </row>
    <row r="11" spans="1:14" x14ac:dyDescent="0.35">
      <c r="M11" s="848" t="s">
        <v>3221</v>
      </c>
      <c r="N11" s="849">
        <v>150000</v>
      </c>
    </row>
    <row r="13" spans="1:14" x14ac:dyDescent="0.35">
      <c r="A13" s="333" t="s">
        <v>955</v>
      </c>
      <c r="B13" s="327"/>
      <c r="C13" s="327"/>
      <c r="D13" s="327"/>
      <c r="E13" s="327"/>
      <c r="F13" s="327"/>
      <c r="G13" s="327"/>
      <c r="H13" s="327"/>
      <c r="I13" s="334"/>
    </row>
    <row r="14" spans="1:14" x14ac:dyDescent="0.35">
      <c r="A14" s="333"/>
      <c r="B14" s="327"/>
      <c r="C14" s="327"/>
      <c r="D14" s="327"/>
      <c r="E14" s="327"/>
      <c r="F14" s="327"/>
      <c r="H14" s="327"/>
      <c r="I14" s="334"/>
    </row>
    <row r="15" spans="1:14" x14ac:dyDescent="0.35">
      <c r="A15" s="141" t="s">
        <v>1125</v>
      </c>
      <c r="C15" s="177">
        <v>695743</v>
      </c>
      <c r="E15" s="177">
        <v>732226</v>
      </c>
      <c r="F15" s="177"/>
      <c r="G15" s="177">
        <v>756649</v>
      </c>
      <c r="I15" s="177">
        <v>786725</v>
      </c>
      <c r="K15" s="177">
        <v>629059</v>
      </c>
    </row>
    <row r="16" spans="1:14" x14ac:dyDescent="0.35">
      <c r="A16" s="141" t="s">
        <v>1126</v>
      </c>
      <c r="C16" s="177">
        <v>340884</v>
      </c>
      <c r="E16" s="177">
        <v>1330026</v>
      </c>
      <c r="F16" s="177"/>
      <c r="G16" s="177">
        <v>444588</v>
      </c>
      <c r="I16" s="177">
        <v>441269</v>
      </c>
      <c r="K16" s="177">
        <v>445012</v>
      </c>
    </row>
    <row r="17" spans="1:11" x14ac:dyDescent="0.35">
      <c r="A17" s="141" t="s">
        <v>1127</v>
      </c>
      <c r="C17" s="177">
        <v>413448</v>
      </c>
      <c r="E17" s="177">
        <v>401732</v>
      </c>
      <c r="F17" s="177"/>
      <c r="G17" s="177">
        <v>427790</v>
      </c>
      <c r="I17" s="177">
        <v>451716</v>
      </c>
      <c r="K17" s="177">
        <v>421944</v>
      </c>
    </row>
    <row r="18" spans="1:11" x14ac:dyDescent="0.35">
      <c r="A18" s="141" t="s">
        <v>1128</v>
      </c>
      <c r="C18" s="177">
        <v>45966</v>
      </c>
      <c r="E18" s="177">
        <v>230096</v>
      </c>
      <c r="F18" s="177"/>
      <c r="G18" s="177">
        <v>76500</v>
      </c>
      <c r="I18" s="177">
        <v>43802</v>
      </c>
      <c r="K18" s="177">
        <v>54632</v>
      </c>
    </row>
    <row r="19" spans="1:11" x14ac:dyDescent="0.35">
      <c r="A19" s="141" t="s">
        <v>1129</v>
      </c>
      <c r="C19" s="177">
        <v>179118</v>
      </c>
      <c r="E19" s="177">
        <v>201525</v>
      </c>
      <c r="F19" s="177"/>
      <c r="G19" s="177">
        <v>215278</v>
      </c>
      <c r="I19" s="177">
        <v>239584</v>
      </c>
      <c r="K19" s="177">
        <v>258824</v>
      </c>
    </row>
    <row r="20" spans="1:11" x14ac:dyDescent="0.35">
      <c r="K20" s="326"/>
    </row>
    <row r="21" spans="1:11" x14ac:dyDescent="0.35">
      <c r="A21" s="141" t="s">
        <v>1130</v>
      </c>
      <c r="C21" s="180">
        <f>SUM(C15:C19)</f>
        <v>1675159</v>
      </c>
      <c r="D21" s="180"/>
      <c r="E21" s="180">
        <f>SUM(E15:E19)</f>
        <v>2895605</v>
      </c>
      <c r="F21" s="180"/>
      <c r="G21" s="180">
        <f>SUM(G15:G19)</f>
        <v>1920805</v>
      </c>
      <c r="I21" s="335">
        <f>SUM(I15:I19)</f>
        <v>1963096</v>
      </c>
      <c r="K21" s="335">
        <f>SUM(K15:K19)</f>
        <v>1809471</v>
      </c>
    </row>
    <row r="22" spans="1:11" x14ac:dyDescent="0.35">
      <c r="K22" s="326"/>
    </row>
    <row r="23" spans="1:11" x14ac:dyDescent="0.35">
      <c r="A23" s="324" t="s">
        <v>957</v>
      </c>
      <c r="C23" s="180">
        <f>C10-C21</f>
        <v>67269</v>
      </c>
      <c r="D23" s="180"/>
      <c r="E23" s="180">
        <f>E10-E21</f>
        <v>-1197729</v>
      </c>
      <c r="F23" s="180"/>
      <c r="G23" s="180">
        <f>G10-G21</f>
        <v>-296589</v>
      </c>
      <c r="H23" s="180"/>
      <c r="I23" s="180">
        <f>I10-I21</f>
        <v>106449</v>
      </c>
      <c r="K23" s="180">
        <f>K10-K21</f>
        <v>486185</v>
      </c>
    </row>
    <row r="24" spans="1:11" x14ac:dyDescent="0.35">
      <c r="A24" s="324"/>
    </row>
    <row r="25" spans="1:11" x14ac:dyDescent="0.35">
      <c r="A25" s="141" t="s">
        <v>995</v>
      </c>
      <c r="C25" s="186"/>
      <c r="D25" s="186"/>
      <c r="E25" s="186"/>
      <c r="F25" s="186"/>
      <c r="G25" s="186">
        <v>249867</v>
      </c>
      <c r="H25" s="186"/>
      <c r="I25" s="331">
        <v>22771</v>
      </c>
      <c r="J25" s="186"/>
      <c r="K25" s="186">
        <v>73313</v>
      </c>
    </row>
  </sheetData>
  <mergeCells count="3">
    <mergeCell ref="A1:K1"/>
    <mergeCell ref="A2:K2"/>
    <mergeCell ref="C5:K5"/>
  </mergeCells>
  <printOptions horizontalCentered="1"/>
  <pageMargins left="0.7" right="0.7" top="0.75" bottom="0.75" header="0.3" footer="0.3"/>
  <pageSetup scale="71" fitToWidth="0" fitToHeight="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7B2A-FFF6-4154-8016-3992CF1C8045}">
  <dimension ref="A1:B15"/>
  <sheetViews>
    <sheetView zoomScaleNormal="100" workbookViewId="0"/>
  </sheetViews>
  <sheetFormatPr defaultColWidth="8.84375" defaultRowHeight="14.6" x14ac:dyDescent="0.4"/>
  <cols>
    <col min="1" max="1" width="29.53515625" customWidth="1"/>
    <col min="2" max="2" width="17.15234375" customWidth="1"/>
    <col min="3" max="3" width="16.3828125" customWidth="1"/>
    <col min="4" max="4" width="74" customWidth="1"/>
    <col min="5" max="5" width="23.84375" customWidth="1"/>
  </cols>
  <sheetData>
    <row r="1" spans="1:2" x14ac:dyDescent="0.4">
      <c r="A1" s="210" t="str">
        <f>Summary!A1</f>
        <v>City of Ansonia</v>
      </c>
    </row>
    <row r="2" spans="1:2" x14ac:dyDescent="0.4">
      <c r="A2" s="287" t="s">
        <v>63</v>
      </c>
      <c r="B2" s="287" t="s">
        <v>994</v>
      </c>
    </row>
    <row r="3" spans="1:2" x14ac:dyDescent="0.4">
      <c r="A3" t="s">
        <v>29</v>
      </c>
      <c r="B3" s="211">
        <v>75</v>
      </c>
    </row>
    <row r="4" spans="1:2" x14ac:dyDescent="0.4">
      <c r="A4" t="s">
        <v>45</v>
      </c>
      <c r="B4" s="211">
        <v>50</v>
      </c>
    </row>
    <row r="5" spans="1:2" x14ac:dyDescent="0.4">
      <c r="A5" t="s">
        <v>23</v>
      </c>
      <c r="B5" s="211">
        <v>25</v>
      </c>
    </row>
    <row r="6" spans="1:2" x14ac:dyDescent="0.4">
      <c r="A6" t="s">
        <v>28</v>
      </c>
      <c r="B6" s="211">
        <v>25</v>
      </c>
    </row>
    <row r="7" spans="1:2" x14ac:dyDescent="0.4">
      <c r="A7" s="288" t="s">
        <v>48</v>
      </c>
      <c r="B7" s="211">
        <v>25</v>
      </c>
    </row>
    <row r="8" spans="1:2" x14ac:dyDescent="0.4">
      <c r="A8" t="s">
        <v>702</v>
      </c>
      <c r="B8" s="238">
        <v>10</v>
      </c>
    </row>
    <row r="9" spans="1:2" x14ac:dyDescent="0.4">
      <c r="A9" s="288" t="s">
        <v>22</v>
      </c>
      <c r="B9" s="238">
        <v>30</v>
      </c>
    </row>
    <row r="10" spans="1:2" x14ac:dyDescent="0.4">
      <c r="A10" t="s">
        <v>57</v>
      </c>
      <c r="B10" s="238">
        <v>30</v>
      </c>
    </row>
    <row r="11" spans="1:2" x14ac:dyDescent="0.4">
      <c r="A11" t="s">
        <v>701</v>
      </c>
      <c r="B11" s="238">
        <v>25</v>
      </c>
    </row>
    <row r="12" spans="1:2" x14ac:dyDescent="0.4">
      <c r="A12" t="s">
        <v>60</v>
      </c>
      <c r="B12" s="238">
        <v>30</v>
      </c>
    </row>
    <row r="13" spans="1:2" x14ac:dyDescent="0.4">
      <c r="A13" t="s">
        <v>61</v>
      </c>
      <c r="B13" s="238">
        <v>30</v>
      </c>
    </row>
    <row r="14" spans="1:2" x14ac:dyDescent="0.4">
      <c r="A14" s="210"/>
    </row>
    <row r="15" spans="1:2" x14ac:dyDescent="0.4">
      <c r="A15" s="21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DBD7F-07C3-4F4B-8E6E-DAE1977A3B20}">
  <dimension ref="A1:GS67"/>
  <sheetViews>
    <sheetView view="pageBreakPreview" zoomScale="115" zoomScaleNormal="50" zoomScaleSheetLayoutView="115" workbookViewId="0"/>
  </sheetViews>
  <sheetFormatPr defaultColWidth="10.3046875" defaultRowHeight="12.45" x14ac:dyDescent="0.3"/>
  <cols>
    <col min="1" max="1" width="3.84375" style="23" customWidth="1"/>
    <col min="2" max="2" width="32.69140625" style="23" customWidth="1"/>
    <col min="3" max="79" width="3.84375" style="23" customWidth="1"/>
    <col min="80" max="81" width="3.84375" style="23" hidden="1" customWidth="1"/>
    <col min="82" max="82" width="3.84375" style="23" customWidth="1"/>
    <col min="83" max="84" width="3.84375" style="23" hidden="1" customWidth="1"/>
    <col min="85" max="85" width="3.84375" style="23" customWidth="1"/>
    <col min="86" max="87" width="3.84375" style="23" hidden="1" customWidth="1"/>
    <col min="88" max="88" width="3.84375" style="23" customWidth="1"/>
    <col min="89" max="90" width="3.84375" style="23" hidden="1" customWidth="1"/>
    <col min="91" max="91" width="3.84375" style="23" customWidth="1"/>
    <col min="92" max="93" width="3.84375" style="23" hidden="1" customWidth="1"/>
    <col min="94" max="94" width="3.84375" style="23" customWidth="1"/>
    <col min="95" max="96" width="3.84375" style="23" hidden="1" customWidth="1"/>
    <col min="97" max="97" width="3.84375" style="23" customWidth="1"/>
    <col min="98" max="99" width="3.84375" style="23" hidden="1" customWidth="1"/>
    <col min="100" max="100" width="3.84375" style="23" customWidth="1"/>
    <col min="101" max="102" width="3.84375" style="23" hidden="1" customWidth="1"/>
    <col min="103" max="103" width="3.84375" style="23" customWidth="1"/>
    <col min="104" max="105" width="3.84375" style="23" hidden="1" customWidth="1"/>
    <col min="106" max="106" width="3.84375" style="23" customWidth="1"/>
    <col min="107" max="108" width="3.84375" style="23" hidden="1" customWidth="1"/>
    <col min="109" max="109" width="3.84375" style="23" customWidth="1"/>
    <col min="110" max="111" width="3.84375" style="23" hidden="1" customWidth="1"/>
    <col min="112" max="112" width="3.84375" style="23" customWidth="1"/>
    <col min="113" max="114" width="3.84375" style="23" hidden="1" customWidth="1"/>
    <col min="115" max="115" width="3.84375" style="23" customWidth="1"/>
    <col min="116" max="117" width="3.84375" style="23" hidden="1" customWidth="1"/>
    <col min="118" max="118" width="3.84375" style="23" customWidth="1"/>
    <col min="119" max="120" width="3.84375" style="23" hidden="1" customWidth="1"/>
    <col min="121" max="121" width="3.84375" style="23" customWidth="1"/>
    <col min="122" max="123" width="3.84375" style="23" hidden="1" customWidth="1"/>
    <col min="124" max="124" width="3.84375" style="23" customWidth="1"/>
    <col min="125" max="126" width="3.84375" style="23" hidden="1" customWidth="1"/>
    <col min="127" max="127" width="3.84375" style="23" customWidth="1"/>
    <col min="128" max="129" width="4.15234375" style="23" hidden="1" customWidth="1"/>
    <col min="130" max="131" width="3.84375" style="23" customWidth="1"/>
    <col min="132" max="132" width="3.69140625" style="23" customWidth="1"/>
    <col min="133" max="134" width="3.84375" style="23" customWidth="1"/>
    <col min="135" max="135" width="4.15234375" style="23" bestFit="1" customWidth="1"/>
    <col min="136" max="136" width="3.84375" style="23" hidden="1" customWidth="1"/>
    <col min="137" max="138" width="4.15234375" style="23" bestFit="1" customWidth="1"/>
    <col min="139" max="139" width="3.53515625" style="23" customWidth="1"/>
    <col min="140" max="141" width="4.3046875" style="23" customWidth="1"/>
    <col min="142" max="142" width="3.84375" style="23" customWidth="1"/>
    <col min="143" max="143" width="4.69140625" style="23" bestFit="1" customWidth="1"/>
    <col min="144" max="144" width="4.15234375" style="23" customWidth="1"/>
    <col min="145" max="145" width="4.3046875" style="23" customWidth="1"/>
    <col min="146" max="147" width="4.15234375" style="23" customWidth="1"/>
    <col min="148" max="148" width="4.3828125" style="23" customWidth="1"/>
    <col min="149" max="149" width="4.53515625" style="23" customWidth="1"/>
    <col min="150" max="150" width="4.69140625" style="23" customWidth="1"/>
    <col min="151" max="151" width="3.84375" style="23" hidden="1" customWidth="1"/>
    <col min="152" max="152" width="4.53515625" style="38" customWidth="1"/>
    <col min="153" max="153" width="4.69140625" style="23" customWidth="1"/>
    <col min="154" max="154" width="3.84375" style="23" hidden="1" customWidth="1"/>
    <col min="155" max="156" width="4.53515625" style="23" customWidth="1"/>
    <col min="157" max="157" width="3.84375" style="23" hidden="1" customWidth="1"/>
    <col min="158" max="159" width="4.69140625" style="23" customWidth="1"/>
    <col min="160" max="160" width="3.84375" style="23" hidden="1" customWidth="1"/>
    <col min="161" max="162" width="4.53515625" style="23" customWidth="1"/>
    <col min="163" max="163" width="3.84375" style="23" hidden="1" customWidth="1"/>
    <col min="164" max="164" width="4.53515625" style="23" customWidth="1"/>
    <col min="165" max="165" width="4.69140625" style="23" customWidth="1"/>
    <col min="166" max="166" width="3.84375" style="23" hidden="1" customWidth="1"/>
    <col min="167" max="167" width="5.15234375" style="23" customWidth="1"/>
    <col min="168" max="168" width="4.53515625" style="23" customWidth="1"/>
    <col min="169" max="169" width="3.84375" style="23" hidden="1" customWidth="1"/>
    <col min="170" max="170" width="5" style="23" customWidth="1"/>
    <col min="171" max="171" width="4.84375" style="23" customWidth="1"/>
    <col min="172" max="172" width="0.15234375" style="23" hidden="1" customWidth="1"/>
    <col min="173" max="174" width="4.53515625" style="23" customWidth="1"/>
    <col min="175" max="175" width="3.84375" style="23" hidden="1" customWidth="1"/>
    <col min="176" max="176" width="4.53515625" style="23" customWidth="1"/>
    <col min="177" max="177" width="4.69140625" style="23" customWidth="1"/>
    <col min="178" max="178" width="3.84375" style="23" hidden="1" customWidth="1"/>
    <col min="179" max="180" width="4.3828125" style="23" customWidth="1"/>
    <col min="181" max="181" width="3.84375" style="23" customWidth="1"/>
    <col min="182" max="183" width="4.3828125" style="23" customWidth="1"/>
    <col min="184" max="184" width="4.84375" style="23" bestFit="1" customWidth="1"/>
    <col min="185" max="185" width="5.3828125" style="23" customWidth="1"/>
    <col min="186" max="186" width="4.3828125" style="23" customWidth="1"/>
    <col min="187" max="187" width="5.15234375" style="23" customWidth="1"/>
    <col min="188" max="188" width="4.3828125" style="23" customWidth="1"/>
    <col min="189" max="189" width="4.3046875" style="23" customWidth="1"/>
    <col min="190" max="190" width="4.3046875" style="23" hidden="1" customWidth="1"/>
    <col min="191" max="192" width="4.3828125" style="132" customWidth="1"/>
    <col min="193" max="193" width="3.84375" style="23" hidden="1" customWidth="1"/>
    <col min="194" max="195" width="4.3828125" style="132" customWidth="1"/>
    <col min="196" max="196" width="3.84375" style="23" hidden="1" customWidth="1"/>
    <col min="197" max="198" width="4.3828125" style="132" customWidth="1"/>
    <col min="199" max="199" width="3.84375" style="23" hidden="1" customWidth="1"/>
    <col min="200" max="201" width="4.3828125" style="132" customWidth="1"/>
    <col min="202" max="256" width="10.3046875" style="23"/>
    <col min="257" max="257" width="3.84375" style="23" customWidth="1"/>
    <col min="258" max="258" width="32.69140625" style="23" customWidth="1"/>
    <col min="259" max="335" width="3.84375" style="23" customWidth="1"/>
    <col min="336" max="337" width="0" style="23" hidden="1" customWidth="1"/>
    <col min="338" max="338" width="3.84375" style="23" customWidth="1"/>
    <col min="339" max="340" width="0" style="23" hidden="1" customWidth="1"/>
    <col min="341" max="341" width="3.84375" style="23" customWidth="1"/>
    <col min="342" max="343" width="0" style="23" hidden="1" customWidth="1"/>
    <col min="344" max="344" width="3.84375" style="23" customWidth="1"/>
    <col min="345" max="346" width="0" style="23" hidden="1" customWidth="1"/>
    <col min="347" max="347" width="3.84375" style="23" customWidth="1"/>
    <col min="348" max="349" width="0" style="23" hidden="1" customWidth="1"/>
    <col min="350" max="350" width="3.84375" style="23" customWidth="1"/>
    <col min="351" max="352" width="0" style="23" hidden="1" customWidth="1"/>
    <col min="353" max="353" width="3.84375" style="23" customWidth="1"/>
    <col min="354" max="355" width="0" style="23" hidden="1" customWidth="1"/>
    <col min="356" max="356" width="3.84375" style="23" customWidth="1"/>
    <col min="357" max="358" width="0" style="23" hidden="1" customWidth="1"/>
    <col min="359" max="359" width="3.84375" style="23" customWidth="1"/>
    <col min="360" max="361" width="0" style="23" hidden="1" customWidth="1"/>
    <col min="362" max="362" width="3.84375" style="23" customWidth="1"/>
    <col min="363" max="364" width="0" style="23" hidden="1" customWidth="1"/>
    <col min="365" max="365" width="3.84375" style="23" customWidth="1"/>
    <col min="366" max="367" width="0" style="23" hidden="1" customWidth="1"/>
    <col min="368" max="368" width="3.84375" style="23" customWidth="1"/>
    <col min="369" max="370" width="0" style="23" hidden="1" customWidth="1"/>
    <col min="371" max="371" width="3.84375" style="23" customWidth="1"/>
    <col min="372" max="373" width="0" style="23" hidden="1" customWidth="1"/>
    <col min="374" max="374" width="3.84375" style="23" customWidth="1"/>
    <col min="375" max="376" width="0" style="23" hidden="1" customWidth="1"/>
    <col min="377" max="377" width="3.84375" style="23" customWidth="1"/>
    <col min="378" max="379" width="0" style="23" hidden="1" customWidth="1"/>
    <col min="380" max="380" width="3.84375" style="23" customWidth="1"/>
    <col min="381" max="382" width="0" style="23" hidden="1" customWidth="1"/>
    <col min="383" max="383" width="3.84375" style="23" customWidth="1"/>
    <col min="384" max="385" width="0" style="23" hidden="1" customWidth="1"/>
    <col min="386" max="387" width="3.84375" style="23" customWidth="1"/>
    <col min="388" max="388" width="3.69140625" style="23" customWidth="1"/>
    <col min="389" max="389" width="0" style="23" hidden="1" customWidth="1"/>
    <col min="390" max="390" width="3.84375" style="23" customWidth="1"/>
    <col min="391" max="391" width="4.15234375" style="23" bestFit="1" customWidth="1"/>
    <col min="392" max="392" width="0" style="23" hidden="1" customWidth="1"/>
    <col min="393" max="394" width="4.15234375" style="23" bestFit="1" customWidth="1"/>
    <col min="395" max="395" width="0" style="23" hidden="1" customWidth="1"/>
    <col min="396" max="397" width="4.3046875" style="23" customWidth="1"/>
    <col min="398" max="398" width="0" style="23" hidden="1" customWidth="1"/>
    <col min="399" max="399" width="4.69140625" style="23" bestFit="1" customWidth="1"/>
    <col min="400" max="400" width="4.15234375" style="23" customWidth="1"/>
    <col min="401" max="401" width="0" style="23" hidden="1" customWidth="1"/>
    <col min="402" max="403" width="4.15234375" style="23" customWidth="1"/>
    <col min="404" max="404" width="0" style="23" hidden="1" customWidth="1"/>
    <col min="405" max="405" width="4.53515625" style="23" customWidth="1"/>
    <col min="406" max="406" width="4.69140625" style="23" customWidth="1"/>
    <col min="407" max="407" width="0" style="23" hidden="1" customWidth="1"/>
    <col min="408" max="408" width="4.53515625" style="23" customWidth="1"/>
    <col min="409" max="409" width="4.69140625" style="23" customWidth="1"/>
    <col min="410" max="410" width="0" style="23" hidden="1" customWidth="1"/>
    <col min="411" max="412" width="4.53515625" style="23" customWidth="1"/>
    <col min="413" max="413" width="0" style="23" hidden="1" customWidth="1"/>
    <col min="414" max="415" width="4.69140625" style="23" customWidth="1"/>
    <col min="416" max="416" width="0" style="23" hidden="1" customWidth="1"/>
    <col min="417" max="418" width="4.53515625" style="23" customWidth="1"/>
    <col min="419" max="419" width="0" style="23" hidden="1" customWidth="1"/>
    <col min="420" max="420" width="4.53515625" style="23" customWidth="1"/>
    <col min="421" max="421" width="4.69140625" style="23" customWidth="1"/>
    <col min="422" max="422" width="0" style="23" hidden="1" customWidth="1"/>
    <col min="423" max="423" width="5.15234375" style="23" customWidth="1"/>
    <col min="424" max="424" width="4.53515625" style="23" customWidth="1"/>
    <col min="425" max="425" width="0" style="23" hidden="1" customWidth="1"/>
    <col min="426" max="426" width="5" style="23" customWidth="1"/>
    <col min="427" max="427" width="4.84375" style="23" customWidth="1"/>
    <col min="428" max="428" width="0" style="23" hidden="1" customWidth="1"/>
    <col min="429" max="430" width="4.53515625" style="23" customWidth="1"/>
    <col min="431" max="431" width="0" style="23" hidden="1" customWidth="1"/>
    <col min="432" max="432" width="4.53515625" style="23" customWidth="1"/>
    <col min="433" max="433" width="4.69140625" style="23" customWidth="1"/>
    <col min="434" max="434" width="0" style="23" hidden="1" customWidth="1"/>
    <col min="435" max="436" width="4.3828125" style="23" customWidth="1"/>
    <col min="437" max="437" width="0" style="23" hidden="1" customWidth="1"/>
    <col min="438" max="439" width="4.3828125" style="23" customWidth="1"/>
    <col min="440" max="440" width="0" style="23" hidden="1" customWidth="1"/>
    <col min="441" max="442" width="4.3828125" style="23" customWidth="1"/>
    <col min="443" max="443" width="0" style="23" hidden="1" customWidth="1"/>
    <col min="444" max="444" width="4.3828125" style="23" customWidth="1"/>
    <col min="445" max="445" width="4.3046875" style="23" customWidth="1"/>
    <col min="446" max="446" width="0" style="23" hidden="1" customWidth="1"/>
    <col min="447" max="448" width="4.3828125" style="23" customWidth="1"/>
    <col min="449" max="449" width="0" style="23" hidden="1" customWidth="1"/>
    <col min="450" max="451" width="4.3828125" style="23" customWidth="1"/>
    <col min="452" max="452" width="0" style="23" hidden="1" customWidth="1"/>
    <col min="453" max="454" width="4.3828125" style="23" customWidth="1"/>
    <col min="455" max="455" width="0" style="23" hidden="1" customWidth="1"/>
    <col min="456" max="457" width="4.3828125" style="23" customWidth="1"/>
    <col min="458" max="512" width="10.3046875" style="23"/>
    <col min="513" max="513" width="3.84375" style="23" customWidth="1"/>
    <col min="514" max="514" width="32.69140625" style="23" customWidth="1"/>
    <col min="515" max="591" width="3.84375" style="23" customWidth="1"/>
    <col min="592" max="593" width="0" style="23" hidden="1" customWidth="1"/>
    <col min="594" max="594" width="3.84375" style="23" customWidth="1"/>
    <col min="595" max="596" width="0" style="23" hidden="1" customWidth="1"/>
    <col min="597" max="597" width="3.84375" style="23" customWidth="1"/>
    <col min="598" max="599" width="0" style="23" hidden="1" customWidth="1"/>
    <col min="600" max="600" width="3.84375" style="23" customWidth="1"/>
    <col min="601" max="602" width="0" style="23" hidden="1" customWidth="1"/>
    <col min="603" max="603" width="3.84375" style="23" customWidth="1"/>
    <col min="604" max="605" width="0" style="23" hidden="1" customWidth="1"/>
    <col min="606" max="606" width="3.84375" style="23" customWidth="1"/>
    <col min="607" max="608" width="0" style="23" hidden="1" customWidth="1"/>
    <col min="609" max="609" width="3.84375" style="23" customWidth="1"/>
    <col min="610" max="611" width="0" style="23" hidden="1" customWidth="1"/>
    <col min="612" max="612" width="3.84375" style="23" customWidth="1"/>
    <col min="613" max="614" width="0" style="23" hidden="1" customWidth="1"/>
    <col min="615" max="615" width="3.84375" style="23" customWidth="1"/>
    <col min="616" max="617" width="0" style="23" hidden="1" customWidth="1"/>
    <col min="618" max="618" width="3.84375" style="23" customWidth="1"/>
    <col min="619" max="620" width="0" style="23" hidden="1" customWidth="1"/>
    <col min="621" max="621" width="3.84375" style="23" customWidth="1"/>
    <col min="622" max="623" width="0" style="23" hidden="1" customWidth="1"/>
    <col min="624" max="624" width="3.84375" style="23" customWidth="1"/>
    <col min="625" max="626" width="0" style="23" hidden="1" customWidth="1"/>
    <col min="627" max="627" width="3.84375" style="23" customWidth="1"/>
    <col min="628" max="629" width="0" style="23" hidden="1" customWidth="1"/>
    <col min="630" max="630" width="3.84375" style="23" customWidth="1"/>
    <col min="631" max="632" width="0" style="23" hidden="1" customWidth="1"/>
    <col min="633" max="633" width="3.84375" style="23" customWidth="1"/>
    <col min="634" max="635" width="0" style="23" hidden="1" customWidth="1"/>
    <col min="636" max="636" width="3.84375" style="23" customWidth="1"/>
    <col min="637" max="638" width="0" style="23" hidden="1" customWidth="1"/>
    <col min="639" max="639" width="3.84375" style="23" customWidth="1"/>
    <col min="640" max="641" width="0" style="23" hidden="1" customWidth="1"/>
    <col min="642" max="643" width="3.84375" style="23" customWidth="1"/>
    <col min="644" max="644" width="3.69140625" style="23" customWidth="1"/>
    <col min="645" max="645" width="0" style="23" hidden="1" customWidth="1"/>
    <col min="646" max="646" width="3.84375" style="23" customWidth="1"/>
    <col min="647" max="647" width="4.15234375" style="23" bestFit="1" customWidth="1"/>
    <col min="648" max="648" width="0" style="23" hidden="1" customWidth="1"/>
    <col min="649" max="650" width="4.15234375" style="23" bestFit="1" customWidth="1"/>
    <col min="651" max="651" width="0" style="23" hidden="1" customWidth="1"/>
    <col min="652" max="653" width="4.3046875" style="23" customWidth="1"/>
    <col min="654" max="654" width="0" style="23" hidden="1" customWidth="1"/>
    <col min="655" max="655" width="4.69140625" style="23" bestFit="1" customWidth="1"/>
    <col min="656" max="656" width="4.15234375" style="23" customWidth="1"/>
    <col min="657" max="657" width="0" style="23" hidden="1" customWidth="1"/>
    <col min="658" max="659" width="4.15234375" style="23" customWidth="1"/>
    <col min="660" max="660" width="0" style="23" hidden="1" customWidth="1"/>
    <col min="661" max="661" width="4.53515625" style="23" customWidth="1"/>
    <col min="662" max="662" width="4.69140625" style="23" customWidth="1"/>
    <col min="663" max="663" width="0" style="23" hidden="1" customWidth="1"/>
    <col min="664" max="664" width="4.53515625" style="23" customWidth="1"/>
    <col min="665" max="665" width="4.69140625" style="23" customWidth="1"/>
    <col min="666" max="666" width="0" style="23" hidden="1" customWidth="1"/>
    <col min="667" max="668" width="4.53515625" style="23" customWidth="1"/>
    <col min="669" max="669" width="0" style="23" hidden="1" customWidth="1"/>
    <col min="670" max="671" width="4.69140625" style="23" customWidth="1"/>
    <col min="672" max="672" width="0" style="23" hidden="1" customWidth="1"/>
    <col min="673" max="674" width="4.53515625" style="23" customWidth="1"/>
    <col min="675" max="675" width="0" style="23" hidden="1" customWidth="1"/>
    <col min="676" max="676" width="4.53515625" style="23" customWidth="1"/>
    <col min="677" max="677" width="4.69140625" style="23" customWidth="1"/>
    <col min="678" max="678" width="0" style="23" hidden="1" customWidth="1"/>
    <col min="679" max="679" width="5.15234375" style="23" customWidth="1"/>
    <col min="680" max="680" width="4.53515625" style="23" customWidth="1"/>
    <col min="681" max="681" width="0" style="23" hidden="1" customWidth="1"/>
    <col min="682" max="682" width="5" style="23" customWidth="1"/>
    <col min="683" max="683" width="4.84375" style="23" customWidth="1"/>
    <col min="684" max="684" width="0" style="23" hidden="1" customWidth="1"/>
    <col min="685" max="686" width="4.53515625" style="23" customWidth="1"/>
    <col min="687" max="687" width="0" style="23" hidden="1" customWidth="1"/>
    <col min="688" max="688" width="4.53515625" style="23" customWidth="1"/>
    <col min="689" max="689" width="4.69140625" style="23" customWidth="1"/>
    <col min="690" max="690" width="0" style="23" hidden="1" customWidth="1"/>
    <col min="691" max="692" width="4.3828125" style="23" customWidth="1"/>
    <col min="693" max="693" width="0" style="23" hidden="1" customWidth="1"/>
    <col min="694" max="695" width="4.3828125" style="23" customWidth="1"/>
    <col min="696" max="696" width="0" style="23" hidden="1" customWidth="1"/>
    <col min="697" max="698" width="4.3828125" style="23" customWidth="1"/>
    <col min="699" max="699" width="0" style="23" hidden="1" customWidth="1"/>
    <col min="700" max="700" width="4.3828125" style="23" customWidth="1"/>
    <col min="701" max="701" width="4.3046875" style="23" customWidth="1"/>
    <col min="702" max="702" width="0" style="23" hidden="1" customWidth="1"/>
    <col min="703" max="704" width="4.3828125" style="23" customWidth="1"/>
    <col min="705" max="705" width="0" style="23" hidden="1" customWidth="1"/>
    <col min="706" max="707" width="4.3828125" style="23" customWidth="1"/>
    <col min="708" max="708" width="0" style="23" hidden="1" customWidth="1"/>
    <col min="709" max="710" width="4.3828125" style="23" customWidth="1"/>
    <col min="711" max="711" width="0" style="23" hidden="1" customWidth="1"/>
    <col min="712" max="713" width="4.3828125" style="23" customWidth="1"/>
    <col min="714" max="768" width="10.3046875" style="23"/>
    <col min="769" max="769" width="3.84375" style="23" customWidth="1"/>
    <col min="770" max="770" width="32.69140625" style="23" customWidth="1"/>
    <col min="771" max="847" width="3.84375" style="23" customWidth="1"/>
    <col min="848" max="849" width="0" style="23" hidden="1" customWidth="1"/>
    <col min="850" max="850" width="3.84375" style="23" customWidth="1"/>
    <col min="851" max="852" width="0" style="23" hidden="1" customWidth="1"/>
    <col min="853" max="853" width="3.84375" style="23" customWidth="1"/>
    <col min="854" max="855" width="0" style="23" hidden="1" customWidth="1"/>
    <col min="856" max="856" width="3.84375" style="23" customWidth="1"/>
    <col min="857" max="858" width="0" style="23" hidden="1" customWidth="1"/>
    <col min="859" max="859" width="3.84375" style="23" customWidth="1"/>
    <col min="860" max="861" width="0" style="23" hidden="1" customWidth="1"/>
    <col min="862" max="862" width="3.84375" style="23" customWidth="1"/>
    <col min="863" max="864" width="0" style="23" hidden="1" customWidth="1"/>
    <col min="865" max="865" width="3.84375" style="23" customWidth="1"/>
    <col min="866" max="867" width="0" style="23" hidden="1" customWidth="1"/>
    <col min="868" max="868" width="3.84375" style="23" customWidth="1"/>
    <col min="869" max="870" width="0" style="23" hidden="1" customWidth="1"/>
    <col min="871" max="871" width="3.84375" style="23" customWidth="1"/>
    <col min="872" max="873" width="0" style="23" hidden="1" customWidth="1"/>
    <col min="874" max="874" width="3.84375" style="23" customWidth="1"/>
    <col min="875" max="876" width="0" style="23" hidden="1" customWidth="1"/>
    <col min="877" max="877" width="3.84375" style="23" customWidth="1"/>
    <col min="878" max="879" width="0" style="23" hidden="1" customWidth="1"/>
    <col min="880" max="880" width="3.84375" style="23" customWidth="1"/>
    <col min="881" max="882" width="0" style="23" hidden="1" customWidth="1"/>
    <col min="883" max="883" width="3.84375" style="23" customWidth="1"/>
    <col min="884" max="885" width="0" style="23" hidden="1" customWidth="1"/>
    <col min="886" max="886" width="3.84375" style="23" customWidth="1"/>
    <col min="887" max="888" width="0" style="23" hidden="1" customWidth="1"/>
    <col min="889" max="889" width="3.84375" style="23" customWidth="1"/>
    <col min="890" max="891" width="0" style="23" hidden="1" customWidth="1"/>
    <col min="892" max="892" width="3.84375" style="23" customWidth="1"/>
    <col min="893" max="894" width="0" style="23" hidden="1" customWidth="1"/>
    <col min="895" max="895" width="3.84375" style="23" customWidth="1"/>
    <col min="896" max="897" width="0" style="23" hidden="1" customWidth="1"/>
    <col min="898" max="899" width="3.84375" style="23" customWidth="1"/>
    <col min="900" max="900" width="3.69140625" style="23" customWidth="1"/>
    <col min="901" max="901" width="0" style="23" hidden="1" customWidth="1"/>
    <col min="902" max="902" width="3.84375" style="23" customWidth="1"/>
    <col min="903" max="903" width="4.15234375" style="23" bestFit="1" customWidth="1"/>
    <col min="904" max="904" width="0" style="23" hidden="1" customWidth="1"/>
    <col min="905" max="906" width="4.15234375" style="23" bestFit="1" customWidth="1"/>
    <col min="907" max="907" width="0" style="23" hidden="1" customWidth="1"/>
    <col min="908" max="909" width="4.3046875" style="23" customWidth="1"/>
    <col min="910" max="910" width="0" style="23" hidden="1" customWidth="1"/>
    <col min="911" max="911" width="4.69140625" style="23" bestFit="1" customWidth="1"/>
    <col min="912" max="912" width="4.15234375" style="23" customWidth="1"/>
    <col min="913" max="913" width="0" style="23" hidden="1" customWidth="1"/>
    <col min="914" max="915" width="4.15234375" style="23" customWidth="1"/>
    <col min="916" max="916" width="0" style="23" hidden="1" customWidth="1"/>
    <col min="917" max="917" width="4.53515625" style="23" customWidth="1"/>
    <col min="918" max="918" width="4.69140625" style="23" customWidth="1"/>
    <col min="919" max="919" width="0" style="23" hidden="1" customWidth="1"/>
    <col min="920" max="920" width="4.53515625" style="23" customWidth="1"/>
    <col min="921" max="921" width="4.69140625" style="23" customWidth="1"/>
    <col min="922" max="922" width="0" style="23" hidden="1" customWidth="1"/>
    <col min="923" max="924" width="4.53515625" style="23" customWidth="1"/>
    <col min="925" max="925" width="0" style="23" hidden="1" customWidth="1"/>
    <col min="926" max="927" width="4.69140625" style="23" customWidth="1"/>
    <col min="928" max="928" width="0" style="23" hidden="1" customWidth="1"/>
    <col min="929" max="930" width="4.53515625" style="23" customWidth="1"/>
    <col min="931" max="931" width="0" style="23" hidden="1" customWidth="1"/>
    <col min="932" max="932" width="4.53515625" style="23" customWidth="1"/>
    <col min="933" max="933" width="4.69140625" style="23" customWidth="1"/>
    <col min="934" max="934" width="0" style="23" hidden="1" customWidth="1"/>
    <col min="935" max="935" width="5.15234375" style="23" customWidth="1"/>
    <col min="936" max="936" width="4.53515625" style="23" customWidth="1"/>
    <col min="937" max="937" width="0" style="23" hidden="1" customWidth="1"/>
    <col min="938" max="938" width="5" style="23" customWidth="1"/>
    <col min="939" max="939" width="4.84375" style="23" customWidth="1"/>
    <col min="940" max="940" width="0" style="23" hidden="1" customWidth="1"/>
    <col min="941" max="942" width="4.53515625" style="23" customWidth="1"/>
    <col min="943" max="943" width="0" style="23" hidden="1" customWidth="1"/>
    <col min="944" max="944" width="4.53515625" style="23" customWidth="1"/>
    <col min="945" max="945" width="4.69140625" style="23" customWidth="1"/>
    <col min="946" max="946" width="0" style="23" hidden="1" customWidth="1"/>
    <col min="947" max="948" width="4.3828125" style="23" customWidth="1"/>
    <col min="949" max="949" width="0" style="23" hidden="1" customWidth="1"/>
    <col min="950" max="951" width="4.3828125" style="23" customWidth="1"/>
    <col min="952" max="952" width="0" style="23" hidden="1" customWidth="1"/>
    <col min="953" max="954" width="4.3828125" style="23" customWidth="1"/>
    <col min="955" max="955" width="0" style="23" hidden="1" customWidth="1"/>
    <col min="956" max="956" width="4.3828125" style="23" customWidth="1"/>
    <col min="957" max="957" width="4.3046875" style="23" customWidth="1"/>
    <col min="958" max="958" width="0" style="23" hidden="1" customWidth="1"/>
    <col min="959" max="960" width="4.3828125" style="23" customWidth="1"/>
    <col min="961" max="961" width="0" style="23" hidden="1" customWidth="1"/>
    <col min="962" max="963" width="4.3828125" style="23" customWidth="1"/>
    <col min="964" max="964" width="0" style="23" hidden="1" customWidth="1"/>
    <col min="965" max="966" width="4.3828125" style="23" customWidth="1"/>
    <col min="967" max="967" width="0" style="23" hidden="1" customWidth="1"/>
    <col min="968" max="969" width="4.3828125" style="23" customWidth="1"/>
    <col min="970" max="1024" width="10.3046875" style="23"/>
    <col min="1025" max="1025" width="3.84375" style="23" customWidth="1"/>
    <col min="1026" max="1026" width="32.69140625" style="23" customWidth="1"/>
    <col min="1027" max="1103" width="3.84375" style="23" customWidth="1"/>
    <col min="1104" max="1105" width="0" style="23" hidden="1" customWidth="1"/>
    <col min="1106" max="1106" width="3.84375" style="23" customWidth="1"/>
    <col min="1107" max="1108" width="0" style="23" hidden="1" customWidth="1"/>
    <col min="1109" max="1109" width="3.84375" style="23" customWidth="1"/>
    <col min="1110" max="1111" width="0" style="23" hidden="1" customWidth="1"/>
    <col min="1112" max="1112" width="3.84375" style="23" customWidth="1"/>
    <col min="1113" max="1114" width="0" style="23" hidden="1" customWidth="1"/>
    <col min="1115" max="1115" width="3.84375" style="23" customWidth="1"/>
    <col min="1116" max="1117" width="0" style="23" hidden="1" customWidth="1"/>
    <col min="1118" max="1118" width="3.84375" style="23" customWidth="1"/>
    <col min="1119" max="1120" width="0" style="23" hidden="1" customWidth="1"/>
    <col min="1121" max="1121" width="3.84375" style="23" customWidth="1"/>
    <col min="1122" max="1123" width="0" style="23" hidden="1" customWidth="1"/>
    <col min="1124" max="1124" width="3.84375" style="23" customWidth="1"/>
    <col min="1125" max="1126" width="0" style="23" hidden="1" customWidth="1"/>
    <col min="1127" max="1127" width="3.84375" style="23" customWidth="1"/>
    <col min="1128" max="1129" width="0" style="23" hidden="1" customWidth="1"/>
    <col min="1130" max="1130" width="3.84375" style="23" customWidth="1"/>
    <col min="1131" max="1132" width="0" style="23" hidden="1" customWidth="1"/>
    <col min="1133" max="1133" width="3.84375" style="23" customWidth="1"/>
    <col min="1134" max="1135" width="0" style="23" hidden="1" customWidth="1"/>
    <col min="1136" max="1136" width="3.84375" style="23" customWidth="1"/>
    <col min="1137" max="1138" width="0" style="23" hidden="1" customWidth="1"/>
    <col min="1139" max="1139" width="3.84375" style="23" customWidth="1"/>
    <col min="1140" max="1141" width="0" style="23" hidden="1" customWidth="1"/>
    <col min="1142" max="1142" width="3.84375" style="23" customWidth="1"/>
    <col min="1143" max="1144" width="0" style="23" hidden="1" customWidth="1"/>
    <col min="1145" max="1145" width="3.84375" style="23" customWidth="1"/>
    <col min="1146" max="1147" width="0" style="23" hidden="1" customWidth="1"/>
    <col min="1148" max="1148" width="3.84375" style="23" customWidth="1"/>
    <col min="1149" max="1150" width="0" style="23" hidden="1" customWidth="1"/>
    <col min="1151" max="1151" width="3.84375" style="23" customWidth="1"/>
    <col min="1152" max="1153" width="0" style="23" hidden="1" customWidth="1"/>
    <col min="1154" max="1155" width="3.84375" style="23" customWidth="1"/>
    <col min="1156" max="1156" width="3.69140625" style="23" customWidth="1"/>
    <col min="1157" max="1157" width="0" style="23" hidden="1" customWidth="1"/>
    <col min="1158" max="1158" width="3.84375" style="23" customWidth="1"/>
    <col min="1159" max="1159" width="4.15234375" style="23" bestFit="1" customWidth="1"/>
    <col min="1160" max="1160" width="0" style="23" hidden="1" customWidth="1"/>
    <col min="1161" max="1162" width="4.15234375" style="23" bestFit="1" customWidth="1"/>
    <col min="1163" max="1163" width="0" style="23" hidden="1" customWidth="1"/>
    <col min="1164" max="1165" width="4.3046875" style="23" customWidth="1"/>
    <col min="1166" max="1166" width="0" style="23" hidden="1" customWidth="1"/>
    <col min="1167" max="1167" width="4.69140625" style="23" bestFit="1" customWidth="1"/>
    <col min="1168" max="1168" width="4.15234375" style="23" customWidth="1"/>
    <col min="1169" max="1169" width="0" style="23" hidden="1" customWidth="1"/>
    <col min="1170" max="1171" width="4.15234375" style="23" customWidth="1"/>
    <col min="1172" max="1172" width="0" style="23" hidden="1" customWidth="1"/>
    <col min="1173" max="1173" width="4.53515625" style="23" customWidth="1"/>
    <col min="1174" max="1174" width="4.69140625" style="23" customWidth="1"/>
    <col min="1175" max="1175" width="0" style="23" hidden="1" customWidth="1"/>
    <col min="1176" max="1176" width="4.53515625" style="23" customWidth="1"/>
    <col min="1177" max="1177" width="4.69140625" style="23" customWidth="1"/>
    <col min="1178" max="1178" width="0" style="23" hidden="1" customWidth="1"/>
    <col min="1179" max="1180" width="4.53515625" style="23" customWidth="1"/>
    <col min="1181" max="1181" width="0" style="23" hidden="1" customWidth="1"/>
    <col min="1182" max="1183" width="4.69140625" style="23" customWidth="1"/>
    <col min="1184" max="1184" width="0" style="23" hidden="1" customWidth="1"/>
    <col min="1185" max="1186" width="4.53515625" style="23" customWidth="1"/>
    <col min="1187" max="1187" width="0" style="23" hidden="1" customWidth="1"/>
    <col min="1188" max="1188" width="4.53515625" style="23" customWidth="1"/>
    <col min="1189" max="1189" width="4.69140625" style="23" customWidth="1"/>
    <col min="1190" max="1190" width="0" style="23" hidden="1" customWidth="1"/>
    <col min="1191" max="1191" width="5.15234375" style="23" customWidth="1"/>
    <col min="1192" max="1192" width="4.53515625" style="23" customWidth="1"/>
    <col min="1193" max="1193" width="0" style="23" hidden="1" customWidth="1"/>
    <col min="1194" max="1194" width="5" style="23" customWidth="1"/>
    <col min="1195" max="1195" width="4.84375" style="23" customWidth="1"/>
    <col min="1196" max="1196" width="0" style="23" hidden="1" customWidth="1"/>
    <col min="1197" max="1198" width="4.53515625" style="23" customWidth="1"/>
    <col min="1199" max="1199" width="0" style="23" hidden="1" customWidth="1"/>
    <col min="1200" max="1200" width="4.53515625" style="23" customWidth="1"/>
    <col min="1201" max="1201" width="4.69140625" style="23" customWidth="1"/>
    <col min="1202" max="1202" width="0" style="23" hidden="1" customWidth="1"/>
    <col min="1203" max="1204" width="4.3828125" style="23" customWidth="1"/>
    <col min="1205" max="1205" width="0" style="23" hidden="1" customWidth="1"/>
    <col min="1206" max="1207" width="4.3828125" style="23" customWidth="1"/>
    <col min="1208" max="1208" width="0" style="23" hidden="1" customWidth="1"/>
    <col min="1209" max="1210" width="4.3828125" style="23" customWidth="1"/>
    <col min="1211" max="1211" width="0" style="23" hidden="1" customWidth="1"/>
    <col min="1212" max="1212" width="4.3828125" style="23" customWidth="1"/>
    <col min="1213" max="1213" width="4.3046875" style="23" customWidth="1"/>
    <col min="1214" max="1214" width="0" style="23" hidden="1" customWidth="1"/>
    <col min="1215" max="1216" width="4.3828125" style="23" customWidth="1"/>
    <col min="1217" max="1217" width="0" style="23" hidden="1" customWidth="1"/>
    <col min="1218" max="1219" width="4.3828125" style="23" customWidth="1"/>
    <col min="1220" max="1220" width="0" style="23" hidden="1" customWidth="1"/>
    <col min="1221" max="1222" width="4.3828125" style="23" customWidth="1"/>
    <col min="1223" max="1223" width="0" style="23" hidden="1" customWidth="1"/>
    <col min="1224" max="1225" width="4.3828125" style="23" customWidth="1"/>
    <col min="1226" max="1280" width="10.3046875" style="23"/>
    <col min="1281" max="1281" width="3.84375" style="23" customWidth="1"/>
    <col min="1282" max="1282" width="32.69140625" style="23" customWidth="1"/>
    <col min="1283" max="1359" width="3.84375" style="23" customWidth="1"/>
    <col min="1360" max="1361" width="0" style="23" hidden="1" customWidth="1"/>
    <col min="1362" max="1362" width="3.84375" style="23" customWidth="1"/>
    <col min="1363" max="1364" width="0" style="23" hidden="1" customWidth="1"/>
    <col min="1365" max="1365" width="3.84375" style="23" customWidth="1"/>
    <col min="1366" max="1367" width="0" style="23" hidden="1" customWidth="1"/>
    <col min="1368" max="1368" width="3.84375" style="23" customWidth="1"/>
    <col min="1369" max="1370" width="0" style="23" hidden="1" customWidth="1"/>
    <col min="1371" max="1371" width="3.84375" style="23" customWidth="1"/>
    <col min="1372" max="1373" width="0" style="23" hidden="1" customWidth="1"/>
    <col min="1374" max="1374" width="3.84375" style="23" customWidth="1"/>
    <col min="1375" max="1376" width="0" style="23" hidden="1" customWidth="1"/>
    <col min="1377" max="1377" width="3.84375" style="23" customWidth="1"/>
    <col min="1378" max="1379" width="0" style="23" hidden="1" customWidth="1"/>
    <col min="1380" max="1380" width="3.84375" style="23" customWidth="1"/>
    <col min="1381" max="1382" width="0" style="23" hidden="1" customWidth="1"/>
    <col min="1383" max="1383" width="3.84375" style="23" customWidth="1"/>
    <col min="1384" max="1385" width="0" style="23" hidden="1" customWidth="1"/>
    <col min="1386" max="1386" width="3.84375" style="23" customWidth="1"/>
    <col min="1387" max="1388" width="0" style="23" hidden="1" customWidth="1"/>
    <col min="1389" max="1389" width="3.84375" style="23" customWidth="1"/>
    <col min="1390" max="1391" width="0" style="23" hidden="1" customWidth="1"/>
    <col min="1392" max="1392" width="3.84375" style="23" customWidth="1"/>
    <col min="1393" max="1394" width="0" style="23" hidden="1" customWidth="1"/>
    <col min="1395" max="1395" width="3.84375" style="23" customWidth="1"/>
    <col min="1396" max="1397" width="0" style="23" hidden="1" customWidth="1"/>
    <col min="1398" max="1398" width="3.84375" style="23" customWidth="1"/>
    <col min="1399" max="1400" width="0" style="23" hidden="1" customWidth="1"/>
    <col min="1401" max="1401" width="3.84375" style="23" customWidth="1"/>
    <col min="1402" max="1403" width="0" style="23" hidden="1" customWidth="1"/>
    <col min="1404" max="1404" width="3.84375" style="23" customWidth="1"/>
    <col min="1405" max="1406" width="0" style="23" hidden="1" customWidth="1"/>
    <col min="1407" max="1407" width="3.84375" style="23" customWidth="1"/>
    <col min="1408" max="1409" width="0" style="23" hidden="1" customWidth="1"/>
    <col min="1410" max="1411" width="3.84375" style="23" customWidth="1"/>
    <col min="1412" max="1412" width="3.69140625" style="23" customWidth="1"/>
    <col min="1413" max="1413" width="0" style="23" hidden="1" customWidth="1"/>
    <col min="1414" max="1414" width="3.84375" style="23" customWidth="1"/>
    <col min="1415" max="1415" width="4.15234375" style="23" bestFit="1" customWidth="1"/>
    <col min="1416" max="1416" width="0" style="23" hidden="1" customWidth="1"/>
    <col min="1417" max="1418" width="4.15234375" style="23" bestFit="1" customWidth="1"/>
    <col min="1419" max="1419" width="0" style="23" hidden="1" customWidth="1"/>
    <col min="1420" max="1421" width="4.3046875" style="23" customWidth="1"/>
    <col min="1422" max="1422" width="0" style="23" hidden="1" customWidth="1"/>
    <col min="1423" max="1423" width="4.69140625" style="23" bestFit="1" customWidth="1"/>
    <col min="1424" max="1424" width="4.15234375" style="23" customWidth="1"/>
    <col min="1425" max="1425" width="0" style="23" hidden="1" customWidth="1"/>
    <col min="1426" max="1427" width="4.15234375" style="23" customWidth="1"/>
    <col min="1428" max="1428" width="0" style="23" hidden="1" customWidth="1"/>
    <col min="1429" max="1429" width="4.53515625" style="23" customWidth="1"/>
    <col min="1430" max="1430" width="4.69140625" style="23" customWidth="1"/>
    <col min="1431" max="1431" width="0" style="23" hidden="1" customWidth="1"/>
    <col min="1432" max="1432" width="4.53515625" style="23" customWidth="1"/>
    <col min="1433" max="1433" width="4.69140625" style="23" customWidth="1"/>
    <col min="1434" max="1434" width="0" style="23" hidden="1" customWidth="1"/>
    <col min="1435" max="1436" width="4.53515625" style="23" customWidth="1"/>
    <col min="1437" max="1437" width="0" style="23" hidden="1" customWidth="1"/>
    <col min="1438" max="1439" width="4.69140625" style="23" customWidth="1"/>
    <col min="1440" max="1440" width="0" style="23" hidden="1" customWidth="1"/>
    <col min="1441" max="1442" width="4.53515625" style="23" customWidth="1"/>
    <col min="1443" max="1443" width="0" style="23" hidden="1" customWidth="1"/>
    <col min="1444" max="1444" width="4.53515625" style="23" customWidth="1"/>
    <col min="1445" max="1445" width="4.69140625" style="23" customWidth="1"/>
    <col min="1446" max="1446" width="0" style="23" hidden="1" customWidth="1"/>
    <col min="1447" max="1447" width="5.15234375" style="23" customWidth="1"/>
    <col min="1448" max="1448" width="4.53515625" style="23" customWidth="1"/>
    <col min="1449" max="1449" width="0" style="23" hidden="1" customWidth="1"/>
    <col min="1450" max="1450" width="5" style="23" customWidth="1"/>
    <col min="1451" max="1451" width="4.84375" style="23" customWidth="1"/>
    <col min="1452" max="1452" width="0" style="23" hidden="1" customWidth="1"/>
    <col min="1453" max="1454" width="4.53515625" style="23" customWidth="1"/>
    <col min="1455" max="1455" width="0" style="23" hidden="1" customWidth="1"/>
    <col min="1456" max="1456" width="4.53515625" style="23" customWidth="1"/>
    <col min="1457" max="1457" width="4.69140625" style="23" customWidth="1"/>
    <col min="1458" max="1458" width="0" style="23" hidden="1" customWidth="1"/>
    <col min="1459" max="1460" width="4.3828125" style="23" customWidth="1"/>
    <col min="1461" max="1461" width="0" style="23" hidden="1" customWidth="1"/>
    <col min="1462" max="1463" width="4.3828125" style="23" customWidth="1"/>
    <col min="1464" max="1464" width="0" style="23" hidden="1" customWidth="1"/>
    <col min="1465" max="1466" width="4.3828125" style="23" customWidth="1"/>
    <col min="1467" max="1467" width="0" style="23" hidden="1" customWidth="1"/>
    <col min="1468" max="1468" width="4.3828125" style="23" customWidth="1"/>
    <col min="1469" max="1469" width="4.3046875" style="23" customWidth="1"/>
    <col min="1470" max="1470" width="0" style="23" hidden="1" customWidth="1"/>
    <col min="1471" max="1472" width="4.3828125" style="23" customWidth="1"/>
    <col min="1473" max="1473" width="0" style="23" hidden="1" customWidth="1"/>
    <col min="1474" max="1475" width="4.3828125" style="23" customWidth="1"/>
    <col min="1476" max="1476" width="0" style="23" hidden="1" customWidth="1"/>
    <col min="1477" max="1478" width="4.3828125" style="23" customWidth="1"/>
    <col min="1479" max="1479" width="0" style="23" hidden="1" customWidth="1"/>
    <col min="1480" max="1481" width="4.3828125" style="23" customWidth="1"/>
    <col min="1482" max="1536" width="10.3046875" style="23"/>
    <col min="1537" max="1537" width="3.84375" style="23" customWidth="1"/>
    <col min="1538" max="1538" width="32.69140625" style="23" customWidth="1"/>
    <col min="1539" max="1615" width="3.84375" style="23" customWidth="1"/>
    <col min="1616" max="1617" width="0" style="23" hidden="1" customWidth="1"/>
    <col min="1618" max="1618" width="3.84375" style="23" customWidth="1"/>
    <col min="1619" max="1620" width="0" style="23" hidden="1" customWidth="1"/>
    <col min="1621" max="1621" width="3.84375" style="23" customWidth="1"/>
    <col min="1622" max="1623" width="0" style="23" hidden="1" customWidth="1"/>
    <col min="1624" max="1624" width="3.84375" style="23" customWidth="1"/>
    <col min="1625" max="1626" width="0" style="23" hidden="1" customWidth="1"/>
    <col min="1627" max="1627" width="3.84375" style="23" customWidth="1"/>
    <col min="1628" max="1629" width="0" style="23" hidden="1" customWidth="1"/>
    <col min="1630" max="1630" width="3.84375" style="23" customWidth="1"/>
    <col min="1631" max="1632" width="0" style="23" hidden="1" customWidth="1"/>
    <col min="1633" max="1633" width="3.84375" style="23" customWidth="1"/>
    <col min="1634" max="1635" width="0" style="23" hidden="1" customWidth="1"/>
    <col min="1636" max="1636" width="3.84375" style="23" customWidth="1"/>
    <col min="1637" max="1638" width="0" style="23" hidden="1" customWidth="1"/>
    <col min="1639" max="1639" width="3.84375" style="23" customWidth="1"/>
    <col min="1640" max="1641" width="0" style="23" hidden="1" customWidth="1"/>
    <col min="1642" max="1642" width="3.84375" style="23" customWidth="1"/>
    <col min="1643" max="1644" width="0" style="23" hidden="1" customWidth="1"/>
    <col min="1645" max="1645" width="3.84375" style="23" customWidth="1"/>
    <col min="1646" max="1647" width="0" style="23" hidden="1" customWidth="1"/>
    <col min="1648" max="1648" width="3.84375" style="23" customWidth="1"/>
    <col min="1649" max="1650" width="0" style="23" hidden="1" customWidth="1"/>
    <col min="1651" max="1651" width="3.84375" style="23" customWidth="1"/>
    <col min="1652" max="1653" width="0" style="23" hidden="1" customWidth="1"/>
    <col min="1654" max="1654" width="3.84375" style="23" customWidth="1"/>
    <col min="1655" max="1656" width="0" style="23" hidden="1" customWidth="1"/>
    <col min="1657" max="1657" width="3.84375" style="23" customWidth="1"/>
    <col min="1658" max="1659" width="0" style="23" hidden="1" customWidth="1"/>
    <col min="1660" max="1660" width="3.84375" style="23" customWidth="1"/>
    <col min="1661" max="1662" width="0" style="23" hidden="1" customWidth="1"/>
    <col min="1663" max="1663" width="3.84375" style="23" customWidth="1"/>
    <col min="1664" max="1665" width="0" style="23" hidden="1" customWidth="1"/>
    <col min="1666" max="1667" width="3.84375" style="23" customWidth="1"/>
    <col min="1668" max="1668" width="3.69140625" style="23" customWidth="1"/>
    <col min="1669" max="1669" width="0" style="23" hidden="1" customWidth="1"/>
    <col min="1670" max="1670" width="3.84375" style="23" customWidth="1"/>
    <col min="1671" max="1671" width="4.15234375" style="23" bestFit="1" customWidth="1"/>
    <col min="1672" max="1672" width="0" style="23" hidden="1" customWidth="1"/>
    <col min="1673" max="1674" width="4.15234375" style="23" bestFit="1" customWidth="1"/>
    <col min="1675" max="1675" width="0" style="23" hidden="1" customWidth="1"/>
    <col min="1676" max="1677" width="4.3046875" style="23" customWidth="1"/>
    <col min="1678" max="1678" width="0" style="23" hidden="1" customWidth="1"/>
    <col min="1679" max="1679" width="4.69140625" style="23" bestFit="1" customWidth="1"/>
    <col min="1680" max="1680" width="4.15234375" style="23" customWidth="1"/>
    <col min="1681" max="1681" width="0" style="23" hidden="1" customWidth="1"/>
    <col min="1682" max="1683" width="4.15234375" style="23" customWidth="1"/>
    <col min="1684" max="1684" width="0" style="23" hidden="1" customWidth="1"/>
    <col min="1685" max="1685" width="4.53515625" style="23" customWidth="1"/>
    <col min="1686" max="1686" width="4.69140625" style="23" customWidth="1"/>
    <col min="1687" max="1687" width="0" style="23" hidden="1" customWidth="1"/>
    <col min="1688" max="1688" width="4.53515625" style="23" customWidth="1"/>
    <col min="1689" max="1689" width="4.69140625" style="23" customWidth="1"/>
    <col min="1690" max="1690" width="0" style="23" hidden="1" customWidth="1"/>
    <col min="1691" max="1692" width="4.53515625" style="23" customWidth="1"/>
    <col min="1693" max="1693" width="0" style="23" hidden="1" customWidth="1"/>
    <col min="1694" max="1695" width="4.69140625" style="23" customWidth="1"/>
    <col min="1696" max="1696" width="0" style="23" hidden="1" customWidth="1"/>
    <col min="1697" max="1698" width="4.53515625" style="23" customWidth="1"/>
    <col min="1699" max="1699" width="0" style="23" hidden="1" customWidth="1"/>
    <col min="1700" max="1700" width="4.53515625" style="23" customWidth="1"/>
    <col min="1701" max="1701" width="4.69140625" style="23" customWidth="1"/>
    <col min="1702" max="1702" width="0" style="23" hidden="1" customWidth="1"/>
    <col min="1703" max="1703" width="5.15234375" style="23" customWidth="1"/>
    <col min="1704" max="1704" width="4.53515625" style="23" customWidth="1"/>
    <col min="1705" max="1705" width="0" style="23" hidden="1" customWidth="1"/>
    <col min="1706" max="1706" width="5" style="23" customWidth="1"/>
    <col min="1707" max="1707" width="4.84375" style="23" customWidth="1"/>
    <col min="1708" max="1708" width="0" style="23" hidden="1" customWidth="1"/>
    <col min="1709" max="1710" width="4.53515625" style="23" customWidth="1"/>
    <col min="1711" max="1711" width="0" style="23" hidden="1" customWidth="1"/>
    <col min="1712" max="1712" width="4.53515625" style="23" customWidth="1"/>
    <col min="1713" max="1713" width="4.69140625" style="23" customWidth="1"/>
    <col min="1714" max="1714" width="0" style="23" hidden="1" customWidth="1"/>
    <col min="1715" max="1716" width="4.3828125" style="23" customWidth="1"/>
    <col min="1717" max="1717" width="0" style="23" hidden="1" customWidth="1"/>
    <col min="1718" max="1719" width="4.3828125" style="23" customWidth="1"/>
    <col min="1720" max="1720" width="0" style="23" hidden="1" customWidth="1"/>
    <col min="1721" max="1722" width="4.3828125" style="23" customWidth="1"/>
    <col min="1723" max="1723" width="0" style="23" hidden="1" customWidth="1"/>
    <col min="1724" max="1724" width="4.3828125" style="23" customWidth="1"/>
    <col min="1725" max="1725" width="4.3046875" style="23" customWidth="1"/>
    <col min="1726" max="1726" width="0" style="23" hidden="1" customWidth="1"/>
    <col min="1727" max="1728" width="4.3828125" style="23" customWidth="1"/>
    <col min="1729" max="1729" width="0" style="23" hidden="1" customWidth="1"/>
    <col min="1730" max="1731" width="4.3828125" style="23" customWidth="1"/>
    <col min="1732" max="1732" width="0" style="23" hidden="1" customWidth="1"/>
    <col min="1733" max="1734" width="4.3828125" style="23" customWidth="1"/>
    <col min="1735" max="1735" width="0" style="23" hidden="1" customWidth="1"/>
    <col min="1736" max="1737" width="4.3828125" style="23" customWidth="1"/>
    <col min="1738" max="1792" width="10.3046875" style="23"/>
    <col min="1793" max="1793" width="3.84375" style="23" customWidth="1"/>
    <col min="1794" max="1794" width="32.69140625" style="23" customWidth="1"/>
    <col min="1795" max="1871" width="3.84375" style="23" customWidth="1"/>
    <col min="1872" max="1873" width="0" style="23" hidden="1" customWidth="1"/>
    <col min="1874" max="1874" width="3.84375" style="23" customWidth="1"/>
    <col min="1875" max="1876" width="0" style="23" hidden="1" customWidth="1"/>
    <col min="1877" max="1877" width="3.84375" style="23" customWidth="1"/>
    <col min="1878" max="1879" width="0" style="23" hidden="1" customWidth="1"/>
    <col min="1880" max="1880" width="3.84375" style="23" customWidth="1"/>
    <col min="1881" max="1882" width="0" style="23" hidden="1" customWidth="1"/>
    <col min="1883" max="1883" width="3.84375" style="23" customWidth="1"/>
    <col min="1884" max="1885" width="0" style="23" hidden="1" customWidth="1"/>
    <col min="1886" max="1886" width="3.84375" style="23" customWidth="1"/>
    <col min="1887" max="1888" width="0" style="23" hidden="1" customWidth="1"/>
    <col min="1889" max="1889" width="3.84375" style="23" customWidth="1"/>
    <col min="1890" max="1891" width="0" style="23" hidden="1" customWidth="1"/>
    <col min="1892" max="1892" width="3.84375" style="23" customWidth="1"/>
    <col min="1893" max="1894" width="0" style="23" hidden="1" customWidth="1"/>
    <col min="1895" max="1895" width="3.84375" style="23" customWidth="1"/>
    <col min="1896" max="1897" width="0" style="23" hidden="1" customWidth="1"/>
    <col min="1898" max="1898" width="3.84375" style="23" customWidth="1"/>
    <col min="1899" max="1900" width="0" style="23" hidden="1" customWidth="1"/>
    <col min="1901" max="1901" width="3.84375" style="23" customWidth="1"/>
    <col min="1902" max="1903" width="0" style="23" hidden="1" customWidth="1"/>
    <col min="1904" max="1904" width="3.84375" style="23" customWidth="1"/>
    <col min="1905" max="1906" width="0" style="23" hidden="1" customWidth="1"/>
    <col min="1907" max="1907" width="3.84375" style="23" customWidth="1"/>
    <col min="1908" max="1909" width="0" style="23" hidden="1" customWidth="1"/>
    <col min="1910" max="1910" width="3.84375" style="23" customWidth="1"/>
    <col min="1911" max="1912" width="0" style="23" hidden="1" customWidth="1"/>
    <col min="1913" max="1913" width="3.84375" style="23" customWidth="1"/>
    <col min="1914" max="1915" width="0" style="23" hidden="1" customWidth="1"/>
    <col min="1916" max="1916" width="3.84375" style="23" customWidth="1"/>
    <col min="1917" max="1918" width="0" style="23" hidden="1" customWidth="1"/>
    <col min="1919" max="1919" width="3.84375" style="23" customWidth="1"/>
    <col min="1920" max="1921" width="0" style="23" hidden="1" customWidth="1"/>
    <col min="1922" max="1923" width="3.84375" style="23" customWidth="1"/>
    <col min="1924" max="1924" width="3.69140625" style="23" customWidth="1"/>
    <col min="1925" max="1925" width="0" style="23" hidden="1" customWidth="1"/>
    <col min="1926" max="1926" width="3.84375" style="23" customWidth="1"/>
    <col min="1927" max="1927" width="4.15234375" style="23" bestFit="1" customWidth="1"/>
    <col min="1928" max="1928" width="0" style="23" hidden="1" customWidth="1"/>
    <col min="1929" max="1930" width="4.15234375" style="23" bestFit="1" customWidth="1"/>
    <col min="1931" max="1931" width="0" style="23" hidden="1" customWidth="1"/>
    <col min="1932" max="1933" width="4.3046875" style="23" customWidth="1"/>
    <col min="1934" max="1934" width="0" style="23" hidden="1" customWidth="1"/>
    <col min="1935" max="1935" width="4.69140625" style="23" bestFit="1" customWidth="1"/>
    <col min="1936" max="1936" width="4.15234375" style="23" customWidth="1"/>
    <col min="1937" max="1937" width="0" style="23" hidden="1" customWidth="1"/>
    <col min="1938" max="1939" width="4.15234375" style="23" customWidth="1"/>
    <col min="1940" max="1940" width="0" style="23" hidden="1" customWidth="1"/>
    <col min="1941" max="1941" width="4.53515625" style="23" customWidth="1"/>
    <col min="1942" max="1942" width="4.69140625" style="23" customWidth="1"/>
    <col min="1943" max="1943" width="0" style="23" hidden="1" customWidth="1"/>
    <col min="1944" max="1944" width="4.53515625" style="23" customWidth="1"/>
    <col min="1945" max="1945" width="4.69140625" style="23" customWidth="1"/>
    <col min="1946" max="1946" width="0" style="23" hidden="1" customWidth="1"/>
    <col min="1947" max="1948" width="4.53515625" style="23" customWidth="1"/>
    <col min="1949" max="1949" width="0" style="23" hidden="1" customWidth="1"/>
    <col min="1950" max="1951" width="4.69140625" style="23" customWidth="1"/>
    <col min="1952" max="1952" width="0" style="23" hidden="1" customWidth="1"/>
    <col min="1953" max="1954" width="4.53515625" style="23" customWidth="1"/>
    <col min="1955" max="1955" width="0" style="23" hidden="1" customWidth="1"/>
    <col min="1956" max="1956" width="4.53515625" style="23" customWidth="1"/>
    <col min="1957" max="1957" width="4.69140625" style="23" customWidth="1"/>
    <col min="1958" max="1958" width="0" style="23" hidden="1" customWidth="1"/>
    <col min="1959" max="1959" width="5.15234375" style="23" customWidth="1"/>
    <col min="1960" max="1960" width="4.53515625" style="23" customWidth="1"/>
    <col min="1961" max="1961" width="0" style="23" hidden="1" customWidth="1"/>
    <col min="1962" max="1962" width="5" style="23" customWidth="1"/>
    <col min="1963" max="1963" width="4.84375" style="23" customWidth="1"/>
    <col min="1964" max="1964" width="0" style="23" hidden="1" customWidth="1"/>
    <col min="1965" max="1966" width="4.53515625" style="23" customWidth="1"/>
    <col min="1967" max="1967" width="0" style="23" hidden="1" customWidth="1"/>
    <col min="1968" max="1968" width="4.53515625" style="23" customWidth="1"/>
    <col min="1969" max="1969" width="4.69140625" style="23" customWidth="1"/>
    <col min="1970" max="1970" width="0" style="23" hidden="1" customWidth="1"/>
    <col min="1971" max="1972" width="4.3828125" style="23" customWidth="1"/>
    <col min="1973" max="1973" width="0" style="23" hidden="1" customWidth="1"/>
    <col min="1974" max="1975" width="4.3828125" style="23" customWidth="1"/>
    <col min="1976" max="1976" width="0" style="23" hidden="1" customWidth="1"/>
    <col min="1977" max="1978" width="4.3828125" style="23" customWidth="1"/>
    <col min="1979" max="1979" width="0" style="23" hidden="1" customWidth="1"/>
    <col min="1980" max="1980" width="4.3828125" style="23" customWidth="1"/>
    <col min="1981" max="1981" width="4.3046875" style="23" customWidth="1"/>
    <col min="1982" max="1982" width="0" style="23" hidden="1" customWidth="1"/>
    <col min="1983" max="1984" width="4.3828125" style="23" customWidth="1"/>
    <col min="1985" max="1985" width="0" style="23" hidden="1" customWidth="1"/>
    <col min="1986" max="1987" width="4.3828125" style="23" customWidth="1"/>
    <col min="1988" max="1988" width="0" style="23" hidden="1" customWidth="1"/>
    <col min="1989" max="1990" width="4.3828125" style="23" customWidth="1"/>
    <col min="1991" max="1991" width="0" style="23" hidden="1" customWidth="1"/>
    <col min="1992" max="1993" width="4.3828125" style="23" customWidth="1"/>
    <col min="1994" max="2048" width="10.3046875" style="23"/>
    <col min="2049" max="2049" width="3.84375" style="23" customWidth="1"/>
    <col min="2050" max="2050" width="32.69140625" style="23" customWidth="1"/>
    <col min="2051" max="2127" width="3.84375" style="23" customWidth="1"/>
    <col min="2128" max="2129" width="0" style="23" hidden="1" customWidth="1"/>
    <col min="2130" max="2130" width="3.84375" style="23" customWidth="1"/>
    <col min="2131" max="2132" width="0" style="23" hidden="1" customWidth="1"/>
    <col min="2133" max="2133" width="3.84375" style="23" customWidth="1"/>
    <col min="2134" max="2135" width="0" style="23" hidden="1" customWidth="1"/>
    <col min="2136" max="2136" width="3.84375" style="23" customWidth="1"/>
    <col min="2137" max="2138" width="0" style="23" hidden="1" customWidth="1"/>
    <col min="2139" max="2139" width="3.84375" style="23" customWidth="1"/>
    <col min="2140" max="2141" width="0" style="23" hidden="1" customWidth="1"/>
    <col min="2142" max="2142" width="3.84375" style="23" customWidth="1"/>
    <col min="2143" max="2144" width="0" style="23" hidden="1" customWidth="1"/>
    <col min="2145" max="2145" width="3.84375" style="23" customWidth="1"/>
    <col min="2146" max="2147" width="0" style="23" hidden="1" customWidth="1"/>
    <col min="2148" max="2148" width="3.84375" style="23" customWidth="1"/>
    <col min="2149" max="2150" width="0" style="23" hidden="1" customWidth="1"/>
    <col min="2151" max="2151" width="3.84375" style="23" customWidth="1"/>
    <col min="2152" max="2153" width="0" style="23" hidden="1" customWidth="1"/>
    <col min="2154" max="2154" width="3.84375" style="23" customWidth="1"/>
    <col min="2155" max="2156" width="0" style="23" hidden="1" customWidth="1"/>
    <col min="2157" max="2157" width="3.84375" style="23" customWidth="1"/>
    <col min="2158" max="2159" width="0" style="23" hidden="1" customWidth="1"/>
    <col min="2160" max="2160" width="3.84375" style="23" customWidth="1"/>
    <col min="2161" max="2162" width="0" style="23" hidden="1" customWidth="1"/>
    <col min="2163" max="2163" width="3.84375" style="23" customWidth="1"/>
    <col min="2164" max="2165" width="0" style="23" hidden="1" customWidth="1"/>
    <col min="2166" max="2166" width="3.84375" style="23" customWidth="1"/>
    <col min="2167" max="2168" width="0" style="23" hidden="1" customWidth="1"/>
    <col min="2169" max="2169" width="3.84375" style="23" customWidth="1"/>
    <col min="2170" max="2171" width="0" style="23" hidden="1" customWidth="1"/>
    <col min="2172" max="2172" width="3.84375" style="23" customWidth="1"/>
    <col min="2173" max="2174" width="0" style="23" hidden="1" customWidth="1"/>
    <col min="2175" max="2175" width="3.84375" style="23" customWidth="1"/>
    <col min="2176" max="2177" width="0" style="23" hidden="1" customWidth="1"/>
    <col min="2178" max="2179" width="3.84375" style="23" customWidth="1"/>
    <col min="2180" max="2180" width="3.69140625" style="23" customWidth="1"/>
    <col min="2181" max="2181" width="0" style="23" hidden="1" customWidth="1"/>
    <col min="2182" max="2182" width="3.84375" style="23" customWidth="1"/>
    <col min="2183" max="2183" width="4.15234375" style="23" bestFit="1" customWidth="1"/>
    <col min="2184" max="2184" width="0" style="23" hidden="1" customWidth="1"/>
    <col min="2185" max="2186" width="4.15234375" style="23" bestFit="1" customWidth="1"/>
    <col min="2187" max="2187" width="0" style="23" hidden="1" customWidth="1"/>
    <col min="2188" max="2189" width="4.3046875" style="23" customWidth="1"/>
    <col min="2190" max="2190" width="0" style="23" hidden="1" customWidth="1"/>
    <col min="2191" max="2191" width="4.69140625" style="23" bestFit="1" customWidth="1"/>
    <col min="2192" max="2192" width="4.15234375" style="23" customWidth="1"/>
    <col min="2193" max="2193" width="0" style="23" hidden="1" customWidth="1"/>
    <col min="2194" max="2195" width="4.15234375" style="23" customWidth="1"/>
    <col min="2196" max="2196" width="0" style="23" hidden="1" customWidth="1"/>
    <col min="2197" max="2197" width="4.53515625" style="23" customWidth="1"/>
    <col min="2198" max="2198" width="4.69140625" style="23" customWidth="1"/>
    <col min="2199" max="2199" width="0" style="23" hidden="1" customWidth="1"/>
    <col min="2200" max="2200" width="4.53515625" style="23" customWidth="1"/>
    <col min="2201" max="2201" width="4.69140625" style="23" customWidth="1"/>
    <col min="2202" max="2202" width="0" style="23" hidden="1" customWidth="1"/>
    <col min="2203" max="2204" width="4.53515625" style="23" customWidth="1"/>
    <col min="2205" max="2205" width="0" style="23" hidden="1" customWidth="1"/>
    <col min="2206" max="2207" width="4.69140625" style="23" customWidth="1"/>
    <col min="2208" max="2208" width="0" style="23" hidden="1" customWidth="1"/>
    <col min="2209" max="2210" width="4.53515625" style="23" customWidth="1"/>
    <col min="2211" max="2211" width="0" style="23" hidden="1" customWidth="1"/>
    <col min="2212" max="2212" width="4.53515625" style="23" customWidth="1"/>
    <col min="2213" max="2213" width="4.69140625" style="23" customWidth="1"/>
    <col min="2214" max="2214" width="0" style="23" hidden="1" customWidth="1"/>
    <col min="2215" max="2215" width="5.15234375" style="23" customWidth="1"/>
    <col min="2216" max="2216" width="4.53515625" style="23" customWidth="1"/>
    <col min="2217" max="2217" width="0" style="23" hidden="1" customWidth="1"/>
    <col min="2218" max="2218" width="5" style="23" customWidth="1"/>
    <col min="2219" max="2219" width="4.84375" style="23" customWidth="1"/>
    <col min="2220" max="2220" width="0" style="23" hidden="1" customWidth="1"/>
    <col min="2221" max="2222" width="4.53515625" style="23" customWidth="1"/>
    <col min="2223" max="2223" width="0" style="23" hidden="1" customWidth="1"/>
    <col min="2224" max="2224" width="4.53515625" style="23" customWidth="1"/>
    <col min="2225" max="2225" width="4.69140625" style="23" customWidth="1"/>
    <col min="2226" max="2226" width="0" style="23" hidden="1" customWidth="1"/>
    <col min="2227" max="2228" width="4.3828125" style="23" customWidth="1"/>
    <col min="2229" max="2229" width="0" style="23" hidden="1" customWidth="1"/>
    <col min="2230" max="2231" width="4.3828125" style="23" customWidth="1"/>
    <col min="2232" max="2232" width="0" style="23" hidden="1" customWidth="1"/>
    <col min="2233" max="2234" width="4.3828125" style="23" customWidth="1"/>
    <col min="2235" max="2235" width="0" style="23" hidden="1" customWidth="1"/>
    <col min="2236" max="2236" width="4.3828125" style="23" customWidth="1"/>
    <col min="2237" max="2237" width="4.3046875" style="23" customWidth="1"/>
    <col min="2238" max="2238" width="0" style="23" hidden="1" customWidth="1"/>
    <col min="2239" max="2240" width="4.3828125" style="23" customWidth="1"/>
    <col min="2241" max="2241" width="0" style="23" hidden="1" customWidth="1"/>
    <col min="2242" max="2243" width="4.3828125" style="23" customWidth="1"/>
    <col min="2244" max="2244" width="0" style="23" hidden="1" customWidth="1"/>
    <col min="2245" max="2246" width="4.3828125" style="23" customWidth="1"/>
    <col min="2247" max="2247" width="0" style="23" hidden="1" customWidth="1"/>
    <col min="2248" max="2249" width="4.3828125" style="23" customWidth="1"/>
    <col min="2250" max="2304" width="10.3046875" style="23"/>
    <col min="2305" max="2305" width="3.84375" style="23" customWidth="1"/>
    <col min="2306" max="2306" width="32.69140625" style="23" customWidth="1"/>
    <col min="2307" max="2383" width="3.84375" style="23" customWidth="1"/>
    <col min="2384" max="2385" width="0" style="23" hidden="1" customWidth="1"/>
    <col min="2386" max="2386" width="3.84375" style="23" customWidth="1"/>
    <col min="2387" max="2388" width="0" style="23" hidden="1" customWidth="1"/>
    <col min="2389" max="2389" width="3.84375" style="23" customWidth="1"/>
    <col min="2390" max="2391" width="0" style="23" hidden="1" customWidth="1"/>
    <col min="2392" max="2392" width="3.84375" style="23" customWidth="1"/>
    <col min="2393" max="2394" width="0" style="23" hidden="1" customWidth="1"/>
    <col min="2395" max="2395" width="3.84375" style="23" customWidth="1"/>
    <col min="2396" max="2397" width="0" style="23" hidden="1" customWidth="1"/>
    <col min="2398" max="2398" width="3.84375" style="23" customWidth="1"/>
    <col min="2399" max="2400" width="0" style="23" hidden="1" customWidth="1"/>
    <col min="2401" max="2401" width="3.84375" style="23" customWidth="1"/>
    <col min="2402" max="2403" width="0" style="23" hidden="1" customWidth="1"/>
    <col min="2404" max="2404" width="3.84375" style="23" customWidth="1"/>
    <col min="2405" max="2406" width="0" style="23" hidden="1" customWidth="1"/>
    <col min="2407" max="2407" width="3.84375" style="23" customWidth="1"/>
    <col min="2408" max="2409" width="0" style="23" hidden="1" customWidth="1"/>
    <col min="2410" max="2410" width="3.84375" style="23" customWidth="1"/>
    <col min="2411" max="2412" width="0" style="23" hidden="1" customWidth="1"/>
    <col min="2413" max="2413" width="3.84375" style="23" customWidth="1"/>
    <col min="2414" max="2415" width="0" style="23" hidden="1" customWidth="1"/>
    <col min="2416" max="2416" width="3.84375" style="23" customWidth="1"/>
    <col min="2417" max="2418" width="0" style="23" hidden="1" customWidth="1"/>
    <col min="2419" max="2419" width="3.84375" style="23" customWidth="1"/>
    <col min="2420" max="2421" width="0" style="23" hidden="1" customWidth="1"/>
    <col min="2422" max="2422" width="3.84375" style="23" customWidth="1"/>
    <col min="2423" max="2424" width="0" style="23" hidden="1" customWidth="1"/>
    <col min="2425" max="2425" width="3.84375" style="23" customWidth="1"/>
    <col min="2426" max="2427" width="0" style="23" hidden="1" customWidth="1"/>
    <col min="2428" max="2428" width="3.84375" style="23" customWidth="1"/>
    <col min="2429" max="2430" width="0" style="23" hidden="1" customWidth="1"/>
    <col min="2431" max="2431" width="3.84375" style="23" customWidth="1"/>
    <col min="2432" max="2433" width="0" style="23" hidden="1" customWidth="1"/>
    <col min="2434" max="2435" width="3.84375" style="23" customWidth="1"/>
    <col min="2436" max="2436" width="3.69140625" style="23" customWidth="1"/>
    <col min="2437" max="2437" width="0" style="23" hidden="1" customWidth="1"/>
    <col min="2438" max="2438" width="3.84375" style="23" customWidth="1"/>
    <col min="2439" max="2439" width="4.15234375" style="23" bestFit="1" customWidth="1"/>
    <col min="2440" max="2440" width="0" style="23" hidden="1" customWidth="1"/>
    <col min="2441" max="2442" width="4.15234375" style="23" bestFit="1" customWidth="1"/>
    <col min="2443" max="2443" width="0" style="23" hidden="1" customWidth="1"/>
    <col min="2444" max="2445" width="4.3046875" style="23" customWidth="1"/>
    <col min="2446" max="2446" width="0" style="23" hidden="1" customWidth="1"/>
    <col min="2447" max="2447" width="4.69140625" style="23" bestFit="1" customWidth="1"/>
    <col min="2448" max="2448" width="4.15234375" style="23" customWidth="1"/>
    <col min="2449" max="2449" width="0" style="23" hidden="1" customWidth="1"/>
    <col min="2450" max="2451" width="4.15234375" style="23" customWidth="1"/>
    <col min="2452" max="2452" width="0" style="23" hidden="1" customWidth="1"/>
    <col min="2453" max="2453" width="4.53515625" style="23" customWidth="1"/>
    <col min="2454" max="2454" width="4.69140625" style="23" customWidth="1"/>
    <col min="2455" max="2455" width="0" style="23" hidden="1" customWidth="1"/>
    <col min="2456" max="2456" width="4.53515625" style="23" customWidth="1"/>
    <col min="2457" max="2457" width="4.69140625" style="23" customWidth="1"/>
    <col min="2458" max="2458" width="0" style="23" hidden="1" customWidth="1"/>
    <col min="2459" max="2460" width="4.53515625" style="23" customWidth="1"/>
    <col min="2461" max="2461" width="0" style="23" hidden="1" customWidth="1"/>
    <col min="2462" max="2463" width="4.69140625" style="23" customWidth="1"/>
    <col min="2464" max="2464" width="0" style="23" hidden="1" customWidth="1"/>
    <col min="2465" max="2466" width="4.53515625" style="23" customWidth="1"/>
    <col min="2467" max="2467" width="0" style="23" hidden="1" customWidth="1"/>
    <col min="2468" max="2468" width="4.53515625" style="23" customWidth="1"/>
    <col min="2469" max="2469" width="4.69140625" style="23" customWidth="1"/>
    <col min="2470" max="2470" width="0" style="23" hidden="1" customWidth="1"/>
    <col min="2471" max="2471" width="5.15234375" style="23" customWidth="1"/>
    <col min="2472" max="2472" width="4.53515625" style="23" customWidth="1"/>
    <col min="2473" max="2473" width="0" style="23" hidden="1" customWidth="1"/>
    <col min="2474" max="2474" width="5" style="23" customWidth="1"/>
    <col min="2475" max="2475" width="4.84375" style="23" customWidth="1"/>
    <col min="2476" max="2476" width="0" style="23" hidden="1" customWidth="1"/>
    <col min="2477" max="2478" width="4.53515625" style="23" customWidth="1"/>
    <col min="2479" max="2479" width="0" style="23" hidden="1" customWidth="1"/>
    <col min="2480" max="2480" width="4.53515625" style="23" customWidth="1"/>
    <col min="2481" max="2481" width="4.69140625" style="23" customWidth="1"/>
    <col min="2482" max="2482" width="0" style="23" hidden="1" customWidth="1"/>
    <col min="2483" max="2484" width="4.3828125" style="23" customWidth="1"/>
    <col min="2485" max="2485" width="0" style="23" hidden="1" customWidth="1"/>
    <col min="2486" max="2487" width="4.3828125" style="23" customWidth="1"/>
    <col min="2488" max="2488" width="0" style="23" hidden="1" customWidth="1"/>
    <col min="2489" max="2490" width="4.3828125" style="23" customWidth="1"/>
    <col min="2491" max="2491" width="0" style="23" hidden="1" customWidth="1"/>
    <col min="2492" max="2492" width="4.3828125" style="23" customWidth="1"/>
    <col min="2493" max="2493" width="4.3046875" style="23" customWidth="1"/>
    <col min="2494" max="2494" width="0" style="23" hidden="1" customWidth="1"/>
    <col min="2495" max="2496" width="4.3828125" style="23" customWidth="1"/>
    <col min="2497" max="2497" width="0" style="23" hidden="1" customWidth="1"/>
    <col min="2498" max="2499" width="4.3828125" style="23" customWidth="1"/>
    <col min="2500" max="2500" width="0" style="23" hidden="1" customWidth="1"/>
    <col min="2501" max="2502" width="4.3828125" style="23" customWidth="1"/>
    <col min="2503" max="2503" width="0" style="23" hidden="1" customWidth="1"/>
    <col min="2504" max="2505" width="4.3828125" style="23" customWidth="1"/>
    <col min="2506" max="2560" width="10.3046875" style="23"/>
    <col min="2561" max="2561" width="3.84375" style="23" customWidth="1"/>
    <col min="2562" max="2562" width="32.69140625" style="23" customWidth="1"/>
    <col min="2563" max="2639" width="3.84375" style="23" customWidth="1"/>
    <col min="2640" max="2641" width="0" style="23" hidden="1" customWidth="1"/>
    <col min="2642" max="2642" width="3.84375" style="23" customWidth="1"/>
    <col min="2643" max="2644" width="0" style="23" hidden="1" customWidth="1"/>
    <col min="2645" max="2645" width="3.84375" style="23" customWidth="1"/>
    <col min="2646" max="2647" width="0" style="23" hidden="1" customWidth="1"/>
    <col min="2648" max="2648" width="3.84375" style="23" customWidth="1"/>
    <col min="2649" max="2650" width="0" style="23" hidden="1" customWidth="1"/>
    <col min="2651" max="2651" width="3.84375" style="23" customWidth="1"/>
    <col min="2652" max="2653" width="0" style="23" hidden="1" customWidth="1"/>
    <col min="2654" max="2654" width="3.84375" style="23" customWidth="1"/>
    <col min="2655" max="2656" width="0" style="23" hidden="1" customWidth="1"/>
    <col min="2657" max="2657" width="3.84375" style="23" customWidth="1"/>
    <col min="2658" max="2659" width="0" style="23" hidden="1" customWidth="1"/>
    <col min="2660" max="2660" width="3.84375" style="23" customWidth="1"/>
    <col min="2661" max="2662" width="0" style="23" hidden="1" customWidth="1"/>
    <col min="2663" max="2663" width="3.84375" style="23" customWidth="1"/>
    <col min="2664" max="2665" width="0" style="23" hidden="1" customWidth="1"/>
    <col min="2666" max="2666" width="3.84375" style="23" customWidth="1"/>
    <col min="2667" max="2668" width="0" style="23" hidden="1" customWidth="1"/>
    <col min="2669" max="2669" width="3.84375" style="23" customWidth="1"/>
    <col min="2670" max="2671" width="0" style="23" hidden="1" customWidth="1"/>
    <col min="2672" max="2672" width="3.84375" style="23" customWidth="1"/>
    <col min="2673" max="2674" width="0" style="23" hidden="1" customWidth="1"/>
    <col min="2675" max="2675" width="3.84375" style="23" customWidth="1"/>
    <col min="2676" max="2677" width="0" style="23" hidden="1" customWidth="1"/>
    <col min="2678" max="2678" width="3.84375" style="23" customWidth="1"/>
    <col min="2679" max="2680" width="0" style="23" hidden="1" customWidth="1"/>
    <col min="2681" max="2681" width="3.84375" style="23" customWidth="1"/>
    <col min="2682" max="2683" width="0" style="23" hidden="1" customWidth="1"/>
    <col min="2684" max="2684" width="3.84375" style="23" customWidth="1"/>
    <col min="2685" max="2686" width="0" style="23" hidden="1" customWidth="1"/>
    <col min="2687" max="2687" width="3.84375" style="23" customWidth="1"/>
    <col min="2688" max="2689" width="0" style="23" hidden="1" customWidth="1"/>
    <col min="2690" max="2691" width="3.84375" style="23" customWidth="1"/>
    <col min="2692" max="2692" width="3.69140625" style="23" customWidth="1"/>
    <col min="2693" max="2693" width="0" style="23" hidden="1" customWidth="1"/>
    <col min="2694" max="2694" width="3.84375" style="23" customWidth="1"/>
    <col min="2695" max="2695" width="4.15234375" style="23" bestFit="1" customWidth="1"/>
    <col min="2696" max="2696" width="0" style="23" hidden="1" customWidth="1"/>
    <col min="2697" max="2698" width="4.15234375" style="23" bestFit="1" customWidth="1"/>
    <col min="2699" max="2699" width="0" style="23" hidden="1" customWidth="1"/>
    <col min="2700" max="2701" width="4.3046875" style="23" customWidth="1"/>
    <col min="2702" max="2702" width="0" style="23" hidden="1" customWidth="1"/>
    <col min="2703" max="2703" width="4.69140625" style="23" bestFit="1" customWidth="1"/>
    <col min="2704" max="2704" width="4.15234375" style="23" customWidth="1"/>
    <col min="2705" max="2705" width="0" style="23" hidden="1" customWidth="1"/>
    <col min="2706" max="2707" width="4.15234375" style="23" customWidth="1"/>
    <col min="2708" max="2708" width="0" style="23" hidden="1" customWidth="1"/>
    <col min="2709" max="2709" width="4.53515625" style="23" customWidth="1"/>
    <col min="2710" max="2710" width="4.69140625" style="23" customWidth="1"/>
    <col min="2711" max="2711" width="0" style="23" hidden="1" customWidth="1"/>
    <col min="2712" max="2712" width="4.53515625" style="23" customWidth="1"/>
    <col min="2713" max="2713" width="4.69140625" style="23" customWidth="1"/>
    <col min="2714" max="2714" width="0" style="23" hidden="1" customWidth="1"/>
    <col min="2715" max="2716" width="4.53515625" style="23" customWidth="1"/>
    <col min="2717" max="2717" width="0" style="23" hidden="1" customWidth="1"/>
    <col min="2718" max="2719" width="4.69140625" style="23" customWidth="1"/>
    <col min="2720" max="2720" width="0" style="23" hidden="1" customWidth="1"/>
    <col min="2721" max="2722" width="4.53515625" style="23" customWidth="1"/>
    <col min="2723" max="2723" width="0" style="23" hidden="1" customWidth="1"/>
    <col min="2724" max="2724" width="4.53515625" style="23" customWidth="1"/>
    <col min="2725" max="2725" width="4.69140625" style="23" customWidth="1"/>
    <col min="2726" max="2726" width="0" style="23" hidden="1" customWidth="1"/>
    <col min="2727" max="2727" width="5.15234375" style="23" customWidth="1"/>
    <col min="2728" max="2728" width="4.53515625" style="23" customWidth="1"/>
    <col min="2729" max="2729" width="0" style="23" hidden="1" customWidth="1"/>
    <col min="2730" max="2730" width="5" style="23" customWidth="1"/>
    <col min="2731" max="2731" width="4.84375" style="23" customWidth="1"/>
    <col min="2732" max="2732" width="0" style="23" hidden="1" customWidth="1"/>
    <col min="2733" max="2734" width="4.53515625" style="23" customWidth="1"/>
    <col min="2735" max="2735" width="0" style="23" hidden="1" customWidth="1"/>
    <col min="2736" max="2736" width="4.53515625" style="23" customWidth="1"/>
    <col min="2737" max="2737" width="4.69140625" style="23" customWidth="1"/>
    <col min="2738" max="2738" width="0" style="23" hidden="1" customWidth="1"/>
    <col min="2739" max="2740" width="4.3828125" style="23" customWidth="1"/>
    <col min="2741" max="2741" width="0" style="23" hidden="1" customWidth="1"/>
    <col min="2742" max="2743" width="4.3828125" style="23" customWidth="1"/>
    <col min="2744" max="2744" width="0" style="23" hidden="1" customWidth="1"/>
    <col min="2745" max="2746" width="4.3828125" style="23" customWidth="1"/>
    <col min="2747" max="2747" width="0" style="23" hidden="1" customWidth="1"/>
    <col min="2748" max="2748" width="4.3828125" style="23" customWidth="1"/>
    <col min="2749" max="2749" width="4.3046875" style="23" customWidth="1"/>
    <col min="2750" max="2750" width="0" style="23" hidden="1" customWidth="1"/>
    <col min="2751" max="2752" width="4.3828125" style="23" customWidth="1"/>
    <col min="2753" max="2753" width="0" style="23" hidden="1" customWidth="1"/>
    <col min="2754" max="2755" width="4.3828125" style="23" customWidth="1"/>
    <col min="2756" max="2756" width="0" style="23" hidden="1" customWidth="1"/>
    <col min="2757" max="2758" width="4.3828125" style="23" customWidth="1"/>
    <col min="2759" max="2759" width="0" style="23" hidden="1" customWidth="1"/>
    <col min="2760" max="2761" width="4.3828125" style="23" customWidth="1"/>
    <col min="2762" max="2816" width="10.3046875" style="23"/>
    <col min="2817" max="2817" width="3.84375" style="23" customWidth="1"/>
    <col min="2818" max="2818" width="32.69140625" style="23" customWidth="1"/>
    <col min="2819" max="2895" width="3.84375" style="23" customWidth="1"/>
    <col min="2896" max="2897" width="0" style="23" hidden="1" customWidth="1"/>
    <col min="2898" max="2898" width="3.84375" style="23" customWidth="1"/>
    <col min="2899" max="2900" width="0" style="23" hidden="1" customWidth="1"/>
    <col min="2901" max="2901" width="3.84375" style="23" customWidth="1"/>
    <col min="2902" max="2903" width="0" style="23" hidden="1" customWidth="1"/>
    <col min="2904" max="2904" width="3.84375" style="23" customWidth="1"/>
    <col min="2905" max="2906" width="0" style="23" hidden="1" customWidth="1"/>
    <col min="2907" max="2907" width="3.84375" style="23" customWidth="1"/>
    <col min="2908" max="2909" width="0" style="23" hidden="1" customWidth="1"/>
    <col min="2910" max="2910" width="3.84375" style="23" customWidth="1"/>
    <col min="2911" max="2912" width="0" style="23" hidden="1" customWidth="1"/>
    <col min="2913" max="2913" width="3.84375" style="23" customWidth="1"/>
    <col min="2914" max="2915" width="0" style="23" hidden="1" customWidth="1"/>
    <col min="2916" max="2916" width="3.84375" style="23" customWidth="1"/>
    <col min="2917" max="2918" width="0" style="23" hidden="1" customWidth="1"/>
    <col min="2919" max="2919" width="3.84375" style="23" customWidth="1"/>
    <col min="2920" max="2921" width="0" style="23" hidden="1" customWidth="1"/>
    <col min="2922" max="2922" width="3.84375" style="23" customWidth="1"/>
    <col min="2923" max="2924" width="0" style="23" hidden="1" customWidth="1"/>
    <col min="2925" max="2925" width="3.84375" style="23" customWidth="1"/>
    <col min="2926" max="2927" width="0" style="23" hidden="1" customWidth="1"/>
    <col min="2928" max="2928" width="3.84375" style="23" customWidth="1"/>
    <col min="2929" max="2930" width="0" style="23" hidden="1" customWidth="1"/>
    <col min="2931" max="2931" width="3.84375" style="23" customWidth="1"/>
    <col min="2932" max="2933" width="0" style="23" hidden="1" customWidth="1"/>
    <col min="2934" max="2934" width="3.84375" style="23" customWidth="1"/>
    <col min="2935" max="2936" width="0" style="23" hidden="1" customWidth="1"/>
    <col min="2937" max="2937" width="3.84375" style="23" customWidth="1"/>
    <col min="2938" max="2939" width="0" style="23" hidden="1" customWidth="1"/>
    <col min="2940" max="2940" width="3.84375" style="23" customWidth="1"/>
    <col min="2941" max="2942" width="0" style="23" hidden="1" customWidth="1"/>
    <col min="2943" max="2943" width="3.84375" style="23" customWidth="1"/>
    <col min="2944" max="2945" width="0" style="23" hidden="1" customWidth="1"/>
    <col min="2946" max="2947" width="3.84375" style="23" customWidth="1"/>
    <col min="2948" max="2948" width="3.69140625" style="23" customWidth="1"/>
    <col min="2949" max="2949" width="0" style="23" hidden="1" customWidth="1"/>
    <col min="2950" max="2950" width="3.84375" style="23" customWidth="1"/>
    <col min="2951" max="2951" width="4.15234375" style="23" bestFit="1" customWidth="1"/>
    <col min="2952" max="2952" width="0" style="23" hidden="1" customWidth="1"/>
    <col min="2953" max="2954" width="4.15234375" style="23" bestFit="1" customWidth="1"/>
    <col min="2955" max="2955" width="0" style="23" hidden="1" customWidth="1"/>
    <col min="2956" max="2957" width="4.3046875" style="23" customWidth="1"/>
    <col min="2958" max="2958" width="0" style="23" hidden="1" customWidth="1"/>
    <col min="2959" max="2959" width="4.69140625" style="23" bestFit="1" customWidth="1"/>
    <col min="2960" max="2960" width="4.15234375" style="23" customWidth="1"/>
    <col min="2961" max="2961" width="0" style="23" hidden="1" customWidth="1"/>
    <col min="2962" max="2963" width="4.15234375" style="23" customWidth="1"/>
    <col min="2964" max="2964" width="0" style="23" hidden="1" customWidth="1"/>
    <col min="2965" max="2965" width="4.53515625" style="23" customWidth="1"/>
    <col min="2966" max="2966" width="4.69140625" style="23" customWidth="1"/>
    <col min="2967" max="2967" width="0" style="23" hidden="1" customWidth="1"/>
    <col min="2968" max="2968" width="4.53515625" style="23" customWidth="1"/>
    <col min="2969" max="2969" width="4.69140625" style="23" customWidth="1"/>
    <col min="2970" max="2970" width="0" style="23" hidden="1" customWidth="1"/>
    <col min="2971" max="2972" width="4.53515625" style="23" customWidth="1"/>
    <col min="2973" max="2973" width="0" style="23" hidden="1" customWidth="1"/>
    <col min="2974" max="2975" width="4.69140625" style="23" customWidth="1"/>
    <col min="2976" max="2976" width="0" style="23" hidden="1" customWidth="1"/>
    <col min="2977" max="2978" width="4.53515625" style="23" customWidth="1"/>
    <col min="2979" max="2979" width="0" style="23" hidden="1" customWidth="1"/>
    <col min="2980" max="2980" width="4.53515625" style="23" customWidth="1"/>
    <col min="2981" max="2981" width="4.69140625" style="23" customWidth="1"/>
    <col min="2982" max="2982" width="0" style="23" hidden="1" customWidth="1"/>
    <col min="2983" max="2983" width="5.15234375" style="23" customWidth="1"/>
    <col min="2984" max="2984" width="4.53515625" style="23" customWidth="1"/>
    <col min="2985" max="2985" width="0" style="23" hidden="1" customWidth="1"/>
    <col min="2986" max="2986" width="5" style="23" customWidth="1"/>
    <col min="2987" max="2987" width="4.84375" style="23" customWidth="1"/>
    <col min="2988" max="2988" width="0" style="23" hidden="1" customWidth="1"/>
    <col min="2989" max="2990" width="4.53515625" style="23" customWidth="1"/>
    <col min="2991" max="2991" width="0" style="23" hidden="1" customWidth="1"/>
    <col min="2992" max="2992" width="4.53515625" style="23" customWidth="1"/>
    <col min="2993" max="2993" width="4.69140625" style="23" customWidth="1"/>
    <col min="2994" max="2994" width="0" style="23" hidden="1" customWidth="1"/>
    <col min="2995" max="2996" width="4.3828125" style="23" customWidth="1"/>
    <col min="2997" max="2997" width="0" style="23" hidden="1" customWidth="1"/>
    <col min="2998" max="2999" width="4.3828125" style="23" customWidth="1"/>
    <col min="3000" max="3000" width="0" style="23" hidden="1" customWidth="1"/>
    <col min="3001" max="3002" width="4.3828125" style="23" customWidth="1"/>
    <col min="3003" max="3003" width="0" style="23" hidden="1" customWidth="1"/>
    <col min="3004" max="3004" width="4.3828125" style="23" customWidth="1"/>
    <col min="3005" max="3005" width="4.3046875" style="23" customWidth="1"/>
    <col min="3006" max="3006" width="0" style="23" hidden="1" customWidth="1"/>
    <col min="3007" max="3008" width="4.3828125" style="23" customWidth="1"/>
    <col min="3009" max="3009" width="0" style="23" hidden="1" customWidth="1"/>
    <col min="3010" max="3011" width="4.3828125" style="23" customWidth="1"/>
    <col min="3012" max="3012" width="0" style="23" hidden="1" customWidth="1"/>
    <col min="3013" max="3014" width="4.3828125" style="23" customWidth="1"/>
    <col min="3015" max="3015" width="0" style="23" hidden="1" customWidth="1"/>
    <col min="3016" max="3017" width="4.3828125" style="23" customWidth="1"/>
    <col min="3018" max="3072" width="10.3046875" style="23"/>
    <col min="3073" max="3073" width="3.84375" style="23" customWidth="1"/>
    <col min="3074" max="3074" width="32.69140625" style="23" customWidth="1"/>
    <col min="3075" max="3151" width="3.84375" style="23" customWidth="1"/>
    <col min="3152" max="3153" width="0" style="23" hidden="1" customWidth="1"/>
    <col min="3154" max="3154" width="3.84375" style="23" customWidth="1"/>
    <col min="3155" max="3156" width="0" style="23" hidden="1" customWidth="1"/>
    <col min="3157" max="3157" width="3.84375" style="23" customWidth="1"/>
    <col min="3158" max="3159" width="0" style="23" hidden="1" customWidth="1"/>
    <col min="3160" max="3160" width="3.84375" style="23" customWidth="1"/>
    <col min="3161" max="3162" width="0" style="23" hidden="1" customWidth="1"/>
    <col min="3163" max="3163" width="3.84375" style="23" customWidth="1"/>
    <col min="3164" max="3165" width="0" style="23" hidden="1" customWidth="1"/>
    <col min="3166" max="3166" width="3.84375" style="23" customWidth="1"/>
    <col min="3167" max="3168" width="0" style="23" hidden="1" customWidth="1"/>
    <col min="3169" max="3169" width="3.84375" style="23" customWidth="1"/>
    <col min="3170" max="3171" width="0" style="23" hidden="1" customWidth="1"/>
    <col min="3172" max="3172" width="3.84375" style="23" customWidth="1"/>
    <col min="3173" max="3174" width="0" style="23" hidden="1" customWidth="1"/>
    <col min="3175" max="3175" width="3.84375" style="23" customWidth="1"/>
    <col min="3176" max="3177" width="0" style="23" hidden="1" customWidth="1"/>
    <col min="3178" max="3178" width="3.84375" style="23" customWidth="1"/>
    <col min="3179" max="3180" width="0" style="23" hidden="1" customWidth="1"/>
    <col min="3181" max="3181" width="3.84375" style="23" customWidth="1"/>
    <col min="3182" max="3183" width="0" style="23" hidden="1" customWidth="1"/>
    <col min="3184" max="3184" width="3.84375" style="23" customWidth="1"/>
    <col min="3185" max="3186" width="0" style="23" hidden="1" customWidth="1"/>
    <col min="3187" max="3187" width="3.84375" style="23" customWidth="1"/>
    <col min="3188" max="3189" width="0" style="23" hidden="1" customWidth="1"/>
    <col min="3190" max="3190" width="3.84375" style="23" customWidth="1"/>
    <col min="3191" max="3192" width="0" style="23" hidden="1" customWidth="1"/>
    <col min="3193" max="3193" width="3.84375" style="23" customWidth="1"/>
    <col min="3194" max="3195" width="0" style="23" hidden="1" customWidth="1"/>
    <col min="3196" max="3196" width="3.84375" style="23" customWidth="1"/>
    <col min="3197" max="3198" width="0" style="23" hidden="1" customWidth="1"/>
    <col min="3199" max="3199" width="3.84375" style="23" customWidth="1"/>
    <col min="3200" max="3201" width="0" style="23" hidden="1" customWidth="1"/>
    <col min="3202" max="3203" width="3.84375" style="23" customWidth="1"/>
    <col min="3204" max="3204" width="3.69140625" style="23" customWidth="1"/>
    <col min="3205" max="3205" width="0" style="23" hidden="1" customWidth="1"/>
    <col min="3206" max="3206" width="3.84375" style="23" customWidth="1"/>
    <col min="3207" max="3207" width="4.15234375" style="23" bestFit="1" customWidth="1"/>
    <col min="3208" max="3208" width="0" style="23" hidden="1" customWidth="1"/>
    <col min="3209" max="3210" width="4.15234375" style="23" bestFit="1" customWidth="1"/>
    <col min="3211" max="3211" width="0" style="23" hidden="1" customWidth="1"/>
    <col min="3212" max="3213" width="4.3046875" style="23" customWidth="1"/>
    <col min="3214" max="3214" width="0" style="23" hidden="1" customWidth="1"/>
    <col min="3215" max="3215" width="4.69140625" style="23" bestFit="1" customWidth="1"/>
    <col min="3216" max="3216" width="4.15234375" style="23" customWidth="1"/>
    <col min="3217" max="3217" width="0" style="23" hidden="1" customWidth="1"/>
    <col min="3218" max="3219" width="4.15234375" style="23" customWidth="1"/>
    <col min="3220" max="3220" width="0" style="23" hidden="1" customWidth="1"/>
    <col min="3221" max="3221" width="4.53515625" style="23" customWidth="1"/>
    <col min="3222" max="3222" width="4.69140625" style="23" customWidth="1"/>
    <col min="3223" max="3223" width="0" style="23" hidden="1" customWidth="1"/>
    <col min="3224" max="3224" width="4.53515625" style="23" customWidth="1"/>
    <col min="3225" max="3225" width="4.69140625" style="23" customWidth="1"/>
    <col min="3226" max="3226" width="0" style="23" hidden="1" customWidth="1"/>
    <col min="3227" max="3228" width="4.53515625" style="23" customWidth="1"/>
    <col min="3229" max="3229" width="0" style="23" hidden="1" customWidth="1"/>
    <col min="3230" max="3231" width="4.69140625" style="23" customWidth="1"/>
    <col min="3232" max="3232" width="0" style="23" hidden="1" customWidth="1"/>
    <col min="3233" max="3234" width="4.53515625" style="23" customWidth="1"/>
    <col min="3235" max="3235" width="0" style="23" hidden="1" customWidth="1"/>
    <col min="3236" max="3236" width="4.53515625" style="23" customWidth="1"/>
    <col min="3237" max="3237" width="4.69140625" style="23" customWidth="1"/>
    <col min="3238" max="3238" width="0" style="23" hidden="1" customWidth="1"/>
    <col min="3239" max="3239" width="5.15234375" style="23" customWidth="1"/>
    <col min="3240" max="3240" width="4.53515625" style="23" customWidth="1"/>
    <col min="3241" max="3241" width="0" style="23" hidden="1" customWidth="1"/>
    <col min="3242" max="3242" width="5" style="23" customWidth="1"/>
    <col min="3243" max="3243" width="4.84375" style="23" customWidth="1"/>
    <col min="3244" max="3244" width="0" style="23" hidden="1" customWidth="1"/>
    <col min="3245" max="3246" width="4.53515625" style="23" customWidth="1"/>
    <col min="3247" max="3247" width="0" style="23" hidden="1" customWidth="1"/>
    <col min="3248" max="3248" width="4.53515625" style="23" customWidth="1"/>
    <col min="3249" max="3249" width="4.69140625" style="23" customWidth="1"/>
    <col min="3250" max="3250" width="0" style="23" hidden="1" customWidth="1"/>
    <col min="3251" max="3252" width="4.3828125" style="23" customWidth="1"/>
    <col min="3253" max="3253" width="0" style="23" hidden="1" customWidth="1"/>
    <col min="3254" max="3255" width="4.3828125" style="23" customWidth="1"/>
    <col min="3256" max="3256" width="0" style="23" hidden="1" customWidth="1"/>
    <col min="3257" max="3258" width="4.3828125" style="23" customWidth="1"/>
    <col min="3259" max="3259" width="0" style="23" hidden="1" customWidth="1"/>
    <col min="3260" max="3260" width="4.3828125" style="23" customWidth="1"/>
    <col min="3261" max="3261" width="4.3046875" style="23" customWidth="1"/>
    <col min="3262" max="3262" width="0" style="23" hidden="1" customWidth="1"/>
    <col min="3263" max="3264" width="4.3828125" style="23" customWidth="1"/>
    <col min="3265" max="3265" width="0" style="23" hidden="1" customWidth="1"/>
    <col min="3266" max="3267" width="4.3828125" style="23" customWidth="1"/>
    <col min="3268" max="3268" width="0" style="23" hidden="1" customWidth="1"/>
    <col min="3269" max="3270" width="4.3828125" style="23" customWidth="1"/>
    <col min="3271" max="3271" width="0" style="23" hidden="1" customWidth="1"/>
    <col min="3272" max="3273" width="4.3828125" style="23" customWidth="1"/>
    <col min="3274" max="3328" width="10.3046875" style="23"/>
    <col min="3329" max="3329" width="3.84375" style="23" customWidth="1"/>
    <col min="3330" max="3330" width="32.69140625" style="23" customWidth="1"/>
    <col min="3331" max="3407" width="3.84375" style="23" customWidth="1"/>
    <col min="3408" max="3409" width="0" style="23" hidden="1" customWidth="1"/>
    <col min="3410" max="3410" width="3.84375" style="23" customWidth="1"/>
    <col min="3411" max="3412" width="0" style="23" hidden="1" customWidth="1"/>
    <col min="3413" max="3413" width="3.84375" style="23" customWidth="1"/>
    <col min="3414" max="3415" width="0" style="23" hidden="1" customWidth="1"/>
    <col min="3416" max="3416" width="3.84375" style="23" customWidth="1"/>
    <col min="3417" max="3418" width="0" style="23" hidden="1" customWidth="1"/>
    <col min="3419" max="3419" width="3.84375" style="23" customWidth="1"/>
    <col min="3420" max="3421" width="0" style="23" hidden="1" customWidth="1"/>
    <col min="3422" max="3422" width="3.84375" style="23" customWidth="1"/>
    <col min="3423" max="3424" width="0" style="23" hidden="1" customWidth="1"/>
    <col min="3425" max="3425" width="3.84375" style="23" customWidth="1"/>
    <col min="3426" max="3427" width="0" style="23" hidden="1" customWidth="1"/>
    <col min="3428" max="3428" width="3.84375" style="23" customWidth="1"/>
    <col min="3429" max="3430" width="0" style="23" hidden="1" customWidth="1"/>
    <col min="3431" max="3431" width="3.84375" style="23" customWidth="1"/>
    <col min="3432" max="3433" width="0" style="23" hidden="1" customWidth="1"/>
    <col min="3434" max="3434" width="3.84375" style="23" customWidth="1"/>
    <col min="3435" max="3436" width="0" style="23" hidden="1" customWidth="1"/>
    <col min="3437" max="3437" width="3.84375" style="23" customWidth="1"/>
    <col min="3438" max="3439" width="0" style="23" hidden="1" customWidth="1"/>
    <col min="3440" max="3440" width="3.84375" style="23" customWidth="1"/>
    <col min="3441" max="3442" width="0" style="23" hidden="1" customWidth="1"/>
    <col min="3443" max="3443" width="3.84375" style="23" customWidth="1"/>
    <col min="3444" max="3445" width="0" style="23" hidden="1" customWidth="1"/>
    <col min="3446" max="3446" width="3.84375" style="23" customWidth="1"/>
    <col min="3447" max="3448" width="0" style="23" hidden="1" customWidth="1"/>
    <col min="3449" max="3449" width="3.84375" style="23" customWidth="1"/>
    <col min="3450" max="3451" width="0" style="23" hidden="1" customWidth="1"/>
    <col min="3452" max="3452" width="3.84375" style="23" customWidth="1"/>
    <col min="3453" max="3454" width="0" style="23" hidden="1" customWidth="1"/>
    <col min="3455" max="3455" width="3.84375" style="23" customWidth="1"/>
    <col min="3456" max="3457" width="0" style="23" hidden="1" customWidth="1"/>
    <col min="3458" max="3459" width="3.84375" style="23" customWidth="1"/>
    <col min="3460" max="3460" width="3.69140625" style="23" customWidth="1"/>
    <col min="3461" max="3461" width="0" style="23" hidden="1" customWidth="1"/>
    <col min="3462" max="3462" width="3.84375" style="23" customWidth="1"/>
    <col min="3463" max="3463" width="4.15234375" style="23" bestFit="1" customWidth="1"/>
    <col min="3464" max="3464" width="0" style="23" hidden="1" customWidth="1"/>
    <col min="3465" max="3466" width="4.15234375" style="23" bestFit="1" customWidth="1"/>
    <col min="3467" max="3467" width="0" style="23" hidden="1" customWidth="1"/>
    <col min="3468" max="3469" width="4.3046875" style="23" customWidth="1"/>
    <col min="3470" max="3470" width="0" style="23" hidden="1" customWidth="1"/>
    <col min="3471" max="3471" width="4.69140625" style="23" bestFit="1" customWidth="1"/>
    <col min="3472" max="3472" width="4.15234375" style="23" customWidth="1"/>
    <col min="3473" max="3473" width="0" style="23" hidden="1" customWidth="1"/>
    <col min="3474" max="3475" width="4.15234375" style="23" customWidth="1"/>
    <col min="3476" max="3476" width="0" style="23" hidden="1" customWidth="1"/>
    <col min="3477" max="3477" width="4.53515625" style="23" customWidth="1"/>
    <col min="3478" max="3478" width="4.69140625" style="23" customWidth="1"/>
    <col min="3479" max="3479" width="0" style="23" hidden="1" customWidth="1"/>
    <col min="3480" max="3480" width="4.53515625" style="23" customWidth="1"/>
    <col min="3481" max="3481" width="4.69140625" style="23" customWidth="1"/>
    <col min="3482" max="3482" width="0" style="23" hidden="1" customWidth="1"/>
    <col min="3483" max="3484" width="4.53515625" style="23" customWidth="1"/>
    <col min="3485" max="3485" width="0" style="23" hidden="1" customWidth="1"/>
    <col min="3486" max="3487" width="4.69140625" style="23" customWidth="1"/>
    <col min="3488" max="3488" width="0" style="23" hidden="1" customWidth="1"/>
    <col min="3489" max="3490" width="4.53515625" style="23" customWidth="1"/>
    <col min="3491" max="3491" width="0" style="23" hidden="1" customWidth="1"/>
    <col min="3492" max="3492" width="4.53515625" style="23" customWidth="1"/>
    <col min="3493" max="3493" width="4.69140625" style="23" customWidth="1"/>
    <col min="3494" max="3494" width="0" style="23" hidden="1" customWidth="1"/>
    <col min="3495" max="3495" width="5.15234375" style="23" customWidth="1"/>
    <col min="3496" max="3496" width="4.53515625" style="23" customWidth="1"/>
    <col min="3497" max="3497" width="0" style="23" hidden="1" customWidth="1"/>
    <col min="3498" max="3498" width="5" style="23" customWidth="1"/>
    <col min="3499" max="3499" width="4.84375" style="23" customWidth="1"/>
    <col min="3500" max="3500" width="0" style="23" hidden="1" customWidth="1"/>
    <col min="3501" max="3502" width="4.53515625" style="23" customWidth="1"/>
    <col min="3503" max="3503" width="0" style="23" hidden="1" customWidth="1"/>
    <col min="3504" max="3504" width="4.53515625" style="23" customWidth="1"/>
    <col min="3505" max="3505" width="4.69140625" style="23" customWidth="1"/>
    <col min="3506" max="3506" width="0" style="23" hidden="1" customWidth="1"/>
    <col min="3507" max="3508" width="4.3828125" style="23" customWidth="1"/>
    <col min="3509" max="3509" width="0" style="23" hidden="1" customWidth="1"/>
    <col min="3510" max="3511" width="4.3828125" style="23" customWidth="1"/>
    <col min="3512" max="3512" width="0" style="23" hidden="1" customWidth="1"/>
    <col min="3513" max="3514" width="4.3828125" style="23" customWidth="1"/>
    <col min="3515" max="3515" width="0" style="23" hidden="1" customWidth="1"/>
    <col min="3516" max="3516" width="4.3828125" style="23" customWidth="1"/>
    <col min="3517" max="3517" width="4.3046875" style="23" customWidth="1"/>
    <col min="3518" max="3518" width="0" style="23" hidden="1" customWidth="1"/>
    <col min="3519" max="3520" width="4.3828125" style="23" customWidth="1"/>
    <col min="3521" max="3521" width="0" style="23" hidden="1" customWidth="1"/>
    <col min="3522" max="3523" width="4.3828125" style="23" customWidth="1"/>
    <col min="3524" max="3524" width="0" style="23" hidden="1" customWidth="1"/>
    <col min="3525" max="3526" width="4.3828125" style="23" customWidth="1"/>
    <col min="3527" max="3527" width="0" style="23" hidden="1" customWidth="1"/>
    <col min="3528" max="3529" width="4.3828125" style="23" customWidth="1"/>
    <col min="3530" max="3584" width="10.3046875" style="23"/>
    <col min="3585" max="3585" width="3.84375" style="23" customWidth="1"/>
    <col min="3586" max="3586" width="32.69140625" style="23" customWidth="1"/>
    <col min="3587" max="3663" width="3.84375" style="23" customWidth="1"/>
    <col min="3664" max="3665" width="0" style="23" hidden="1" customWidth="1"/>
    <col min="3666" max="3666" width="3.84375" style="23" customWidth="1"/>
    <col min="3667" max="3668" width="0" style="23" hidden="1" customWidth="1"/>
    <col min="3669" max="3669" width="3.84375" style="23" customWidth="1"/>
    <col min="3670" max="3671" width="0" style="23" hidden="1" customWidth="1"/>
    <col min="3672" max="3672" width="3.84375" style="23" customWidth="1"/>
    <col min="3673" max="3674" width="0" style="23" hidden="1" customWidth="1"/>
    <col min="3675" max="3675" width="3.84375" style="23" customWidth="1"/>
    <col min="3676" max="3677" width="0" style="23" hidden="1" customWidth="1"/>
    <col min="3678" max="3678" width="3.84375" style="23" customWidth="1"/>
    <col min="3679" max="3680" width="0" style="23" hidden="1" customWidth="1"/>
    <col min="3681" max="3681" width="3.84375" style="23" customWidth="1"/>
    <col min="3682" max="3683" width="0" style="23" hidden="1" customWidth="1"/>
    <col min="3684" max="3684" width="3.84375" style="23" customWidth="1"/>
    <col min="3685" max="3686" width="0" style="23" hidden="1" customWidth="1"/>
    <col min="3687" max="3687" width="3.84375" style="23" customWidth="1"/>
    <col min="3688" max="3689" width="0" style="23" hidden="1" customWidth="1"/>
    <col min="3690" max="3690" width="3.84375" style="23" customWidth="1"/>
    <col min="3691" max="3692" width="0" style="23" hidden="1" customWidth="1"/>
    <col min="3693" max="3693" width="3.84375" style="23" customWidth="1"/>
    <col min="3694" max="3695" width="0" style="23" hidden="1" customWidth="1"/>
    <col min="3696" max="3696" width="3.84375" style="23" customWidth="1"/>
    <col min="3697" max="3698" width="0" style="23" hidden="1" customWidth="1"/>
    <col min="3699" max="3699" width="3.84375" style="23" customWidth="1"/>
    <col min="3700" max="3701" width="0" style="23" hidden="1" customWidth="1"/>
    <col min="3702" max="3702" width="3.84375" style="23" customWidth="1"/>
    <col min="3703" max="3704" width="0" style="23" hidden="1" customWidth="1"/>
    <col min="3705" max="3705" width="3.84375" style="23" customWidth="1"/>
    <col min="3706" max="3707" width="0" style="23" hidden="1" customWidth="1"/>
    <col min="3708" max="3708" width="3.84375" style="23" customWidth="1"/>
    <col min="3709" max="3710" width="0" style="23" hidden="1" customWidth="1"/>
    <col min="3711" max="3711" width="3.84375" style="23" customWidth="1"/>
    <col min="3712" max="3713" width="0" style="23" hidden="1" customWidth="1"/>
    <col min="3714" max="3715" width="3.84375" style="23" customWidth="1"/>
    <col min="3716" max="3716" width="3.69140625" style="23" customWidth="1"/>
    <col min="3717" max="3717" width="0" style="23" hidden="1" customWidth="1"/>
    <col min="3718" max="3718" width="3.84375" style="23" customWidth="1"/>
    <col min="3719" max="3719" width="4.15234375" style="23" bestFit="1" customWidth="1"/>
    <col min="3720" max="3720" width="0" style="23" hidden="1" customWidth="1"/>
    <col min="3721" max="3722" width="4.15234375" style="23" bestFit="1" customWidth="1"/>
    <col min="3723" max="3723" width="0" style="23" hidden="1" customWidth="1"/>
    <col min="3724" max="3725" width="4.3046875" style="23" customWidth="1"/>
    <col min="3726" max="3726" width="0" style="23" hidden="1" customWidth="1"/>
    <col min="3727" max="3727" width="4.69140625" style="23" bestFit="1" customWidth="1"/>
    <col min="3728" max="3728" width="4.15234375" style="23" customWidth="1"/>
    <col min="3729" max="3729" width="0" style="23" hidden="1" customWidth="1"/>
    <col min="3730" max="3731" width="4.15234375" style="23" customWidth="1"/>
    <col min="3732" max="3732" width="0" style="23" hidden="1" customWidth="1"/>
    <col min="3733" max="3733" width="4.53515625" style="23" customWidth="1"/>
    <col min="3734" max="3734" width="4.69140625" style="23" customWidth="1"/>
    <col min="3735" max="3735" width="0" style="23" hidden="1" customWidth="1"/>
    <col min="3736" max="3736" width="4.53515625" style="23" customWidth="1"/>
    <col min="3737" max="3737" width="4.69140625" style="23" customWidth="1"/>
    <col min="3738" max="3738" width="0" style="23" hidden="1" customWidth="1"/>
    <col min="3739" max="3740" width="4.53515625" style="23" customWidth="1"/>
    <col min="3741" max="3741" width="0" style="23" hidden="1" customWidth="1"/>
    <col min="3742" max="3743" width="4.69140625" style="23" customWidth="1"/>
    <col min="3744" max="3744" width="0" style="23" hidden="1" customWidth="1"/>
    <col min="3745" max="3746" width="4.53515625" style="23" customWidth="1"/>
    <col min="3747" max="3747" width="0" style="23" hidden="1" customWidth="1"/>
    <col min="3748" max="3748" width="4.53515625" style="23" customWidth="1"/>
    <col min="3749" max="3749" width="4.69140625" style="23" customWidth="1"/>
    <col min="3750" max="3750" width="0" style="23" hidden="1" customWidth="1"/>
    <col min="3751" max="3751" width="5.15234375" style="23" customWidth="1"/>
    <col min="3752" max="3752" width="4.53515625" style="23" customWidth="1"/>
    <col min="3753" max="3753" width="0" style="23" hidden="1" customWidth="1"/>
    <col min="3754" max="3754" width="5" style="23" customWidth="1"/>
    <col min="3755" max="3755" width="4.84375" style="23" customWidth="1"/>
    <col min="3756" max="3756" width="0" style="23" hidden="1" customWidth="1"/>
    <col min="3757" max="3758" width="4.53515625" style="23" customWidth="1"/>
    <col min="3759" max="3759" width="0" style="23" hidden="1" customWidth="1"/>
    <col min="3760" max="3760" width="4.53515625" style="23" customWidth="1"/>
    <col min="3761" max="3761" width="4.69140625" style="23" customWidth="1"/>
    <col min="3762" max="3762" width="0" style="23" hidden="1" customWidth="1"/>
    <col min="3763" max="3764" width="4.3828125" style="23" customWidth="1"/>
    <col min="3765" max="3765" width="0" style="23" hidden="1" customWidth="1"/>
    <col min="3766" max="3767" width="4.3828125" style="23" customWidth="1"/>
    <col min="3768" max="3768" width="0" style="23" hidden="1" customWidth="1"/>
    <col min="3769" max="3770" width="4.3828125" style="23" customWidth="1"/>
    <col min="3771" max="3771" width="0" style="23" hidden="1" customWidth="1"/>
    <col min="3772" max="3772" width="4.3828125" style="23" customWidth="1"/>
    <col min="3773" max="3773" width="4.3046875" style="23" customWidth="1"/>
    <col min="3774" max="3774" width="0" style="23" hidden="1" customWidth="1"/>
    <col min="3775" max="3776" width="4.3828125" style="23" customWidth="1"/>
    <col min="3777" max="3777" width="0" style="23" hidden="1" customWidth="1"/>
    <col min="3778" max="3779" width="4.3828125" style="23" customWidth="1"/>
    <col min="3780" max="3780" width="0" style="23" hidden="1" customWidth="1"/>
    <col min="3781" max="3782" width="4.3828125" style="23" customWidth="1"/>
    <col min="3783" max="3783" width="0" style="23" hidden="1" customWidth="1"/>
    <col min="3784" max="3785" width="4.3828125" style="23" customWidth="1"/>
    <col min="3786" max="3840" width="10.3046875" style="23"/>
    <col min="3841" max="3841" width="3.84375" style="23" customWidth="1"/>
    <col min="3842" max="3842" width="32.69140625" style="23" customWidth="1"/>
    <col min="3843" max="3919" width="3.84375" style="23" customWidth="1"/>
    <col min="3920" max="3921" width="0" style="23" hidden="1" customWidth="1"/>
    <col min="3922" max="3922" width="3.84375" style="23" customWidth="1"/>
    <col min="3923" max="3924" width="0" style="23" hidden="1" customWidth="1"/>
    <col min="3925" max="3925" width="3.84375" style="23" customWidth="1"/>
    <col min="3926" max="3927" width="0" style="23" hidden="1" customWidth="1"/>
    <col min="3928" max="3928" width="3.84375" style="23" customWidth="1"/>
    <col min="3929" max="3930" width="0" style="23" hidden="1" customWidth="1"/>
    <col min="3931" max="3931" width="3.84375" style="23" customWidth="1"/>
    <col min="3932" max="3933" width="0" style="23" hidden="1" customWidth="1"/>
    <col min="3934" max="3934" width="3.84375" style="23" customWidth="1"/>
    <col min="3935" max="3936" width="0" style="23" hidden="1" customWidth="1"/>
    <col min="3937" max="3937" width="3.84375" style="23" customWidth="1"/>
    <col min="3938" max="3939" width="0" style="23" hidden="1" customWidth="1"/>
    <col min="3940" max="3940" width="3.84375" style="23" customWidth="1"/>
    <col min="3941" max="3942" width="0" style="23" hidden="1" customWidth="1"/>
    <col min="3943" max="3943" width="3.84375" style="23" customWidth="1"/>
    <col min="3944" max="3945" width="0" style="23" hidden="1" customWidth="1"/>
    <col min="3946" max="3946" width="3.84375" style="23" customWidth="1"/>
    <col min="3947" max="3948" width="0" style="23" hidden="1" customWidth="1"/>
    <col min="3949" max="3949" width="3.84375" style="23" customWidth="1"/>
    <col min="3950" max="3951" width="0" style="23" hidden="1" customWidth="1"/>
    <col min="3952" max="3952" width="3.84375" style="23" customWidth="1"/>
    <col min="3953" max="3954" width="0" style="23" hidden="1" customWidth="1"/>
    <col min="3955" max="3955" width="3.84375" style="23" customWidth="1"/>
    <col min="3956" max="3957" width="0" style="23" hidden="1" customWidth="1"/>
    <col min="3958" max="3958" width="3.84375" style="23" customWidth="1"/>
    <col min="3959" max="3960" width="0" style="23" hidden="1" customWidth="1"/>
    <col min="3961" max="3961" width="3.84375" style="23" customWidth="1"/>
    <col min="3962" max="3963" width="0" style="23" hidden="1" customWidth="1"/>
    <col min="3964" max="3964" width="3.84375" style="23" customWidth="1"/>
    <col min="3965" max="3966" width="0" style="23" hidden="1" customWidth="1"/>
    <col min="3967" max="3967" width="3.84375" style="23" customWidth="1"/>
    <col min="3968" max="3969" width="0" style="23" hidden="1" customWidth="1"/>
    <col min="3970" max="3971" width="3.84375" style="23" customWidth="1"/>
    <col min="3972" max="3972" width="3.69140625" style="23" customWidth="1"/>
    <col min="3973" max="3973" width="0" style="23" hidden="1" customWidth="1"/>
    <col min="3974" max="3974" width="3.84375" style="23" customWidth="1"/>
    <col min="3975" max="3975" width="4.15234375" style="23" bestFit="1" customWidth="1"/>
    <col min="3976" max="3976" width="0" style="23" hidden="1" customWidth="1"/>
    <col min="3977" max="3978" width="4.15234375" style="23" bestFit="1" customWidth="1"/>
    <col min="3979" max="3979" width="0" style="23" hidden="1" customWidth="1"/>
    <col min="3980" max="3981" width="4.3046875" style="23" customWidth="1"/>
    <col min="3982" max="3982" width="0" style="23" hidden="1" customWidth="1"/>
    <col min="3983" max="3983" width="4.69140625" style="23" bestFit="1" customWidth="1"/>
    <col min="3984" max="3984" width="4.15234375" style="23" customWidth="1"/>
    <col min="3985" max="3985" width="0" style="23" hidden="1" customWidth="1"/>
    <col min="3986" max="3987" width="4.15234375" style="23" customWidth="1"/>
    <col min="3988" max="3988" width="0" style="23" hidden="1" customWidth="1"/>
    <col min="3989" max="3989" width="4.53515625" style="23" customWidth="1"/>
    <col min="3990" max="3990" width="4.69140625" style="23" customWidth="1"/>
    <col min="3991" max="3991" width="0" style="23" hidden="1" customWidth="1"/>
    <col min="3992" max="3992" width="4.53515625" style="23" customWidth="1"/>
    <col min="3993" max="3993" width="4.69140625" style="23" customWidth="1"/>
    <col min="3994" max="3994" width="0" style="23" hidden="1" customWidth="1"/>
    <col min="3995" max="3996" width="4.53515625" style="23" customWidth="1"/>
    <col min="3997" max="3997" width="0" style="23" hidden="1" customWidth="1"/>
    <col min="3998" max="3999" width="4.69140625" style="23" customWidth="1"/>
    <col min="4000" max="4000" width="0" style="23" hidden="1" customWidth="1"/>
    <col min="4001" max="4002" width="4.53515625" style="23" customWidth="1"/>
    <col min="4003" max="4003" width="0" style="23" hidden="1" customWidth="1"/>
    <col min="4004" max="4004" width="4.53515625" style="23" customWidth="1"/>
    <col min="4005" max="4005" width="4.69140625" style="23" customWidth="1"/>
    <col min="4006" max="4006" width="0" style="23" hidden="1" customWidth="1"/>
    <col min="4007" max="4007" width="5.15234375" style="23" customWidth="1"/>
    <col min="4008" max="4008" width="4.53515625" style="23" customWidth="1"/>
    <col min="4009" max="4009" width="0" style="23" hidden="1" customWidth="1"/>
    <col min="4010" max="4010" width="5" style="23" customWidth="1"/>
    <col min="4011" max="4011" width="4.84375" style="23" customWidth="1"/>
    <col min="4012" max="4012" width="0" style="23" hidden="1" customWidth="1"/>
    <col min="4013" max="4014" width="4.53515625" style="23" customWidth="1"/>
    <col min="4015" max="4015" width="0" style="23" hidden="1" customWidth="1"/>
    <col min="4016" max="4016" width="4.53515625" style="23" customWidth="1"/>
    <col min="4017" max="4017" width="4.69140625" style="23" customWidth="1"/>
    <col min="4018" max="4018" width="0" style="23" hidden="1" customWidth="1"/>
    <col min="4019" max="4020" width="4.3828125" style="23" customWidth="1"/>
    <col min="4021" max="4021" width="0" style="23" hidden="1" customWidth="1"/>
    <col min="4022" max="4023" width="4.3828125" style="23" customWidth="1"/>
    <col min="4024" max="4024" width="0" style="23" hidden="1" customWidth="1"/>
    <col min="4025" max="4026" width="4.3828125" style="23" customWidth="1"/>
    <col min="4027" max="4027" width="0" style="23" hidden="1" customWidth="1"/>
    <col min="4028" max="4028" width="4.3828125" style="23" customWidth="1"/>
    <col min="4029" max="4029" width="4.3046875" style="23" customWidth="1"/>
    <col min="4030" max="4030" width="0" style="23" hidden="1" customWidth="1"/>
    <col min="4031" max="4032" width="4.3828125" style="23" customWidth="1"/>
    <col min="4033" max="4033" width="0" style="23" hidden="1" customWidth="1"/>
    <col min="4034" max="4035" width="4.3828125" style="23" customWidth="1"/>
    <col min="4036" max="4036" width="0" style="23" hidden="1" customWidth="1"/>
    <col min="4037" max="4038" width="4.3828125" style="23" customWidth="1"/>
    <col min="4039" max="4039" width="0" style="23" hidden="1" customWidth="1"/>
    <col min="4040" max="4041" width="4.3828125" style="23" customWidth="1"/>
    <col min="4042" max="4096" width="10.3046875" style="23"/>
    <col min="4097" max="4097" width="3.84375" style="23" customWidth="1"/>
    <col min="4098" max="4098" width="32.69140625" style="23" customWidth="1"/>
    <col min="4099" max="4175" width="3.84375" style="23" customWidth="1"/>
    <col min="4176" max="4177" width="0" style="23" hidden="1" customWidth="1"/>
    <col min="4178" max="4178" width="3.84375" style="23" customWidth="1"/>
    <col min="4179" max="4180" width="0" style="23" hidden="1" customWidth="1"/>
    <col min="4181" max="4181" width="3.84375" style="23" customWidth="1"/>
    <col min="4182" max="4183" width="0" style="23" hidden="1" customWidth="1"/>
    <col min="4184" max="4184" width="3.84375" style="23" customWidth="1"/>
    <col min="4185" max="4186" width="0" style="23" hidden="1" customWidth="1"/>
    <col min="4187" max="4187" width="3.84375" style="23" customWidth="1"/>
    <col min="4188" max="4189" width="0" style="23" hidden="1" customWidth="1"/>
    <col min="4190" max="4190" width="3.84375" style="23" customWidth="1"/>
    <col min="4191" max="4192" width="0" style="23" hidden="1" customWidth="1"/>
    <col min="4193" max="4193" width="3.84375" style="23" customWidth="1"/>
    <col min="4194" max="4195" width="0" style="23" hidden="1" customWidth="1"/>
    <col min="4196" max="4196" width="3.84375" style="23" customWidth="1"/>
    <col min="4197" max="4198" width="0" style="23" hidden="1" customWidth="1"/>
    <col min="4199" max="4199" width="3.84375" style="23" customWidth="1"/>
    <col min="4200" max="4201" width="0" style="23" hidden="1" customWidth="1"/>
    <col min="4202" max="4202" width="3.84375" style="23" customWidth="1"/>
    <col min="4203" max="4204" width="0" style="23" hidden="1" customWidth="1"/>
    <col min="4205" max="4205" width="3.84375" style="23" customWidth="1"/>
    <col min="4206" max="4207" width="0" style="23" hidden="1" customWidth="1"/>
    <col min="4208" max="4208" width="3.84375" style="23" customWidth="1"/>
    <col min="4209" max="4210" width="0" style="23" hidden="1" customWidth="1"/>
    <col min="4211" max="4211" width="3.84375" style="23" customWidth="1"/>
    <col min="4212" max="4213" width="0" style="23" hidden="1" customWidth="1"/>
    <col min="4214" max="4214" width="3.84375" style="23" customWidth="1"/>
    <col min="4215" max="4216" width="0" style="23" hidden="1" customWidth="1"/>
    <col min="4217" max="4217" width="3.84375" style="23" customWidth="1"/>
    <col min="4218" max="4219" width="0" style="23" hidden="1" customWidth="1"/>
    <col min="4220" max="4220" width="3.84375" style="23" customWidth="1"/>
    <col min="4221" max="4222" width="0" style="23" hidden="1" customWidth="1"/>
    <col min="4223" max="4223" width="3.84375" style="23" customWidth="1"/>
    <col min="4224" max="4225" width="0" style="23" hidden="1" customWidth="1"/>
    <col min="4226" max="4227" width="3.84375" style="23" customWidth="1"/>
    <col min="4228" max="4228" width="3.69140625" style="23" customWidth="1"/>
    <col min="4229" max="4229" width="0" style="23" hidden="1" customWidth="1"/>
    <col min="4230" max="4230" width="3.84375" style="23" customWidth="1"/>
    <col min="4231" max="4231" width="4.15234375" style="23" bestFit="1" customWidth="1"/>
    <col min="4232" max="4232" width="0" style="23" hidden="1" customWidth="1"/>
    <col min="4233" max="4234" width="4.15234375" style="23" bestFit="1" customWidth="1"/>
    <col min="4235" max="4235" width="0" style="23" hidden="1" customWidth="1"/>
    <col min="4236" max="4237" width="4.3046875" style="23" customWidth="1"/>
    <col min="4238" max="4238" width="0" style="23" hidden="1" customWidth="1"/>
    <col min="4239" max="4239" width="4.69140625" style="23" bestFit="1" customWidth="1"/>
    <col min="4240" max="4240" width="4.15234375" style="23" customWidth="1"/>
    <col min="4241" max="4241" width="0" style="23" hidden="1" customWidth="1"/>
    <col min="4242" max="4243" width="4.15234375" style="23" customWidth="1"/>
    <col min="4244" max="4244" width="0" style="23" hidden="1" customWidth="1"/>
    <col min="4245" max="4245" width="4.53515625" style="23" customWidth="1"/>
    <col min="4246" max="4246" width="4.69140625" style="23" customWidth="1"/>
    <col min="4247" max="4247" width="0" style="23" hidden="1" customWidth="1"/>
    <col min="4248" max="4248" width="4.53515625" style="23" customWidth="1"/>
    <col min="4249" max="4249" width="4.69140625" style="23" customWidth="1"/>
    <col min="4250" max="4250" width="0" style="23" hidden="1" customWidth="1"/>
    <col min="4251" max="4252" width="4.53515625" style="23" customWidth="1"/>
    <col min="4253" max="4253" width="0" style="23" hidden="1" customWidth="1"/>
    <col min="4254" max="4255" width="4.69140625" style="23" customWidth="1"/>
    <col min="4256" max="4256" width="0" style="23" hidden="1" customWidth="1"/>
    <col min="4257" max="4258" width="4.53515625" style="23" customWidth="1"/>
    <col min="4259" max="4259" width="0" style="23" hidden="1" customWidth="1"/>
    <col min="4260" max="4260" width="4.53515625" style="23" customWidth="1"/>
    <col min="4261" max="4261" width="4.69140625" style="23" customWidth="1"/>
    <col min="4262" max="4262" width="0" style="23" hidden="1" customWidth="1"/>
    <col min="4263" max="4263" width="5.15234375" style="23" customWidth="1"/>
    <col min="4264" max="4264" width="4.53515625" style="23" customWidth="1"/>
    <col min="4265" max="4265" width="0" style="23" hidden="1" customWidth="1"/>
    <col min="4266" max="4266" width="5" style="23" customWidth="1"/>
    <col min="4267" max="4267" width="4.84375" style="23" customWidth="1"/>
    <col min="4268" max="4268" width="0" style="23" hidden="1" customWidth="1"/>
    <col min="4269" max="4270" width="4.53515625" style="23" customWidth="1"/>
    <col min="4271" max="4271" width="0" style="23" hidden="1" customWidth="1"/>
    <col min="4272" max="4272" width="4.53515625" style="23" customWidth="1"/>
    <col min="4273" max="4273" width="4.69140625" style="23" customWidth="1"/>
    <col min="4274" max="4274" width="0" style="23" hidden="1" customWidth="1"/>
    <col min="4275" max="4276" width="4.3828125" style="23" customWidth="1"/>
    <col min="4277" max="4277" width="0" style="23" hidden="1" customWidth="1"/>
    <col min="4278" max="4279" width="4.3828125" style="23" customWidth="1"/>
    <col min="4280" max="4280" width="0" style="23" hidden="1" customWidth="1"/>
    <col min="4281" max="4282" width="4.3828125" style="23" customWidth="1"/>
    <col min="4283" max="4283" width="0" style="23" hidden="1" customWidth="1"/>
    <col min="4284" max="4284" width="4.3828125" style="23" customWidth="1"/>
    <col min="4285" max="4285" width="4.3046875" style="23" customWidth="1"/>
    <col min="4286" max="4286" width="0" style="23" hidden="1" customWidth="1"/>
    <col min="4287" max="4288" width="4.3828125" style="23" customWidth="1"/>
    <col min="4289" max="4289" width="0" style="23" hidden="1" customWidth="1"/>
    <col min="4290" max="4291" width="4.3828125" style="23" customWidth="1"/>
    <col min="4292" max="4292" width="0" style="23" hidden="1" customWidth="1"/>
    <col min="4293" max="4294" width="4.3828125" style="23" customWidth="1"/>
    <col min="4295" max="4295" width="0" style="23" hidden="1" customWidth="1"/>
    <col min="4296" max="4297" width="4.3828125" style="23" customWidth="1"/>
    <col min="4298" max="4352" width="10.3046875" style="23"/>
    <col min="4353" max="4353" width="3.84375" style="23" customWidth="1"/>
    <col min="4354" max="4354" width="32.69140625" style="23" customWidth="1"/>
    <col min="4355" max="4431" width="3.84375" style="23" customWidth="1"/>
    <col min="4432" max="4433" width="0" style="23" hidden="1" customWidth="1"/>
    <col min="4434" max="4434" width="3.84375" style="23" customWidth="1"/>
    <col min="4435" max="4436" width="0" style="23" hidden="1" customWidth="1"/>
    <col min="4437" max="4437" width="3.84375" style="23" customWidth="1"/>
    <col min="4438" max="4439" width="0" style="23" hidden="1" customWidth="1"/>
    <col min="4440" max="4440" width="3.84375" style="23" customWidth="1"/>
    <col min="4441" max="4442" width="0" style="23" hidden="1" customWidth="1"/>
    <col min="4443" max="4443" width="3.84375" style="23" customWidth="1"/>
    <col min="4444" max="4445" width="0" style="23" hidden="1" customWidth="1"/>
    <col min="4446" max="4446" width="3.84375" style="23" customWidth="1"/>
    <col min="4447" max="4448" width="0" style="23" hidden="1" customWidth="1"/>
    <col min="4449" max="4449" width="3.84375" style="23" customWidth="1"/>
    <col min="4450" max="4451" width="0" style="23" hidden="1" customWidth="1"/>
    <col min="4452" max="4452" width="3.84375" style="23" customWidth="1"/>
    <col min="4453" max="4454" width="0" style="23" hidden="1" customWidth="1"/>
    <col min="4455" max="4455" width="3.84375" style="23" customWidth="1"/>
    <col min="4456" max="4457" width="0" style="23" hidden="1" customWidth="1"/>
    <col min="4458" max="4458" width="3.84375" style="23" customWidth="1"/>
    <col min="4459" max="4460" width="0" style="23" hidden="1" customWidth="1"/>
    <col min="4461" max="4461" width="3.84375" style="23" customWidth="1"/>
    <col min="4462" max="4463" width="0" style="23" hidden="1" customWidth="1"/>
    <col min="4464" max="4464" width="3.84375" style="23" customWidth="1"/>
    <col min="4465" max="4466" width="0" style="23" hidden="1" customWidth="1"/>
    <col min="4467" max="4467" width="3.84375" style="23" customWidth="1"/>
    <col min="4468" max="4469" width="0" style="23" hidden="1" customWidth="1"/>
    <col min="4470" max="4470" width="3.84375" style="23" customWidth="1"/>
    <col min="4471" max="4472" width="0" style="23" hidden="1" customWidth="1"/>
    <col min="4473" max="4473" width="3.84375" style="23" customWidth="1"/>
    <col min="4474" max="4475" width="0" style="23" hidden="1" customWidth="1"/>
    <col min="4476" max="4476" width="3.84375" style="23" customWidth="1"/>
    <col min="4477" max="4478" width="0" style="23" hidden="1" customWidth="1"/>
    <col min="4479" max="4479" width="3.84375" style="23" customWidth="1"/>
    <col min="4480" max="4481" width="0" style="23" hidden="1" customWidth="1"/>
    <col min="4482" max="4483" width="3.84375" style="23" customWidth="1"/>
    <col min="4484" max="4484" width="3.69140625" style="23" customWidth="1"/>
    <col min="4485" max="4485" width="0" style="23" hidden="1" customWidth="1"/>
    <col min="4486" max="4486" width="3.84375" style="23" customWidth="1"/>
    <col min="4487" max="4487" width="4.15234375" style="23" bestFit="1" customWidth="1"/>
    <col min="4488" max="4488" width="0" style="23" hidden="1" customWidth="1"/>
    <col min="4489" max="4490" width="4.15234375" style="23" bestFit="1" customWidth="1"/>
    <col min="4491" max="4491" width="0" style="23" hidden="1" customWidth="1"/>
    <col min="4492" max="4493" width="4.3046875" style="23" customWidth="1"/>
    <col min="4494" max="4494" width="0" style="23" hidden="1" customWidth="1"/>
    <col min="4495" max="4495" width="4.69140625" style="23" bestFit="1" customWidth="1"/>
    <col min="4496" max="4496" width="4.15234375" style="23" customWidth="1"/>
    <col min="4497" max="4497" width="0" style="23" hidden="1" customWidth="1"/>
    <col min="4498" max="4499" width="4.15234375" style="23" customWidth="1"/>
    <col min="4500" max="4500" width="0" style="23" hidden="1" customWidth="1"/>
    <col min="4501" max="4501" width="4.53515625" style="23" customWidth="1"/>
    <col min="4502" max="4502" width="4.69140625" style="23" customWidth="1"/>
    <col min="4503" max="4503" width="0" style="23" hidden="1" customWidth="1"/>
    <col min="4504" max="4504" width="4.53515625" style="23" customWidth="1"/>
    <col min="4505" max="4505" width="4.69140625" style="23" customWidth="1"/>
    <col min="4506" max="4506" width="0" style="23" hidden="1" customWidth="1"/>
    <col min="4507" max="4508" width="4.53515625" style="23" customWidth="1"/>
    <col min="4509" max="4509" width="0" style="23" hidden="1" customWidth="1"/>
    <col min="4510" max="4511" width="4.69140625" style="23" customWidth="1"/>
    <col min="4512" max="4512" width="0" style="23" hidden="1" customWidth="1"/>
    <col min="4513" max="4514" width="4.53515625" style="23" customWidth="1"/>
    <col min="4515" max="4515" width="0" style="23" hidden="1" customWidth="1"/>
    <col min="4516" max="4516" width="4.53515625" style="23" customWidth="1"/>
    <col min="4517" max="4517" width="4.69140625" style="23" customWidth="1"/>
    <col min="4518" max="4518" width="0" style="23" hidden="1" customWidth="1"/>
    <col min="4519" max="4519" width="5.15234375" style="23" customWidth="1"/>
    <col min="4520" max="4520" width="4.53515625" style="23" customWidth="1"/>
    <col min="4521" max="4521" width="0" style="23" hidden="1" customWidth="1"/>
    <col min="4522" max="4522" width="5" style="23" customWidth="1"/>
    <col min="4523" max="4523" width="4.84375" style="23" customWidth="1"/>
    <col min="4524" max="4524" width="0" style="23" hidden="1" customWidth="1"/>
    <col min="4525" max="4526" width="4.53515625" style="23" customWidth="1"/>
    <col min="4527" max="4527" width="0" style="23" hidden="1" customWidth="1"/>
    <col min="4528" max="4528" width="4.53515625" style="23" customWidth="1"/>
    <col min="4529" max="4529" width="4.69140625" style="23" customWidth="1"/>
    <col min="4530" max="4530" width="0" style="23" hidden="1" customWidth="1"/>
    <col min="4531" max="4532" width="4.3828125" style="23" customWidth="1"/>
    <col min="4533" max="4533" width="0" style="23" hidden="1" customWidth="1"/>
    <col min="4534" max="4535" width="4.3828125" style="23" customWidth="1"/>
    <col min="4536" max="4536" width="0" style="23" hidden="1" customWidth="1"/>
    <col min="4537" max="4538" width="4.3828125" style="23" customWidth="1"/>
    <col min="4539" max="4539" width="0" style="23" hidden="1" customWidth="1"/>
    <col min="4540" max="4540" width="4.3828125" style="23" customWidth="1"/>
    <col min="4541" max="4541" width="4.3046875" style="23" customWidth="1"/>
    <col min="4542" max="4542" width="0" style="23" hidden="1" customWidth="1"/>
    <col min="4543" max="4544" width="4.3828125" style="23" customWidth="1"/>
    <col min="4545" max="4545" width="0" style="23" hidden="1" customWidth="1"/>
    <col min="4546" max="4547" width="4.3828125" style="23" customWidth="1"/>
    <col min="4548" max="4548" width="0" style="23" hidden="1" customWidth="1"/>
    <col min="4549" max="4550" width="4.3828125" style="23" customWidth="1"/>
    <col min="4551" max="4551" width="0" style="23" hidden="1" customWidth="1"/>
    <col min="4552" max="4553" width="4.3828125" style="23" customWidth="1"/>
    <col min="4554" max="4608" width="10.3046875" style="23"/>
    <col min="4609" max="4609" width="3.84375" style="23" customWidth="1"/>
    <col min="4610" max="4610" width="32.69140625" style="23" customWidth="1"/>
    <col min="4611" max="4687" width="3.84375" style="23" customWidth="1"/>
    <col min="4688" max="4689" width="0" style="23" hidden="1" customWidth="1"/>
    <col min="4690" max="4690" width="3.84375" style="23" customWidth="1"/>
    <col min="4691" max="4692" width="0" style="23" hidden="1" customWidth="1"/>
    <col min="4693" max="4693" width="3.84375" style="23" customWidth="1"/>
    <col min="4694" max="4695" width="0" style="23" hidden="1" customWidth="1"/>
    <col min="4696" max="4696" width="3.84375" style="23" customWidth="1"/>
    <col min="4697" max="4698" width="0" style="23" hidden="1" customWidth="1"/>
    <col min="4699" max="4699" width="3.84375" style="23" customWidth="1"/>
    <col min="4700" max="4701" width="0" style="23" hidden="1" customWidth="1"/>
    <col min="4702" max="4702" width="3.84375" style="23" customWidth="1"/>
    <col min="4703" max="4704" width="0" style="23" hidden="1" customWidth="1"/>
    <col min="4705" max="4705" width="3.84375" style="23" customWidth="1"/>
    <col min="4706" max="4707" width="0" style="23" hidden="1" customWidth="1"/>
    <col min="4708" max="4708" width="3.84375" style="23" customWidth="1"/>
    <col min="4709" max="4710" width="0" style="23" hidden="1" customWidth="1"/>
    <col min="4711" max="4711" width="3.84375" style="23" customWidth="1"/>
    <col min="4712" max="4713" width="0" style="23" hidden="1" customWidth="1"/>
    <col min="4714" max="4714" width="3.84375" style="23" customWidth="1"/>
    <col min="4715" max="4716" width="0" style="23" hidden="1" customWidth="1"/>
    <col min="4717" max="4717" width="3.84375" style="23" customWidth="1"/>
    <col min="4718" max="4719" width="0" style="23" hidden="1" customWidth="1"/>
    <col min="4720" max="4720" width="3.84375" style="23" customWidth="1"/>
    <col min="4721" max="4722" width="0" style="23" hidden="1" customWidth="1"/>
    <col min="4723" max="4723" width="3.84375" style="23" customWidth="1"/>
    <col min="4724" max="4725" width="0" style="23" hidden="1" customWidth="1"/>
    <col min="4726" max="4726" width="3.84375" style="23" customWidth="1"/>
    <col min="4727" max="4728" width="0" style="23" hidden="1" customWidth="1"/>
    <col min="4729" max="4729" width="3.84375" style="23" customWidth="1"/>
    <col min="4730" max="4731" width="0" style="23" hidden="1" customWidth="1"/>
    <col min="4732" max="4732" width="3.84375" style="23" customWidth="1"/>
    <col min="4733" max="4734" width="0" style="23" hidden="1" customWidth="1"/>
    <col min="4735" max="4735" width="3.84375" style="23" customWidth="1"/>
    <col min="4736" max="4737" width="0" style="23" hidden="1" customWidth="1"/>
    <col min="4738" max="4739" width="3.84375" style="23" customWidth="1"/>
    <col min="4740" max="4740" width="3.69140625" style="23" customWidth="1"/>
    <col min="4741" max="4741" width="0" style="23" hidden="1" customWidth="1"/>
    <col min="4742" max="4742" width="3.84375" style="23" customWidth="1"/>
    <col min="4743" max="4743" width="4.15234375" style="23" bestFit="1" customWidth="1"/>
    <col min="4744" max="4744" width="0" style="23" hidden="1" customWidth="1"/>
    <col min="4745" max="4746" width="4.15234375" style="23" bestFit="1" customWidth="1"/>
    <col min="4747" max="4747" width="0" style="23" hidden="1" customWidth="1"/>
    <col min="4748" max="4749" width="4.3046875" style="23" customWidth="1"/>
    <col min="4750" max="4750" width="0" style="23" hidden="1" customWidth="1"/>
    <col min="4751" max="4751" width="4.69140625" style="23" bestFit="1" customWidth="1"/>
    <col min="4752" max="4752" width="4.15234375" style="23" customWidth="1"/>
    <col min="4753" max="4753" width="0" style="23" hidden="1" customWidth="1"/>
    <col min="4754" max="4755" width="4.15234375" style="23" customWidth="1"/>
    <col min="4756" max="4756" width="0" style="23" hidden="1" customWidth="1"/>
    <col min="4757" max="4757" width="4.53515625" style="23" customWidth="1"/>
    <col min="4758" max="4758" width="4.69140625" style="23" customWidth="1"/>
    <col min="4759" max="4759" width="0" style="23" hidden="1" customWidth="1"/>
    <col min="4760" max="4760" width="4.53515625" style="23" customWidth="1"/>
    <col min="4761" max="4761" width="4.69140625" style="23" customWidth="1"/>
    <col min="4762" max="4762" width="0" style="23" hidden="1" customWidth="1"/>
    <col min="4763" max="4764" width="4.53515625" style="23" customWidth="1"/>
    <col min="4765" max="4765" width="0" style="23" hidden="1" customWidth="1"/>
    <col min="4766" max="4767" width="4.69140625" style="23" customWidth="1"/>
    <col min="4768" max="4768" width="0" style="23" hidden="1" customWidth="1"/>
    <col min="4769" max="4770" width="4.53515625" style="23" customWidth="1"/>
    <col min="4771" max="4771" width="0" style="23" hidden="1" customWidth="1"/>
    <col min="4772" max="4772" width="4.53515625" style="23" customWidth="1"/>
    <col min="4773" max="4773" width="4.69140625" style="23" customWidth="1"/>
    <col min="4774" max="4774" width="0" style="23" hidden="1" customWidth="1"/>
    <col min="4775" max="4775" width="5.15234375" style="23" customWidth="1"/>
    <col min="4776" max="4776" width="4.53515625" style="23" customWidth="1"/>
    <col min="4777" max="4777" width="0" style="23" hidden="1" customWidth="1"/>
    <col min="4778" max="4778" width="5" style="23" customWidth="1"/>
    <col min="4779" max="4779" width="4.84375" style="23" customWidth="1"/>
    <col min="4780" max="4780" width="0" style="23" hidden="1" customWidth="1"/>
    <col min="4781" max="4782" width="4.53515625" style="23" customWidth="1"/>
    <col min="4783" max="4783" width="0" style="23" hidden="1" customWidth="1"/>
    <col min="4784" max="4784" width="4.53515625" style="23" customWidth="1"/>
    <col min="4785" max="4785" width="4.69140625" style="23" customWidth="1"/>
    <col min="4786" max="4786" width="0" style="23" hidden="1" customWidth="1"/>
    <col min="4787" max="4788" width="4.3828125" style="23" customWidth="1"/>
    <col min="4789" max="4789" width="0" style="23" hidden="1" customWidth="1"/>
    <col min="4790" max="4791" width="4.3828125" style="23" customWidth="1"/>
    <col min="4792" max="4792" width="0" style="23" hidden="1" customWidth="1"/>
    <col min="4793" max="4794" width="4.3828125" style="23" customWidth="1"/>
    <col min="4795" max="4795" width="0" style="23" hidden="1" customWidth="1"/>
    <col min="4796" max="4796" width="4.3828125" style="23" customWidth="1"/>
    <col min="4797" max="4797" width="4.3046875" style="23" customWidth="1"/>
    <col min="4798" max="4798" width="0" style="23" hidden="1" customWidth="1"/>
    <col min="4799" max="4800" width="4.3828125" style="23" customWidth="1"/>
    <col min="4801" max="4801" width="0" style="23" hidden="1" customWidth="1"/>
    <col min="4802" max="4803" width="4.3828125" style="23" customWidth="1"/>
    <col min="4804" max="4804" width="0" style="23" hidden="1" customWidth="1"/>
    <col min="4805" max="4806" width="4.3828125" style="23" customWidth="1"/>
    <col min="4807" max="4807" width="0" style="23" hidden="1" customWidth="1"/>
    <col min="4808" max="4809" width="4.3828125" style="23" customWidth="1"/>
    <col min="4810" max="4864" width="10.3046875" style="23"/>
    <col min="4865" max="4865" width="3.84375" style="23" customWidth="1"/>
    <col min="4866" max="4866" width="32.69140625" style="23" customWidth="1"/>
    <col min="4867" max="4943" width="3.84375" style="23" customWidth="1"/>
    <col min="4944" max="4945" width="0" style="23" hidden="1" customWidth="1"/>
    <col min="4946" max="4946" width="3.84375" style="23" customWidth="1"/>
    <col min="4947" max="4948" width="0" style="23" hidden="1" customWidth="1"/>
    <col min="4949" max="4949" width="3.84375" style="23" customWidth="1"/>
    <col min="4950" max="4951" width="0" style="23" hidden="1" customWidth="1"/>
    <col min="4952" max="4952" width="3.84375" style="23" customWidth="1"/>
    <col min="4953" max="4954" width="0" style="23" hidden="1" customWidth="1"/>
    <col min="4955" max="4955" width="3.84375" style="23" customWidth="1"/>
    <col min="4956" max="4957" width="0" style="23" hidden="1" customWidth="1"/>
    <col min="4958" max="4958" width="3.84375" style="23" customWidth="1"/>
    <col min="4959" max="4960" width="0" style="23" hidden="1" customWidth="1"/>
    <col min="4961" max="4961" width="3.84375" style="23" customWidth="1"/>
    <col min="4962" max="4963" width="0" style="23" hidden="1" customWidth="1"/>
    <col min="4964" max="4964" width="3.84375" style="23" customWidth="1"/>
    <col min="4965" max="4966" width="0" style="23" hidden="1" customWidth="1"/>
    <col min="4967" max="4967" width="3.84375" style="23" customWidth="1"/>
    <col min="4968" max="4969" width="0" style="23" hidden="1" customWidth="1"/>
    <col min="4970" max="4970" width="3.84375" style="23" customWidth="1"/>
    <col min="4971" max="4972" width="0" style="23" hidden="1" customWidth="1"/>
    <col min="4973" max="4973" width="3.84375" style="23" customWidth="1"/>
    <col min="4974" max="4975" width="0" style="23" hidden="1" customWidth="1"/>
    <col min="4976" max="4976" width="3.84375" style="23" customWidth="1"/>
    <col min="4977" max="4978" width="0" style="23" hidden="1" customWidth="1"/>
    <col min="4979" max="4979" width="3.84375" style="23" customWidth="1"/>
    <col min="4980" max="4981" width="0" style="23" hidden="1" customWidth="1"/>
    <col min="4982" max="4982" width="3.84375" style="23" customWidth="1"/>
    <col min="4983" max="4984" width="0" style="23" hidden="1" customWidth="1"/>
    <col min="4985" max="4985" width="3.84375" style="23" customWidth="1"/>
    <col min="4986" max="4987" width="0" style="23" hidden="1" customWidth="1"/>
    <col min="4988" max="4988" width="3.84375" style="23" customWidth="1"/>
    <col min="4989" max="4990" width="0" style="23" hidden="1" customWidth="1"/>
    <col min="4991" max="4991" width="3.84375" style="23" customWidth="1"/>
    <col min="4992" max="4993" width="0" style="23" hidden="1" customWidth="1"/>
    <col min="4994" max="4995" width="3.84375" style="23" customWidth="1"/>
    <col min="4996" max="4996" width="3.69140625" style="23" customWidth="1"/>
    <col min="4997" max="4997" width="0" style="23" hidden="1" customWidth="1"/>
    <col min="4998" max="4998" width="3.84375" style="23" customWidth="1"/>
    <col min="4999" max="4999" width="4.15234375" style="23" bestFit="1" customWidth="1"/>
    <col min="5000" max="5000" width="0" style="23" hidden="1" customWidth="1"/>
    <col min="5001" max="5002" width="4.15234375" style="23" bestFit="1" customWidth="1"/>
    <col min="5003" max="5003" width="0" style="23" hidden="1" customWidth="1"/>
    <col min="5004" max="5005" width="4.3046875" style="23" customWidth="1"/>
    <col min="5006" max="5006" width="0" style="23" hidden="1" customWidth="1"/>
    <col min="5007" max="5007" width="4.69140625" style="23" bestFit="1" customWidth="1"/>
    <col min="5008" max="5008" width="4.15234375" style="23" customWidth="1"/>
    <col min="5009" max="5009" width="0" style="23" hidden="1" customWidth="1"/>
    <col min="5010" max="5011" width="4.15234375" style="23" customWidth="1"/>
    <col min="5012" max="5012" width="0" style="23" hidden="1" customWidth="1"/>
    <col min="5013" max="5013" width="4.53515625" style="23" customWidth="1"/>
    <col min="5014" max="5014" width="4.69140625" style="23" customWidth="1"/>
    <col min="5015" max="5015" width="0" style="23" hidden="1" customWidth="1"/>
    <col min="5016" max="5016" width="4.53515625" style="23" customWidth="1"/>
    <col min="5017" max="5017" width="4.69140625" style="23" customWidth="1"/>
    <col min="5018" max="5018" width="0" style="23" hidden="1" customWidth="1"/>
    <col min="5019" max="5020" width="4.53515625" style="23" customWidth="1"/>
    <col min="5021" max="5021" width="0" style="23" hidden="1" customWidth="1"/>
    <col min="5022" max="5023" width="4.69140625" style="23" customWidth="1"/>
    <col min="5024" max="5024" width="0" style="23" hidden="1" customWidth="1"/>
    <col min="5025" max="5026" width="4.53515625" style="23" customWidth="1"/>
    <col min="5027" max="5027" width="0" style="23" hidden="1" customWidth="1"/>
    <col min="5028" max="5028" width="4.53515625" style="23" customWidth="1"/>
    <col min="5029" max="5029" width="4.69140625" style="23" customWidth="1"/>
    <col min="5030" max="5030" width="0" style="23" hidden="1" customWidth="1"/>
    <col min="5031" max="5031" width="5.15234375" style="23" customWidth="1"/>
    <col min="5032" max="5032" width="4.53515625" style="23" customWidth="1"/>
    <col min="5033" max="5033" width="0" style="23" hidden="1" customWidth="1"/>
    <col min="5034" max="5034" width="5" style="23" customWidth="1"/>
    <col min="5035" max="5035" width="4.84375" style="23" customWidth="1"/>
    <col min="5036" max="5036" width="0" style="23" hidden="1" customWidth="1"/>
    <col min="5037" max="5038" width="4.53515625" style="23" customWidth="1"/>
    <col min="5039" max="5039" width="0" style="23" hidden="1" customWidth="1"/>
    <col min="5040" max="5040" width="4.53515625" style="23" customWidth="1"/>
    <col min="5041" max="5041" width="4.69140625" style="23" customWidth="1"/>
    <col min="5042" max="5042" width="0" style="23" hidden="1" customWidth="1"/>
    <col min="5043" max="5044" width="4.3828125" style="23" customWidth="1"/>
    <col min="5045" max="5045" width="0" style="23" hidden="1" customWidth="1"/>
    <col min="5046" max="5047" width="4.3828125" style="23" customWidth="1"/>
    <col min="5048" max="5048" width="0" style="23" hidden="1" customWidth="1"/>
    <col min="5049" max="5050" width="4.3828125" style="23" customWidth="1"/>
    <col min="5051" max="5051" width="0" style="23" hidden="1" customWidth="1"/>
    <col min="5052" max="5052" width="4.3828125" style="23" customWidth="1"/>
    <col min="5053" max="5053" width="4.3046875" style="23" customWidth="1"/>
    <col min="5054" max="5054" width="0" style="23" hidden="1" customWidth="1"/>
    <col min="5055" max="5056" width="4.3828125" style="23" customWidth="1"/>
    <col min="5057" max="5057" width="0" style="23" hidden="1" customWidth="1"/>
    <col min="5058" max="5059" width="4.3828125" style="23" customWidth="1"/>
    <col min="5060" max="5060" width="0" style="23" hidden="1" customWidth="1"/>
    <col min="5061" max="5062" width="4.3828125" style="23" customWidth="1"/>
    <col min="5063" max="5063" width="0" style="23" hidden="1" customWidth="1"/>
    <col min="5064" max="5065" width="4.3828125" style="23" customWidth="1"/>
    <col min="5066" max="5120" width="10.3046875" style="23"/>
    <col min="5121" max="5121" width="3.84375" style="23" customWidth="1"/>
    <col min="5122" max="5122" width="32.69140625" style="23" customWidth="1"/>
    <col min="5123" max="5199" width="3.84375" style="23" customWidth="1"/>
    <col min="5200" max="5201" width="0" style="23" hidden="1" customWidth="1"/>
    <col min="5202" max="5202" width="3.84375" style="23" customWidth="1"/>
    <col min="5203" max="5204" width="0" style="23" hidden="1" customWidth="1"/>
    <col min="5205" max="5205" width="3.84375" style="23" customWidth="1"/>
    <col min="5206" max="5207" width="0" style="23" hidden="1" customWidth="1"/>
    <col min="5208" max="5208" width="3.84375" style="23" customWidth="1"/>
    <col min="5209" max="5210" width="0" style="23" hidden="1" customWidth="1"/>
    <col min="5211" max="5211" width="3.84375" style="23" customWidth="1"/>
    <col min="5212" max="5213" width="0" style="23" hidden="1" customWidth="1"/>
    <col min="5214" max="5214" width="3.84375" style="23" customWidth="1"/>
    <col min="5215" max="5216" width="0" style="23" hidden="1" customWidth="1"/>
    <col min="5217" max="5217" width="3.84375" style="23" customWidth="1"/>
    <col min="5218" max="5219" width="0" style="23" hidden="1" customWidth="1"/>
    <col min="5220" max="5220" width="3.84375" style="23" customWidth="1"/>
    <col min="5221" max="5222" width="0" style="23" hidden="1" customWidth="1"/>
    <col min="5223" max="5223" width="3.84375" style="23" customWidth="1"/>
    <col min="5224" max="5225" width="0" style="23" hidden="1" customWidth="1"/>
    <col min="5226" max="5226" width="3.84375" style="23" customWidth="1"/>
    <col min="5227" max="5228" width="0" style="23" hidden="1" customWidth="1"/>
    <col min="5229" max="5229" width="3.84375" style="23" customWidth="1"/>
    <col min="5230" max="5231" width="0" style="23" hidden="1" customWidth="1"/>
    <col min="5232" max="5232" width="3.84375" style="23" customWidth="1"/>
    <col min="5233" max="5234" width="0" style="23" hidden="1" customWidth="1"/>
    <col min="5235" max="5235" width="3.84375" style="23" customWidth="1"/>
    <col min="5236" max="5237" width="0" style="23" hidden="1" customWidth="1"/>
    <col min="5238" max="5238" width="3.84375" style="23" customWidth="1"/>
    <col min="5239" max="5240" width="0" style="23" hidden="1" customWidth="1"/>
    <col min="5241" max="5241" width="3.84375" style="23" customWidth="1"/>
    <col min="5242" max="5243" width="0" style="23" hidden="1" customWidth="1"/>
    <col min="5244" max="5244" width="3.84375" style="23" customWidth="1"/>
    <col min="5245" max="5246" width="0" style="23" hidden="1" customWidth="1"/>
    <col min="5247" max="5247" width="3.84375" style="23" customWidth="1"/>
    <col min="5248" max="5249" width="0" style="23" hidden="1" customWidth="1"/>
    <col min="5250" max="5251" width="3.84375" style="23" customWidth="1"/>
    <col min="5252" max="5252" width="3.69140625" style="23" customWidth="1"/>
    <col min="5253" max="5253" width="0" style="23" hidden="1" customWidth="1"/>
    <col min="5254" max="5254" width="3.84375" style="23" customWidth="1"/>
    <col min="5255" max="5255" width="4.15234375" style="23" bestFit="1" customWidth="1"/>
    <col min="5256" max="5256" width="0" style="23" hidden="1" customWidth="1"/>
    <col min="5257" max="5258" width="4.15234375" style="23" bestFit="1" customWidth="1"/>
    <col min="5259" max="5259" width="0" style="23" hidden="1" customWidth="1"/>
    <col min="5260" max="5261" width="4.3046875" style="23" customWidth="1"/>
    <col min="5262" max="5262" width="0" style="23" hidden="1" customWidth="1"/>
    <col min="5263" max="5263" width="4.69140625" style="23" bestFit="1" customWidth="1"/>
    <col min="5264" max="5264" width="4.15234375" style="23" customWidth="1"/>
    <col min="5265" max="5265" width="0" style="23" hidden="1" customWidth="1"/>
    <col min="5266" max="5267" width="4.15234375" style="23" customWidth="1"/>
    <col min="5268" max="5268" width="0" style="23" hidden="1" customWidth="1"/>
    <col min="5269" max="5269" width="4.53515625" style="23" customWidth="1"/>
    <col min="5270" max="5270" width="4.69140625" style="23" customWidth="1"/>
    <col min="5271" max="5271" width="0" style="23" hidden="1" customWidth="1"/>
    <col min="5272" max="5272" width="4.53515625" style="23" customWidth="1"/>
    <col min="5273" max="5273" width="4.69140625" style="23" customWidth="1"/>
    <col min="5274" max="5274" width="0" style="23" hidden="1" customWidth="1"/>
    <col min="5275" max="5276" width="4.53515625" style="23" customWidth="1"/>
    <col min="5277" max="5277" width="0" style="23" hidden="1" customWidth="1"/>
    <col min="5278" max="5279" width="4.69140625" style="23" customWidth="1"/>
    <col min="5280" max="5280" width="0" style="23" hidden="1" customWidth="1"/>
    <col min="5281" max="5282" width="4.53515625" style="23" customWidth="1"/>
    <col min="5283" max="5283" width="0" style="23" hidden="1" customWidth="1"/>
    <col min="5284" max="5284" width="4.53515625" style="23" customWidth="1"/>
    <col min="5285" max="5285" width="4.69140625" style="23" customWidth="1"/>
    <col min="5286" max="5286" width="0" style="23" hidden="1" customWidth="1"/>
    <col min="5287" max="5287" width="5.15234375" style="23" customWidth="1"/>
    <col min="5288" max="5288" width="4.53515625" style="23" customWidth="1"/>
    <col min="5289" max="5289" width="0" style="23" hidden="1" customWidth="1"/>
    <col min="5290" max="5290" width="5" style="23" customWidth="1"/>
    <col min="5291" max="5291" width="4.84375" style="23" customWidth="1"/>
    <col min="5292" max="5292" width="0" style="23" hidden="1" customWidth="1"/>
    <col min="5293" max="5294" width="4.53515625" style="23" customWidth="1"/>
    <col min="5295" max="5295" width="0" style="23" hidden="1" customWidth="1"/>
    <col min="5296" max="5296" width="4.53515625" style="23" customWidth="1"/>
    <col min="5297" max="5297" width="4.69140625" style="23" customWidth="1"/>
    <col min="5298" max="5298" width="0" style="23" hidden="1" customWidth="1"/>
    <col min="5299" max="5300" width="4.3828125" style="23" customWidth="1"/>
    <col min="5301" max="5301" width="0" style="23" hidden="1" customWidth="1"/>
    <col min="5302" max="5303" width="4.3828125" style="23" customWidth="1"/>
    <col min="5304" max="5304" width="0" style="23" hidden="1" customWidth="1"/>
    <col min="5305" max="5306" width="4.3828125" style="23" customWidth="1"/>
    <col min="5307" max="5307" width="0" style="23" hidden="1" customWidth="1"/>
    <col min="5308" max="5308" width="4.3828125" style="23" customWidth="1"/>
    <col min="5309" max="5309" width="4.3046875" style="23" customWidth="1"/>
    <col min="5310" max="5310" width="0" style="23" hidden="1" customWidth="1"/>
    <col min="5311" max="5312" width="4.3828125" style="23" customWidth="1"/>
    <col min="5313" max="5313" width="0" style="23" hidden="1" customWidth="1"/>
    <col min="5314" max="5315" width="4.3828125" style="23" customWidth="1"/>
    <col min="5316" max="5316" width="0" style="23" hidden="1" customWidth="1"/>
    <col min="5317" max="5318" width="4.3828125" style="23" customWidth="1"/>
    <col min="5319" max="5319" width="0" style="23" hidden="1" customWidth="1"/>
    <col min="5320" max="5321" width="4.3828125" style="23" customWidth="1"/>
    <col min="5322" max="5376" width="10.3046875" style="23"/>
    <col min="5377" max="5377" width="3.84375" style="23" customWidth="1"/>
    <col min="5378" max="5378" width="32.69140625" style="23" customWidth="1"/>
    <col min="5379" max="5455" width="3.84375" style="23" customWidth="1"/>
    <col min="5456" max="5457" width="0" style="23" hidden="1" customWidth="1"/>
    <col min="5458" max="5458" width="3.84375" style="23" customWidth="1"/>
    <col min="5459" max="5460" width="0" style="23" hidden="1" customWidth="1"/>
    <col min="5461" max="5461" width="3.84375" style="23" customWidth="1"/>
    <col min="5462" max="5463" width="0" style="23" hidden="1" customWidth="1"/>
    <col min="5464" max="5464" width="3.84375" style="23" customWidth="1"/>
    <col min="5465" max="5466" width="0" style="23" hidden="1" customWidth="1"/>
    <col min="5467" max="5467" width="3.84375" style="23" customWidth="1"/>
    <col min="5468" max="5469" width="0" style="23" hidden="1" customWidth="1"/>
    <col min="5470" max="5470" width="3.84375" style="23" customWidth="1"/>
    <col min="5471" max="5472" width="0" style="23" hidden="1" customWidth="1"/>
    <col min="5473" max="5473" width="3.84375" style="23" customWidth="1"/>
    <col min="5474" max="5475" width="0" style="23" hidden="1" customWidth="1"/>
    <col min="5476" max="5476" width="3.84375" style="23" customWidth="1"/>
    <col min="5477" max="5478" width="0" style="23" hidden="1" customWidth="1"/>
    <col min="5479" max="5479" width="3.84375" style="23" customWidth="1"/>
    <col min="5480" max="5481" width="0" style="23" hidden="1" customWidth="1"/>
    <col min="5482" max="5482" width="3.84375" style="23" customWidth="1"/>
    <col min="5483" max="5484" width="0" style="23" hidden="1" customWidth="1"/>
    <col min="5485" max="5485" width="3.84375" style="23" customWidth="1"/>
    <col min="5486" max="5487" width="0" style="23" hidden="1" customWidth="1"/>
    <col min="5488" max="5488" width="3.84375" style="23" customWidth="1"/>
    <col min="5489" max="5490" width="0" style="23" hidden="1" customWidth="1"/>
    <col min="5491" max="5491" width="3.84375" style="23" customWidth="1"/>
    <col min="5492" max="5493" width="0" style="23" hidden="1" customWidth="1"/>
    <col min="5494" max="5494" width="3.84375" style="23" customWidth="1"/>
    <col min="5495" max="5496" width="0" style="23" hidden="1" customWidth="1"/>
    <col min="5497" max="5497" width="3.84375" style="23" customWidth="1"/>
    <col min="5498" max="5499" width="0" style="23" hidden="1" customWidth="1"/>
    <col min="5500" max="5500" width="3.84375" style="23" customWidth="1"/>
    <col min="5501" max="5502" width="0" style="23" hidden="1" customWidth="1"/>
    <col min="5503" max="5503" width="3.84375" style="23" customWidth="1"/>
    <col min="5504" max="5505" width="0" style="23" hidden="1" customWidth="1"/>
    <col min="5506" max="5507" width="3.84375" style="23" customWidth="1"/>
    <col min="5508" max="5508" width="3.69140625" style="23" customWidth="1"/>
    <col min="5509" max="5509" width="0" style="23" hidden="1" customWidth="1"/>
    <col min="5510" max="5510" width="3.84375" style="23" customWidth="1"/>
    <col min="5511" max="5511" width="4.15234375" style="23" bestFit="1" customWidth="1"/>
    <col min="5512" max="5512" width="0" style="23" hidden="1" customWidth="1"/>
    <col min="5513" max="5514" width="4.15234375" style="23" bestFit="1" customWidth="1"/>
    <col min="5515" max="5515" width="0" style="23" hidden="1" customWidth="1"/>
    <col min="5516" max="5517" width="4.3046875" style="23" customWidth="1"/>
    <col min="5518" max="5518" width="0" style="23" hidden="1" customWidth="1"/>
    <col min="5519" max="5519" width="4.69140625" style="23" bestFit="1" customWidth="1"/>
    <col min="5520" max="5520" width="4.15234375" style="23" customWidth="1"/>
    <col min="5521" max="5521" width="0" style="23" hidden="1" customWidth="1"/>
    <col min="5522" max="5523" width="4.15234375" style="23" customWidth="1"/>
    <col min="5524" max="5524" width="0" style="23" hidden="1" customWidth="1"/>
    <col min="5525" max="5525" width="4.53515625" style="23" customWidth="1"/>
    <col min="5526" max="5526" width="4.69140625" style="23" customWidth="1"/>
    <col min="5527" max="5527" width="0" style="23" hidden="1" customWidth="1"/>
    <col min="5528" max="5528" width="4.53515625" style="23" customWidth="1"/>
    <col min="5529" max="5529" width="4.69140625" style="23" customWidth="1"/>
    <col min="5530" max="5530" width="0" style="23" hidden="1" customWidth="1"/>
    <col min="5531" max="5532" width="4.53515625" style="23" customWidth="1"/>
    <col min="5533" max="5533" width="0" style="23" hidden="1" customWidth="1"/>
    <col min="5534" max="5535" width="4.69140625" style="23" customWidth="1"/>
    <col min="5536" max="5536" width="0" style="23" hidden="1" customWidth="1"/>
    <col min="5537" max="5538" width="4.53515625" style="23" customWidth="1"/>
    <col min="5539" max="5539" width="0" style="23" hidden="1" customWidth="1"/>
    <col min="5540" max="5540" width="4.53515625" style="23" customWidth="1"/>
    <col min="5541" max="5541" width="4.69140625" style="23" customWidth="1"/>
    <col min="5542" max="5542" width="0" style="23" hidden="1" customWidth="1"/>
    <col min="5543" max="5543" width="5.15234375" style="23" customWidth="1"/>
    <col min="5544" max="5544" width="4.53515625" style="23" customWidth="1"/>
    <col min="5545" max="5545" width="0" style="23" hidden="1" customWidth="1"/>
    <col min="5546" max="5546" width="5" style="23" customWidth="1"/>
    <col min="5547" max="5547" width="4.84375" style="23" customWidth="1"/>
    <col min="5548" max="5548" width="0" style="23" hidden="1" customWidth="1"/>
    <col min="5549" max="5550" width="4.53515625" style="23" customWidth="1"/>
    <col min="5551" max="5551" width="0" style="23" hidden="1" customWidth="1"/>
    <col min="5552" max="5552" width="4.53515625" style="23" customWidth="1"/>
    <col min="5553" max="5553" width="4.69140625" style="23" customWidth="1"/>
    <col min="5554" max="5554" width="0" style="23" hidden="1" customWidth="1"/>
    <col min="5555" max="5556" width="4.3828125" style="23" customWidth="1"/>
    <col min="5557" max="5557" width="0" style="23" hidden="1" customWidth="1"/>
    <col min="5558" max="5559" width="4.3828125" style="23" customWidth="1"/>
    <col min="5560" max="5560" width="0" style="23" hidden="1" customWidth="1"/>
    <col min="5561" max="5562" width="4.3828125" style="23" customWidth="1"/>
    <col min="5563" max="5563" width="0" style="23" hidden="1" customWidth="1"/>
    <col min="5564" max="5564" width="4.3828125" style="23" customWidth="1"/>
    <col min="5565" max="5565" width="4.3046875" style="23" customWidth="1"/>
    <col min="5566" max="5566" width="0" style="23" hidden="1" customWidth="1"/>
    <col min="5567" max="5568" width="4.3828125" style="23" customWidth="1"/>
    <col min="5569" max="5569" width="0" style="23" hidden="1" customWidth="1"/>
    <col min="5570" max="5571" width="4.3828125" style="23" customWidth="1"/>
    <col min="5572" max="5572" width="0" style="23" hidden="1" customWidth="1"/>
    <col min="5573" max="5574" width="4.3828125" style="23" customWidth="1"/>
    <col min="5575" max="5575" width="0" style="23" hidden="1" customWidth="1"/>
    <col min="5576" max="5577" width="4.3828125" style="23" customWidth="1"/>
    <col min="5578" max="5632" width="10.3046875" style="23"/>
    <col min="5633" max="5633" width="3.84375" style="23" customWidth="1"/>
    <col min="5634" max="5634" width="32.69140625" style="23" customWidth="1"/>
    <col min="5635" max="5711" width="3.84375" style="23" customWidth="1"/>
    <col min="5712" max="5713" width="0" style="23" hidden="1" customWidth="1"/>
    <col min="5714" max="5714" width="3.84375" style="23" customWidth="1"/>
    <col min="5715" max="5716" width="0" style="23" hidden="1" customWidth="1"/>
    <col min="5717" max="5717" width="3.84375" style="23" customWidth="1"/>
    <col min="5718" max="5719" width="0" style="23" hidden="1" customWidth="1"/>
    <col min="5720" max="5720" width="3.84375" style="23" customWidth="1"/>
    <col min="5721" max="5722" width="0" style="23" hidden="1" customWidth="1"/>
    <col min="5723" max="5723" width="3.84375" style="23" customWidth="1"/>
    <col min="5724" max="5725" width="0" style="23" hidden="1" customWidth="1"/>
    <col min="5726" max="5726" width="3.84375" style="23" customWidth="1"/>
    <col min="5727" max="5728" width="0" style="23" hidden="1" customWidth="1"/>
    <col min="5729" max="5729" width="3.84375" style="23" customWidth="1"/>
    <col min="5730" max="5731" width="0" style="23" hidden="1" customWidth="1"/>
    <col min="5732" max="5732" width="3.84375" style="23" customWidth="1"/>
    <col min="5733" max="5734" width="0" style="23" hidden="1" customWidth="1"/>
    <col min="5735" max="5735" width="3.84375" style="23" customWidth="1"/>
    <col min="5736" max="5737" width="0" style="23" hidden="1" customWidth="1"/>
    <col min="5738" max="5738" width="3.84375" style="23" customWidth="1"/>
    <col min="5739" max="5740" width="0" style="23" hidden="1" customWidth="1"/>
    <col min="5741" max="5741" width="3.84375" style="23" customWidth="1"/>
    <col min="5742" max="5743" width="0" style="23" hidden="1" customWidth="1"/>
    <col min="5744" max="5744" width="3.84375" style="23" customWidth="1"/>
    <col min="5745" max="5746" width="0" style="23" hidden="1" customWidth="1"/>
    <col min="5747" max="5747" width="3.84375" style="23" customWidth="1"/>
    <col min="5748" max="5749" width="0" style="23" hidden="1" customWidth="1"/>
    <col min="5750" max="5750" width="3.84375" style="23" customWidth="1"/>
    <col min="5751" max="5752" width="0" style="23" hidden="1" customWidth="1"/>
    <col min="5753" max="5753" width="3.84375" style="23" customWidth="1"/>
    <col min="5754" max="5755" width="0" style="23" hidden="1" customWidth="1"/>
    <col min="5756" max="5756" width="3.84375" style="23" customWidth="1"/>
    <col min="5757" max="5758" width="0" style="23" hidden="1" customWidth="1"/>
    <col min="5759" max="5759" width="3.84375" style="23" customWidth="1"/>
    <col min="5760" max="5761" width="0" style="23" hidden="1" customWidth="1"/>
    <col min="5762" max="5763" width="3.84375" style="23" customWidth="1"/>
    <col min="5764" max="5764" width="3.69140625" style="23" customWidth="1"/>
    <col min="5765" max="5765" width="0" style="23" hidden="1" customWidth="1"/>
    <col min="5766" max="5766" width="3.84375" style="23" customWidth="1"/>
    <col min="5767" max="5767" width="4.15234375" style="23" bestFit="1" customWidth="1"/>
    <col min="5768" max="5768" width="0" style="23" hidden="1" customWidth="1"/>
    <col min="5769" max="5770" width="4.15234375" style="23" bestFit="1" customWidth="1"/>
    <col min="5771" max="5771" width="0" style="23" hidden="1" customWidth="1"/>
    <col min="5772" max="5773" width="4.3046875" style="23" customWidth="1"/>
    <col min="5774" max="5774" width="0" style="23" hidden="1" customWidth="1"/>
    <col min="5775" max="5775" width="4.69140625" style="23" bestFit="1" customWidth="1"/>
    <col min="5776" max="5776" width="4.15234375" style="23" customWidth="1"/>
    <col min="5777" max="5777" width="0" style="23" hidden="1" customWidth="1"/>
    <col min="5778" max="5779" width="4.15234375" style="23" customWidth="1"/>
    <col min="5780" max="5780" width="0" style="23" hidden="1" customWidth="1"/>
    <col min="5781" max="5781" width="4.53515625" style="23" customWidth="1"/>
    <col min="5782" max="5782" width="4.69140625" style="23" customWidth="1"/>
    <col min="5783" max="5783" width="0" style="23" hidden="1" customWidth="1"/>
    <col min="5784" max="5784" width="4.53515625" style="23" customWidth="1"/>
    <col min="5785" max="5785" width="4.69140625" style="23" customWidth="1"/>
    <col min="5786" max="5786" width="0" style="23" hidden="1" customWidth="1"/>
    <col min="5787" max="5788" width="4.53515625" style="23" customWidth="1"/>
    <col min="5789" max="5789" width="0" style="23" hidden="1" customWidth="1"/>
    <col min="5790" max="5791" width="4.69140625" style="23" customWidth="1"/>
    <col min="5792" max="5792" width="0" style="23" hidden="1" customWidth="1"/>
    <col min="5793" max="5794" width="4.53515625" style="23" customWidth="1"/>
    <col min="5795" max="5795" width="0" style="23" hidden="1" customWidth="1"/>
    <col min="5796" max="5796" width="4.53515625" style="23" customWidth="1"/>
    <col min="5797" max="5797" width="4.69140625" style="23" customWidth="1"/>
    <col min="5798" max="5798" width="0" style="23" hidden="1" customWidth="1"/>
    <col min="5799" max="5799" width="5.15234375" style="23" customWidth="1"/>
    <col min="5800" max="5800" width="4.53515625" style="23" customWidth="1"/>
    <col min="5801" max="5801" width="0" style="23" hidden="1" customWidth="1"/>
    <col min="5802" max="5802" width="5" style="23" customWidth="1"/>
    <col min="5803" max="5803" width="4.84375" style="23" customWidth="1"/>
    <col min="5804" max="5804" width="0" style="23" hidden="1" customWidth="1"/>
    <col min="5805" max="5806" width="4.53515625" style="23" customWidth="1"/>
    <col min="5807" max="5807" width="0" style="23" hidden="1" customWidth="1"/>
    <col min="5808" max="5808" width="4.53515625" style="23" customWidth="1"/>
    <col min="5809" max="5809" width="4.69140625" style="23" customWidth="1"/>
    <col min="5810" max="5810" width="0" style="23" hidden="1" customWidth="1"/>
    <col min="5811" max="5812" width="4.3828125" style="23" customWidth="1"/>
    <col min="5813" max="5813" width="0" style="23" hidden="1" customWidth="1"/>
    <col min="5814" max="5815" width="4.3828125" style="23" customWidth="1"/>
    <col min="5816" max="5816" width="0" style="23" hidden="1" customWidth="1"/>
    <col min="5817" max="5818" width="4.3828125" style="23" customWidth="1"/>
    <col min="5819" max="5819" width="0" style="23" hidden="1" customWidth="1"/>
    <col min="5820" max="5820" width="4.3828125" style="23" customWidth="1"/>
    <col min="5821" max="5821" width="4.3046875" style="23" customWidth="1"/>
    <col min="5822" max="5822" width="0" style="23" hidden="1" customWidth="1"/>
    <col min="5823" max="5824" width="4.3828125" style="23" customWidth="1"/>
    <col min="5825" max="5825" width="0" style="23" hidden="1" customWidth="1"/>
    <col min="5826" max="5827" width="4.3828125" style="23" customWidth="1"/>
    <col min="5828" max="5828" width="0" style="23" hidden="1" customWidth="1"/>
    <col min="5829" max="5830" width="4.3828125" style="23" customWidth="1"/>
    <col min="5831" max="5831" width="0" style="23" hidden="1" customWidth="1"/>
    <col min="5832" max="5833" width="4.3828125" style="23" customWidth="1"/>
    <col min="5834" max="5888" width="10.3046875" style="23"/>
    <col min="5889" max="5889" width="3.84375" style="23" customWidth="1"/>
    <col min="5890" max="5890" width="32.69140625" style="23" customWidth="1"/>
    <col min="5891" max="5967" width="3.84375" style="23" customWidth="1"/>
    <col min="5968" max="5969" width="0" style="23" hidden="1" customWidth="1"/>
    <col min="5970" max="5970" width="3.84375" style="23" customWidth="1"/>
    <col min="5971" max="5972" width="0" style="23" hidden="1" customWidth="1"/>
    <col min="5973" max="5973" width="3.84375" style="23" customWidth="1"/>
    <col min="5974" max="5975" width="0" style="23" hidden="1" customWidth="1"/>
    <col min="5976" max="5976" width="3.84375" style="23" customWidth="1"/>
    <col min="5977" max="5978" width="0" style="23" hidden="1" customWidth="1"/>
    <col min="5979" max="5979" width="3.84375" style="23" customWidth="1"/>
    <col min="5980" max="5981" width="0" style="23" hidden="1" customWidth="1"/>
    <col min="5982" max="5982" width="3.84375" style="23" customWidth="1"/>
    <col min="5983" max="5984" width="0" style="23" hidden="1" customWidth="1"/>
    <col min="5985" max="5985" width="3.84375" style="23" customWidth="1"/>
    <col min="5986" max="5987" width="0" style="23" hidden="1" customWidth="1"/>
    <col min="5988" max="5988" width="3.84375" style="23" customWidth="1"/>
    <col min="5989" max="5990" width="0" style="23" hidden="1" customWidth="1"/>
    <col min="5991" max="5991" width="3.84375" style="23" customWidth="1"/>
    <col min="5992" max="5993" width="0" style="23" hidden="1" customWidth="1"/>
    <col min="5994" max="5994" width="3.84375" style="23" customWidth="1"/>
    <col min="5995" max="5996" width="0" style="23" hidden="1" customWidth="1"/>
    <col min="5997" max="5997" width="3.84375" style="23" customWidth="1"/>
    <col min="5998" max="5999" width="0" style="23" hidden="1" customWidth="1"/>
    <col min="6000" max="6000" width="3.84375" style="23" customWidth="1"/>
    <col min="6001" max="6002" width="0" style="23" hidden="1" customWidth="1"/>
    <col min="6003" max="6003" width="3.84375" style="23" customWidth="1"/>
    <col min="6004" max="6005" width="0" style="23" hidden="1" customWidth="1"/>
    <col min="6006" max="6006" width="3.84375" style="23" customWidth="1"/>
    <col min="6007" max="6008" width="0" style="23" hidden="1" customWidth="1"/>
    <col min="6009" max="6009" width="3.84375" style="23" customWidth="1"/>
    <col min="6010" max="6011" width="0" style="23" hidden="1" customWidth="1"/>
    <col min="6012" max="6012" width="3.84375" style="23" customWidth="1"/>
    <col min="6013" max="6014" width="0" style="23" hidden="1" customWidth="1"/>
    <col min="6015" max="6015" width="3.84375" style="23" customWidth="1"/>
    <col min="6016" max="6017" width="0" style="23" hidden="1" customWidth="1"/>
    <col min="6018" max="6019" width="3.84375" style="23" customWidth="1"/>
    <col min="6020" max="6020" width="3.69140625" style="23" customWidth="1"/>
    <col min="6021" max="6021" width="0" style="23" hidden="1" customWidth="1"/>
    <col min="6022" max="6022" width="3.84375" style="23" customWidth="1"/>
    <col min="6023" max="6023" width="4.15234375" style="23" bestFit="1" customWidth="1"/>
    <col min="6024" max="6024" width="0" style="23" hidden="1" customWidth="1"/>
    <col min="6025" max="6026" width="4.15234375" style="23" bestFit="1" customWidth="1"/>
    <col min="6027" max="6027" width="0" style="23" hidden="1" customWidth="1"/>
    <col min="6028" max="6029" width="4.3046875" style="23" customWidth="1"/>
    <col min="6030" max="6030" width="0" style="23" hidden="1" customWidth="1"/>
    <col min="6031" max="6031" width="4.69140625" style="23" bestFit="1" customWidth="1"/>
    <col min="6032" max="6032" width="4.15234375" style="23" customWidth="1"/>
    <col min="6033" max="6033" width="0" style="23" hidden="1" customWidth="1"/>
    <col min="6034" max="6035" width="4.15234375" style="23" customWidth="1"/>
    <col min="6036" max="6036" width="0" style="23" hidden="1" customWidth="1"/>
    <col min="6037" max="6037" width="4.53515625" style="23" customWidth="1"/>
    <col min="6038" max="6038" width="4.69140625" style="23" customWidth="1"/>
    <col min="6039" max="6039" width="0" style="23" hidden="1" customWidth="1"/>
    <col min="6040" max="6040" width="4.53515625" style="23" customWidth="1"/>
    <col min="6041" max="6041" width="4.69140625" style="23" customWidth="1"/>
    <col min="6042" max="6042" width="0" style="23" hidden="1" customWidth="1"/>
    <col min="6043" max="6044" width="4.53515625" style="23" customWidth="1"/>
    <col min="6045" max="6045" width="0" style="23" hidden="1" customWidth="1"/>
    <col min="6046" max="6047" width="4.69140625" style="23" customWidth="1"/>
    <col min="6048" max="6048" width="0" style="23" hidden="1" customWidth="1"/>
    <col min="6049" max="6050" width="4.53515625" style="23" customWidth="1"/>
    <col min="6051" max="6051" width="0" style="23" hidden="1" customWidth="1"/>
    <col min="6052" max="6052" width="4.53515625" style="23" customWidth="1"/>
    <col min="6053" max="6053" width="4.69140625" style="23" customWidth="1"/>
    <col min="6054" max="6054" width="0" style="23" hidden="1" customWidth="1"/>
    <col min="6055" max="6055" width="5.15234375" style="23" customWidth="1"/>
    <col min="6056" max="6056" width="4.53515625" style="23" customWidth="1"/>
    <col min="6057" max="6057" width="0" style="23" hidden="1" customWidth="1"/>
    <col min="6058" max="6058" width="5" style="23" customWidth="1"/>
    <col min="6059" max="6059" width="4.84375" style="23" customWidth="1"/>
    <col min="6060" max="6060" width="0" style="23" hidden="1" customWidth="1"/>
    <col min="6061" max="6062" width="4.53515625" style="23" customWidth="1"/>
    <col min="6063" max="6063" width="0" style="23" hidden="1" customWidth="1"/>
    <col min="6064" max="6064" width="4.53515625" style="23" customWidth="1"/>
    <col min="6065" max="6065" width="4.69140625" style="23" customWidth="1"/>
    <col min="6066" max="6066" width="0" style="23" hidden="1" customWidth="1"/>
    <col min="6067" max="6068" width="4.3828125" style="23" customWidth="1"/>
    <col min="6069" max="6069" width="0" style="23" hidden="1" customWidth="1"/>
    <col min="6070" max="6071" width="4.3828125" style="23" customWidth="1"/>
    <col min="6072" max="6072" width="0" style="23" hidden="1" customWidth="1"/>
    <col min="6073" max="6074" width="4.3828125" style="23" customWidth="1"/>
    <col min="6075" max="6075" width="0" style="23" hidden="1" customWidth="1"/>
    <col min="6076" max="6076" width="4.3828125" style="23" customWidth="1"/>
    <col min="6077" max="6077" width="4.3046875" style="23" customWidth="1"/>
    <col min="6078" max="6078" width="0" style="23" hidden="1" customWidth="1"/>
    <col min="6079" max="6080" width="4.3828125" style="23" customWidth="1"/>
    <col min="6081" max="6081" width="0" style="23" hidden="1" customWidth="1"/>
    <col min="6082" max="6083" width="4.3828125" style="23" customWidth="1"/>
    <col min="6084" max="6084" width="0" style="23" hidden="1" customWidth="1"/>
    <col min="6085" max="6086" width="4.3828125" style="23" customWidth="1"/>
    <col min="6087" max="6087" width="0" style="23" hidden="1" customWidth="1"/>
    <col min="6088" max="6089" width="4.3828125" style="23" customWidth="1"/>
    <col min="6090" max="6144" width="10.3046875" style="23"/>
    <col min="6145" max="6145" width="3.84375" style="23" customWidth="1"/>
    <col min="6146" max="6146" width="32.69140625" style="23" customWidth="1"/>
    <col min="6147" max="6223" width="3.84375" style="23" customWidth="1"/>
    <col min="6224" max="6225" width="0" style="23" hidden="1" customWidth="1"/>
    <col min="6226" max="6226" width="3.84375" style="23" customWidth="1"/>
    <col min="6227" max="6228" width="0" style="23" hidden="1" customWidth="1"/>
    <col min="6229" max="6229" width="3.84375" style="23" customWidth="1"/>
    <col min="6230" max="6231" width="0" style="23" hidden="1" customWidth="1"/>
    <col min="6232" max="6232" width="3.84375" style="23" customWidth="1"/>
    <col min="6233" max="6234" width="0" style="23" hidden="1" customWidth="1"/>
    <col min="6235" max="6235" width="3.84375" style="23" customWidth="1"/>
    <col min="6236" max="6237" width="0" style="23" hidden="1" customWidth="1"/>
    <col min="6238" max="6238" width="3.84375" style="23" customWidth="1"/>
    <col min="6239" max="6240" width="0" style="23" hidden="1" customWidth="1"/>
    <col min="6241" max="6241" width="3.84375" style="23" customWidth="1"/>
    <col min="6242" max="6243" width="0" style="23" hidden="1" customWidth="1"/>
    <col min="6244" max="6244" width="3.84375" style="23" customWidth="1"/>
    <col min="6245" max="6246" width="0" style="23" hidden="1" customWidth="1"/>
    <col min="6247" max="6247" width="3.84375" style="23" customWidth="1"/>
    <col min="6248" max="6249" width="0" style="23" hidden="1" customWidth="1"/>
    <col min="6250" max="6250" width="3.84375" style="23" customWidth="1"/>
    <col min="6251" max="6252" width="0" style="23" hidden="1" customWidth="1"/>
    <col min="6253" max="6253" width="3.84375" style="23" customWidth="1"/>
    <col min="6254" max="6255" width="0" style="23" hidden="1" customWidth="1"/>
    <col min="6256" max="6256" width="3.84375" style="23" customWidth="1"/>
    <col min="6257" max="6258" width="0" style="23" hidden="1" customWidth="1"/>
    <col min="6259" max="6259" width="3.84375" style="23" customWidth="1"/>
    <col min="6260" max="6261" width="0" style="23" hidden="1" customWidth="1"/>
    <col min="6262" max="6262" width="3.84375" style="23" customWidth="1"/>
    <col min="6263" max="6264" width="0" style="23" hidden="1" customWidth="1"/>
    <col min="6265" max="6265" width="3.84375" style="23" customWidth="1"/>
    <col min="6266" max="6267" width="0" style="23" hidden="1" customWidth="1"/>
    <col min="6268" max="6268" width="3.84375" style="23" customWidth="1"/>
    <col min="6269" max="6270" width="0" style="23" hidden="1" customWidth="1"/>
    <col min="6271" max="6271" width="3.84375" style="23" customWidth="1"/>
    <col min="6272" max="6273" width="0" style="23" hidden="1" customWidth="1"/>
    <col min="6274" max="6275" width="3.84375" style="23" customWidth="1"/>
    <col min="6276" max="6276" width="3.69140625" style="23" customWidth="1"/>
    <col min="6277" max="6277" width="0" style="23" hidden="1" customWidth="1"/>
    <col min="6278" max="6278" width="3.84375" style="23" customWidth="1"/>
    <col min="6279" max="6279" width="4.15234375" style="23" bestFit="1" customWidth="1"/>
    <col min="6280" max="6280" width="0" style="23" hidden="1" customWidth="1"/>
    <col min="6281" max="6282" width="4.15234375" style="23" bestFit="1" customWidth="1"/>
    <col min="6283" max="6283" width="0" style="23" hidden="1" customWidth="1"/>
    <col min="6284" max="6285" width="4.3046875" style="23" customWidth="1"/>
    <col min="6286" max="6286" width="0" style="23" hidden="1" customWidth="1"/>
    <col min="6287" max="6287" width="4.69140625" style="23" bestFit="1" customWidth="1"/>
    <col min="6288" max="6288" width="4.15234375" style="23" customWidth="1"/>
    <col min="6289" max="6289" width="0" style="23" hidden="1" customWidth="1"/>
    <col min="6290" max="6291" width="4.15234375" style="23" customWidth="1"/>
    <col min="6292" max="6292" width="0" style="23" hidden="1" customWidth="1"/>
    <col min="6293" max="6293" width="4.53515625" style="23" customWidth="1"/>
    <col min="6294" max="6294" width="4.69140625" style="23" customWidth="1"/>
    <col min="6295" max="6295" width="0" style="23" hidden="1" customWidth="1"/>
    <col min="6296" max="6296" width="4.53515625" style="23" customWidth="1"/>
    <col min="6297" max="6297" width="4.69140625" style="23" customWidth="1"/>
    <col min="6298" max="6298" width="0" style="23" hidden="1" customWidth="1"/>
    <col min="6299" max="6300" width="4.53515625" style="23" customWidth="1"/>
    <col min="6301" max="6301" width="0" style="23" hidden="1" customWidth="1"/>
    <col min="6302" max="6303" width="4.69140625" style="23" customWidth="1"/>
    <col min="6304" max="6304" width="0" style="23" hidden="1" customWidth="1"/>
    <col min="6305" max="6306" width="4.53515625" style="23" customWidth="1"/>
    <col min="6307" max="6307" width="0" style="23" hidden="1" customWidth="1"/>
    <col min="6308" max="6308" width="4.53515625" style="23" customWidth="1"/>
    <col min="6309" max="6309" width="4.69140625" style="23" customWidth="1"/>
    <col min="6310" max="6310" width="0" style="23" hidden="1" customWidth="1"/>
    <col min="6311" max="6311" width="5.15234375" style="23" customWidth="1"/>
    <col min="6312" max="6312" width="4.53515625" style="23" customWidth="1"/>
    <col min="6313" max="6313" width="0" style="23" hidden="1" customWidth="1"/>
    <col min="6314" max="6314" width="5" style="23" customWidth="1"/>
    <col min="6315" max="6315" width="4.84375" style="23" customWidth="1"/>
    <col min="6316" max="6316" width="0" style="23" hidden="1" customWidth="1"/>
    <col min="6317" max="6318" width="4.53515625" style="23" customWidth="1"/>
    <col min="6319" max="6319" width="0" style="23" hidden="1" customWidth="1"/>
    <col min="6320" max="6320" width="4.53515625" style="23" customWidth="1"/>
    <col min="6321" max="6321" width="4.69140625" style="23" customWidth="1"/>
    <col min="6322" max="6322" width="0" style="23" hidden="1" customWidth="1"/>
    <col min="6323" max="6324" width="4.3828125" style="23" customWidth="1"/>
    <col min="6325" max="6325" width="0" style="23" hidden="1" customWidth="1"/>
    <col min="6326" max="6327" width="4.3828125" style="23" customWidth="1"/>
    <col min="6328" max="6328" width="0" style="23" hidden="1" customWidth="1"/>
    <col min="6329" max="6330" width="4.3828125" style="23" customWidth="1"/>
    <col min="6331" max="6331" width="0" style="23" hidden="1" customWidth="1"/>
    <col min="6332" max="6332" width="4.3828125" style="23" customWidth="1"/>
    <col min="6333" max="6333" width="4.3046875" style="23" customWidth="1"/>
    <col min="6334" max="6334" width="0" style="23" hidden="1" customWidth="1"/>
    <col min="6335" max="6336" width="4.3828125" style="23" customWidth="1"/>
    <col min="6337" max="6337" width="0" style="23" hidden="1" customWidth="1"/>
    <col min="6338" max="6339" width="4.3828125" style="23" customWidth="1"/>
    <col min="6340" max="6340" width="0" style="23" hidden="1" customWidth="1"/>
    <col min="6341" max="6342" width="4.3828125" style="23" customWidth="1"/>
    <col min="6343" max="6343" width="0" style="23" hidden="1" customWidth="1"/>
    <col min="6344" max="6345" width="4.3828125" style="23" customWidth="1"/>
    <col min="6346" max="6400" width="10.3046875" style="23"/>
    <col min="6401" max="6401" width="3.84375" style="23" customWidth="1"/>
    <col min="6402" max="6402" width="32.69140625" style="23" customWidth="1"/>
    <col min="6403" max="6479" width="3.84375" style="23" customWidth="1"/>
    <col min="6480" max="6481" width="0" style="23" hidden="1" customWidth="1"/>
    <col min="6482" max="6482" width="3.84375" style="23" customWidth="1"/>
    <col min="6483" max="6484" width="0" style="23" hidden="1" customWidth="1"/>
    <col min="6485" max="6485" width="3.84375" style="23" customWidth="1"/>
    <col min="6486" max="6487" width="0" style="23" hidden="1" customWidth="1"/>
    <col min="6488" max="6488" width="3.84375" style="23" customWidth="1"/>
    <col min="6489" max="6490" width="0" style="23" hidden="1" customWidth="1"/>
    <col min="6491" max="6491" width="3.84375" style="23" customWidth="1"/>
    <col min="6492" max="6493" width="0" style="23" hidden="1" customWidth="1"/>
    <col min="6494" max="6494" width="3.84375" style="23" customWidth="1"/>
    <col min="6495" max="6496" width="0" style="23" hidden="1" customWidth="1"/>
    <col min="6497" max="6497" width="3.84375" style="23" customWidth="1"/>
    <col min="6498" max="6499" width="0" style="23" hidden="1" customWidth="1"/>
    <col min="6500" max="6500" width="3.84375" style="23" customWidth="1"/>
    <col min="6501" max="6502" width="0" style="23" hidden="1" customWidth="1"/>
    <col min="6503" max="6503" width="3.84375" style="23" customWidth="1"/>
    <col min="6504" max="6505" width="0" style="23" hidden="1" customWidth="1"/>
    <col min="6506" max="6506" width="3.84375" style="23" customWidth="1"/>
    <col min="6507" max="6508" width="0" style="23" hidden="1" customWidth="1"/>
    <col min="6509" max="6509" width="3.84375" style="23" customWidth="1"/>
    <col min="6510" max="6511" width="0" style="23" hidden="1" customWidth="1"/>
    <col min="6512" max="6512" width="3.84375" style="23" customWidth="1"/>
    <col min="6513" max="6514" width="0" style="23" hidden="1" customWidth="1"/>
    <col min="6515" max="6515" width="3.84375" style="23" customWidth="1"/>
    <col min="6516" max="6517" width="0" style="23" hidden="1" customWidth="1"/>
    <col min="6518" max="6518" width="3.84375" style="23" customWidth="1"/>
    <col min="6519" max="6520" width="0" style="23" hidden="1" customWidth="1"/>
    <col min="6521" max="6521" width="3.84375" style="23" customWidth="1"/>
    <col min="6522" max="6523" width="0" style="23" hidden="1" customWidth="1"/>
    <col min="6524" max="6524" width="3.84375" style="23" customWidth="1"/>
    <col min="6525" max="6526" width="0" style="23" hidden="1" customWidth="1"/>
    <col min="6527" max="6527" width="3.84375" style="23" customWidth="1"/>
    <col min="6528" max="6529" width="0" style="23" hidden="1" customWidth="1"/>
    <col min="6530" max="6531" width="3.84375" style="23" customWidth="1"/>
    <col min="6532" max="6532" width="3.69140625" style="23" customWidth="1"/>
    <col min="6533" max="6533" width="0" style="23" hidden="1" customWidth="1"/>
    <col min="6534" max="6534" width="3.84375" style="23" customWidth="1"/>
    <col min="6535" max="6535" width="4.15234375" style="23" bestFit="1" customWidth="1"/>
    <col min="6536" max="6536" width="0" style="23" hidden="1" customWidth="1"/>
    <col min="6537" max="6538" width="4.15234375" style="23" bestFit="1" customWidth="1"/>
    <col min="6539" max="6539" width="0" style="23" hidden="1" customWidth="1"/>
    <col min="6540" max="6541" width="4.3046875" style="23" customWidth="1"/>
    <col min="6542" max="6542" width="0" style="23" hidden="1" customWidth="1"/>
    <col min="6543" max="6543" width="4.69140625" style="23" bestFit="1" customWidth="1"/>
    <col min="6544" max="6544" width="4.15234375" style="23" customWidth="1"/>
    <col min="6545" max="6545" width="0" style="23" hidden="1" customWidth="1"/>
    <col min="6546" max="6547" width="4.15234375" style="23" customWidth="1"/>
    <col min="6548" max="6548" width="0" style="23" hidden="1" customWidth="1"/>
    <col min="6549" max="6549" width="4.53515625" style="23" customWidth="1"/>
    <col min="6550" max="6550" width="4.69140625" style="23" customWidth="1"/>
    <col min="6551" max="6551" width="0" style="23" hidden="1" customWidth="1"/>
    <col min="6552" max="6552" width="4.53515625" style="23" customWidth="1"/>
    <col min="6553" max="6553" width="4.69140625" style="23" customWidth="1"/>
    <col min="6554" max="6554" width="0" style="23" hidden="1" customWidth="1"/>
    <col min="6555" max="6556" width="4.53515625" style="23" customWidth="1"/>
    <col min="6557" max="6557" width="0" style="23" hidden="1" customWidth="1"/>
    <col min="6558" max="6559" width="4.69140625" style="23" customWidth="1"/>
    <col min="6560" max="6560" width="0" style="23" hidden="1" customWidth="1"/>
    <col min="6561" max="6562" width="4.53515625" style="23" customWidth="1"/>
    <col min="6563" max="6563" width="0" style="23" hidden="1" customWidth="1"/>
    <col min="6564" max="6564" width="4.53515625" style="23" customWidth="1"/>
    <col min="6565" max="6565" width="4.69140625" style="23" customWidth="1"/>
    <col min="6566" max="6566" width="0" style="23" hidden="1" customWidth="1"/>
    <col min="6567" max="6567" width="5.15234375" style="23" customWidth="1"/>
    <col min="6568" max="6568" width="4.53515625" style="23" customWidth="1"/>
    <col min="6569" max="6569" width="0" style="23" hidden="1" customWidth="1"/>
    <col min="6570" max="6570" width="5" style="23" customWidth="1"/>
    <col min="6571" max="6571" width="4.84375" style="23" customWidth="1"/>
    <col min="6572" max="6572" width="0" style="23" hidden="1" customWidth="1"/>
    <col min="6573" max="6574" width="4.53515625" style="23" customWidth="1"/>
    <col min="6575" max="6575" width="0" style="23" hidden="1" customWidth="1"/>
    <col min="6576" max="6576" width="4.53515625" style="23" customWidth="1"/>
    <col min="6577" max="6577" width="4.69140625" style="23" customWidth="1"/>
    <col min="6578" max="6578" width="0" style="23" hidden="1" customWidth="1"/>
    <col min="6579" max="6580" width="4.3828125" style="23" customWidth="1"/>
    <col min="6581" max="6581" width="0" style="23" hidden="1" customWidth="1"/>
    <col min="6582" max="6583" width="4.3828125" style="23" customWidth="1"/>
    <col min="6584" max="6584" width="0" style="23" hidden="1" customWidth="1"/>
    <col min="6585" max="6586" width="4.3828125" style="23" customWidth="1"/>
    <col min="6587" max="6587" width="0" style="23" hidden="1" customWidth="1"/>
    <col min="6588" max="6588" width="4.3828125" style="23" customWidth="1"/>
    <col min="6589" max="6589" width="4.3046875" style="23" customWidth="1"/>
    <col min="6590" max="6590" width="0" style="23" hidden="1" customWidth="1"/>
    <col min="6591" max="6592" width="4.3828125" style="23" customWidth="1"/>
    <col min="6593" max="6593" width="0" style="23" hidden="1" customWidth="1"/>
    <col min="6594" max="6595" width="4.3828125" style="23" customWidth="1"/>
    <col min="6596" max="6596" width="0" style="23" hidden="1" customWidth="1"/>
    <col min="6597" max="6598" width="4.3828125" style="23" customWidth="1"/>
    <col min="6599" max="6599" width="0" style="23" hidden="1" customWidth="1"/>
    <col min="6600" max="6601" width="4.3828125" style="23" customWidth="1"/>
    <col min="6602" max="6656" width="10.3046875" style="23"/>
    <col min="6657" max="6657" width="3.84375" style="23" customWidth="1"/>
    <col min="6658" max="6658" width="32.69140625" style="23" customWidth="1"/>
    <col min="6659" max="6735" width="3.84375" style="23" customWidth="1"/>
    <col min="6736" max="6737" width="0" style="23" hidden="1" customWidth="1"/>
    <col min="6738" max="6738" width="3.84375" style="23" customWidth="1"/>
    <col min="6739" max="6740" width="0" style="23" hidden="1" customWidth="1"/>
    <col min="6741" max="6741" width="3.84375" style="23" customWidth="1"/>
    <col min="6742" max="6743" width="0" style="23" hidden="1" customWidth="1"/>
    <col min="6744" max="6744" width="3.84375" style="23" customWidth="1"/>
    <col min="6745" max="6746" width="0" style="23" hidden="1" customWidth="1"/>
    <col min="6747" max="6747" width="3.84375" style="23" customWidth="1"/>
    <col min="6748" max="6749" width="0" style="23" hidden="1" customWidth="1"/>
    <col min="6750" max="6750" width="3.84375" style="23" customWidth="1"/>
    <col min="6751" max="6752" width="0" style="23" hidden="1" customWidth="1"/>
    <col min="6753" max="6753" width="3.84375" style="23" customWidth="1"/>
    <col min="6754" max="6755" width="0" style="23" hidden="1" customWidth="1"/>
    <col min="6756" max="6756" width="3.84375" style="23" customWidth="1"/>
    <col min="6757" max="6758" width="0" style="23" hidden="1" customWidth="1"/>
    <col min="6759" max="6759" width="3.84375" style="23" customWidth="1"/>
    <col min="6760" max="6761" width="0" style="23" hidden="1" customWidth="1"/>
    <col min="6762" max="6762" width="3.84375" style="23" customWidth="1"/>
    <col min="6763" max="6764" width="0" style="23" hidden="1" customWidth="1"/>
    <col min="6765" max="6765" width="3.84375" style="23" customWidth="1"/>
    <col min="6766" max="6767" width="0" style="23" hidden="1" customWidth="1"/>
    <col min="6768" max="6768" width="3.84375" style="23" customWidth="1"/>
    <col min="6769" max="6770" width="0" style="23" hidden="1" customWidth="1"/>
    <col min="6771" max="6771" width="3.84375" style="23" customWidth="1"/>
    <col min="6772" max="6773" width="0" style="23" hidden="1" customWidth="1"/>
    <col min="6774" max="6774" width="3.84375" style="23" customWidth="1"/>
    <col min="6775" max="6776" width="0" style="23" hidden="1" customWidth="1"/>
    <col min="6777" max="6777" width="3.84375" style="23" customWidth="1"/>
    <col min="6778" max="6779" width="0" style="23" hidden="1" customWidth="1"/>
    <col min="6780" max="6780" width="3.84375" style="23" customWidth="1"/>
    <col min="6781" max="6782" width="0" style="23" hidden="1" customWidth="1"/>
    <col min="6783" max="6783" width="3.84375" style="23" customWidth="1"/>
    <col min="6784" max="6785" width="0" style="23" hidden="1" customWidth="1"/>
    <col min="6786" max="6787" width="3.84375" style="23" customWidth="1"/>
    <col min="6788" max="6788" width="3.69140625" style="23" customWidth="1"/>
    <col min="6789" max="6789" width="0" style="23" hidden="1" customWidth="1"/>
    <col min="6790" max="6790" width="3.84375" style="23" customWidth="1"/>
    <col min="6791" max="6791" width="4.15234375" style="23" bestFit="1" customWidth="1"/>
    <col min="6792" max="6792" width="0" style="23" hidden="1" customWidth="1"/>
    <col min="6793" max="6794" width="4.15234375" style="23" bestFit="1" customWidth="1"/>
    <col min="6795" max="6795" width="0" style="23" hidden="1" customWidth="1"/>
    <col min="6796" max="6797" width="4.3046875" style="23" customWidth="1"/>
    <col min="6798" max="6798" width="0" style="23" hidden="1" customWidth="1"/>
    <col min="6799" max="6799" width="4.69140625" style="23" bestFit="1" customWidth="1"/>
    <col min="6800" max="6800" width="4.15234375" style="23" customWidth="1"/>
    <col min="6801" max="6801" width="0" style="23" hidden="1" customWidth="1"/>
    <col min="6802" max="6803" width="4.15234375" style="23" customWidth="1"/>
    <col min="6804" max="6804" width="0" style="23" hidden="1" customWidth="1"/>
    <col min="6805" max="6805" width="4.53515625" style="23" customWidth="1"/>
    <col min="6806" max="6806" width="4.69140625" style="23" customWidth="1"/>
    <col min="6807" max="6807" width="0" style="23" hidden="1" customWidth="1"/>
    <col min="6808" max="6808" width="4.53515625" style="23" customWidth="1"/>
    <col min="6809" max="6809" width="4.69140625" style="23" customWidth="1"/>
    <col min="6810" max="6810" width="0" style="23" hidden="1" customWidth="1"/>
    <col min="6811" max="6812" width="4.53515625" style="23" customWidth="1"/>
    <col min="6813" max="6813" width="0" style="23" hidden="1" customWidth="1"/>
    <col min="6814" max="6815" width="4.69140625" style="23" customWidth="1"/>
    <col min="6816" max="6816" width="0" style="23" hidden="1" customWidth="1"/>
    <col min="6817" max="6818" width="4.53515625" style="23" customWidth="1"/>
    <col min="6819" max="6819" width="0" style="23" hidden="1" customWidth="1"/>
    <col min="6820" max="6820" width="4.53515625" style="23" customWidth="1"/>
    <col min="6821" max="6821" width="4.69140625" style="23" customWidth="1"/>
    <col min="6822" max="6822" width="0" style="23" hidden="1" customWidth="1"/>
    <col min="6823" max="6823" width="5.15234375" style="23" customWidth="1"/>
    <col min="6824" max="6824" width="4.53515625" style="23" customWidth="1"/>
    <col min="6825" max="6825" width="0" style="23" hidden="1" customWidth="1"/>
    <col min="6826" max="6826" width="5" style="23" customWidth="1"/>
    <col min="6827" max="6827" width="4.84375" style="23" customWidth="1"/>
    <col min="6828" max="6828" width="0" style="23" hidden="1" customWidth="1"/>
    <col min="6829" max="6830" width="4.53515625" style="23" customWidth="1"/>
    <col min="6831" max="6831" width="0" style="23" hidden="1" customWidth="1"/>
    <col min="6832" max="6832" width="4.53515625" style="23" customWidth="1"/>
    <col min="6833" max="6833" width="4.69140625" style="23" customWidth="1"/>
    <col min="6834" max="6834" width="0" style="23" hidden="1" customWidth="1"/>
    <col min="6835" max="6836" width="4.3828125" style="23" customWidth="1"/>
    <col min="6837" max="6837" width="0" style="23" hidden="1" customWidth="1"/>
    <col min="6838" max="6839" width="4.3828125" style="23" customWidth="1"/>
    <col min="6840" max="6840" width="0" style="23" hidden="1" customWidth="1"/>
    <col min="6841" max="6842" width="4.3828125" style="23" customWidth="1"/>
    <col min="6843" max="6843" width="0" style="23" hidden="1" customWidth="1"/>
    <col min="6844" max="6844" width="4.3828125" style="23" customWidth="1"/>
    <col min="6845" max="6845" width="4.3046875" style="23" customWidth="1"/>
    <col min="6846" max="6846" width="0" style="23" hidden="1" customWidth="1"/>
    <col min="6847" max="6848" width="4.3828125" style="23" customWidth="1"/>
    <col min="6849" max="6849" width="0" style="23" hidden="1" customWidth="1"/>
    <col min="6850" max="6851" width="4.3828125" style="23" customWidth="1"/>
    <col min="6852" max="6852" width="0" style="23" hidden="1" customWidth="1"/>
    <col min="6853" max="6854" width="4.3828125" style="23" customWidth="1"/>
    <col min="6855" max="6855" width="0" style="23" hidden="1" customWidth="1"/>
    <col min="6856" max="6857" width="4.3828125" style="23" customWidth="1"/>
    <col min="6858" max="6912" width="10.3046875" style="23"/>
    <col min="6913" max="6913" width="3.84375" style="23" customWidth="1"/>
    <col min="6914" max="6914" width="32.69140625" style="23" customWidth="1"/>
    <col min="6915" max="6991" width="3.84375" style="23" customWidth="1"/>
    <col min="6992" max="6993" width="0" style="23" hidden="1" customWidth="1"/>
    <col min="6994" max="6994" width="3.84375" style="23" customWidth="1"/>
    <col min="6995" max="6996" width="0" style="23" hidden="1" customWidth="1"/>
    <col min="6997" max="6997" width="3.84375" style="23" customWidth="1"/>
    <col min="6998" max="6999" width="0" style="23" hidden="1" customWidth="1"/>
    <col min="7000" max="7000" width="3.84375" style="23" customWidth="1"/>
    <col min="7001" max="7002" width="0" style="23" hidden="1" customWidth="1"/>
    <col min="7003" max="7003" width="3.84375" style="23" customWidth="1"/>
    <col min="7004" max="7005" width="0" style="23" hidden="1" customWidth="1"/>
    <col min="7006" max="7006" width="3.84375" style="23" customWidth="1"/>
    <col min="7007" max="7008" width="0" style="23" hidden="1" customWidth="1"/>
    <col min="7009" max="7009" width="3.84375" style="23" customWidth="1"/>
    <col min="7010" max="7011" width="0" style="23" hidden="1" customWidth="1"/>
    <col min="7012" max="7012" width="3.84375" style="23" customWidth="1"/>
    <col min="7013" max="7014" width="0" style="23" hidden="1" customWidth="1"/>
    <col min="7015" max="7015" width="3.84375" style="23" customWidth="1"/>
    <col min="7016" max="7017" width="0" style="23" hidden="1" customWidth="1"/>
    <col min="7018" max="7018" width="3.84375" style="23" customWidth="1"/>
    <col min="7019" max="7020" width="0" style="23" hidden="1" customWidth="1"/>
    <col min="7021" max="7021" width="3.84375" style="23" customWidth="1"/>
    <col min="7022" max="7023" width="0" style="23" hidden="1" customWidth="1"/>
    <col min="7024" max="7024" width="3.84375" style="23" customWidth="1"/>
    <col min="7025" max="7026" width="0" style="23" hidden="1" customWidth="1"/>
    <col min="7027" max="7027" width="3.84375" style="23" customWidth="1"/>
    <col min="7028" max="7029" width="0" style="23" hidden="1" customWidth="1"/>
    <col min="7030" max="7030" width="3.84375" style="23" customWidth="1"/>
    <col min="7031" max="7032" width="0" style="23" hidden="1" customWidth="1"/>
    <col min="7033" max="7033" width="3.84375" style="23" customWidth="1"/>
    <col min="7034" max="7035" width="0" style="23" hidden="1" customWidth="1"/>
    <col min="7036" max="7036" width="3.84375" style="23" customWidth="1"/>
    <col min="7037" max="7038" width="0" style="23" hidden="1" customWidth="1"/>
    <col min="7039" max="7039" width="3.84375" style="23" customWidth="1"/>
    <col min="7040" max="7041" width="0" style="23" hidden="1" customWidth="1"/>
    <col min="7042" max="7043" width="3.84375" style="23" customWidth="1"/>
    <col min="7044" max="7044" width="3.69140625" style="23" customWidth="1"/>
    <col min="7045" max="7045" width="0" style="23" hidden="1" customWidth="1"/>
    <col min="7046" max="7046" width="3.84375" style="23" customWidth="1"/>
    <col min="7047" max="7047" width="4.15234375" style="23" bestFit="1" customWidth="1"/>
    <col min="7048" max="7048" width="0" style="23" hidden="1" customWidth="1"/>
    <col min="7049" max="7050" width="4.15234375" style="23" bestFit="1" customWidth="1"/>
    <col min="7051" max="7051" width="0" style="23" hidden="1" customWidth="1"/>
    <col min="7052" max="7053" width="4.3046875" style="23" customWidth="1"/>
    <col min="7054" max="7054" width="0" style="23" hidden="1" customWidth="1"/>
    <col min="7055" max="7055" width="4.69140625" style="23" bestFit="1" customWidth="1"/>
    <col min="7056" max="7056" width="4.15234375" style="23" customWidth="1"/>
    <col min="7057" max="7057" width="0" style="23" hidden="1" customWidth="1"/>
    <col min="7058" max="7059" width="4.15234375" style="23" customWidth="1"/>
    <col min="7060" max="7060" width="0" style="23" hidden="1" customWidth="1"/>
    <col min="7061" max="7061" width="4.53515625" style="23" customWidth="1"/>
    <col min="7062" max="7062" width="4.69140625" style="23" customWidth="1"/>
    <col min="7063" max="7063" width="0" style="23" hidden="1" customWidth="1"/>
    <col min="7064" max="7064" width="4.53515625" style="23" customWidth="1"/>
    <col min="7065" max="7065" width="4.69140625" style="23" customWidth="1"/>
    <col min="7066" max="7066" width="0" style="23" hidden="1" customWidth="1"/>
    <col min="7067" max="7068" width="4.53515625" style="23" customWidth="1"/>
    <col min="7069" max="7069" width="0" style="23" hidden="1" customWidth="1"/>
    <col min="7070" max="7071" width="4.69140625" style="23" customWidth="1"/>
    <col min="7072" max="7072" width="0" style="23" hidden="1" customWidth="1"/>
    <col min="7073" max="7074" width="4.53515625" style="23" customWidth="1"/>
    <col min="7075" max="7075" width="0" style="23" hidden="1" customWidth="1"/>
    <col min="7076" max="7076" width="4.53515625" style="23" customWidth="1"/>
    <col min="7077" max="7077" width="4.69140625" style="23" customWidth="1"/>
    <col min="7078" max="7078" width="0" style="23" hidden="1" customWidth="1"/>
    <col min="7079" max="7079" width="5.15234375" style="23" customWidth="1"/>
    <col min="7080" max="7080" width="4.53515625" style="23" customWidth="1"/>
    <col min="7081" max="7081" width="0" style="23" hidden="1" customWidth="1"/>
    <col min="7082" max="7082" width="5" style="23" customWidth="1"/>
    <col min="7083" max="7083" width="4.84375" style="23" customWidth="1"/>
    <col min="7084" max="7084" width="0" style="23" hidden="1" customWidth="1"/>
    <col min="7085" max="7086" width="4.53515625" style="23" customWidth="1"/>
    <col min="7087" max="7087" width="0" style="23" hidden="1" customWidth="1"/>
    <col min="7088" max="7088" width="4.53515625" style="23" customWidth="1"/>
    <col min="7089" max="7089" width="4.69140625" style="23" customWidth="1"/>
    <col min="7090" max="7090" width="0" style="23" hidden="1" customWidth="1"/>
    <col min="7091" max="7092" width="4.3828125" style="23" customWidth="1"/>
    <col min="7093" max="7093" width="0" style="23" hidden="1" customWidth="1"/>
    <col min="7094" max="7095" width="4.3828125" style="23" customWidth="1"/>
    <col min="7096" max="7096" width="0" style="23" hidden="1" customWidth="1"/>
    <col min="7097" max="7098" width="4.3828125" style="23" customWidth="1"/>
    <col min="7099" max="7099" width="0" style="23" hidden="1" customWidth="1"/>
    <col min="7100" max="7100" width="4.3828125" style="23" customWidth="1"/>
    <col min="7101" max="7101" width="4.3046875" style="23" customWidth="1"/>
    <col min="7102" max="7102" width="0" style="23" hidden="1" customWidth="1"/>
    <col min="7103" max="7104" width="4.3828125" style="23" customWidth="1"/>
    <col min="7105" max="7105" width="0" style="23" hidden="1" customWidth="1"/>
    <col min="7106" max="7107" width="4.3828125" style="23" customWidth="1"/>
    <col min="7108" max="7108" width="0" style="23" hidden="1" customWidth="1"/>
    <col min="7109" max="7110" width="4.3828125" style="23" customWidth="1"/>
    <col min="7111" max="7111" width="0" style="23" hidden="1" customWidth="1"/>
    <col min="7112" max="7113" width="4.3828125" style="23" customWidth="1"/>
    <col min="7114" max="7168" width="10.3046875" style="23"/>
    <col min="7169" max="7169" width="3.84375" style="23" customWidth="1"/>
    <col min="7170" max="7170" width="32.69140625" style="23" customWidth="1"/>
    <col min="7171" max="7247" width="3.84375" style="23" customWidth="1"/>
    <col min="7248" max="7249" width="0" style="23" hidden="1" customWidth="1"/>
    <col min="7250" max="7250" width="3.84375" style="23" customWidth="1"/>
    <col min="7251" max="7252" width="0" style="23" hidden="1" customWidth="1"/>
    <col min="7253" max="7253" width="3.84375" style="23" customWidth="1"/>
    <col min="7254" max="7255" width="0" style="23" hidden="1" customWidth="1"/>
    <col min="7256" max="7256" width="3.84375" style="23" customWidth="1"/>
    <col min="7257" max="7258" width="0" style="23" hidden="1" customWidth="1"/>
    <col min="7259" max="7259" width="3.84375" style="23" customWidth="1"/>
    <col min="7260" max="7261" width="0" style="23" hidden="1" customWidth="1"/>
    <col min="7262" max="7262" width="3.84375" style="23" customWidth="1"/>
    <col min="7263" max="7264" width="0" style="23" hidden="1" customWidth="1"/>
    <col min="7265" max="7265" width="3.84375" style="23" customWidth="1"/>
    <col min="7266" max="7267" width="0" style="23" hidden="1" customWidth="1"/>
    <col min="7268" max="7268" width="3.84375" style="23" customWidth="1"/>
    <col min="7269" max="7270" width="0" style="23" hidden="1" customWidth="1"/>
    <col min="7271" max="7271" width="3.84375" style="23" customWidth="1"/>
    <col min="7272" max="7273" width="0" style="23" hidden="1" customWidth="1"/>
    <col min="7274" max="7274" width="3.84375" style="23" customWidth="1"/>
    <col min="7275" max="7276" width="0" style="23" hidden="1" customWidth="1"/>
    <col min="7277" max="7277" width="3.84375" style="23" customWidth="1"/>
    <col min="7278" max="7279" width="0" style="23" hidden="1" customWidth="1"/>
    <col min="7280" max="7280" width="3.84375" style="23" customWidth="1"/>
    <col min="7281" max="7282" width="0" style="23" hidden="1" customWidth="1"/>
    <col min="7283" max="7283" width="3.84375" style="23" customWidth="1"/>
    <col min="7284" max="7285" width="0" style="23" hidden="1" customWidth="1"/>
    <col min="7286" max="7286" width="3.84375" style="23" customWidth="1"/>
    <col min="7287" max="7288" width="0" style="23" hidden="1" customWidth="1"/>
    <col min="7289" max="7289" width="3.84375" style="23" customWidth="1"/>
    <col min="7290" max="7291" width="0" style="23" hidden="1" customWidth="1"/>
    <col min="7292" max="7292" width="3.84375" style="23" customWidth="1"/>
    <col min="7293" max="7294" width="0" style="23" hidden="1" customWidth="1"/>
    <col min="7295" max="7295" width="3.84375" style="23" customWidth="1"/>
    <col min="7296" max="7297" width="0" style="23" hidden="1" customWidth="1"/>
    <col min="7298" max="7299" width="3.84375" style="23" customWidth="1"/>
    <col min="7300" max="7300" width="3.69140625" style="23" customWidth="1"/>
    <col min="7301" max="7301" width="0" style="23" hidden="1" customWidth="1"/>
    <col min="7302" max="7302" width="3.84375" style="23" customWidth="1"/>
    <col min="7303" max="7303" width="4.15234375" style="23" bestFit="1" customWidth="1"/>
    <col min="7304" max="7304" width="0" style="23" hidden="1" customWidth="1"/>
    <col min="7305" max="7306" width="4.15234375" style="23" bestFit="1" customWidth="1"/>
    <col min="7307" max="7307" width="0" style="23" hidden="1" customWidth="1"/>
    <col min="7308" max="7309" width="4.3046875" style="23" customWidth="1"/>
    <col min="7310" max="7310" width="0" style="23" hidden="1" customWidth="1"/>
    <col min="7311" max="7311" width="4.69140625" style="23" bestFit="1" customWidth="1"/>
    <col min="7312" max="7312" width="4.15234375" style="23" customWidth="1"/>
    <col min="7313" max="7313" width="0" style="23" hidden="1" customWidth="1"/>
    <col min="7314" max="7315" width="4.15234375" style="23" customWidth="1"/>
    <col min="7316" max="7316" width="0" style="23" hidden="1" customWidth="1"/>
    <col min="7317" max="7317" width="4.53515625" style="23" customWidth="1"/>
    <col min="7318" max="7318" width="4.69140625" style="23" customWidth="1"/>
    <col min="7319" max="7319" width="0" style="23" hidden="1" customWidth="1"/>
    <col min="7320" max="7320" width="4.53515625" style="23" customWidth="1"/>
    <col min="7321" max="7321" width="4.69140625" style="23" customWidth="1"/>
    <col min="7322" max="7322" width="0" style="23" hidden="1" customWidth="1"/>
    <col min="7323" max="7324" width="4.53515625" style="23" customWidth="1"/>
    <col min="7325" max="7325" width="0" style="23" hidden="1" customWidth="1"/>
    <col min="7326" max="7327" width="4.69140625" style="23" customWidth="1"/>
    <col min="7328" max="7328" width="0" style="23" hidden="1" customWidth="1"/>
    <col min="7329" max="7330" width="4.53515625" style="23" customWidth="1"/>
    <col min="7331" max="7331" width="0" style="23" hidden="1" customWidth="1"/>
    <col min="7332" max="7332" width="4.53515625" style="23" customWidth="1"/>
    <col min="7333" max="7333" width="4.69140625" style="23" customWidth="1"/>
    <col min="7334" max="7334" width="0" style="23" hidden="1" customWidth="1"/>
    <col min="7335" max="7335" width="5.15234375" style="23" customWidth="1"/>
    <col min="7336" max="7336" width="4.53515625" style="23" customWidth="1"/>
    <col min="7337" max="7337" width="0" style="23" hidden="1" customWidth="1"/>
    <col min="7338" max="7338" width="5" style="23" customWidth="1"/>
    <col min="7339" max="7339" width="4.84375" style="23" customWidth="1"/>
    <col min="7340" max="7340" width="0" style="23" hidden="1" customWidth="1"/>
    <col min="7341" max="7342" width="4.53515625" style="23" customWidth="1"/>
    <col min="7343" max="7343" width="0" style="23" hidden="1" customWidth="1"/>
    <col min="7344" max="7344" width="4.53515625" style="23" customWidth="1"/>
    <col min="7345" max="7345" width="4.69140625" style="23" customWidth="1"/>
    <col min="7346" max="7346" width="0" style="23" hidden="1" customWidth="1"/>
    <col min="7347" max="7348" width="4.3828125" style="23" customWidth="1"/>
    <col min="7349" max="7349" width="0" style="23" hidden="1" customWidth="1"/>
    <col min="7350" max="7351" width="4.3828125" style="23" customWidth="1"/>
    <col min="7352" max="7352" width="0" style="23" hidden="1" customWidth="1"/>
    <col min="7353" max="7354" width="4.3828125" style="23" customWidth="1"/>
    <col min="7355" max="7355" width="0" style="23" hidden="1" customWidth="1"/>
    <col min="7356" max="7356" width="4.3828125" style="23" customWidth="1"/>
    <col min="7357" max="7357" width="4.3046875" style="23" customWidth="1"/>
    <col min="7358" max="7358" width="0" style="23" hidden="1" customWidth="1"/>
    <col min="7359" max="7360" width="4.3828125" style="23" customWidth="1"/>
    <col min="7361" max="7361" width="0" style="23" hidden="1" customWidth="1"/>
    <col min="7362" max="7363" width="4.3828125" style="23" customWidth="1"/>
    <col min="7364" max="7364" width="0" style="23" hidden="1" customWidth="1"/>
    <col min="7365" max="7366" width="4.3828125" style="23" customWidth="1"/>
    <col min="7367" max="7367" width="0" style="23" hidden="1" customWidth="1"/>
    <col min="7368" max="7369" width="4.3828125" style="23" customWidth="1"/>
    <col min="7370" max="7424" width="10.3046875" style="23"/>
    <col min="7425" max="7425" width="3.84375" style="23" customWidth="1"/>
    <col min="7426" max="7426" width="32.69140625" style="23" customWidth="1"/>
    <col min="7427" max="7503" width="3.84375" style="23" customWidth="1"/>
    <col min="7504" max="7505" width="0" style="23" hidden="1" customWidth="1"/>
    <col min="7506" max="7506" width="3.84375" style="23" customWidth="1"/>
    <col min="7507" max="7508" width="0" style="23" hidden="1" customWidth="1"/>
    <col min="7509" max="7509" width="3.84375" style="23" customWidth="1"/>
    <col min="7510" max="7511" width="0" style="23" hidden="1" customWidth="1"/>
    <col min="7512" max="7512" width="3.84375" style="23" customWidth="1"/>
    <col min="7513" max="7514" width="0" style="23" hidden="1" customWidth="1"/>
    <col min="7515" max="7515" width="3.84375" style="23" customWidth="1"/>
    <col min="7516" max="7517" width="0" style="23" hidden="1" customWidth="1"/>
    <col min="7518" max="7518" width="3.84375" style="23" customWidth="1"/>
    <col min="7519" max="7520" width="0" style="23" hidden="1" customWidth="1"/>
    <col min="7521" max="7521" width="3.84375" style="23" customWidth="1"/>
    <col min="7522" max="7523" width="0" style="23" hidden="1" customWidth="1"/>
    <col min="7524" max="7524" width="3.84375" style="23" customWidth="1"/>
    <col min="7525" max="7526" width="0" style="23" hidden="1" customWidth="1"/>
    <col min="7527" max="7527" width="3.84375" style="23" customWidth="1"/>
    <col min="7528" max="7529" width="0" style="23" hidden="1" customWidth="1"/>
    <col min="7530" max="7530" width="3.84375" style="23" customWidth="1"/>
    <col min="7531" max="7532" width="0" style="23" hidden="1" customWidth="1"/>
    <col min="7533" max="7533" width="3.84375" style="23" customWidth="1"/>
    <col min="7534" max="7535" width="0" style="23" hidden="1" customWidth="1"/>
    <col min="7536" max="7536" width="3.84375" style="23" customWidth="1"/>
    <col min="7537" max="7538" width="0" style="23" hidden="1" customWidth="1"/>
    <col min="7539" max="7539" width="3.84375" style="23" customWidth="1"/>
    <col min="7540" max="7541" width="0" style="23" hidden="1" customWidth="1"/>
    <col min="7542" max="7542" width="3.84375" style="23" customWidth="1"/>
    <col min="7543" max="7544" width="0" style="23" hidden="1" customWidth="1"/>
    <col min="7545" max="7545" width="3.84375" style="23" customWidth="1"/>
    <col min="7546" max="7547" width="0" style="23" hidden="1" customWidth="1"/>
    <col min="7548" max="7548" width="3.84375" style="23" customWidth="1"/>
    <col min="7549" max="7550" width="0" style="23" hidden="1" customWidth="1"/>
    <col min="7551" max="7551" width="3.84375" style="23" customWidth="1"/>
    <col min="7552" max="7553" width="0" style="23" hidden="1" customWidth="1"/>
    <col min="7554" max="7555" width="3.84375" style="23" customWidth="1"/>
    <col min="7556" max="7556" width="3.69140625" style="23" customWidth="1"/>
    <col min="7557" max="7557" width="0" style="23" hidden="1" customWidth="1"/>
    <col min="7558" max="7558" width="3.84375" style="23" customWidth="1"/>
    <col min="7559" max="7559" width="4.15234375" style="23" bestFit="1" customWidth="1"/>
    <col min="7560" max="7560" width="0" style="23" hidden="1" customWidth="1"/>
    <col min="7561" max="7562" width="4.15234375" style="23" bestFit="1" customWidth="1"/>
    <col min="7563" max="7563" width="0" style="23" hidden="1" customWidth="1"/>
    <col min="7564" max="7565" width="4.3046875" style="23" customWidth="1"/>
    <col min="7566" max="7566" width="0" style="23" hidden="1" customWidth="1"/>
    <col min="7567" max="7567" width="4.69140625" style="23" bestFit="1" customWidth="1"/>
    <col min="7568" max="7568" width="4.15234375" style="23" customWidth="1"/>
    <col min="7569" max="7569" width="0" style="23" hidden="1" customWidth="1"/>
    <col min="7570" max="7571" width="4.15234375" style="23" customWidth="1"/>
    <col min="7572" max="7572" width="0" style="23" hidden="1" customWidth="1"/>
    <col min="7573" max="7573" width="4.53515625" style="23" customWidth="1"/>
    <col min="7574" max="7574" width="4.69140625" style="23" customWidth="1"/>
    <col min="7575" max="7575" width="0" style="23" hidden="1" customWidth="1"/>
    <col min="7576" max="7576" width="4.53515625" style="23" customWidth="1"/>
    <col min="7577" max="7577" width="4.69140625" style="23" customWidth="1"/>
    <col min="7578" max="7578" width="0" style="23" hidden="1" customWidth="1"/>
    <col min="7579" max="7580" width="4.53515625" style="23" customWidth="1"/>
    <col min="7581" max="7581" width="0" style="23" hidden="1" customWidth="1"/>
    <col min="7582" max="7583" width="4.69140625" style="23" customWidth="1"/>
    <col min="7584" max="7584" width="0" style="23" hidden="1" customWidth="1"/>
    <col min="7585" max="7586" width="4.53515625" style="23" customWidth="1"/>
    <col min="7587" max="7587" width="0" style="23" hidden="1" customWidth="1"/>
    <col min="7588" max="7588" width="4.53515625" style="23" customWidth="1"/>
    <col min="7589" max="7589" width="4.69140625" style="23" customWidth="1"/>
    <col min="7590" max="7590" width="0" style="23" hidden="1" customWidth="1"/>
    <col min="7591" max="7591" width="5.15234375" style="23" customWidth="1"/>
    <col min="7592" max="7592" width="4.53515625" style="23" customWidth="1"/>
    <col min="7593" max="7593" width="0" style="23" hidden="1" customWidth="1"/>
    <col min="7594" max="7594" width="5" style="23" customWidth="1"/>
    <col min="7595" max="7595" width="4.84375" style="23" customWidth="1"/>
    <col min="7596" max="7596" width="0" style="23" hidden="1" customWidth="1"/>
    <col min="7597" max="7598" width="4.53515625" style="23" customWidth="1"/>
    <col min="7599" max="7599" width="0" style="23" hidden="1" customWidth="1"/>
    <col min="7600" max="7600" width="4.53515625" style="23" customWidth="1"/>
    <col min="7601" max="7601" width="4.69140625" style="23" customWidth="1"/>
    <col min="7602" max="7602" width="0" style="23" hidden="1" customWidth="1"/>
    <col min="7603" max="7604" width="4.3828125" style="23" customWidth="1"/>
    <col min="7605" max="7605" width="0" style="23" hidden="1" customWidth="1"/>
    <col min="7606" max="7607" width="4.3828125" style="23" customWidth="1"/>
    <col min="7608" max="7608" width="0" style="23" hidden="1" customWidth="1"/>
    <col min="7609" max="7610" width="4.3828125" style="23" customWidth="1"/>
    <col min="7611" max="7611" width="0" style="23" hidden="1" customWidth="1"/>
    <col min="7612" max="7612" width="4.3828125" style="23" customWidth="1"/>
    <col min="7613" max="7613" width="4.3046875" style="23" customWidth="1"/>
    <col min="7614" max="7614" width="0" style="23" hidden="1" customWidth="1"/>
    <col min="7615" max="7616" width="4.3828125" style="23" customWidth="1"/>
    <col min="7617" max="7617" width="0" style="23" hidden="1" customWidth="1"/>
    <col min="7618" max="7619" width="4.3828125" style="23" customWidth="1"/>
    <col min="7620" max="7620" width="0" style="23" hidden="1" customWidth="1"/>
    <col min="7621" max="7622" width="4.3828125" style="23" customWidth="1"/>
    <col min="7623" max="7623" width="0" style="23" hidden="1" customWidth="1"/>
    <col min="7624" max="7625" width="4.3828125" style="23" customWidth="1"/>
    <col min="7626" max="7680" width="10.3046875" style="23"/>
    <col min="7681" max="7681" width="3.84375" style="23" customWidth="1"/>
    <col min="7682" max="7682" width="32.69140625" style="23" customWidth="1"/>
    <col min="7683" max="7759" width="3.84375" style="23" customWidth="1"/>
    <col min="7760" max="7761" width="0" style="23" hidden="1" customWidth="1"/>
    <col min="7762" max="7762" width="3.84375" style="23" customWidth="1"/>
    <col min="7763" max="7764" width="0" style="23" hidden="1" customWidth="1"/>
    <col min="7765" max="7765" width="3.84375" style="23" customWidth="1"/>
    <col min="7766" max="7767" width="0" style="23" hidden="1" customWidth="1"/>
    <col min="7768" max="7768" width="3.84375" style="23" customWidth="1"/>
    <col min="7769" max="7770" width="0" style="23" hidden="1" customWidth="1"/>
    <col min="7771" max="7771" width="3.84375" style="23" customWidth="1"/>
    <col min="7772" max="7773" width="0" style="23" hidden="1" customWidth="1"/>
    <col min="7774" max="7774" width="3.84375" style="23" customWidth="1"/>
    <col min="7775" max="7776" width="0" style="23" hidden="1" customWidth="1"/>
    <col min="7777" max="7777" width="3.84375" style="23" customWidth="1"/>
    <col min="7778" max="7779" width="0" style="23" hidden="1" customWidth="1"/>
    <col min="7780" max="7780" width="3.84375" style="23" customWidth="1"/>
    <col min="7781" max="7782" width="0" style="23" hidden="1" customWidth="1"/>
    <col min="7783" max="7783" width="3.84375" style="23" customWidth="1"/>
    <col min="7784" max="7785" width="0" style="23" hidden="1" customWidth="1"/>
    <col min="7786" max="7786" width="3.84375" style="23" customWidth="1"/>
    <col min="7787" max="7788" width="0" style="23" hidden="1" customWidth="1"/>
    <col min="7789" max="7789" width="3.84375" style="23" customWidth="1"/>
    <col min="7790" max="7791" width="0" style="23" hidden="1" customWidth="1"/>
    <col min="7792" max="7792" width="3.84375" style="23" customWidth="1"/>
    <col min="7793" max="7794" width="0" style="23" hidden="1" customWidth="1"/>
    <col min="7795" max="7795" width="3.84375" style="23" customWidth="1"/>
    <col min="7796" max="7797" width="0" style="23" hidden="1" customWidth="1"/>
    <col min="7798" max="7798" width="3.84375" style="23" customWidth="1"/>
    <col min="7799" max="7800" width="0" style="23" hidden="1" customWidth="1"/>
    <col min="7801" max="7801" width="3.84375" style="23" customWidth="1"/>
    <col min="7802" max="7803" width="0" style="23" hidden="1" customWidth="1"/>
    <col min="7804" max="7804" width="3.84375" style="23" customWidth="1"/>
    <col min="7805" max="7806" width="0" style="23" hidden="1" customWidth="1"/>
    <col min="7807" max="7807" width="3.84375" style="23" customWidth="1"/>
    <col min="7808" max="7809" width="0" style="23" hidden="1" customWidth="1"/>
    <col min="7810" max="7811" width="3.84375" style="23" customWidth="1"/>
    <col min="7812" max="7812" width="3.69140625" style="23" customWidth="1"/>
    <col min="7813" max="7813" width="0" style="23" hidden="1" customWidth="1"/>
    <col min="7814" max="7814" width="3.84375" style="23" customWidth="1"/>
    <col min="7815" max="7815" width="4.15234375" style="23" bestFit="1" customWidth="1"/>
    <col min="7816" max="7816" width="0" style="23" hidden="1" customWidth="1"/>
    <col min="7817" max="7818" width="4.15234375" style="23" bestFit="1" customWidth="1"/>
    <col min="7819" max="7819" width="0" style="23" hidden="1" customWidth="1"/>
    <col min="7820" max="7821" width="4.3046875" style="23" customWidth="1"/>
    <col min="7822" max="7822" width="0" style="23" hidden="1" customWidth="1"/>
    <col min="7823" max="7823" width="4.69140625" style="23" bestFit="1" customWidth="1"/>
    <col min="7824" max="7824" width="4.15234375" style="23" customWidth="1"/>
    <col min="7825" max="7825" width="0" style="23" hidden="1" customWidth="1"/>
    <col min="7826" max="7827" width="4.15234375" style="23" customWidth="1"/>
    <col min="7828" max="7828" width="0" style="23" hidden="1" customWidth="1"/>
    <col min="7829" max="7829" width="4.53515625" style="23" customWidth="1"/>
    <col min="7830" max="7830" width="4.69140625" style="23" customWidth="1"/>
    <col min="7831" max="7831" width="0" style="23" hidden="1" customWidth="1"/>
    <col min="7832" max="7832" width="4.53515625" style="23" customWidth="1"/>
    <col min="7833" max="7833" width="4.69140625" style="23" customWidth="1"/>
    <col min="7834" max="7834" width="0" style="23" hidden="1" customWidth="1"/>
    <col min="7835" max="7836" width="4.53515625" style="23" customWidth="1"/>
    <col min="7837" max="7837" width="0" style="23" hidden="1" customWidth="1"/>
    <col min="7838" max="7839" width="4.69140625" style="23" customWidth="1"/>
    <col min="7840" max="7840" width="0" style="23" hidden="1" customWidth="1"/>
    <col min="7841" max="7842" width="4.53515625" style="23" customWidth="1"/>
    <col min="7843" max="7843" width="0" style="23" hidden="1" customWidth="1"/>
    <col min="7844" max="7844" width="4.53515625" style="23" customWidth="1"/>
    <col min="7845" max="7845" width="4.69140625" style="23" customWidth="1"/>
    <col min="7846" max="7846" width="0" style="23" hidden="1" customWidth="1"/>
    <col min="7847" max="7847" width="5.15234375" style="23" customWidth="1"/>
    <col min="7848" max="7848" width="4.53515625" style="23" customWidth="1"/>
    <col min="7849" max="7849" width="0" style="23" hidden="1" customWidth="1"/>
    <col min="7850" max="7850" width="5" style="23" customWidth="1"/>
    <col min="7851" max="7851" width="4.84375" style="23" customWidth="1"/>
    <col min="7852" max="7852" width="0" style="23" hidden="1" customWidth="1"/>
    <col min="7853" max="7854" width="4.53515625" style="23" customWidth="1"/>
    <col min="7855" max="7855" width="0" style="23" hidden="1" customWidth="1"/>
    <col min="7856" max="7856" width="4.53515625" style="23" customWidth="1"/>
    <col min="7857" max="7857" width="4.69140625" style="23" customWidth="1"/>
    <col min="7858" max="7858" width="0" style="23" hidden="1" customWidth="1"/>
    <col min="7859" max="7860" width="4.3828125" style="23" customWidth="1"/>
    <col min="7861" max="7861" width="0" style="23" hidden="1" customWidth="1"/>
    <col min="7862" max="7863" width="4.3828125" style="23" customWidth="1"/>
    <col min="7864" max="7864" width="0" style="23" hidden="1" customWidth="1"/>
    <col min="7865" max="7866" width="4.3828125" style="23" customWidth="1"/>
    <col min="7867" max="7867" width="0" style="23" hidden="1" customWidth="1"/>
    <col min="7868" max="7868" width="4.3828125" style="23" customWidth="1"/>
    <col min="7869" max="7869" width="4.3046875" style="23" customWidth="1"/>
    <col min="7870" max="7870" width="0" style="23" hidden="1" customWidth="1"/>
    <col min="7871" max="7872" width="4.3828125" style="23" customWidth="1"/>
    <col min="7873" max="7873" width="0" style="23" hidden="1" customWidth="1"/>
    <col min="7874" max="7875" width="4.3828125" style="23" customWidth="1"/>
    <col min="7876" max="7876" width="0" style="23" hidden="1" customWidth="1"/>
    <col min="7877" max="7878" width="4.3828125" style="23" customWidth="1"/>
    <col min="7879" max="7879" width="0" style="23" hidden="1" customWidth="1"/>
    <col min="7880" max="7881" width="4.3828125" style="23" customWidth="1"/>
    <col min="7882" max="7936" width="10.3046875" style="23"/>
    <col min="7937" max="7937" width="3.84375" style="23" customWidth="1"/>
    <col min="7938" max="7938" width="32.69140625" style="23" customWidth="1"/>
    <col min="7939" max="8015" width="3.84375" style="23" customWidth="1"/>
    <col min="8016" max="8017" width="0" style="23" hidden="1" customWidth="1"/>
    <col min="8018" max="8018" width="3.84375" style="23" customWidth="1"/>
    <col min="8019" max="8020" width="0" style="23" hidden="1" customWidth="1"/>
    <col min="8021" max="8021" width="3.84375" style="23" customWidth="1"/>
    <col min="8022" max="8023" width="0" style="23" hidden="1" customWidth="1"/>
    <col min="8024" max="8024" width="3.84375" style="23" customWidth="1"/>
    <col min="8025" max="8026" width="0" style="23" hidden="1" customWidth="1"/>
    <col min="8027" max="8027" width="3.84375" style="23" customWidth="1"/>
    <col min="8028" max="8029" width="0" style="23" hidden="1" customWidth="1"/>
    <col min="8030" max="8030" width="3.84375" style="23" customWidth="1"/>
    <col min="8031" max="8032" width="0" style="23" hidden="1" customWidth="1"/>
    <col min="8033" max="8033" width="3.84375" style="23" customWidth="1"/>
    <col min="8034" max="8035" width="0" style="23" hidden="1" customWidth="1"/>
    <col min="8036" max="8036" width="3.84375" style="23" customWidth="1"/>
    <col min="8037" max="8038" width="0" style="23" hidden="1" customWidth="1"/>
    <col min="8039" max="8039" width="3.84375" style="23" customWidth="1"/>
    <col min="8040" max="8041" width="0" style="23" hidden="1" customWidth="1"/>
    <col min="8042" max="8042" width="3.84375" style="23" customWidth="1"/>
    <col min="8043" max="8044" width="0" style="23" hidden="1" customWidth="1"/>
    <col min="8045" max="8045" width="3.84375" style="23" customWidth="1"/>
    <col min="8046" max="8047" width="0" style="23" hidden="1" customWidth="1"/>
    <col min="8048" max="8048" width="3.84375" style="23" customWidth="1"/>
    <col min="8049" max="8050" width="0" style="23" hidden="1" customWidth="1"/>
    <col min="8051" max="8051" width="3.84375" style="23" customWidth="1"/>
    <col min="8052" max="8053" width="0" style="23" hidden="1" customWidth="1"/>
    <col min="8054" max="8054" width="3.84375" style="23" customWidth="1"/>
    <col min="8055" max="8056" width="0" style="23" hidden="1" customWidth="1"/>
    <col min="8057" max="8057" width="3.84375" style="23" customWidth="1"/>
    <col min="8058" max="8059" width="0" style="23" hidden="1" customWidth="1"/>
    <col min="8060" max="8060" width="3.84375" style="23" customWidth="1"/>
    <col min="8061" max="8062" width="0" style="23" hidden="1" customWidth="1"/>
    <col min="8063" max="8063" width="3.84375" style="23" customWidth="1"/>
    <col min="8064" max="8065" width="0" style="23" hidden="1" customWidth="1"/>
    <col min="8066" max="8067" width="3.84375" style="23" customWidth="1"/>
    <col min="8068" max="8068" width="3.69140625" style="23" customWidth="1"/>
    <col min="8069" max="8069" width="0" style="23" hidden="1" customWidth="1"/>
    <col min="8070" max="8070" width="3.84375" style="23" customWidth="1"/>
    <col min="8071" max="8071" width="4.15234375" style="23" bestFit="1" customWidth="1"/>
    <col min="8072" max="8072" width="0" style="23" hidden="1" customWidth="1"/>
    <col min="8073" max="8074" width="4.15234375" style="23" bestFit="1" customWidth="1"/>
    <col min="8075" max="8075" width="0" style="23" hidden="1" customWidth="1"/>
    <col min="8076" max="8077" width="4.3046875" style="23" customWidth="1"/>
    <col min="8078" max="8078" width="0" style="23" hidden="1" customWidth="1"/>
    <col min="8079" max="8079" width="4.69140625" style="23" bestFit="1" customWidth="1"/>
    <col min="8080" max="8080" width="4.15234375" style="23" customWidth="1"/>
    <col min="8081" max="8081" width="0" style="23" hidden="1" customWidth="1"/>
    <col min="8082" max="8083" width="4.15234375" style="23" customWidth="1"/>
    <col min="8084" max="8084" width="0" style="23" hidden="1" customWidth="1"/>
    <col min="8085" max="8085" width="4.53515625" style="23" customWidth="1"/>
    <col min="8086" max="8086" width="4.69140625" style="23" customWidth="1"/>
    <col min="8087" max="8087" width="0" style="23" hidden="1" customWidth="1"/>
    <col min="8088" max="8088" width="4.53515625" style="23" customWidth="1"/>
    <col min="8089" max="8089" width="4.69140625" style="23" customWidth="1"/>
    <col min="8090" max="8090" width="0" style="23" hidden="1" customWidth="1"/>
    <col min="8091" max="8092" width="4.53515625" style="23" customWidth="1"/>
    <col min="8093" max="8093" width="0" style="23" hidden="1" customWidth="1"/>
    <col min="8094" max="8095" width="4.69140625" style="23" customWidth="1"/>
    <col min="8096" max="8096" width="0" style="23" hidden="1" customWidth="1"/>
    <col min="8097" max="8098" width="4.53515625" style="23" customWidth="1"/>
    <col min="8099" max="8099" width="0" style="23" hidden="1" customWidth="1"/>
    <col min="8100" max="8100" width="4.53515625" style="23" customWidth="1"/>
    <col min="8101" max="8101" width="4.69140625" style="23" customWidth="1"/>
    <col min="8102" max="8102" width="0" style="23" hidden="1" customWidth="1"/>
    <col min="8103" max="8103" width="5.15234375" style="23" customWidth="1"/>
    <col min="8104" max="8104" width="4.53515625" style="23" customWidth="1"/>
    <col min="8105" max="8105" width="0" style="23" hidden="1" customWidth="1"/>
    <col min="8106" max="8106" width="5" style="23" customWidth="1"/>
    <col min="8107" max="8107" width="4.84375" style="23" customWidth="1"/>
    <col min="8108" max="8108" width="0" style="23" hidden="1" customWidth="1"/>
    <col min="8109" max="8110" width="4.53515625" style="23" customWidth="1"/>
    <col min="8111" max="8111" width="0" style="23" hidden="1" customWidth="1"/>
    <col min="8112" max="8112" width="4.53515625" style="23" customWidth="1"/>
    <col min="8113" max="8113" width="4.69140625" style="23" customWidth="1"/>
    <col min="8114" max="8114" width="0" style="23" hidden="1" customWidth="1"/>
    <col min="8115" max="8116" width="4.3828125" style="23" customWidth="1"/>
    <col min="8117" max="8117" width="0" style="23" hidden="1" customWidth="1"/>
    <col min="8118" max="8119" width="4.3828125" style="23" customWidth="1"/>
    <col min="8120" max="8120" width="0" style="23" hidden="1" customWidth="1"/>
    <col min="8121" max="8122" width="4.3828125" style="23" customWidth="1"/>
    <col min="8123" max="8123" width="0" style="23" hidden="1" customWidth="1"/>
    <col min="8124" max="8124" width="4.3828125" style="23" customWidth="1"/>
    <col min="8125" max="8125" width="4.3046875" style="23" customWidth="1"/>
    <col min="8126" max="8126" width="0" style="23" hidden="1" customWidth="1"/>
    <col min="8127" max="8128" width="4.3828125" style="23" customWidth="1"/>
    <col min="8129" max="8129" width="0" style="23" hidden="1" customWidth="1"/>
    <col min="8130" max="8131" width="4.3828125" style="23" customWidth="1"/>
    <col min="8132" max="8132" width="0" style="23" hidden="1" customWidth="1"/>
    <col min="8133" max="8134" width="4.3828125" style="23" customWidth="1"/>
    <col min="8135" max="8135" width="0" style="23" hidden="1" customWidth="1"/>
    <col min="8136" max="8137" width="4.3828125" style="23" customWidth="1"/>
    <col min="8138" max="8192" width="10.3046875" style="23"/>
    <col min="8193" max="8193" width="3.84375" style="23" customWidth="1"/>
    <col min="8194" max="8194" width="32.69140625" style="23" customWidth="1"/>
    <col min="8195" max="8271" width="3.84375" style="23" customWidth="1"/>
    <col min="8272" max="8273" width="0" style="23" hidden="1" customWidth="1"/>
    <col min="8274" max="8274" width="3.84375" style="23" customWidth="1"/>
    <col min="8275" max="8276" width="0" style="23" hidden="1" customWidth="1"/>
    <col min="8277" max="8277" width="3.84375" style="23" customWidth="1"/>
    <col min="8278" max="8279" width="0" style="23" hidden="1" customWidth="1"/>
    <col min="8280" max="8280" width="3.84375" style="23" customWidth="1"/>
    <col min="8281" max="8282" width="0" style="23" hidden="1" customWidth="1"/>
    <col min="8283" max="8283" width="3.84375" style="23" customWidth="1"/>
    <col min="8284" max="8285" width="0" style="23" hidden="1" customWidth="1"/>
    <col min="8286" max="8286" width="3.84375" style="23" customWidth="1"/>
    <col min="8287" max="8288" width="0" style="23" hidden="1" customWidth="1"/>
    <col min="8289" max="8289" width="3.84375" style="23" customWidth="1"/>
    <col min="8290" max="8291" width="0" style="23" hidden="1" customWidth="1"/>
    <col min="8292" max="8292" width="3.84375" style="23" customWidth="1"/>
    <col min="8293" max="8294" width="0" style="23" hidden="1" customWidth="1"/>
    <col min="8295" max="8295" width="3.84375" style="23" customWidth="1"/>
    <col min="8296" max="8297" width="0" style="23" hidden="1" customWidth="1"/>
    <col min="8298" max="8298" width="3.84375" style="23" customWidth="1"/>
    <col min="8299" max="8300" width="0" style="23" hidden="1" customWidth="1"/>
    <col min="8301" max="8301" width="3.84375" style="23" customWidth="1"/>
    <col min="8302" max="8303" width="0" style="23" hidden="1" customWidth="1"/>
    <col min="8304" max="8304" width="3.84375" style="23" customWidth="1"/>
    <col min="8305" max="8306" width="0" style="23" hidden="1" customWidth="1"/>
    <col min="8307" max="8307" width="3.84375" style="23" customWidth="1"/>
    <col min="8308" max="8309" width="0" style="23" hidden="1" customWidth="1"/>
    <col min="8310" max="8310" width="3.84375" style="23" customWidth="1"/>
    <col min="8311" max="8312" width="0" style="23" hidden="1" customWidth="1"/>
    <col min="8313" max="8313" width="3.84375" style="23" customWidth="1"/>
    <col min="8314" max="8315" width="0" style="23" hidden="1" customWidth="1"/>
    <col min="8316" max="8316" width="3.84375" style="23" customWidth="1"/>
    <col min="8317" max="8318" width="0" style="23" hidden="1" customWidth="1"/>
    <col min="8319" max="8319" width="3.84375" style="23" customWidth="1"/>
    <col min="8320" max="8321" width="0" style="23" hidden="1" customWidth="1"/>
    <col min="8322" max="8323" width="3.84375" style="23" customWidth="1"/>
    <col min="8324" max="8324" width="3.69140625" style="23" customWidth="1"/>
    <col min="8325" max="8325" width="0" style="23" hidden="1" customWidth="1"/>
    <col min="8326" max="8326" width="3.84375" style="23" customWidth="1"/>
    <col min="8327" max="8327" width="4.15234375" style="23" bestFit="1" customWidth="1"/>
    <col min="8328" max="8328" width="0" style="23" hidden="1" customWidth="1"/>
    <col min="8329" max="8330" width="4.15234375" style="23" bestFit="1" customWidth="1"/>
    <col min="8331" max="8331" width="0" style="23" hidden="1" customWidth="1"/>
    <col min="8332" max="8333" width="4.3046875" style="23" customWidth="1"/>
    <col min="8334" max="8334" width="0" style="23" hidden="1" customWidth="1"/>
    <col min="8335" max="8335" width="4.69140625" style="23" bestFit="1" customWidth="1"/>
    <col min="8336" max="8336" width="4.15234375" style="23" customWidth="1"/>
    <col min="8337" max="8337" width="0" style="23" hidden="1" customWidth="1"/>
    <col min="8338" max="8339" width="4.15234375" style="23" customWidth="1"/>
    <col min="8340" max="8340" width="0" style="23" hidden="1" customWidth="1"/>
    <col min="8341" max="8341" width="4.53515625" style="23" customWidth="1"/>
    <col min="8342" max="8342" width="4.69140625" style="23" customWidth="1"/>
    <col min="8343" max="8343" width="0" style="23" hidden="1" customWidth="1"/>
    <col min="8344" max="8344" width="4.53515625" style="23" customWidth="1"/>
    <col min="8345" max="8345" width="4.69140625" style="23" customWidth="1"/>
    <col min="8346" max="8346" width="0" style="23" hidden="1" customWidth="1"/>
    <col min="8347" max="8348" width="4.53515625" style="23" customWidth="1"/>
    <col min="8349" max="8349" width="0" style="23" hidden="1" customWidth="1"/>
    <col min="8350" max="8351" width="4.69140625" style="23" customWidth="1"/>
    <col min="8352" max="8352" width="0" style="23" hidden="1" customWidth="1"/>
    <col min="8353" max="8354" width="4.53515625" style="23" customWidth="1"/>
    <col min="8355" max="8355" width="0" style="23" hidden="1" customWidth="1"/>
    <col min="8356" max="8356" width="4.53515625" style="23" customWidth="1"/>
    <col min="8357" max="8357" width="4.69140625" style="23" customWidth="1"/>
    <col min="8358" max="8358" width="0" style="23" hidden="1" customWidth="1"/>
    <col min="8359" max="8359" width="5.15234375" style="23" customWidth="1"/>
    <col min="8360" max="8360" width="4.53515625" style="23" customWidth="1"/>
    <col min="8361" max="8361" width="0" style="23" hidden="1" customWidth="1"/>
    <col min="8362" max="8362" width="5" style="23" customWidth="1"/>
    <col min="8363" max="8363" width="4.84375" style="23" customWidth="1"/>
    <col min="8364" max="8364" width="0" style="23" hidden="1" customWidth="1"/>
    <col min="8365" max="8366" width="4.53515625" style="23" customWidth="1"/>
    <col min="8367" max="8367" width="0" style="23" hidden="1" customWidth="1"/>
    <col min="8368" max="8368" width="4.53515625" style="23" customWidth="1"/>
    <col min="8369" max="8369" width="4.69140625" style="23" customWidth="1"/>
    <col min="8370" max="8370" width="0" style="23" hidden="1" customWidth="1"/>
    <col min="8371" max="8372" width="4.3828125" style="23" customWidth="1"/>
    <col min="8373" max="8373" width="0" style="23" hidden="1" customWidth="1"/>
    <col min="8374" max="8375" width="4.3828125" style="23" customWidth="1"/>
    <col min="8376" max="8376" width="0" style="23" hidden="1" customWidth="1"/>
    <col min="8377" max="8378" width="4.3828125" style="23" customWidth="1"/>
    <col min="8379" max="8379" width="0" style="23" hidden="1" customWidth="1"/>
    <col min="8380" max="8380" width="4.3828125" style="23" customWidth="1"/>
    <col min="8381" max="8381" width="4.3046875" style="23" customWidth="1"/>
    <col min="8382" max="8382" width="0" style="23" hidden="1" customWidth="1"/>
    <col min="8383" max="8384" width="4.3828125" style="23" customWidth="1"/>
    <col min="8385" max="8385" width="0" style="23" hidden="1" customWidth="1"/>
    <col min="8386" max="8387" width="4.3828125" style="23" customWidth="1"/>
    <col min="8388" max="8388" width="0" style="23" hidden="1" customWidth="1"/>
    <col min="8389" max="8390" width="4.3828125" style="23" customWidth="1"/>
    <col min="8391" max="8391" width="0" style="23" hidden="1" customWidth="1"/>
    <col min="8392" max="8393" width="4.3828125" style="23" customWidth="1"/>
    <col min="8394" max="8448" width="10.3046875" style="23"/>
    <col min="8449" max="8449" width="3.84375" style="23" customWidth="1"/>
    <col min="8450" max="8450" width="32.69140625" style="23" customWidth="1"/>
    <col min="8451" max="8527" width="3.84375" style="23" customWidth="1"/>
    <col min="8528" max="8529" width="0" style="23" hidden="1" customWidth="1"/>
    <col min="8530" max="8530" width="3.84375" style="23" customWidth="1"/>
    <col min="8531" max="8532" width="0" style="23" hidden="1" customWidth="1"/>
    <col min="8533" max="8533" width="3.84375" style="23" customWidth="1"/>
    <col min="8534" max="8535" width="0" style="23" hidden="1" customWidth="1"/>
    <col min="8536" max="8536" width="3.84375" style="23" customWidth="1"/>
    <col min="8537" max="8538" width="0" style="23" hidden="1" customWidth="1"/>
    <col min="8539" max="8539" width="3.84375" style="23" customWidth="1"/>
    <col min="8540" max="8541" width="0" style="23" hidden="1" customWidth="1"/>
    <col min="8542" max="8542" width="3.84375" style="23" customWidth="1"/>
    <col min="8543" max="8544" width="0" style="23" hidden="1" customWidth="1"/>
    <col min="8545" max="8545" width="3.84375" style="23" customWidth="1"/>
    <col min="8546" max="8547" width="0" style="23" hidden="1" customWidth="1"/>
    <col min="8548" max="8548" width="3.84375" style="23" customWidth="1"/>
    <col min="8549" max="8550" width="0" style="23" hidden="1" customWidth="1"/>
    <col min="8551" max="8551" width="3.84375" style="23" customWidth="1"/>
    <col min="8552" max="8553" width="0" style="23" hidden="1" customWidth="1"/>
    <col min="8554" max="8554" width="3.84375" style="23" customWidth="1"/>
    <col min="8555" max="8556" width="0" style="23" hidden="1" customWidth="1"/>
    <col min="8557" max="8557" width="3.84375" style="23" customWidth="1"/>
    <col min="8558" max="8559" width="0" style="23" hidden="1" customWidth="1"/>
    <col min="8560" max="8560" width="3.84375" style="23" customWidth="1"/>
    <col min="8561" max="8562" width="0" style="23" hidden="1" customWidth="1"/>
    <col min="8563" max="8563" width="3.84375" style="23" customWidth="1"/>
    <col min="8564" max="8565" width="0" style="23" hidden="1" customWidth="1"/>
    <col min="8566" max="8566" width="3.84375" style="23" customWidth="1"/>
    <col min="8567" max="8568" width="0" style="23" hidden="1" customWidth="1"/>
    <col min="8569" max="8569" width="3.84375" style="23" customWidth="1"/>
    <col min="8570" max="8571" width="0" style="23" hidden="1" customWidth="1"/>
    <col min="8572" max="8572" width="3.84375" style="23" customWidth="1"/>
    <col min="8573" max="8574" width="0" style="23" hidden="1" customWidth="1"/>
    <col min="8575" max="8575" width="3.84375" style="23" customWidth="1"/>
    <col min="8576" max="8577" width="0" style="23" hidden="1" customWidth="1"/>
    <col min="8578" max="8579" width="3.84375" style="23" customWidth="1"/>
    <col min="8580" max="8580" width="3.69140625" style="23" customWidth="1"/>
    <col min="8581" max="8581" width="0" style="23" hidden="1" customWidth="1"/>
    <col min="8582" max="8582" width="3.84375" style="23" customWidth="1"/>
    <col min="8583" max="8583" width="4.15234375" style="23" bestFit="1" customWidth="1"/>
    <col min="8584" max="8584" width="0" style="23" hidden="1" customWidth="1"/>
    <col min="8585" max="8586" width="4.15234375" style="23" bestFit="1" customWidth="1"/>
    <col min="8587" max="8587" width="0" style="23" hidden="1" customWidth="1"/>
    <col min="8588" max="8589" width="4.3046875" style="23" customWidth="1"/>
    <col min="8590" max="8590" width="0" style="23" hidden="1" customWidth="1"/>
    <col min="8591" max="8591" width="4.69140625" style="23" bestFit="1" customWidth="1"/>
    <col min="8592" max="8592" width="4.15234375" style="23" customWidth="1"/>
    <col min="8593" max="8593" width="0" style="23" hidden="1" customWidth="1"/>
    <col min="8594" max="8595" width="4.15234375" style="23" customWidth="1"/>
    <col min="8596" max="8596" width="0" style="23" hidden="1" customWidth="1"/>
    <col min="8597" max="8597" width="4.53515625" style="23" customWidth="1"/>
    <col min="8598" max="8598" width="4.69140625" style="23" customWidth="1"/>
    <col min="8599" max="8599" width="0" style="23" hidden="1" customWidth="1"/>
    <col min="8600" max="8600" width="4.53515625" style="23" customWidth="1"/>
    <col min="8601" max="8601" width="4.69140625" style="23" customWidth="1"/>
    <col min="8602" max="8602" width="0" style="23" hidden="1" customWidth="1"/>
    <col min="8603" max="8604" width="4.53515625" style="23" customWidth="1"/>
    <col min="8605" max="8605" width="0" style="23" hidden="1" customWidth="1"/>
    <col min="8606" max="8607" width="4.69140625" style="23" customWidth="1"/>
    <col min="8608" max="8608" width="0" style="23" hidden="1" customWidth="1"/>
    <col min="8609" max="8610" width="4.53515625" style="23" customWidth="1"/>
    <col min="8611" max="8611" width="0" style="23" hidden="1" customWidth="1"/>
    <col min="8612" max="8612" width="4.53515625" style="23" customWidth="1"/>
    <col min="8613" max="8613" width="4.69140625" style="23" customWidth="1"/>
    <col min="8614" max="8614" width="0" style="23" hidden="1" customWidth="1"/>
    <col min="8615" max="8615" width="5.15234375" style="23" customWidth="1"/>
    <col min="8616" max="8616" width="4.53515625" style="23" customWidth="1"/>
    <col min="8617" max="8617" width="0" style="23" hidden="1" customWidth="1"/>
    <col min="8618" max="8618" width="5" style="23" customWidth="1"/>
    <col min="8619" max="8619" width="4.84375" style="23" customWidth="1"/>
    <col min="8620" max="8620" width="0" style="23" hidden="1" customWidth="1"/>
    <col min="8621" max="8622" width="4.53515625" style="23" customWidth="1"/>
    <col min="8623" max="8623" width="0" style="23" hidden="1" customWidth="1"/>
    <col min="8624" max="8624" width="4.53515625" style="23" customWidth="1"/>
    <col min="8625" max="8625" width="4.69140625" style="23" customWidth="1"/>
    <col min="8626" max="8626" width="0" style="23" hidden="1" customWidth="1"/>
    <col min="8627" max="8628" width="4.3828125" style="23" customWidth="1"/>
    <col min="8629" max="8629" width="0" style="23" hidden="1" customWidth="1"/>
    <col min="8630" max="8631" width="4.3828125" style="23" customWidth="1"/>
    <col min="8632" max="8632" width="0" style="23" hidden="1" customWidth="1"/>
    <col min="8633" max="8634" width="4.3828125" style="23" customWidth="1"/>
    <col min="8635" max="8635" width="0" style="23" hidden="1" customWidth="1"/>
    <col min="8636" max="8636" width="4.3828125" style="23" customWidth="1"/>
    <col min="8637" max="8637" width="4.3046875" style="23" customWidth="1"/>
    <col min="8638" max="8638" width="0" style="23" hidden="1" customWidth="1"/>
    <col min="8639" max="8640" width="4.3828125" style="23" customWidth="1"/>
    <col min="8641" max="8641" width="0" style="23" hidden="1" customWidth="1"/>
    <col min="8642" max="8643" width="4.3828125" style="23" customWidth="1"/>
    <col min="8644" max="8644" width="0" style="23" hidden="1" customWidth="1"/>
    <col min="8645" max="8646" width="4.3828125" style="23" customWidth="1"/>
    <col min="8647" max="8647" width="0" style="23" hidden="1" customWidth="1"/>
    <col min="8648" max="8649" width="4.3828125" style="23" customWidth="1"/>
    <col min="8650" max="8704" width="10.3046875" style="23"/>
    <col min="8705" max="8705" width="3.84375" style="23" customWidth="1"/>
    <col min="8706" max="8706" width="32.69140625" style="23" customWidth="1"/>
    <col min="8707" max="8783" width="3.84375" style="23" customWidth="1"/>
    <col min="8784" max="8785" width="0" style="23" hidden="1" customWidth="1"/>
    <col min="8786" max="8786" width="3.84375" style="23" customWidth="1"/>
    <col min="8787" max="8788" width="0" style="23" hidden="1" customWidth="1"/>
    <col min="8789" max="8789" width="3.84375" style="23" customWidth="1"/>
    <col min="8790" max="8791" width="0" style="23" hidden="1" customWidth="1"/>
    <col min="8792" max="8792" width="3.84375" style="23" customWidth="1"/>
    <col min="8793" max="8794" width="0" style="23" hidden="1" customWidth="1"/>
    <col min="8795" max="8795" width="3.84375" style="23" customWidth="1"/>
    <col min="8796" max="8797" width="0" style="23" hidden="1" customWidth="1"/>
    <col min="8798" max="8798" width="3.84375" style="23" customWidth="1"/>
    <col min="8799" max="8800" width="0" style="23" hidden="1" customWidth="1"/>
    <col min="8801" max="8801" width="3.84375" style="23" customWidth="1"/>
    <col min="8802" max="8803" width="0" style="23" hidden="1" customWidth="1"/>
    <col min="8804" max="8804" width="3.84375" style="23" customWidth="1"/>
    <col min="8805" max="8806" width="0" style="23" hidden="1" customWidth="1"/>
    <col min="8807" max="8807" width="3.84375" style="23" customWidth="1"/>
    <col min="8808" max="8809" width="0" style="23" hidden="1" customWidth="1"/>
    <col min="8810" max="8810" width="3.84375" style="23" customWidth="1"/>
    <col min="8811" max="8812" width="0" style="23" hidden="1" customWidth="1"/>
    <col min="8813" max="8813" width="3.84375" style="23" customWidth="1"/>
    <col min="8814" max="8815" width="0" style="23" hidden="1" customWidth="1"/>
    <col min="8816" max="8816" width="3.84375" style="23" customWidth="1"/>
    <col min="8817" max="8818" width="0" style="23" hidden="1" customWidth="1"/>
    <col min="8819" max="8819" width="3.84375" style="23" customWidth="1"/>
    <col min="8820" max="8821" width="0" style="23" hidden="1" customWidth="1"/>
    <col min="8822" max="8822" width="3.84375" style="23" customWidth="1"/>
    <col min="8823" max="8824" width="0" style="23" hidden="1" customWidth="1"/>
    <col min="8825" max="8825" width="3.84375" style="23" customWidth="1"/>
    <col min="8826" max="8827" width="0" style="23" hidden="1" customWidth="1"/>
    <col min="8828" max="8828" width="3.84375" style="23" customWidth="1"/>
    <col min="8829" max="8830" width="0" style="23" hidden="1" customWidth="1"/>
    <col min="8831" max="8831" width="3.84375" style="23" customWidth="1"/>
    <col min="8832" max="8833" width="0" style="23" hidden="1" customWidth="1"/>
    <col min="8834" max="8835" width="3.84375" style="23" customWidth="1"/>
    <col min="8836" max="8836" width="3.69140625" style="23" customWidth="1"/>
    <col min="8837" max="8837" width="0" style="23" hidden="1" customWidth="1"/>
    <col min="8838" max="8838" width="3.84375" style="23" customWidth="1"/>
    <col min="8839" max="8839" width="4.15234375" style="23" bestFit="1" customWidth="1"/>
    <col min="8840" max="8840" width="0" style="23" hidden="1" customWidth="1"/>
    <col min="8841" max="8842" width="4.15234375" style="23" bestFit="1" customWidth="1"/>
    <col min="8843" max="8843" width="0" style="23" hidden="1" customWidth="1"/>
    <col min="8844" max="8845" width="4.3046875" style="23" customWidth="1"/>
    <col min="8846" max="8846" width="0" style="23" hidden="1" customWidth="1"/>
    <col min="8847" max="8847" width="4.69140625" style="23" bestFit="1" customWidth="1"/>
    <col min="8848" max="8848" width="4.15234375" style="23" customWidth="1"/>
    <col min="8849" max="8849" width="0" style="23" hidden="1" customWidth="1"/>
    <col min="8850" max="8851" width="4.15234375" style="23" customWidth="1"/>
    <col min="8852" max="8852" width="0" style="23" hidden="1" customWidth="1"/>
    <col min="8853" max="8853" width="4.53515625" style="23" customWidth="1"/>
    <col min="8854" max="8854" width="4.69140625" style="23" customWidth="1"/>
    <col min="8855" max="8855" width="0" style="23" hidden="1" customWidth="1"/>
    <col min="8856" max="8856" width="4.53515625" style="23" customWidth="1"/>
    <col min="8857" max="8857" width="4.69140625" style="23" customWidth="1"/>
    <col min="8858" max="8858" width="0" style="23" hidden="1" customWidth="1"/>
    <col min="8859" max="8860" width="4.53515625" style="23" customWidth="1"/>
    <col min="8861" max="8861" width="0" style="23" hidden="1" customWidth="1"/>
    <col min="8862" max="8863" width="4.69140625" style="23" customWidth="1"/>
    <col min="8864" max="8864" width="0" style="23" hidden="1" customWidth="1"/>
    <col min="8865" max="8866" width="4.53515625" style="23" customWidth="1"/>
    <col min="8867" max="8867" width="0" style="23" hidden="1" customWidth="1"/>
    <col min="8868" max="8868" width="4.53515625" style="23" customWidth="1"/>
    <col min="8869" max="8869" width="4.69140625" style="23" customWidth="1"/>
    <col min="8870" max="8870" width="0" style="23" hidden="1" customWidth="1"/>
    <col min="8871" max="8871" width="5.15234375" style="23" customWidth="1"/>
    <col min="8872" max="8872" width="4.53515625" style="23" customWidth="1"/>
    <col min="8873" max="8873" width="0" style="23" hidden="1" customWidth="1"/>
    <col min="8874" max="8874" width="5" style="23" customWidth="1"/>
    <col min="8875" max="8875" width="4.84375" style="23" customWidth="1"/>
    <col min="8876" max="8876" width="0" style="23" hidden="1" customWidth="1"/>
    <col min="8877" max="8878" width="4.53515625" style="23" customWidth="1"/>
    <col min="8879" max="8879" width="0" style="23" hidden="1" customWidth="1"/>
    <col min="8880" max="8880" width="4.53515625" style="23" customWidth="1"/>
    <col min="8881" max="8881" width="4.69140625" style="23" customWidth="1"/>
    <col min="8882" max="8882" width="0" style="23" hidden="1" customWidth="1"/>
    <col min="8883" max="8884" width="4.3828125" style="23" customWidth="1"/>
    <col min="8885" max="8885" width="0" style="23" hidden="1" customWidth="1"/>
    <col min="8886" max="8887" width="4.3828125" style="23" customWidth="1"/>
    <col min="8888" max="8888" width="0" style="23" hidden="1" customWidth="1"/>
    <col min="8889" max="8890" width="4.3828125" style="23" customWidth="1"/>
    <col min="8891" max="8891" width="0" style="23" hidden="1" customWidth="1"/>
    <col min="8892" max="8892" width="4.3828125" style="23" customWidth="1"/>
    <col min="8893" max="8893" width="4.3046875" style="23" customWidth="1"/>
    <col min="8894" max="8894" width="0" style="23" hidden="1" customWidth="1"/>
    <col min="8895" max="8896" width="4.3828125" style="23" customWidth="1"/>
    <col min="8897" max="8897" width="0" style="23" hidden="1" customWidth="1"/>
    <col min="8898" max="8899" width="4.3828125" style="23" customWidth="1"/>
    <col min="8900" max="8900" width="0" style="23" hidden="1" customWidth="1"/>
    <col min="8901" max="8902" width="4.3828125" style="23" customWidth="1"/>
    <col min="8903" max="8903" width="0" style="23" hidden="1" customWidth="1"/>
    <col min="8904" max="8905" width="4.3828125" style="23" customWidth="1"/>
    <col min="8906" max="8960" width="10.3046875" style="23"/>
    <col min="8961" max="8961" width="3.84375" style="23" customWidth="1"/>
    <col min="8962" max="8962" width="32.69140625" style="23" customWidth="1"/>
    <col min="8963" max="9039" width="3.84375" style="23" customWidth="1"/>
    <col min="9040" max="9041" width="0" style="23" hidden="1" customWidth="1"/>
    <col min="9042" max="9042" width="3.84375" style="23" customWidth="1"/>
    <col min="9043" max="9044" width="0" style="23" hidden="1" customWidth="1"/>
    <col min="9045" max="9045" width="3.84375" style="23" customWidth="1"/>
    <col min="9046" max="9047" width="0" style="23" hidden="1" customWidth="1"/>
    <col min="9048" max="9048" width="3.84375" style="23" customWidth="1"/>
    <col min="9049" max="9050" width="0" style="23" hidden="1" customWidth="1"/>
    <col min="9051" max="9051" width="3.84375" style="23" customWidth="1"/>
    <col min="9052" max="9053" width="0" style="23" hidden="1" customWidth="1"/>
    <col min="9054" max="9054" width="3.84375" style="23" customWidth="1"/>
    <col min="9055" max="9056" width="0" style="23" hidden="1" customWidth="1"/>
    <col min="9057" max="9057" width="3.84375" style="23" customWidth="1"/>
    <col min="9058" max="9059" width="0" style="23" hidden="1" customWidth="1"/>
    <col min="9060" max="9060" width="3.84375" style="23" customWidth="1"/>
    <col min="9061" max="9062" width="0" style="23" hidden="1" customWidth="1"/>
    <col min="9063" max="9063" width="3.84375" style="23" customWidth="1"/>
    <col min="9064" max="9065" width="0" style="23" hidden="1" customWidth="1"/>
    <col min="9066" max="9066" width="3.84375" style="23" customWidth="1"/>
    <col min="9067" max="9068" width="0" style="23" hidden="1" customWidth="1"/>
    <col min="9069" max="9069" width="3.84375" style="23" customWidth="1"/>
    <col min="9070" max="9071" width="0" style="23" hidden="1" customWidth="1"/>
    <col min="9072" max="9072" width="3.84375" style="23" customWidth="1"/>
    <col min="9073" max="9074" width="0" style="23" hidden="1" customWidth="1"/>
    <col min="9075" max="9075" width="3.84375" style="23" customWidth="1"/>
    <col min="9076" max="9077" width="0" style="23" hidden="1" customWidth="1"/>
    <col min="9078" max="9078" width="3.84375" style="23" customWidth="1"/>
    <col min="9079" max="9080" width="0" style="23" hidden="1" customWidth="1"/>
    <col min="9081" max="9081" width="3.84375" style="23" customWidth="1"/>
    <col min="9082" max="9083" width="0" style="23" hidden="1" customWidth="1"/>
    <col min="9084" max="9084" width="3.84375" style="23" customWidth="1"/>
    <col min="9085" max="9086" width="0" style="23" hidden="1" customWidth="1"/>
    <col min="9087" max="9087" width="3.84375" style="23" customWidth="1"/>
    <col min="9088" max="9089" width="0" style="23" hidden="1" customWidth="1"/>
    <col min="9090" max="9091" width="3.84375" style="23" customWidth="1"/>
    <col min="9092" max="9092" width="3.69140625" style="23" customWidth="1"/>
    <col min="9093" max="9093" width="0" style="23" hidden="1" customWidth="1"/>
    <col min="9094" max="9094" width="3.84375" style="23" customWidth="1"/>
    <col min="9095" max="9095" width="4.15234375" style="23" bestFit="1" customWidth="1"/>
    <col min="9096" max="9096" width="0" style="23" hidden="1" customWidth="1"/>
    <col min="9097" max="9098" width="4.15234375" style="23" bestFit="1" customWidth="1"/>
    <col min="9099" max="9099" width="0" style="23" hidden="1" customWidth="1"/>
    <col min="9100" max="9101" width="4.3046875" style="23" customWidth="1"/>
    <col min="9102" max="9102" width="0" style="23" hidden="1" customWidth="1"/>
    <col min="9103" max="9103" width="4.69140625" style="23" bestFit="1" customWidth="1"/>
    <col min="9104" max="9104" width="4.15234375" style="23" customWidth="1"/>
    <col min="9105" max="9105" width="0" style="23" hidden="1" customWidth="1"/>
    <col min="9106" max="9107" width="4.15234375" style="23" customWidth="1"/>
    <col min="9108" max="9108" width="0" style="23" hidden="1" customWidth="1"/>
    <col min="9109" max="9109" width="4.53515625" style="23" customWidth="1"/>
    <col min="9110" max="9110" width="4.69140625" style="23" customWidth="1"/>
    <col min="9111" max="9111" width="0" style="23" hidden="1" customWidth="1"/>
    <col min="9112" max="9112" width="4.53515625" style="23" customWidth="1"/>
    <col min="9113" max="9113" width="4.69140625" style="23" customWidth="1"/>
    <col min="9114" max="9114" width="0" style="23" hidden="1" customWidth="1"/>
    <col min="9115" max="9116" width="4.53515625" style="23" customWidth="1"/>
    <col min="9117" max="9117" width="0" style="23" hidden="1" customWidth="1"/>
    <col min="9118" max="9119" width="4.69140625" style="23" customWidth="1"/>
    <col min="9120" max="9120" width="0" style="23" hidden="1" customWidth="1"/>
    <col min="9121" max="9122" width="4.53515625" style="23" customWidth="1"/>
    <col min="9123" max="9123" width="0" style="23" hidden="1" customWidth="1"/>
    <col min="9124" max="9124" width="4.53515625" style="23" customWidth="1"/>
    <col min="9125" max="9125" width="4.69140625" style="23" customWidth="1"/>
    <col min="9126" max="9126" width="0" style="23" hidden="1" customWidth="1"/>
    <col min="9127" max="9127" width="5.15234375" style="23" customWidth="1"/>
    <col min="9128" max="9128" width="4.53515625" style="23" customWidth="1"/>
    <col min="9129" max="9129" width="0" style="23" hidden="1" customWidth="1"/>
    <col min="9130" max="9130" width="5" style="23" customWidth="1"/>
    <col min="9131" max="9131" width="4.84375" style="23" customWidth="1"/>
    <col min="9132" max="9132" width="0" style="23" hidden="1" customWidth="1"/>
    <col min="9133" max="9134" width="4.53515625" style="23" customWidth="1"/>
    <col min="9135" max="9135" width="0" style="23" hidden="1" customWidth="1"/>
    <col min="9136" max="9136" width="4.53515625" style="23" customWidth="1"/>
    <col min="9137" max="9137" width="4.69140625" style="23" customWidth="1"/>
    <col min="9138" max="9138" width="0" style="23" hidden="1" customWidth="1"/>
    <col min="9139" max="9140" width="4.3828125" style="23" customWidth="1"/>
    <col min="9141" max="9141" width="0" style="23" hidden="1" customWidth="1"/>
    <col min="9142" max="9143" width="4.3828125" style="23" customWidth="1"/>
    <col min="9144" max="9144" width="0" style="23" hidden="1" customWidth="1"/>
    <col min="9145" max="9146" width="4.3828125" style="23" customWidth="1"/>
    <col min="9147" max="9147" width="0" style="23" hidden="1" customWidth="1"/>
    <col min="9148" max="9148" width="4.3828125" style="23" customWidth="1"/>
    <col min="9149" max="9149" width="4.3046875" style="23" customWidth="1"/>
    <col min="9150" max="9150" width="0" style="23" hidden="1" customWidth="1"/>
    <col min="9151" max="9152" width="4.3828125" style="23" customWidth="1"/>
    <col min="9153" max="9153" width="0" style="23" hidden="1" customWidth="1"/>
    <col min="9154" max="9155" width="4.3828125" style="23" customWidth="1"/>
    <col min="9156" max="9156" width="0" style="23" hidden="1" customWidth="1"/>
    <col min="9157" max="9158" width="4.3828125" style="23" customWidth="1"/>
    <col min="9159" max="9159" width="0" style="23" hidden="1" customWidth="1"/>
    <col min="9160" max="9161" width="4.3828125" style="23" customWidth="1"/>
    <col min="9162" max="9216" width="10.3046875" style="23"/>
    <col min="9217" max="9217" width="3.84375" style="23" customWidth="1"/>
    <col min="9218" max="9218" width="32.69140625" style="23" customWidth="1"/>
    <col min="9219" max="9295" width="3.84375" style="23" customWidth="1"/>
    <col min="9296" max="9297" width="0" style="23" hidden="1" customWidth="1"/>
    <col min="9298" max="9298" width="3.84375" style="23" customWidth="1"/>
    <col min="9299" max="9300" width="0" style="23" hidden="1" customWidth="1"/>
    <col min="9301" max="9301" width="3.84375" style="23" customWidth="1"/>
    <col min="9302" max="9303" width="0" style="23" hidden="1" customWidth="1"/>
    <col min="9304" max="9304" width="3.84375" style="23" customWidth="1"/>
    <col min="9305" max="9306" width="0" style="23" hidden="1" customWidth="1"/>
    <col min="9307" max="9307" width="3.84375" style="23" customWidth="1"/>
    <col min="9308" max="9309" width="0" style="23" hidden="1" customWidth="1"/>
    <col min="9310" max="9310" width="3.84375" style="23" customWidth="1"/>
    <col min="9311" max="9312" width="0" style="23" hidden="1" customWidth="1"/>
    <col min="9313" max="9313" width="3.84375" style="23" customWidth="1"/>
    <col min="9314" max="9315" width="0" style="23" hidden="1" customWidth="1"/>
    <col min="9316" max="9316" width="3.84375" style="23" customWidth="1"/>
    <col min="9317" max="9318" width="0" style="23" hidden="1" customWidth="1"/>
    <col min="9319" max="9319" width="3.84375" style="23" customWidth="1"/>
    <col min="9320" max="9321" width="0" style="23" hidden="1" customWidth="1"/>
    <col min="9322" max="9322" width="3.84375" style="23" customWidth="1"/>
    <col min="9323" max="9324" width="0" style="23" hidden="1" customWidth="1"/>
    <col min="9325" max="9325" width="3.84375" style="23" customWidth="1"/>
    <col min="9326" max="9327" width="0" style="23" hidden="1" customWidth="1"/>
    <col min="9328" max="9328" width="3.84375" style="23" customWidth="1"/>
    <col min="9329" max="9330" width="0" style="23" hidden="1" customWidth="1"/>
    <col min="9331" max="9331" width="3.84375" style="23" customWidth="1"/>
    <col min="9332" max="9333" width="0" style="23" hidden="1" customWidth="1"/>
    <col min="9334" max="9334" width="3.84375" style="23" customWidth="1"/>
    <col min="9335" max="9336" width="0" style="23" hidden="1" customWidth="1"/>
    <col min="9337" max="9337" width="3.84375" style="23" customWidth="1"/>
    <col min="9338" max="9339" width="0" style="23" hidden="1" customWidth="1"/>
    <col min="9340" max="9340" width="3.84375" style="23" customWidth="1"/>
    <col min="9341" max="9342" width="0" style="23" hidden="1" customWidth="1"/>
    <col min="9343" max="9343" width="3.84375" style="23" customWidth="1"/>
    <col min="9344" max="9345" width="0" style="23" hidden="1" customWidth="1"/>
    <col min="9346" max="9347" width="3.84375" style="23" customWidth="1"/>
    <col min="9348" max="9348" width="3.69140625" style="23" customWidth="1"/>
    <col min="9349" max="9349" width="0" style="23" hidden="1" customWidth="1"/>
    <col min="9350" max="9350" width="3.84375" style="23" customWidth="1"/>
    <col min="9351" max="9351" width="4.15234375" style="23" bestFit="1" customWidth="1"/>
    <col min="9352" max="9352" width="0" style="23" hidden="1" customWidth="1"/>
    <col min="9353" max="9354" width="4.15234375" style="23" bestFit="1" customWidth="1"/>
    <col min="9355" max="9355" width="0" style="23" hidden="1" customWidth="1"/>
    <col min="9356" max="9357" width="4.3046875" style="23" customWidth="1"/>
    <col min="9358" max="9358" width="0" style="23" hidden="1" customWidth="1"/>
    <col min="9359" max="9359" width="4.69140625" style="23" bestFit="1" customWidth="1"/>
    <col min="9360" max="9360" width="4.15234375" style="23" customWidth="1"/>
    <col min="9361" max="9361" width="0" style="23" hidden="1" customWidth="1"/>
    <col min="9362" max="9363" width="4.15234375" style="23" customWidth="1"/>
    <col min="9364" max="9364" width="0" style="23" hidden="1" customWidth="1"/>
    <col min="9365" max="9365" width="4.53515625" style="23" customWidth="1"/>
    <col min="9366" max="9366" width="4.69140625" style="23" customWidth="1"/>
    <col min="9367" max="9367" width="0" style="23" hidden="1" customWidth="1"/>
    <col min="9368" max="9368" width="4.53515625" style="23" customWidth="1"/>
    <col min="9369" max="9369" width="4.69140625" style="23" customWidth="1"/>
    <col min="9370" max="9370" width="0" style="23" hidden="1" customWidth="1"/>
    <col min="9371" max="9372" width="4.53515625" style="23" customWidth="1"/>
    <col min="9373" max="9373" width="0" style="23" hidden="1" customWidth="1"/>
    <col min="9374" max="9375" width="4.69140625" style="23" customWidth="1"/>
    <col min="9376" max="9376" width="0" style="23" hidden="1" customWidth="1"/>
    <col min="9377" max="9378" width="4.53515625" style="23" customWidth="1"/>
    <col min="9379" max="9379" width="0" style="23" hidden="1" customWidth="1"/>
    <col min="9380" max="9380" width="4.53515625" style="23" customWidth="1"/>
    <col min="9381" max="9381" width="4.69140625" style="23" customWidth="1"/>
    <col min="9382" max="9382" width="0" style="23" hidden="1" customWidth="1"/>
    <col min="9383" max="9383" width="5.15234375" style="23" customWidth="1"/>
    <col min="9384" max="9384" width="4.53515625" style="23" customWidth="1"/>
    <col min="9385" max="9385" width="0" style="23" hidden="1" customWidth="1"/>
    <col min="9386" max="9386" width="5" style="23" customWidth="1"/>
    <col min="9387" max="9387" width="4.84375" style="23" customWidth="1"/>
    <col min="9388" max="9388" width="0" style="23" hidden="1" customWidth="1"/>
    <col min="9389" max="9390" width="4.53515625" style="23" customWidth="1"/>
    <col min="9391" max="9391" width="0" style="23" hidden="1" customWidth="1"/>
    <col min="9392" max="9392" width="4.53515625" style="23" customWidth="1"/>
    <col min="9393" max="9393" width="4.69140625" style="23" customWidth="1"/>
    <col min="9394" max="9394" width="0" style="23" hidden="1" customWidth="1"/>
    <col min="9395" max="9396" width="4.3828125" style="23" customWidth="1"/>
    <col min="9397" max="9397" width="0" style="23" hidden="1" customWidth="1"/>
    <col min="9398" max="9399" width="4.3828125" style="23" customWidth="1"/>
    <col min="9400" max="9400" width="0" style="23" hidden="1" customWidth="1"/>
    <col min="9401" max="9402" width="4.3828125" style="23" customWidth="1"/>
    <col min="9403" max="9403" width="0" style="23" hidden="1" customWidth="1"/>
    <col min="9404" max="9404" width="4.3828125" style="23" customWidth="1"/>
    <col min="9405" max="9405" width="4.3046875" style="23" customWidth="1"/>
    <col min="9406" max="9406" width="0" style="23" hidden="1" customWidth="1"/>
    <col min="9407" max="9408" width="4.3828125" style="23" customWidth="1"/>
    <col min="9409" max="9409" width="0" style="23" hidden="1" customWidth="1"/>
    <col min="9410" max="9411" width="4.3828125" style="23" customWidth="1"/>
    <col min="9412" max="9412" width="0" style="23" hidden="1" customWidth="1"/>
    <col min="9413" max="9414" width="4.3828125" style="23" customWidth="1"/>
    <col min="9415" max="9415" width="0" style="23" hidden="1" customWidth="1"/>
    <col min="9416" max="9417" width="4.3828125" style="23" customWidth="1"/>
    <col min="9418" max="9472" width="10.3046875" style="23"/>
    <col min="9473" max="9473" width="3.84375" style="23" customWidth="1"/>
    <col min="9474" max="9474" width="32.69140625" style="23" customWidth="1"/>
    <col min="9475" max="9551" width="3.84375" style="23" customWidth="1"/>
    <col min="9552" max="9553" width="0" style="23" hidden="1" customWidth="1"/>
    <col min="9554" max="9554" width="3.84375" style="23" customWidth="1"/>
    <col min="9555" max="9556" width="0" style="23" hidden="1" customWidth="1"/>
    <col min="9557" max="9557" width="3.84375" style="23" customWidth="1"/>
    <col min="9558" max="9559" width="0" style="23" hidden="1" customWidth="1"/>
    <col min="9560" max="9560" width="3.84375" style="23" customWidth="1"/>
    <col min="9561" max="9562" width="0" style="23" hidden="1" customWidth="1"/>
    <col min="9563" max="9563" width="3.84375" style="23" customWidth="1"/>
    <col min="9564" max="9565" width="0" style="23" hidden="1" customWidth="1"/>
    <col min="9566" max="9566" width="3.84375" style="23" customWidth="1"/>
    <col min="9567" max="9568" width="0" style="23" hidden="1" customWidth="1"/>
    <col min="9569" max="9569" width="3.84375" style="23" customWidth="1"/>
    <col min="9570" max="9571" width="0" style="23" hidden="1" customWidth="1"/>
    <col min="9572" max="9572" width="3.84375" style="23" customWidth="1"/>
    <col min="9573" max="9574" width="0" style="23" hidden="1" customWidth="1"/>
    <col min="9575" max="9575" width="3.84375" style="23" customWidth="1"/>
    <col min="9576" max="9577" width="0" style="23" hidden="1" customWidth="1"/>
    <col min="9578" max="9578" width="3.84375" style="23" customWidth="1"/>
    <col min="9579" max="9580" width="0" style="23" hidden="1" customWidth="1"/>
    <col min="9581" max="9581" width="3.84375" style="23" customWidth="1"/>
    <col min="9582" max="9583" width="0" style="23" hidden="1" customWidth="1"/>
    <col min="9584" max="9584" width="3.84375" style="23" customWidth="1"/>
    <col min="9585" max="9586" width="0" style="23" hidden="1" customWidth="1"/>
    <col min="9587" max="9587" width="3.84375" style="23" customWidth="1"/>
    <col min="9588" max="9589" width="0" style="23" hidden="1" customWidth="1"/>
    <col min="9590" max="9590" width="3.84375" style="23" customWidth="1"/>
    <col min="9591" max="9592" width="0" style="23" hidden="1" customWidth="1"/>
    <col min="9593" max="9593" width="3.84375" style="23" customWidth="1"/>
    <col min="9594" max="9595" width="0" style="23" hidden="1" customWidth="1"/>
    <col min="9596" max="9596" width="3.84375" style="23" customWidth="1"/>
    <col min="9597" max="9598" width="0" style="23" hidden="1" customWidth="1"/>
    <col min="9599" max="9599" width="3.84375" style="23" customWidth="1"/>
    <col min="9600" max="9601" width="0" style="23" hidden="1" customWidth="1"/>
    <col min="9602" max="9603" width="3.84375" style="23" customWidth="1"/>
    <col min="9604" max="9604" width="3.69140625" style="23" customWidth="1"/>
    <col min="9605" max="9605" width="0" style="23" hidden="1" customWidth="1"/>
    <col min="9606" max="9606" width="3.84375" style="23" customWidth="1"/>
    <col min="9607" max="9607" width="4.15234375" style="23" bestFit="1" customWidth="1"/>
    <col min="9608" max="9608" width="0" style="23" hidden="1" customWidth="1"/>
    <col min="9609" max="9610" width="4.15234375" style="23" bestFit="1" customWidth="1"/>
    <col min="9611" max="9611" width="0" style="23" hidden="1" customWidth="1"/>
    <col min="9612" max="9613" width="4.3046875" style="23" customWidth="1"/>
    <col min="9614" max="9614" width="0" style="23" hidden="1" customWidth="1"/>
    <col min="9615" max="9615" width="4.69140625" style="23" bestFit="1" customWidth="1"/>
    <col min="9616" max="9616" width="4.15234375" style="23" customWidth="1"/>
    <col min="9617" max="9617" width="0" style="23" hidden="1" customWidth="1"/>
    <col min="9618" max="9619" width="4.15234375" style="23" customWidth="1"/>
    <col min="9620" max="9620" width="0" style="23" hidden="1" customWidth="1"/>
    <col min="9621" max="9621" width="4.53515625" style="23" customWidth="1"/>
    <col min="9622" max="9622" width="4.69140625" style="23" customWidth="1"/>
    <col min="9623" max="9623" width="0" style="23" hidden="1" customWidth="1"/>
    <col min="9624" max="9624" width="4.53515625" style="23" customWidth="1"/>
    <col min="9625" max="9625" width="4.69140625" style="23" customWidth="1"/>
    <col min="9626" max="9626" width="0" style="23" hidden="1" customWidth="1"/>
    <col min="9627" max="9628" width="4.53515625" style="23" customWidth="1"/>
    <col min="9629" max="9629" width="0" style="23" hidden="1" customWidth="1"/>
    <col min="9630" max="9631" width="4.69140625" style="23" customWidth="1"/>
    <col min="9632" max="9632" width="0" style="23" hidden="1" customWidth="1"/>
    <col min="9633" max="9634" width="4.53515625" style="23" customWidth="1"/>
    <col min="9635" max="9635" width="0" style="23" hidden="1" customWidth="1"/>
    <col min="9636" max="9636" width="4.53515625" style="23" customWidth="1"/>
    <col min="9637" max="9637" width="4.69140625" style="23" customWidth="1"/>
    <col min="9638" max="9638" width="0" style="23" hidden="1" customWidth="1"/>
    <col min="9639" max="9639" width="5.15234375" style="23" customWidth="1"/>
    <col min="9640" max="9640" width="4.53515625" style="23" customWidth="1"/>
    <col min="9641" max="9641" width="0" style="23" hidden="1" customWidth="1"/>
    <col min="9642" max="9642" width="5" style="23" customWidth="1"/>
    <col min="9643" max="9643" width="4.84375" style="23" customWidth="1"/>
    <col min="9644" max="9644" width="0" style="23" hidden="1" customWidth="1"/>
    <col min="9645" max="9646" width="4.53515625" style="23" customWidth="1"/>
    <col min="9647" max="9647" width="0" style="23" hidden="1" customWidth="1"/>
    <col min="9648" max="9648" width="4.53515625" style="23" customWidth="1"/>
    <col min="9649" max="9649" width="4.69140625" style="23" customWidth="1"/>
    <col min="9650" max="9650" width="0" style="23" hidden="1" customWidth="1"/>
    <col min="9651" max="9652" width="4.3828125" style="23" customWidth="1"/>
    <col min="9653" max="9653" width="0" style="23" hidden="1" customWidth="1"/>
    <col min="9654" max="9655" width="4.3828125" style="23" customWidth="1"/>
    <col min="9656" max="9656" width="0" style="23" hidden="1" customWidth="1"/>
    <col min="9657" max="9658" width="4.3828125" style="23" customWidth="1"/>
    <col min="9659" max="9659" width="0" style="23" hidden="1" customWidth="1"/>
    <col min="9660" max="9660" width="4.3828125" style="23" customWidth="1"/>
    <col min="9661" max="9661" width="4.3046875" style="23" customWidth="1"/>
    <col min="9662" max="9662" width="0" style="23" hidden="1" customWidth="1"/>
    <col min="9663" max="9664" width="4.3828125" style="23" customWidth="1"/>
    <col min="9665" max="9665" width="0" style="23" hidden="1" customWidth="1"/>
    <col min="9666" max="9667" width="4.3828125" style="23" customWidth="1"/>
    <col min="9668" max="9668" width="0" style="23" hidden="1" customWidth="1"/>
    <col min="9669" max="9670" width="4.3828125" style="23" customWidth="1"/>
    <col min="9671" max="9671" width="0" style="23" hidden="1" customWidth="1"/>
    <col min="9672" max="9673" width="4.3828125" style="23" customWidth="1"/>
    <col min="9674" max="9728" width="10.3046875" style="23"/>
    <col min="9729" max="9729" width="3.84375" style="23" customWidth="1"/>
    <col min="9730" max="9730" width="32.69140625" style="23" customWidth="1"/>
    <col min="9731" max="9807" width="3.84375" style="23" customWidth="1"/>
    <col min="9808" max="9809" width="0" style="23" hidden="1" customWidth="1"/>
    <col min="9810" max="9810" width="3.84375" style="23" customWidth="1"/>
    <col min="9811" max="9812" width="0" style="23" hidden="1" customWidth="1"/>
    <col min="9813" max="9813" width="3.84375" style="23" customWidth="1"/>
    <col min="9814" max="9815" width="0" style="23" hidden="1" customWidth="1"/>
    <col min="9816" max="9816" width="3.84375" style="23" customWidth="1"/>
    <col min="9817" max="9818" width="0" style="23" hidden="1" customWidth="1"/>
    <col min="9819" max="9819" width="3.84375" style="23" customWidth="1"/>
    <col min="9820" max="9821" width="0" style="23" hidden="1" customWidth="1"/>
    <col min="9822" max="9822" width="3.84375" style="23" customWidth="1"/>
    <col min="9823" max="9824" width="0" style="23" hidden="1" customWidth="1"/>
    <col min="9825" max="9825" width="3.84375" style="23" customWidth="1"/>
    <col min="9826" max="9827" width="0" style="23" hidden="1" customWidth="1"/>
    <col min="9828" max="9828" width="3.84375" style="23" customWidth="1"/>
    <col min="9829" max="9830" width="0" style="23" hidden="1" customWidth="1"/>
    <col min="9831" max="9831" width="3.84375" style="23" customWidth="1"/>
    <col min="9832" max="9833" width="0" style="23" hidden="1" customWidth="1"/>
    <col min="9834" max="9834" width="3.84375" style="23" customWidth="1"/>
    <col min="9835" max="9836" width="0" style="23" hidden="1" customWidth="1"/>
    <col min="9837" max="9837" width="3.84375" style="23" customWidth="1"/>
    <col min="9838" max="9839" width="0" style="23" hidden="1" customWidth="1"/>
    <col min="9840" max="9840" width="3.84375" style="23" customWidth="1"/>
    <col min="9841" max="9842" width="0" style="23" hidden="1" customWidth="1"/>
    <col min="9843" max="9843" width="3.84375" style="23" customWidth="1"/>
    <col min="9844" max="9845" width="0" style="23" hidden="1" customWidth="1"/>
    <col min="9846" max="9846" width="3.84375" style="23" customWidth="1"/>
    <col min="9847" max="9848" width="0" style="23" hidden="1" customWidth="1"/>
    <col min="9849" max="9849" width="3.84375" style="23" customWidth="1"/>
    <col min="9850" max="9851" width="0" style="23" hidden="1" customWidth="1"/>
    <col min="9852" max="9852" width="3.84375" style="23" customWidth="1"/>
    <col min="9853" max="9854" width="0" style="23" hidden="1" customWidth="1"/>
    <col min="9855" max="9855" width="3.84375" style="23" customWidth="1"/>
    <col min="9856" max="9857" width="0" style="23" hidden="1" customWidth="1"/>
    <col min="9858" max="9859" width="3.84375" style="23" customWidth="1"/>
    <col min="9860" max="9860" width="3.69140625" style="23" customWidth="1"/>
    <col min="9861" max="9861" width="0" style="23" hidden="1" customWidth="1"/>
    <col min="9862" max="9862" width="3.84375" style="23" customWidth="1"/>
    <col min="9863" max="9863" width="4.15234375" style="23" bestFit="1" customWidth="1"/>
    <col min="9864" max="9864" width="0" style="23" hidden="1" customWidth="1"/>
    <col min="9865" max="9866" width="4.15234375" style="23" bestFit="1" customWidth="1"/>
    <col min="9867" max="9867" width="0" style="23" hidden="1" customWidth="1"/>
    <col min="9868" max="9869" width="4.3046875" style="23" customWidth="1"/>
    <col min="9870" max="9870" width="0" style="23" hidden="1" customWidth="1"/>
    <col min="9871" max="9871" width="4.69140625" style="23" bestFit="1" customWidth="1"/>
    <col min="9872" max="9872" width="4.15234375" style="23" customWidth="1"/>
    <col min="9873" max="9873" width="0" style="23" hidden="1" customWidth="1"/>
    <col min="9874" max="9875" width="4.15234375" style="23" customWidth="1"/>
    <col min="9876" max="9876" width="0" style="23" hidden="1" customWidth="1"/>
    <col min="9877" max="9877" width="4.53515625" style="23" customWidth="1"/>
    <col min="9878" max="9878" width="4.69140625" style="23" customWidth="1"/>
    <col min="9879" max="9879" width="0" style="23" hidden="1" customWidth="1"/>
    <col min="9880" max="9880" width="4.53515625" style="23" customWidth="1"/>
    <col min="9881" max="9881" width="4.69140625" style="23" customWidth="1"/>
    <col min="9882" max="9882" width="0" style="23" hidden="1" customWidth="1"/>
    <col min="9883" max="9884" width="4.53515625" style="23" customWidth="1"/>
    <col min="9885" max="9885" width="0" style="23" hidden="1" customWidth="1"/>
    <col min="9886" max="9887" width="4.69140625" style="23" customWidth="1"/>
    <col min="9888" max="9888" width="0" style="23" hidden="1" customWidth="1"/>
    <col min="9889" max="9890" width="4.53515625" style="23" customWidth="1"/>
    <col min="9891" max="9891" width="0" style="23" hidden="1" customWidth="1"/>
    <col min="9892" max="9892" width="4.53515625" style="23" customWidth="1"/>
    <col min="9893" max="9893" width="4.69140625" style="23" customWidth="1"/>
    <col min="9894" max="9894" width="0" style="23" hidden="1" customWidth="1"/>
    <col min="9895" max="9895" width="5.15234375" style="23" customWidth="1"/>
    <col min="9896" max="9896" width="4.53515625" style="23" customWidth="1"/>
    <col min="9897" max="9897" width="0" style="23" hidden="1" customWidth="1"/>
    <col min="9898" max="9898" width="5" style="23" customWidth="1"/>
    <col min="9899" max="9899" width="4.84375" style="23" customWidth="1"/>
    <col min="9900" max="9900" width="0" style="23" hidden="1" customWidth="1"/>
    <col min="9901" max="9902" width="4.53515625" style="23" customWidth="1"/>
    <col min="9903" max="9903" width="0" style="23" hidden="1" customWidth="1"/>
    <col min="9904" max="9904" width="4.53515625" style="23" customWidth="1"/>
    <col min="9905" max="9905" width="4.69140625" style="23" customWidth="1"/>
    <col min="9906" max="9906" width="0" style="23" hidden="1" customWidth="1"/>
    <col min="9907" max="9908" width="4.3828125" style="23" customWidth="1"/>
    <col min="9909" max="9909" width="0" style="23" hidden="1" customWidth="1"/>
    <col min="9910" max="9911" width="4.3828125" style="23" customWidth="1"/>
    <col min="9912" max="9912" width="0" style="23" hidden="1" customWidth="1"/>
    <col min="9913" max="9914" width="4.3828125" style="23" customWidth="1"/>
    <col min="9915" max="9915" width="0" style="23" hidden="1" customWidth="1"/>
    <col min="9916" max="9916" width="4.3828125" style="23" customWidth="1"/>
    <col min="9917" max="9917" width="4.3046875" style="23" customWidth="1"/>
    <col min="9918" max="9918" width="0" style="23" hidden="1" customWidth="1"/>
    <col min="9919" max="9920" width="4.3828125" style="23" customWidth="1"/>
    <col min="9921" max="9921" width="0" style="23" hidden="1" customWidth="1"/>
    <col min="9922" max="9923" width="4.3828125" style="23" customWidth="1"/>
    <col min="9924" max="9924" width="0" style="23" hidden="1" customWidth="1"/>
    <col min="9925" max="9926" width="4.3828125" style="23" customWidth="1"/>
    <col min="9927" max="9927" width="0" style="23" hidden="1" customWidth="1"/>
    <col min="9928" max="9929" width="4.3828125" style="23" customWidth="1"/>
    <col min="9930" max="9984" width="10.3046875" style="23"/>
    <col min="9985" max="9985" width="3.84375" style="23" customWidth="1"/>
    <col min="9986" max="9986" width="32.69140625" style="23" customWidth="1"/>
    <col min="9987" max="10063" width="3.84375" style="23" customWidth="1"/>
    <col min="10064" max="10065" width="0" style="23" hidden="1" customWidth="1"/>
    <col min="10066" max="10066" width="3.84375" style="23" customWidth="1"/>
    <col min="10067" max="10068" width="0" style="23" hidden="1" customWidth="1"/>
    <col min="10069" max="10069" width="3.84375" style="23" customWidth="1"/>
    <col min="10070" max="10071" width="0" style="23" hidden="1" customWidth="1"/>
    <col min="10072" max="10072" width="3.84375" style="23" customWidth="1"/>
    <col min="10073" max="10074" width="0" style="23" hidden="1" customWidth="1"/>
    <col min="10075" max="10075" width="3.84375" style="23" customWidth="1"/>
    <col min="10076" max="10077" width="0" style="23" hidden="1" customWidth="1"/>
    <col min="10078" max="10078" width="3.84375" style="23" customWidth="1"/>
    <col min="10079" max="10080" width="0" style="23" hidden="1" customWidth="1"/>
    <col min="10081" max="10081" width="3.84375" style="23" customWidth="1"/>
    <col min="10082" max="10083" width="0" style="23" hidden="1" customWidth="1"/>
    <col min="10084" max="10084" width="3.84375" style="23" customWidth="1"/>
    <col min="10085" max="10086" width="0" style="23" hidden="1" customWidth="1"/>
    <col min="10087" max="10087" width="3.84375" style="23" customWidth="1"/>
    <col min="10088" max="10089" width="0" style="23" hidden="1" customWidth="1"/>
    <col min="10090" max="10090" width="3.84375" style="23" customWidth="1"/>
    <col min="10091" max="10092" width="0" style="23" hidden="1" customWidth="1"/>
    <col min="10093" max="10093" width="3.84375" style="23" customWidth="1"/>
    <col min="10094" max="10095" width="0" style="23" hidden="1" customWidth="1"/>
    <col min="10096" max="10096" width="3.84375" style="23" customWidth="1"/>
    <col min="10097" max="10098" width="0" style="23" hidden="1" customWidth="1"/>
    <col min="10099" max="10099" width="3.84375" style="23" customWidth="1"/>
    <col min="10100" max="10101" width="0" style="23" hidden="1" customWidth="1"/>
    <col min="10102" max="10102" width="3.84375" style="23" customWidth="1"/>
    <col min="10103" max="10104" width="0" style="23" hidden="1" customWidth="1"/>
    <col min="10105" max="10105" width="3.84375" style="23" customWidth="1"/>
    <col min="10106" max="10107" width="0" style="23" hidden="1" customWidth="1"/>
    <col min="10108" max="10108" width="3.84375" style="23" customWidth="1"/>
    <col min="10109" max="10110" width="0" style="23" hidden="1" customWidth="1"/>
    <col min="10111" max="10111" width="3.84375" style="23" customWidth="1"/>
    <col min="10112" max="10113" width="0" style="23" hidden="1" customWidth="1"/>
    <col min="10114" max="10115" width="3.84375" style="23" customWidth="1"/>
    <col min="10116" max="10116" width="3.69140625" style="23" customWidth="1"/>
    <col min="10117" max="10117" width="0" style="23" hidden="1" customWidth="1"/>
    <col min="10118" max="10118" width="3.84375" style="23" customWidth="1"/>
    <col min="10119" max="10119" width="4.15234375" style="23" bestFit="1" customWidth="1"/>
    <col min="10120" max="10120" width="0" style="23" hidden="1" customWidth="1"/>
    <col min="10121" max="10122" width="4.15234375" style="23" bestFit="1" customWidth="1"/>
    <col min="10123" max="10123" width="0" style="23" hidden="1" customWidth="1"/>
    <col min="10124" max="10125" width="4.3046875" style="23" customWidth="1"/>
    <col min="10126" max="10126" width="0" style="23" hidden="1" customWidth="1"/>
    <col min="10127" max="10127" width="4.69140625" style="23" bestFit="1" customWidth="1"/>
    <col min="10128" max="10128" width="4.15234375" style="23" customWidth="1"/>
    <col min="10129" max="10129" width="0" style="23" hidden="1" customWidth="1"/>
    <col min="10130" max="10131" width="4.15234375" style="23" customWidth="1"/>
    <col min="10132" max="10132" width="0" style="23" hidden="1" customWidth="1"/>
    <col min="10133" max="10133" width="4.53515625" style="23" customWidth="1"/>
    <col min="10134" max="10134" width="4.69140625" style="23" customWidth="1"/>
    <col min="10135" max="10135" width="0" style="23" hidden="1" customWidth="1"/>
    <col min="10136" max="10136" width="4.53515625" style="23" customWidth="1"/>
    <col min="10137" max="10137" width="4.69140625" style="23" customWidth="1"/>
    <col min="10138" max="10138" width="0" style="23" hidden="1" customWidth="1"/>
    <col min="10139" max="10140" width="4.53515625" style="23" customWidth="1"/>
    <col min="10141" max="10141" width="0" style="23" hidden="1" customWidth="1"/>
    <col min="10142" max="10143" width="4.69140625" style="23" customWidth="1"/>
    <col min="10144" max="10144" width="0" style="23" hidden="1" customWidth="1"/>
    <col min="10145" max="10146" width="4.53515625" style="23" customWidth="1"/>
    <col min="10147" max="10147" width="0" style="23" hidden="1" customWidth="1"/>
    <col min="10148" max="10148" width="4.53515625" style="23" customWidth="1"/>
    <col min="10149" max="10149" width="4.69140625" style="23" customWidth="1"/>
    <col min="10150" max="10150" width="0" style="23" hidden="1" customWidth="1"/>
    <col min="10151" max="10151" width="5.15234375" style="23" customWidth="1"/>
    <col min="10152" max="10152" width="4.53515625" style="23" customWidth="1"/>
    <col min="10153" max="10153" width="0" style="23" hidden="1" customWidth="1"/>
    <col min="10154" max="10154" width="5" style="23" customWidth="1"/>
    <col min="10155" max="10155" width="4.84375" style="23" customWidth="1"/>
    <col min="10156" max="10156" width="0" style="23" hidden="1" customWidth="1"/>
    <col min="10157" max="10158" width="4.53515625" style="23" customWidth="1"/>
    <col min="10159" max="10159" width="0" style="23" hidden="1" customWidth="1"/>
    <col min="10160" max="10160" width="4.53515625" style="23" customWidth="1"/>
    <col min="10161" max="10161" width="4.69140625" style="23" customWidth="1"/>
    <col min="10162" max="10162" width="0" style="23" hidden="1" customWidth="1"/>
    <col min="10163" max="10164" width="4.3828125" style="23" customWidth="1"/>
    <col min="10165" max="10165" width="0" style="23" hidden="1" customWidth="1"/>
    <col min="10166" max="10167" width="4.3828125" style="23" customWidth="1"/>
    <col min="10168" max="10168" width="0" style="23" hidden="1" customWidth="1"/>
    <col min="10169" max="10170" width="4.3828125" style="23" customWidth="1"/>
    <col min="10171" max="10171" width="0" style="23" hidden="1" customWidth="1"/>
    <col min="10172" max="10172" width="4.3828125" style="23" customWidth="1"/>
    <col min="10173" max="10173" width="4.3046875" style="23" customWidth="1"/>
    <col min="10174" max="10174" width="0" style="23" hidden="1" customWidth="1"/>
    <col min="10175" max="10176" width="4.3828125" style="23" customWidth="1"/>
    <col min="10177" max="10177" width="0" style="23" hidden="1" customWidth="1"/>
    <col min="10178" max="10179" width="4.3828125" style="23" customWidth="1"/>
    <col min="10180" max="10180" width="0" style="23" hidden="1" customWidth="1"/>
    <col min="10181" max="10182" width="4.3828125" style="23" customWidth="1"/>
    <col min="10183" max="10183" width="0" style="23" hidden="1" customWidth="1"/>
    <col min="10184" max="10185" width="4.3828125" style="23" customWidth="1"/>
    <col min="10186" max="10240" width="10.3046875" style="23"/>
    <col min="10241" max="10241" width="3.84375" style="23" customWidth="1"/>
    <col min="10242" max="10242" width="32.69140625" style="23" customWidth="1"/>
    <col min="10243" max="10319" width="3.84375" style="23" customWidth="1"/>
    <col min="10320" max="10321" width="0" style="23" hidden="1" customWidth="1"/>
    <col min="10322" max="10322" width="3.84375" style="23" customWidth="1"/>
    <col min="10323" max="10324" width="0" style="23" hidden="1" customWidth="1"/>
    <col min="10325" max="10325" width="3.84375" style="23" customWidth="1"/>
    <col min="10326" max="10327" width="0" style="23" hidden="1" customWidth="1"/>
    <col min="10328" max="10328" width="3.84375" style="23" customWidth="1"/>
    <col min="10329" max="10330" width="0" style="23" hidden="1" customWidth="1"/>
    <col min="10331" max="10331" width="3.84375" style="23" customWidth="1"/>
    <col min="10332" max="10333" width="0" style="23" hidden="1" customWidth="1"/>
    <col min="10334" max="10334" width="3.84375" style="23" customWidth="1"/>
    <col min="10335" max="10336" width="0" style="23" hidden="1" customWidth="1"/>
    <col min="10337" max="10337" width="3.84375" style="23" customWidth="1"/>
    <col min="10338" max="10339" width="0" style="23" hidden="1" customWidth="1"/>
    <col min="10340" max="10340" width="3.84375" style="23" customWidth="1"/>
    <col min="10341" max="10342" width="0" style="23" hidden="1" customWidth="1"/>
    <col min="10343" max="10343" width="3.84375" style="23" customWidth="1"/>
    <col min="10344" max="10345" width="0" style="23" hidden="1" customWidth="1"/>
    <col min="10346" max="10346" width="3.84375" style="23" customWidth="1"/>
    <col min="10347" max="10348" width="0" style="23" hidden="1" customWidth="1"/>
    <col min="10349" max="10349" width="3.84375" style="23" customWidth="1"/>
    <col min="10350" max="10351" width="0" style="23" hidden="1" customWidth="1"/>
    <col min="10352" max="10352" width="3.84375" style="23" customWidth="1"/>
    <col min="10353" max="10354" width="0" style="23" hidden="1" customWidth="1"/>
    <col min="10355" max="10355" width="3.84375" style="23" customWidth="1"/>
    <col min="10356" max="10357" width="0" style="23" hidden="1" customWidth="1"/>
    <col min="10358" max="10358" width="3.84375" style="23" customWidth="1"/>
    <col min="10359" max="10360" width="0" style="23" hidden="1" customWidth="1"/>
    <col min="10361" max="10361" width="3.84375" style="23" customWidth="1"/>
    <col min="10362" max="10363" width="0" style="23" hidden="1" customWidth="1"/>
    <col min="10364" max="10364" width="3.84375" style="23" customWidth="1"/>
    <col min="10365" max="10366" width="0" style="23" hidden="1" customWidth="1"/>
    <col min="10367" max="10367" width="3.84375" style="23" customWidth="1"/>
    <col min="10368" max="10369" width="0" style="23" hidden="1" customWidth="1"/>
    <col min="10370" max="10371" width="3.84375" style="23" customWidth="1"/>
    <col min="10372" max="10372" width="3.69140625" style="23" customWidth="1"/>
    <col min="10373" max="10373" width="0" style="23" hidden="1" customWidth="1"/>
    <col min="10374" max="10374" width="3.84375" style="23" customWidth="1"/>
    <col min="10375" max="10375" width="4.15234375" style="23" bestFit="1" customWidth="1"/>
    <col min="10376" max="10376" width="0" style="23" hidden="1" customWidth="1"/>
    <col min="10377" max="10378" width="4.15234375" style="23" bestFit="1" customWidth="1"/>
    <col min="10379" max="10379" width="0" style="23" hidden="1" customWidth="1"/>
    <col min="10380" max="10381" width="4.3046875" style="23" customWidth="1"/>
    <col min="10382" max="10382" width="0" style="23" hidden="1" customWidth="1"/>
    <col min="10383" max="10383" width="4.69140625" style="23" bestFit="1" customWidth="1"/>
    <col min="10384" max="10384" width="4.15234375" style="23" customWidth="1"/>
    <col min="10385" max="10385" width="0" style="23" hidden="1" customWidth="1"/>
    <col min="10386" max="10387" width="4.15234375" style="23" customWidth="1"/>
    <col min="10388" max="10388" width="0" style="23" hidden="1" customWidth="1"/>
    <col min="10389" max="10389" width="4.53515625" style="23" customWidth="1"/>
    <col min="10390" max="10390" width="4.69140625" style="23" customWidth="1"/>
    <col min="10391" max="10391" width="0" style="23" hidden="1" customWidth="1"/>
    <col min="10392" max="10392" width="4.53515625" style="23" customWidth="1"/>
    <col min="10393" max="10393" width="4.69140625" style="23" customWidth="1"/>
    <col min="10394" max="10394" width="0" style="23" hidden="1" customWidth="1"/>
    <col min="10395" max="10396" width="4.53515625" style="23" customWidth="1"/>
    <col min="10397" max="10397" width="0" style="23" hidden="1" customWidth="1"/>
    <col min="10398" max="10399" width="4.69140625" style="23" customWidth="1"/>
    <col min="10400" max="10400" width="0" style="23" hidden="1" customWidth="1"/>
    <col min="10401" max="10402" width="4.53515625" style="23" customWidth="1"/>
    <col min="10403" max="10403" width="0" style="23" hidden="1" customWidth="1"/>
    <col min="10404" max="10404" width="4.53515625" style="23" customWidth="1"/>
    <col min="10405" max="10405" width="4.69140625" style="23" customWidth="1"/>
    <col min="10406" max="10406" width="0" style="23" hidden="1" customWidth="1"/>
    <col min="10407" max="10407" width="5.15234375" style="23" customWidth="1"/>
    <col min="10408" max="10408" width="4.53515625" style="23" customWidth="1"/>
    <col min="10409" max="10409" width="0" style="23" hidden="1" customWidth="1"/>
    <col min="10410" max="10410" width="5" style="23" customWidth="1"/>
    <col min="10411" max="10411" width="4.84375" style="23" customWidth="1"/>
    <col min="10412" max="10412" width="0" style="23" hidden="1" customWidth="1"/>
    <col min="10413" max="10414" width="4.53515625" style="23" customWidth="1"/>
    <col min="10415" max="10415" width="0" style="23" hidden="1" customWidth="1"/>
    <col min="10416" max="10416" width="4.53515625" style="23" customWidth="1"/>
    <col min="10417" max="10417" width="4.69140625" style="23" customWidth="1"/>
    <col min="10418" max="10418" width="0" style="23" hidden="1" customWidth="1"/>
    <col min="10419" max="10420" width="4.3828125" style="23" customWidth="1"/>
    <col min="10421" max="10421" width="0" style="23" hidden="1" customWidth="1"/>
    <col min="10422" max="10423" width="4.3828125" style="23" customWidth="1"/>
    <col min="10424" max="10424" width="0" style="23" hidden="1" customWidth="1"/>
    <col min="10425" max="10426" width="4.3828125" style="23" customWidth="1"/>
    <col min="10427" max="10427" width="0" style="23" hidden="1" customWidth="1"/>
    <col min="10428" max="10428" width="4.3828125" style="23" customWidth="1"/>
    <col min="10429" max="10429" width="4.3046875" style="23" customWidth="1"/>
    <col min="10430" max="10430" width="0" style="23" hidden="1" customWidth="1"/>
    <col min="10431" max="10432" width="4.3828125" style="23" customWidth="1"/>
    <col min="10433" max="10433" width="0" style="23" hidden="1" customWidth="1"/>
    <col min="10434" max="10435" width="4.3828125" style="23" customWidth="1"/>
    <col min="10436" max="10436" width="0" style="23" hidden="1" customWidth="1"/>
    <col min="10437" max="10438" width="4.3828125" style="23" customWidth="1"/>
    <col min="10439" max="10439" width="0" style="23" hidden="1" customWidth="1"/>
    <col min="10440" max="10441" width="4.3828125" style="23" customWidth="1"/>
    <col min="10442" max="10496" width="10.3046875" style="23"/>
    <col min="10497" max="10497" width="3.84375" style="23" customWidth="1"/>
    <col min="10498" max="10498" width="32.69140625" style="23" customWidth="1"/>
    <col min="10499" max="10575" width="3.84375" style="23" customWidth="1"/>
    <col min="10576" max="10577" width="0" style="23" hidden="1" customWidth="1"/>
    <col min="10578" max="10578" width="3.84375" style="23" customWidth="1"/>
    <col min="10579" max="10580" width="0" style="23" hidden="1" customWidth="1"/>
    <col min="10581" max="10581" width="3.84375" style="23" customWidth="1"/>
    <col min="10582" max="10583" width="0" style="23" hidden="1" customWidth="1"/>
    <col min="10584" max="10584" width="3.84375" style="23" customWidth="1"/>
    <col min="10585" max="10586" width="0" style="23" hidden="1" customWidth="1"/>
    <col min="10587" max="10587" width="3.84375" style="23" customWidth="1"/>
    <col min="10588" max="10589" width="0" style="23" hidden="1" customWidth="1"/>
    <col min="10590" max="10590" width="3.84375" style="23" customWidth="1"/>
    <col min="10591" max="10592" width="0" style="23" hidden="1" customWidth="1"/>
    <col min="10593" max="10593" width="3.84375" style="23" customWidth="1"/>
    <col min="10594" max="10595" width="0" style="23" hidden="1" customWidth="1"/>
    <col min="10596" max="10596" width="3.84375" style="23" customWidth="1"/>
    <col min="10597" max="10598" width="0" style="23" hidden="1" customWidth="1"/>
    <col min="10599" max="10599" width="3.84375" style="23" customWidth="1"/>
    <col min="10600" max="10601" width="0" style="23" hidden="1" customWidth="1"/>
    <col min="10602" max="10602" width="3.84375" style="23" customWidth="1"/>
    <col min="10603" max="10604" width="0" style="23" hidden="1" customWidth="1"/>
    <col min="10605" max="10605" width="3.84375" style="23" customWidth="1"/>
    <col min="10606" max="10607" width="0" style="23" hidden="1" customWidth="1"/>
    <col min="10608" max="10608" width="3.84375" style="23" customWidth="1"/>
    <col min="10609" max="10610" width="0" style="23" hidden="1" customWidth="1"/>
    <col min="10611" max="10611" width="3.84375" style="23" customWidth="1"/>
    <col min="10612" max="10613" width="0" style="23" hidden="1" customWidth="1"/>
    <col min="10614" max="10614" width="3.84375" style="23" customWidth="1"/>
    <col min="10615" max="10616" width="0" style="23" hidden="1" customWidth="1"/>
    <col min="10617" max="10617" width="3.84375" style="23" customWidth="1"/>
    <col min="10618" max="10619" width="0" style="23" hidden="1" customWidth="1"/>
    <col min="10620" max="10620" width="3.84375" style="23" customWidth="1"/>
    <col min="10621" max="10622" width="0" style="23" hidden="1" customWidth="1"/>
    <col min="10623" max="10623" width="3.84375" style="23" customWidth="1"/>
    <col min="10624" max="10625" width="0" style="23" hidden="1" customWidth="1"/>
    <col min="10626" max="10627" width="3.84375" style="23" customWidth="1"/>
    <col min="10628" max="10628" width="3.69140625" style="23" customWidth="1"/>
    <col min="10629" max="10629" width="0" style="23" hidden="1" customWidth="1"/>
    <col min="10630" max="10630" width="3.84375" style="23" customWidth="1"/>
    <col min="10631" max="10631" width="4.15234375" style="23" bestFit="1" customWidth="1"/>
    <col min="10632" max="10632" width="0" style="23" hidden="1" customWidth="1"/>
    <col min="10633" max="10634" width="4.15234375" style="23" bestFit="1" customWidth="1"/>
    <col min="10635" max="10635" width="0" style="23" hidden="1" customWidth="1"/>
    <col min="10636" max="10637" width="4.3046875" style="23" customWidth="1"/>
    <col min="10638" max="10638" width="0" style="23" hidden="1" customWidth="1"/>
    <col min="10639" max="10639" width="4.69140625" style="23" bestFit="1" customWidth="1"/>
    <col min="10640" max="10640" width="4.15234375" style="23" customWidth="1"/>
    <col min="10641" max="10641" width="0" style="23" hidden="1" customWidth="1"/>
    <col min="10642" max="10643" width="4.15234375" style="23" customWidth="1"/>
    <col min="10644" max="10644" width="0" style="23" hidden="1" customWidth="1"/>
    <col min="10645" max="10645" width="4.53515625" style="23" customWidth="1"/>
    <col min="10646" max="10646" width="4.69140625" style="23" customWidth="1"/>
    <col min="10647" max="10647" width="0" style="23" hidden="1" customWidth="1"/>
    <col min="10648" max="10648" width="4.53515625" style="23" customWidth="1"/>
    <col min="10649" max="10649" width="4.69140625" style="23" customWidth="1"/>
    <col min="10650" max="10650" width="0" style="23" hidden="1" customWidth="1"/>
    <col min="10651" max="10652" width="4.53515625" style="23" customWidth="1"/>
    <col min="10653" max="10653" width="0" style="23" hidden="1" customWidth="1"/>
    <col min="10654" max="10655" width="4.69140625" style="23" customWidth="1"/>
    <col min="10656" max="10656" width="0" style="23" hidden="1" customWidth="1"/>
    <col min="10657" max="10658" width="4.53515625" style="23" customWidth="1"/>
    <col min="10659" max="10659" width="0" style="23" hidden="1" customWidth="1"/>
    <col min="10660" max="10660" width="4.53515625" style="23" customWidth="1"/>
    <col min="10661" max="10661" width="4.69140625" style="23" customWidth="1"/>
    <col min="10662" max="10662" width="0" style="23" hidden="1" customWidth="1"/>
    <col min="10663" max="10663" width="5.15234375" style="23" customWidth="1"/>
    <col min="10664" max="10664" width="4.53515625" style="23" customWidth="1"/>
    <col min="10665" max="10665" width="0" style="23" hidden="1" customWidth="1"/>
    <col min="10666" max="10666" width="5" style="23" customWidth="1"/>
    <col min="10667" max="10667" width="4.84375" style="23" customWidth="1"/>
    <col min="10668" max="10668" width="0" style="23" hidden="1" customWidth="1"/>
    <col min="10669" max="10670" width="4.53515625" style="23" customWidth="1"/>
    <col min="10671" max="10671" width="0" style="23" hidden="1" customWidth="1"/>
    <col min="10672" max="10672" width="4.53515625" style="23" customWidth="1"/>
    <col min="10673" max="10673" width="4.69140625" style="23" customWidth="1"/>
    <col min="10674" max="10674" width="0" style="23" hidden="1" customWidth="1"/>
    <col min="10675" max="10676" width="4.3828125" style="23" customWidth="1"/>
    <col min="10677" max="10677" width="0" style="23" hidden="1" customWidth="1"/>
    <col min="10678" max="10679" width="4.3828125" style="23" customWidth="1"/>
    <col min="10680" max="10680" width="0" style="23" hidden="1" customWidth="1"/>
    <col min="10681" max="10682" width="4.3828125" style="23" customWidth="1"/>
    <col min="10683" max="10683" width="0" style="23" hidden="1" customWidth="1"/>
    <col min="10684" max="10684" width="4.3828125" style="23" customWidth="1"/>
    <col min="10685" max="10685" width="4.3046875" style="23" customWidth="1"/>
    <col min="10686" max="10686" width="0" style="23" hidden="1" customWidth="1"/>
    <col min="10687" max="10688" width="4.3828125" style="23" customWidth="1"/>
    <col min="10689" max="10689" width="0" style="23" hidden="1" customWidth="1"/>
    <col min="10690" max="10691" width="4.3828125" style="23" customWidth="1"/>
    <col min="10692" max="10692" width="0" style="23" hidden="1" customWidth="1"/>
    <col min="10693" max="10694" width="4.3828125" style="23" customWidth="1"/>
    <col min="10695" max="10695" width="0" style="23" hidden="1" customWidth="1"/>
    <col min="10696" max="10697" width="4.3828125" style="23" customWidth="1"/>
    <col min="10698" max="10752" width="10.3046875" style="23"/>
    <col min="10753" max="10753" width="3.84375" style="23" customWidth="1"/>
    <col min="10754" max="10754" width="32.69140625" style="23" customWidth="1"/>
    <col min="10755" max="10831" width="3.84375" style="23" customWidth="1"/>
    <col min="10832" max="10833" width="0" style="23" hidden="1" customWidth="1"/>
    <col min="10834" max="10834" width="3.84375" style="23" customWidth="1"/>
    <col min="10835" max="10836" width="0" style="23" hidden="1" customWidth="1"/>
    <col min="10837" max="10837" width="3.84375" style="23" customWidth="1"/>
    <col min="10838" max="10839" width="0" style="23" hidden="1" customWidth="1"/>
    <col min="10840" max="10840" width="3.84375" style="23" customWidth="1"/>
    <col min="10841" max="10842" width="0" style="23" hidden="1" customWidth="1"/>
    <col min="10843" max="10843" width="3.84375" style="23" customWidth="1"/>
    <col min="10844" max="10845" width="0" style="23" hidden="1" customWidth="1"/>
    <col min="10846" max="10846" width="3.84375" style="23" customWidth="1"/>
    <col min="10847" max="10848" width="0" style="23" hidden="1" customWidth="1"/>
    <col min="10849" max="10849" width="3.84375" style="23" customWidth="1"/>
    <col min="10850" max="10851" width="0" style="23" hidden="1" customWidth="1"/>
    <col min="10852" max="10852" width="3.84375" style="23" customWidth="1"/>
    <col min="10853" max="10854" width="0" style="23" hidden="1" customWidth="1"/>
    <col min="10855" max="10855" width="3.84375" style="23" customWidth="1"/>
    <col min="10856" max="10857" width="0" style="23" hidden="1" customWidth="1"/>
    <col min="10858" max="10858" width="3.84375" style="23" customWidth="1"/>
    <col min="10859" max="10860" width="0" style="23" hidden="1" customWidth="1"/>
    <col min="10861" max="10861" width="3.84375" style="23" customWidth="1"/>
    <col min="10862" max="10863" width="0" style="23" hidden="1" customWidth="1"/>
    <col min="10864" max="10864" width="3.84375" style="23" customWidth="1"/>
    <col min="10865" max="10866" width="0" style="23" hidden="1" customWidth="1"/>
    <col min="10867" max="10867" width="3.84375" style="23" customWidth="1"/>
    <col min="10868" max="10869" width="0" style="23" hidden="1" customWidth="1"/>
    <col min="10870" max="10870" width="3.84375" style="23" customWidth="1"/>
    <col min="10871" max="10872" width="0" style="23" hidden="1" customWidth="1"/>
    <col min="10873" max="10873" width="3.84375" style="23" customWidth="1"/>
    <col min="10874" max="10875" width="0" style="23" hidden="1" customWidth="1"/>
    <col min="10876" max="10876" width="3.84375" style="23" customWidth="1"/>
    <col min="10877" max="10878" width="0" style="23" hidden="1" customWidth="1"/>
    <col min="10879" max="10879" width="3.84375" style="23" customWidth="1"/>
    <col min="10880" max="10881" width="0" style="23" hidden="1" customWidth="1"/>
    <col min="10882" max="10883" width="3.84375" style="23" customWidth="1"/>
    <col min="10884" max="10884" width="3.69140625" style="23" customWidth="1"/>
    <col min="10885" max="10885" width="0" style="23" hidden="1" customWidth="1"/>
    <col min="10886" max="10886" width="3.84375" style="23" customWidth="1"/>
    <col min="10887" max="10887" width="4.15234375" style="23" bestFit="1" customWidth="1"/>
    <col min="10888" max="10888" width="0" style="23" hidden="1" customWidth="1"/>
    <col min="10889" max="10890" width="4.15234375" style="23" bestFit="1" customWidth="1"/>
    <col min="10891" max="10891" width="0" style="23" hidden="1" customWidth="1"/>
    <col min="10892" max="10893" width="4.3046875" style="23" customWidth="1"/>
    <col min="10894" max="10894" width="0" style="23" hidden="1" customWidth="1"/>
    <col min="10895" max="10895" width="4.69140625" style="23" bestFit="1" customWidth="1"/>
    <col min="10896" max="10896" width="4.15234375" style="23" customWidth="1"/>
    <col min="10897" max="10897" width="0" style="23" hidden="1" customWidth="1"/>
    <col min="10898" max="10899" width="4.15234375" style="23" customWidth="1"/>
    <col min="10900" max="10900" width="0" style="23" hidden="1" customWidth="1"/>
    <col min="10901" max="10901" width="4.53515625" style="23" customWidth="1"/>
    <col min="10902" max="10902" width="4.69140625" style="23" customWidth="1"/>
    <col min="10903" max="10903" width="0" style="23" hidden="1" customWidth="1"/>
    <col min="10904" max="10904" width="4.53515625" style="23" customWidth="1"/>
    <col min="10905" max="10905" width="4.69140625" style="23" customWidth="1"/>
    <col min="10906" max="10906" width="0" style="23" hidden="1" customWidth="1"/>
    <col min="10907" max="10908" width="4.53515625" style="23" customWidth="1"/>
    <col min="10909" max="10909" width="0" style="23" hidden="1" customWidth="1"/>
    <col min="10910" max="10911" width="4.69140625" style="23" customWidth="1"/>
    <col min="10912" max="10912" width="0" style="23" hidden="1" customWidth="1"/>
    <col min="10913" max="10914" width="4.53515625" style="23" customWidth="1"/>
    <col min="10915" max="10915" width="0" style="23" hidden="1" customWidth="1"/>
    <col min="10916" max="10916" width="4.53515625" style="23" customWidth="1"/>
    <col min="10917" max="10917" width="4.69140625" style="23" customWidth="1"/>
    <col min="10918" max="10918" width="0" style="23" hidden="1" customWidth="1"/>
    <col min="10919" max="10919" width="5.15234375" style="23" customWidth="1"/>
    <col min="10920" max="10920" width="4.53515625" style="23" customWidth="1"/>
    <col min="10921" max="10921" width="0" style="23" hidden="1" customWidth="1"/>
    <col min="10922" max="10922" width="5" style="23" customWidth="1"/>
    <col min="10923" max="10923" width="4.84375" style="23" customWidth="1"/>
    <col min="10924" max="10924" width="0" style="23" hidden="1" customWidth="1"/>
    <col min="10925" max="10926" width="4.53515625" style="23" customWidth="1"/>
    <col min="10927" max="10927" width="0" style="23" hidden="1" customWidth="1"/>
    <col min="10928" max="10928" width="4.53515625" style="23" customWidth="1"/>
    <col min="10929" max="10929" width="4.69140625" style="23" customWidth="1"/>
    <col min="10930" max="10930" width="0" style="23" hidden="1" customWidth="1"/>
    <col min="10931" max="10932" width="4.3828125" style="23" customWidth="1"/>
    <col min="10933" max="10933" width="0" style="23" hidden="1" customWidth="1"/>
    <col min="10934" max="10935" width="4.3828125" style="23" customWidth="1"/>
    <col min="10936" max="10936" width="0" style="23" hidden="1" customWidth="1"/>
    <col min="10937" max="10938" width="4.3828125" style="23" customWidth="1"/>
    <col min="10939" max="10939" width="0" style="23" hidden="1" customWidth="1"/>
    <col min="10940" max="10940" width="4.3828125" style="23" customWidth="1"/>
    <col min="10941" max="10941" width="4.3046875" style="23" customWidth="1"/>
    <col min="10942" max="10942" width="0" style="23" hidden="1" customWidth="1"/>
    <col min="10943" max="10944" width="4.3828125" style="23" customWidth="1"/>
    <col min="10945" max="10945" width="0" style="23" hidden="1" customWidth="1"/>
    <col min="10946" max="10947" width="4.3828125" style="23" customWidth="1"/>
    <col min="10948" max="10948" width="0" style="23" hidden="1" customWidth="1"/>
    <col min="10949" max="10950" width="4.3828125" style="23" customWidth="1"/>
    <col min="10951" max="10951" width="0" style="23" hidden="1" customWidth="1"/>
    <col min="10952" max="10953" width="4.3828125" style="23" customWidth="1"/>
    <col min="10954" max="11008" width="10.3046875" style="23"/>
    <col min="11009" max="11009" width="3.84375" style="23" customWidth="1"/>
    <col min="11010" max="11010" width="32.69140625" style="23" customWidth="1"/>
    <col min="11011" max="11087" width="3.84375" style="23" customWidth="1"/>
    <col min="11088" max="11089" width="0" style="23" hidden="1" customWidth="1"/>
    <col min="11090" max="11090" width="3.84375" style="23" customWidth="1"/>
    <col min="11091" max="11092" width="0" style="23" hidden="1" customWidth="1"/>
    <col min="11093" max="11093" width="3.84375" style="23" customWidth="1"/>
    <col min="11094" max="11095" width="0" style="23" hidden="1" customWidth="1"/>
    <col min="11096" max="11096" width="3.84375" style="23" customWidth="1"/>
    <col min="11097" max="11098" width="0" style="23" hidden="1" customWidth="1"/>
    <col min="11099" max="11099" width="3.84375" style="23" customWidth="1"/>
    <col min="11100" max="11101" width="0" style="23" hidden="1" customWidth="1"/>
    <col min="11102" max="11102" width="3.84375" style="23" customWidth="1"/>
    <col min="11103" max="11104" width="0" style="23" hidden="1" customWidth="1"/>
    <col min="11105" max="11105" width="3.84375" style="23" customWidth="1"/>
    <col min="11106" max="11107" width="0" style="23" hidden="1" customWidth="1"/>
    <col min="11108" max="11108" width="3.84375" style="23" customWidth="1"/>
    <col min="11109" max="11110" width="0" style="23" hidden="1" customWidth="1"/>
    <col min="11111" max="11111" width="3.84375" style="23" customWidth="1"/>
    <col min="11112" max="11113" width="0" style="23" hidden="1" customWidth="1"/>
    <col min="11114" max="11114" width="3.84375" style="23" customWidth="1"/>
    <col min="11115" max="11116" width="0" style="23" hidden="1" customWidth="1"/>
    <col min="11117" max="11117" width="3.84375" style="23" customWidth="1"/>
    <col min="11118" max="11119" width="0" style="23" hidden="1" customWidth="1"/>
    <col min="11120" max="11120" width="3.84375" style="23" customWidth="1"/>
    <col min="11121" max="11122" width="0" style="23" hidden="1" customWidth="1"/>
    <col min="11123" max="11123" width="3.84375" style="23" customWidth="1"/>
    <col min="11124" max="11125" width="0" style="23" hidden="1" customWidth="1"/>
    <col min="11126" max="11126" width="3.84375" style="23" customWidth="1"/>
    <col min="11127" max="11128" width="0" style="23" hidden="1" customWidth="1"/>
    <col min="11129" max="11129" width="3.84375" style="23" customWidth="1"/>
    <col min="11130" max="11131" width="0" style="23" hidden="1" customWidth="1"/>
    <col min="11132" max="11132" width="3.84375" style="23" customWidth="1"/>
    <col min="11133" max="11134" width="0" style="23" hidden="1" customWidth="1"/>
    <col min="11135" max="11135" width="3.84375" style="23" customWidth="1"/>
    <col min="11136" max="11137" width="0" style="23" hidden="1" customWidth="1"/>
    <col min="11138" max="11139" width="3.84375" style="23" customWidth="1"/>
    <col min="11140" max="11140" width="3.69140625" style="23" customWidth="1"/>
    <col min="11141" max="11141" width="0" style="23" hidden="1" customWidth="1"/>
    <col min="11142" max="11142" width="3.84375" style="23" customWidth="1"/>
    <col min="11143" max="11143" width="4.15234375" style="23" bestFit="1" customWidth="1"/>
    <col min="11144" max="11144" width="0" style="23" hidden="1" customWidth="1"/>
    <col min="11145" max="11146" width="4.15234375" style="23" bestFit="1" customWidth="1"/>
    <col min="11147" max="11147" width="0" style="23" hidden="1" customWidth="1"/>
    <col min="11148" max="11149" width="4.3046875" style="23" customWidth="1"/>
    <col min="11150" max="11150" width="0" style="23" hidden="1" customWidth="1"/>
    <col min="11151" max="11151" width="4.69140625" style="23" bestFit="1" customWidth="1"/>
    <col min="11152" max="11152" width="4.15234375" style="23" customWidth="1"/>
    <col min="11153" max="11153" width="0" style="23" hidden="1" customWidth="1"/>
    <col min="11154" max="11155" width="4.15234375" style="23" customWidth="1"/>
    <col min="11156" max="11156" width="0" style="23" hidden="1" customWidth="1"/>
    <col min="11157" max="11157" width="4.53515625" style="23" customWidth="1"/>
    <col min="11158" max="11158" width="4.69140625" style="23" customWidth="1"/>
    <col min="11159" max="11159" width="0" style="23" hidden="1" customWidth="1"/>
    <col min="11160" max="11160" width="4.53515625" style="23" customWidth="1"/>
    <col min="11161" max="11161" width="4.69140625" style="23" customWidth="1"/>
    <col min="11162" max="11162" width="0" style="23" hidden="1" customWidth="1"/>
    <col min="11163" max="11164" width="4.53515625" style="23" customWidth="1"/>
    <col min="11165" max="11165" width="0" style="23" hidden="1" customWidth="1"/>
    <col min="11166" max="11167" width="4.69140625" style="23" customWidth="1"/>
    <col min="11168" max="11168" width="0" style="23" hidden="1" customWidth="1"/>
    <col min="11169" max="11170" width="4.53515625" style="23" customWidth="1"/>
    <col min="11171" max="11171" width="0" style="23" hidden="1" customWidth="1"/>
    <col min="11172" max="11172" width="4.53515625" style="23" customWidth="1"/>
    <col min="11173" max="11173" width="4.69140625" style="23" customWidth="1"/>
    <col min="11174" max="11174" width="0" style="23" hidden="1" customWidth="1"/>
    <col min="11175" max="11175" width="5.15234375" style="23" customWidth="1"/>
    <col min="11176" max="11176" width="4.53515625" style="23" customWidth="1"/>
    <col min="11177" max="11177" width="0" style="23" hidden="1" customWidth="1"/>
    <col min="11178" max="11178" width="5" style="23" customWidth="1"/>
    <col min="11179" max="11179" width="4.84375" style="23" customWidth="1"/>
    <col min="11180" max="11180" width="0" style="23" hidden="1" customWidth="1"/>
    <col min="11181" max="11182" width="4.53515625" style="23" customWidth="1"/>
    <col min="11183" max="11183" width="0" style="23" hidden="1" customWidth="1"/>
    <col min="11184" max="11184" width="4.53515625" style="23" customWidth="1"/>
    <col min="11185" max="11185" width="4.69140625" style="23" customWidth="1"/>
    <col min="11186" max="11186" width="0" style="23" hidden="1" customWidth="1"/>
    <col min="11187" max="11188" width="4.3828125" style="23" customWidth="1"/>
    <col min="11189" max="11189" width="0" style="23" hidden="1" customWidth="1"/>
    <col min="11190" max="11191" width="4.3828125" style="23" customWidth="1"/>
    <col min="11192" max="11192" width="0" style="23" hidden="1" customWidth="1"/>
    <col min="11193" max="11194" width="4.3828125" style="23" customWidth="1"/>
    <col min="11195" max="11195" width="0" style="23" hidden="1" customWidth="1"/>
    <col min="11196" max="11196" width="4.3828125" style="23" customWidth="1"/>
    <col min="11197" max="11197" width="4.3046875" style="23" customWidth="1"/>
    <col min="11198" max="11198" width="0" style="23" hidden="1" customWidth="1"/>
    <col min="11199" max="11200" width="4.3828125" style="23" customWidth="1"/>
    <col min="11201" max="11201" width="0" style="23" hidden="1" customWidth="1"/>
    <col min="11202" max="11203" width="4.3828125" style="23" customWidth="1"/>
    <col min="11204" max="11204" width="0" style="23" hidden="1" customWidth="1"/>
    <col min="11205" max="11206" width="4.3828125" style="23" customWidth="1"/>
    <col min="11207" max="11207" width="0" style="23" hidden="1" customWidth="1"/>
    <col min="11208" max="11209" width="4.3828125" style="23" customWidth="1"/>
    <col min="11210" max="11264" width="10.3046875" style="23"/>
    <col min="11265" max="11265" width="3.84375" style="23" customWidth="1"/>
    <col min="11266" max="11266" width="32.69140625" style="23" customWidth="1"/>
    <col min="11267" max="11343" width="3.84375" style="23" customWidth="1"/>
    <col min="11344" max="11345" width="0" style="23" hidden="1" customWidth="1"/>
    <col min="11346" max="11346" width="3.84375" style="23" customWidth="1"/>
    <col min="11347" max="11348" width="0" style="23" hidden="1" customWidth="1"/>
    <col min="11349" max="11349" width="3.84375" style="23" customWidth="1"/>
    <col min="11350" max="11351" width="0" style="23" hidden="1" customWidth="1"/>
    <col min="11352" max="11352" width="3.84375" style="23" customWidth="1"/>
    <col min="11353" max="11354" width="0" style="23" hidden="1" customWidth="1"/>
    <col min="11355" max="11355" width="3.84375" style="23" customWidth="1"/>
    <col min="11356" max="11357" width="0" style="23" hidden="1" customWidth="1"/>
    <col min="11358" max="11358" width="3.84375" style="23" customWidth="1"/>
    <col min="11359" max="11360" width="0" style="23" hidden="1" customWidth="1"/>
    <col min="11361" max="11361" width="3.84375" style="23" customWidth="1"/>
    <col min="11362" max="11363" width="0" style="23" hidden="1" customWidth="1"/>
    <col min="11364" max="11364" width="3.84375" style="23" customWidth="1"/>
    <col min="11365" max="11366" width="0" style="23" hidden="1" customWidth="1"/>
    <col min="11367" max="11367" width="3.84375" style="23" customWidth="1"/>
    <col min="11368" max="11369" width="0" style="23" hidden="1" customWidth="1"/>
    <col min="11370" max="11370" width="3.84375" style="23" customWidth="1"/>
    <col min="11371" max="11372" width="0" style="23" hidden="1" customWidth="1"/>
    <col min="11373" max="11373" width="3.84375" style="23" customWidth="1"/>
    <col min="11374" max="11375" width="0" style="23" hidden="1" customWidth="1"/>
    <col min="11376" max="11376" width="3.84375" style="23" customWidth="1"/>
    <col min="11377" max="11378" width="0" style="23" hidden="1" customWidth="1"/>
    <col min="11379" max="11379" width="3.84375" style="23" customWidth="1"/>
    <col min="11380" max="11381" width="0" style="23" hidden="1" customWidth="1"/>
    <col min="11382" max="11382" width="3.84375" style="23" customWidth="1"/>
    <col min="11383" max="11384" width="0" style="23" hidden="1" customWidth="1"/>
    <col min="11385" max="11385" width="3.84375" style="23" customWidth="1"/>
    <col min="11386" max="11387" width="0" style="23" hidden="1" customWidth="1"/>
    <col min="11388" max="11388" width="3.84375" style="23" customWidth="1"/>
    <col min="11389" max="11390" width="0" style="23" hidden="1" customWidth="1"/>
    <col min="11391" max="11391" width="3.84375" style="23" customWidth="1"/>
    <col min="11392" max="11393" width="0" style="23" hidden="1" customWidth="1"/>
    <col min="11394" max="11395" width="3.84375" style="23" customWidth="1"/>
    <col min="11396" max="11396" width="3.69140625" style="23" customWidth="1"/>
    <col min="11397" max="11397" width="0" style="23" hidden="1" customWidth="1"/>
    <col min="11398" max="11398" width="3.84375" style="23" customWidth="1"/>
    <col min="11399" max="11399" width="4.15234375" style="23" bestFit="1" customWidth="1"/>
    <col min="11400" max="11400" width="0" style="23" hidden="1" customWidth="1"/>
    <col min="11401" max="11402" width="4.15234375" style="23" bestFit="1" customWidth="1"/>
    <col min="11403" max="11403" width="0" style="23" hidden="1" customWidth="1"/>
    <col min="11404" max="11405" width="4.3046875" style="23" customWidth="1"/>
    <col min="11406" max="11406" width="0" style="23" hidden="1" customWidth="1"/>
    <col min="11407" max="11407" width="4.69140625" style="23" bestFit="1" customWidth="1"/>
    <col min="11408" max="11408" width="4.15234375" style="23" customWidth="1"/>
    <col min="11409" max="11409" width="0" style="23" hidden="1" customWidth="1"/>
    <col min="11410" max="11411" width="4.15234375" style="23" customWidth="1"/>
    <col min="11412" max="11412" width="0" style="23" hidden="1" customWidth="1"/>
    <col min="11413" max="11413" width="4.53515625" style="23" customWidth="1"/>
    <col min="11414" max="11414" width="4.69140625" style="23" customWidth="1"/>
    <col min="11415" max="11415" width="0" style="23" hidden="1" customWidth="1"/>
    <col min="11416" max="11416" width="4.53515625" style="23" customWidth="1"/>
    <col min="11417" max="11417" width="4.69140625" style="23" customWidth="1"/>
    <col min="11418" max="11418" width="0" style="23" hidden="1" customWidth="1"/>
    <col min="11419" max="11420" width="4.53515625" style="23" customWidth="1"/>
    <col min="11421" max="11421" width="0" style="23" hidden="1" customWidth="1"/>
    <col min="11422" max="11423" width="4.69140625" style="23" customWidth="1"/>
    <col min="11424" max="11424" width="0" style="23" hidden="1" customWidth="1"/>
    <col min="11425" max="11426" width="4.53515625" style="23" customWidth="1"/>
    <col min="11427" max="11427" width="0" style="23" hidden="1" customWidth="1"/>
    <col min="11428" max="11428" width="4.53515625" style="23" customWidth="1"/>
    <col min="11429" max="11429" width="4.69140625" style="23" customWidth="1"/>
    <col min="11430" max="11430" width="0" style="23" hidden="1" customWidth="1"/>
    <col min="11431" max="11431" width="5.15234375" style="23" customWidth="1"/>
    <col min="11432" max="11432" width="4.53515625" style="23" customWidth="1"/>
    <col min="11433" max="11433" width="0" style="23" hidden="1" customWidth="1"/>
    <col min="11434" max="11434" width="5" style="23" customWidth="1"/>
    <col min="11435" max="11435" width="4.84375" style="23" customWidth="1"/>
    <col min="11436" max="11436" width="0" style="23" hidden="1" customWidth="1"/>
    <col min="11437" max="11438" width="4.53515625" style="23" customWidth="1"/>
    <col min="11439" max="11439" width="0" style="23" hidden="1" customWidth="1"/>
    <col min="11440" max="11440" width="4.53515625" style="23" customWidth="1"/>
    <col min="11441" max="11441" width="4.69140625" style="23" customWidth="1"/>
    <col min="11442" max="11442" width="0" style="23" hidden="1" customWidth="1"/>
    <col min="11443" max="11444" width="4.3828125" style="23" customWidth="1"/>
    <col min="11445" max="11445" width="0" style="23" hidden="1" customWidth="1"/>
    <col min="11446" max="11447" width="4.3828125" style="23" customWidth="1"/>
    <col min="11448" max="11448" width="0" style="23" hidden="1" customWidth="1"/>
    <col min="11449" max="11450" width="4.3828125" style="23" customWidth="1"/>
    <col min="11451" max="11451" width="0" style="23" hidden="1" customWidth="1"/>
    <col min="11452" max="11452" width="4.3828125" style="23" customWidth="1"/>
    <col min="11453" max="11453" width="4.3046875" style="23" customWidth="1"/>
    <col min="11454" max="11454" width="0" style="23" hidden="1" customWidth="1"/>
    <col min="11455" max="11456" width="4.3828125" style="23" customWidth="1"/>
    <col min="11457" max="11457" width="0" style="23" hidden="1" customWidth="1"/>
    <col min="11458" max="11459" width="4.3828125" style="23" customWidth="1"/>
    <col min="11460" max="11460" width="0" style="23" hidden="1" customWidth="1"/>
    <col min="11461" max="11462" width="4.3828125" style="23" customWidth="1"/>
    <col min="11463" max="11463" width="0" style="23" hidden="1" customWidth="1"/>
    <col min="11464" max="11465" width="4.3828125" style="23" customWidth="1"/>
    <col min="11466" max="11520" width="10.3046875" style="23"/>
    <col min="11521" max="11521" width="3.84375" style="23" customWidth="1"/>
    <col min="11522" max="11522" width="32.69140625" style="23" customWidth="1"/>
    <col min="11523" max="11599" width="3.84375" style="23" customWidth="1"/>
    <col min="11600" max="11601" width="0" style="23" hidden="1" customWidth="1"/>
    <col min="11602" max="11602" width="3.84375" style="23" customWidth="1"/>
    <col min="11603" max="11604" width="0" style="23" hidden="1" customWidth="1"/>
    <col min="11605" max="11605" width="3.84375" style="23" customWidth="1"/>
    <col min="11606" max="11607" width="0" style="23" hidden="1" customWidth="1"/>
    <col min="11608" max="11608" width="3.84375" style="23" customWidth="1"/>
    <col min="11609" max="11610" width="0" style="23" hidden="1" customWidth="1"/>
    <col min="11611" max="11611" width="3.84375" style="23" customWidth="1"/>
    <col min="11612" max="11613" width="0" style="23" hidden="1" customWidth="1"/>
    <col min="11614" max="11614" width="3.84375" style="23" customWidth="1"/>
    <col min="11615" max="11616" width="0" style="23" hidden="1" customWidth="1"/>
    <col min="11617" max="11617" width="3.84375" style="23" customWidth="1"/>
    <col min="11618" max="11619" width="0" style="23" hidden="1" customWidth="1"/>
    <col min="11620" max="11620" width="3.84375" style="23" customWidth="1"/>
    <col min="11621" max="11622" width="0" style="23" hidden="1" customWidth="1"/>
    <col min="11623" max="11623" width="3.84375" style="23" customWidth="1"/>
    <col min="11624" max="11625" width="0" style="23" hidden="1" customWidth="1"/>
    <col min="11626" max="11626" width="3.84375" style="23" customWidth="1"/>
    <col min="11627" max="11628" width="0" style="23" hidden="1" customWidth="1"/>
    <col min="11629" max="11629" width="3.84375" style="23" customWidth="1"/>
    <col min="11630" max="11631" width="0" style="23" hidden="1" customWidth="1"/>
    <col min="11632" max="11632" width="3.84375" style="23" customWidth="1"/>
    <col min="11633" max="11634" width="0" style="23" hidden="1" customWidth="1"/>
    <col min="11635" max="11635" width="3.84375" style="23" customWidth="1"/>
    <col min="11636" max="11637" width="0" style="23" hidden="1" customWidth="1"/>
    <col min="11638" max="11638" width="3.84375" style="23" customWidth="1"/>
    <col min="11639" max="11640" width="0" style="23" hidden="1" customWidth="1"/>
    <col min="11641" max="11641" width="3.84375" style="23" customWidth="1"/>
    <col min="11642" max="11643" width="0" style="23" hidden="1" customWidth="1"/>
    <col min="11644" max="11644" width="3.84375" style="23" customWidth="1"/>
    <col min="11645" max="11646" width="0" style="23" hidden="1" customWidth="1"/>
    <col min="11647" max="11647" width="3.84375" style="23" customWidth="1"/>
    <col min="11648" max="11649" width="0" style="23" hidden="1" customWidth="1"/>
    <col min="11650" max="11651" width="3.84375" style="23" customWidth="1"/>
    <col min="11652" max="11652" width="3.69140625" style="23" customWidth="1"/>
    <col min="11653" max="11653" width="0" style="23" hidden="1" customWidth="1"/>
    <col min="11654" max="11654" width="3.84375" style="23" customWidth="1"/>
    <col min="11655" max="11655" width="4.15234375" style="23" bestFit="1" customWidth="1"/>
    <col min="11656" max="11656" width="0" style="23" hidden="1" customWidth="1"/>
    <col min="11657" max="11658" width="4.15234375" style="23" bestFit="1" customWidth="1"/>
    <col min="11659" max="11659" width="0" style="23" hidden="1" customWidth="1"/>
    <col min="11660" max="11661" width="4.3046875" style="23" customWidth="1"/>
    <col min="11662" max="11662" width="0" style="23" hidden="1" customWidth="1"/>
    <col min="11663" max="11663" width="4.69140625" style="23" bestFit="1" customWidth="1"/>
    <col min="11664" max="11664" width="4.15234375" style="23" customWidth="1"/>
    <col min="11665" max="11665" width="0" style="23" hidden="1" customWidth="1"/>
    <col min="11666" max="11667" width="4.15234375" style="23" customWidth="1"/>
    <col min="11668" max="11668" width="0" style="23" hidden="1" customWidth="1"/>
    <col min="11669" max="11669" width="4.53515625" style="23" customWidth="1"/>
    <col min="11670" max="11670" width="4.69140625" style="23" customWidth="1"/>
    <col min="11671" max="11671" width="0" style="23" hidden="1" customWidth="1"/>
    <col min="11672" max="11672" width="4.53515625" style="23" customWidth="1"/>
    <col min="11673" max="11673" width="4.69140625" style="23" customWidth="1"/>
    <col min="11674" max="11674" width="0" style="23" hidden="1" customWidth="1"/>
    <col min="11675" max="11676" width="4.53515625" style="23" customWidth="1"/>
    <col min="11677" max="11677" width="0" style="23" hidden="1" customWidth="1"/>
    <col min="11678" max="11679" width="4.69140625" style="23" customWidth="1"/>
    <col min="11680" max="11680" width="0" style="23" hidden="1" customWidth="1"/>
    <col min="11681" max="11682" width="4.53515625" style="23" customWidth="1"/>
    <col min="11683" max="11683" width="0" style="23" hidden="1" customWidth="1"/>
    <col min="11684" max="11684" width="4.53515625" style="23" customWidth="1"/>
    <col min="11685" max="11685" width="4.69140625" style="23" customWidth="1"/>
    <col min="11686" max="11686" width="0" style="23" hidden="1" customWidth="1"/>
    <col min="11687" max="11687" width="5.15234375" style="23" customWidth="1"/>
    <col min="11688" max="11688" width="4.53515625" style="23" customWidth="1"/>
    <col min="11689" max="11689" width="0" style="23" hidden="1" customWidth="1"/>
    <col min="11690" max="11690" width="5" style="23" customWidth="1"/>
    <col min="11691" max="11691" width="4.84375" style="23" customWidth="1"/>
    <col min="11692" max="11692" width="0" style="23" hidden="1" customWidth="1"/>
    <col min="11693" max="11694" width="4.53515625" style="23" customWidth="1"/>
    <col min="11695" max="11695" width="0" style="23" hidden="1" customWidth="1"/>
    <col min="11696" max="11696" width="4.53515625" style="23" customWidth="1"/>
    <col min="11697" max="11697" width="4.69140625" style="23" customWidth="1"/>
    <col min="11698" max="11698" width="0" style="23" hidden="1" customWidth="1"/>
    <col min="11699" max="11700" width="4.3828125" style="23" customWidth="1"/>
    <col min="11701" max="11701" width="0" style="23" hidden="1" customWidth="1"/>
    <col min="11702" max="11703" width="4.3828125" style="23" customWidth="1"/>
    <col min="11704" max="11704" width="0" style="23" hidden="1" customWidth="1"/>
    <col min="11705" max="11706" width="4.3828125" style="23" customWidth="1"/>
    <col min="11707" max="11707" width="0" style="23" hidden="1" customWidth="1"/>
    <col min="11708" max="11708" width="4.3828125" style="23" customWidth="1"/>
    <col min="11709" max="11709" width="4.3046875" style="23" customWidth="1"/>
    <col min="11710" max="11710" width="0" style="23" hidden="1" customWidth="1"/>
    <col min="11711" max="11712" width="4.3828125" style="23" customWidth="1"/>
    <col min="11713" max="11713" width="0" style="23" hidden="1" customWidth="1"/>
    <col min="11714" max="11715" width="4.3828125" style="23" customWidth="1"/>
    <col min="11716" max="11716" width="0" style="23" hidden="1" customWidth="1"/>
    <col min="11717" max="11718" width="4.3828125" style="23" customWidth="1"/>
    <col min="11719" max="11719" width="0" style="23" hidden="1" customWidth="1"/>
    <col min="11720" max="11721" width="4.3828125" style="23" customWidth="1"/>
    <col min="11722" max="11776" width="10.3046875" style="23"/>
    <col min="11777" max="11777" width="3.84375" style="23" customWidth="1"/>
    <col min="11778" max="11778" width="32.69140625" style="23" customWidth="1"/>
    <col min="11779" max="11855" width="3.84375" style="23" customWidth="1"/>
    <col min="11856" max="11857" width="0" style="23" hidden="1" customWidth="1"/>
    <col min="11858" max="11858" width="3.84375" style="23" customWidth="1"/>
    <col min="11859" max="11860" width="0" style="23" hidden="1" customWidth="1"/>
    <col min="11861" max="11861" width="3.84375" style="23" customWidth="1"/>
    <col min="11862" max="11863" width="0" style="23" hidden="1" customWidth="1"/>
    <col min="11864" max="11864" width="3.84375" style="23" customWidth="1"/>
    <col min="11865" max="11866" width="0" style="23" hidden="1" customWidth="1"/>
    <col min="11867" max="11867" width="3.84375" style="23" customWidth="1"/>
    <col min="11868" max="11869" width="0" style="23" hidden="1" customWidth="1"/>
    <col min="11870" max="11870" width="3.84375" style="23" customWidth="1"/>
    <col min="11871" max="11872" width="0" style="23" hidden="1" customWidth="1"/>
    <col min="11873" max="11873" width="3.84375" style="23" customWidth="1"/>
    <col min="11874" max="11875" width="0" style="23" hidden="1" customWidth="1"/>
    <col min="11876" max="11876" width="3.84375" style="23" customWidth="1"/>
    <col min="11877" max="11878" width="0" style="23" hidden="1" customWidth="1"/>
    <col min="11879" max="11879" width="3.84375" style="23" customWidth="1"/>
    <col min="11880" max="11881" width="0" style="23" hidden="1" customWidth="1"/>
    <col min="11882" max="11882" width="3.84375" style="23" customWidth="1"/>
    <col min="11883" max="11884" width="0" style="23" hidden="1" customWidth="1"/>
    <col min="11885" max="11885" width="3.84375" style="23" customWidth="1"/>
    <col min="11886" max="11887" width="0" style="23" hidden="1" customWidth="1"/>
    <col min="11888" max="11888" width="3.84375" style="23" customWidth="1"/>
    <col min="11889" max="11890" width="0" style="23" hidden="1" customWidth="1"/>
    <col min="11891" max="11891" width="3.84375" style="23" customWidth="1"/>
    <col min="11892" max="11893" width="0" style="23" hidden="1" customWidth="1"/>
    <col min="11894" max="11894" width="3.84375" style="23" customWidth="1"/>
    <col min="11895" max="11896" width="0" style="23" hidden="1" customWidth="1"/>
    <col min="11897" max="11897" width="3.84375" style="23" customWidth="1"/>
    <col min="11898" max="11899" width="0" style="23" hidden="1" customWidth="1"/>
    <col min="11900" max="11900" width="3.84375" style="23" customWidth="1"/>
    <col min="11901" max="11902" width="0" style="23" hidden="1" customWidth="1"/>
    <col min="11903" max="11903" width="3.84375" style="23" customWidth="1"/>
    <col min="11904" max="11905" width="0" style="23" hidden="1" customWidth="1"/>
    <col min="11906" max="11907" width="3.84375" style="23" customWidth="1"/>
    <col min="11908" max="11908" width="3.69140625" style="23" customWidth="1"/>
    <col min="11909" max="11909" width="0" style="23" hidden="1" customWidth="1"/>
    <col min="11910" max="11910" width="3.84375" style="23" customWidth="1"/>
    <col min="11911" max="11911" width="4.15234375" style="23" bestFit="1" customWidth="1"/>
    <col min="11912" max="11912" width="0" style="23" hidden="1" customWidth="1"/>
    <col min="11913" max="11914" width="4.15234375" style="23" bestFit="1" customWidth="1"/>
    <col min="11915" max="11915" width="0" style="23" hidden="1" customWidth="1"/>
    <col min="11916" max="11917" width="4.3046875" style="23" customWidth="1"/>
    <col min="11918" max="11918" width="0" style="23" hidden="1" customWidth="1"/>
    <col min="11919" max="11919" width="4.69140625" style="23" bestFit="1" customWidth="1"/>
    <col min="11920" max="11920" width="4.15234375" style="23" customWidth="1"/>
    <col min="11921" max="11921" width="0" style="23" hidden="1" customWidth="1"/>
    <col min="11922" max="11923" width="4.15234375" style="23" customWidth="1"/>
    <col min="11924" max="11924" width="0" style="23" hidden="1" customWidth="1"/>
    <col min="11925" max="11925" width="4.53515625" style="23" customWidth="1"/>
    <col min="11926" max="11926" width="4.69140625" style="23" customWidth="1"/>
    <col min="11927" max="11927" width="0" style="23" hidden="1" customWidth="1"/>
    <col min="11928" max="11928" width="4.53515625" style="23" customWidth="1"/>
    <col min="11929" max="11929" width="4.69140625" style="23" customWidth="1"/>
    <col min="11930" max="11930" width="0" style="23" hidden="1" customWidth="1"/>
    <col min="11931" max="11932" width="4.53515625" style="23" customWidth="1"/>
    <col min="11933" max="11933" width="0" style="23" hidden="1" customWidth="1"/>
    <col min="11934" max="11935" width="4.69140625" style="23" customWidth="1"/>
    <col min="11936" max="11936" width="0" style="23" hidden="1" customWidth="1"/>
    <col min="11937" max="11938" width="4.53515625" style="23" customWidth="1"/>
    <col min="11939" max="11939" width="0" style="23" hidden="1" customWidth="1"/>
    <col min="11940" max="11940" width="4.53515625" style="23" customWidth="1"/>
    <col min="11941" max="11941" width="4.69140625" style="23" customWidth="1"/>
    <col min="11942" max="11942" width="0" style="23" hidden="1" customWidth="1"/>
    <col min="11943" max="11943" width="5.15234375" style="23" customWidth="1"/>
    <col min="11944" max="11944" width="4.53515625" style="23" customWidth="1"/>
    <col min="11945" max="11945" width="0" style="23" hidden="1" customWidth="1"/>
    <col min="11946" max="11946" width="5" style="23" customWidth="1"/>
    <col min="11947" max="11947" width="4.84375" style="23" customWidth="1"/>
    <col min="11948" max="11948" width="0" style="23" hidden="1" customWidth="1"/>
    <col min="11949" max="11950" width="4.53515625" style="23" customWidth="1"/>
    <col min="11951" max="11951" width="0" style="23" hidden="1" customWidth="1"/>
    <col min="11952" max="11952" width="4.53515625" style="23" customWidth="1"/>
    <col min="11953" max="11953" width="4.69140625" style="23" customWidth="1"/>
    <col min="11954" max="11954" width="0" style="23" hidden="1" customWidth="1"/>
    <col min="11955" max="11956" width="4.3828125" style="23" customWidth="1"/>
    <col min="11957" max="11957" width="0" style="23" hidden="1" customWidth="1"/>
    <col min="11958" max="11959" width="4.3828125" style="23" customWidth="1"/>
    <col min="11960" max="11960" width="0" style="23" hidden="1" customWidth="1"/>
    <col min="11961" max="11962" width="4.3828125" style="23" customWidth="1"/>
    <col min="11963" max="11963" width="0" style="23" hidden="1" customWidth="1"/>
    <col min="11964" max="11964" width="4.3828125" style="23" customWidth="1"/>
    <col min="11965" max="11965" width="4.3046875" style="23" customWidth="1"/>
    <col min="11966" max="11966" width="0" style="23" hidden="1" customWidth="1"/>
    <col min="11967" max="11968" width="4.3828125" style="23" customWidth="1"/>
    <col min="11969" max="11969" width="0" style="23" hidden="1" customWidth="1"/>
    <col min="11970" max="11971" width="4.3828125" style="23" customWidth="1"/>
    <col min="11972" max="11972" width="0" style="23" hidden="1" customWidth="1"/>
    <col min="11973" max="11974" width="4.3828125" style="23" customWidth="1"/>
    <col min="11975" max="11975" width="0" style="23" hidden="1" customWidth="1"/>
    <col min="11976" max="11977" width="4.3828125" style="23" customWidth="1"/>
    <col min="11978" max="12032" width="10.3046875" style="23"/>
    <col min="12033" max="12033" width="3.84375" style="23" customWidth="1"/>
    <col min="12034" max="12034" width="32.69140625" style="23" customWidth="1"/>
    <col min="12035" max="12111" width="3.84375" style="23" customWidth="1"/>
    <col min="12112" max="12113" width="0" style="23" hidden="1" customWidth="1"/>
    <col min="12114" max="12114" width="3.84375" style="23" customWidth="1"/>
    <col min="12115" max="12116" width="0" style="23" hidden="1" customWidth="1"/>
    <col min="12117" max="12117" width="3.84375" style="23" customWidth="1"/>
    <col min="12118" max="12119" width="0" style="23" hidden="1" customWidth="1"/>
    <col min="12120" max="12120" width="3.84375" style="23" customWidth="1"/>
    <col min="12121" max="12122" width="0" style="23" hidden="1" customWidth="1"/>
    <col min="12123" max="12123" width="3.84375" style="23" customWidth="1"/>
    <col min="12124" max="12125" width="0" style="23" hidden="1" customWidth="1"/>
    <col min="12126" max="12126" width="3.84375" style="23" customWidth="1"/>
    <col min="12127" max="12128" width="0" style="23" hidden="1" customWidth="1"/>
    <col min="12129" max="12129" width="3.84375" style="23" customWidth="1"/>
    <col min="12130" max="12131" width="0" style="23" hidden="1" customWidth="1"/>
    <col min="12132" max="12132" width="3.84375" style="23" customWidth="1"/>
    <col min="12133" max="12134" width="0" style="23" hidden="1" customWidth="1"/>
    <col min="12135" max="12135" width="3.84375" style="23" customWidth="1"/>
    <col min="12136" max="12137" width="0" style="23" hidden="1" customWidth="1"/>
    <col min="12138" max="12138" width="3.84375" style="23" customWidth="1"/>
    <col min="12139" max="12140" width="0" style="23" hidden="1" customWidth="1"/>
    <col min="12141" max="12141" width="3.84375" style="23" customWidth="1"/>
    <col min="12142" max="12143" width="0" style="23" hidden="1" customWidth="1"/>
    <col min="12144" max="12144" width="3.84375" style="23" customWidth="1"/>
    <col min="12145" max="12146" width="0" style="23" hidden="1" customWidth="1"/>
    <col min="12147" max="12147" width="3.84375" style="23" customWidth="1"/>
    <col min="12148" max="12149" width="0" style="23" hidden="1" customWidth="1"/>
    <col min="12150" max="12150" width="3.84375" style="23" customWidth="1"/>
    <col min="12151" max="12152" width="0" style="23" hidden="1" customWidth="1"/>
    <col min="12153" max="12153" width="3.84375" style="23" customWidth="1"/>
    <col min="12154" max="12155" width="0" style="23" hidden="1" customWidth="1"/>
    <col min="12156" max="12156" width="3.84375" style="23" customWidth="1"/>
    <col min="12157" max="12158" width="0" style="23" hidden="1" customWidth="1"/>
    <col min="12159" max="12159" width="3.84375" style="23" customWidth="1"/>
    <col min="12160" max="12161" width="0" style="23" hidden="1" customWidth="1"/>
    <col min="12162" max="12163" width="3.84375" style="23" customWidth="1"/>
    <col min="12164" max="12164" width="3.69140625" style="23" customWidth="1"/>
    <col min="12165" max="12165" width="0" style="23" hidden="1" customWidth="1"/>
    <col min="12166" max="12166" width="3.84375" style="23" customWidth="1"/>
    <col min="12167" max="12167" width="4.15234375" style="23" bestFit="1" customWidth="1"/>
    <col min="12168" max="12168" width="0" style="23" hidden="1" customWidth="1"/>
    <col min="12169" max="12170" width="4.15234375" style="23" bestFit="1" customWidth="1"/>
    <col min="12171" max="12171" width="0" style="23" hidden="1" customWidth="1"/>
    <col min="12172" max="12173" width="4.3046875" style="23" customWidth="1"/>
    <col min="12174" max="12174" width="0" style="23" hidden="1" customWidth="1"/>
    <col min="12175" max="12175" width="4.69140625" style="23" bestFit="1" customWidth="1"/>
    <col min="12176" max="12176" width="4.15234375" style="23" customWidth="1"/>
    <col min="12177" max="12177" width="0" style="23" hidden="1" customWidth="1"/>
    <col min="12178" max="12179" width="4.15234375" style="23" customWidth="1"/>
    <col min="12180" max="12180" width="0" style="23" hidden="1" customWidth="1"/>
    <col min="12181" max="12181" width="4.53515625" style="23" customWidth="1"/>
    <col min="12182" max="12182" width="4.69140625" style="23" customWidth="1"/>
    <col min="12183" max="12183" width="0" style="23" hidden="1" customWidth="1"/>
    <col min="12184" max="12184" width="4.53515625" style="23" customWidth="1"/>
    <col min="12185" max="12185" width="4.69140625" style="23" customWidth="1"/>
    <col min="12186" max="12186" width="0" style="23" hidden="1" customWidth="1"/>
    <col min="12187" max="12188" width="4.53515625" style="23" customWidth="1"/>
    <col min="12189" max="12189" width="0" style="23" hidden="1" customWidth="1"/>
    <col min="12190" max="12191" width="4.69140625" style="23" customWidth="1"/>
    <col min="12192" max="12192" width="0" style="23" hidden="1" customWidth="1"/>
    <col min="12193" max="12194" width="4.53515625" style="23" customWidth="1"/>
    <col min="12195" max="12195" width="0" style="23" hidden="1" customWidth="1"/>
    <col min="12196" max="12196" width="4.53515625" style="23" customWidth="1"/>
    <col min="12197" max="12197" width="4.69140625" style="23" customWidth="1"/>
    <col min="12198" max="12198" width="0" style="23" hidden="1" customWidth="1"/>
    <col min="12199" max="12199" width="5.15234375" style="23" customWidth="1"/>
    <col min="12200" max="12200" width="4.53515625" style="23" customWidth="1"/>
    <col min="12201" max="12201" width="0" style="23" hidden="1" customWidth="1"/>
    <col min="12202" max="12202" width="5" style="23" customWidth="1"/>
    <col min="12203" max="12203" width="4.84375" style="23" customWidth="1"/>
    <col min="12204" max="12204" width="0" style="23" hidden="1" customWidth="1"/>
    <col min="12205" max="12206" width="4.53515625" style="23" customWidth="1"/>
    <col min="12207" max="12207" width="0" style="23" hidden="1" customWidth="1"/>
    <col min="12208" max="12208" width="4.53515625" style="23" customWidth="1"/>
    <col min="12209" max="12209" width="4.69140625" style="23" customWidth="1"/>
    <col min="12210" max="12210" width="0" style="23" hidden="1" customWidth="1"/>
    <col min="12211" max="12212" width="4.3828125" style="23" customWidth="1"/>
    <col min="12213" max="12213" width="0" style="23" hidden="1" customWidth="1"/>
    <col min="12214" max="12215" width="4.3828125" style="23" customWidth="1"/>
    <col min="12216" max="12216" width="0" style="23" hidden="1" customWidth="1"/>
    <col min="12217" max="12218" width="4.3828125" style="23" customWidth="1"/>
    <col min="12219" max="12219" width="0" style="23" hidden="1" customWidth="1"/>
    <col min="12220" max="12220" width="4.3828125" style="23" customWidth="1"/>
    <col min="12221" max="12221" width="4.3046875" style="23" customWidth="1"/>
    <col min="12222" max="12222" width="0" style="23" hidden="1" customWidth="1"/>
    <col min="12223" max="12224" width="4.3828125" style="23" customWidth="1"/>
    <col min="12225" max="12225" width="0" style="23" hidden="1" customWidth="1"/>
    <col min="12226" max="12227" width="4.3828125" style="23" customWidth="1"/>
    <col min="12228" max="12228" width="0" style="23" hidden="1" customWidth="1"/>
    <col min="12229" max="12230" width="4.3828125" style="23" customWidth="1"/>
    <col min="12231" max="12231" width="0" style="23" hidden="1" customWidth="1"/>
    <col min="12232" max="12233" width="4.3828125" style="23" customWidth="1"/>
    <col min="12234" max="12288" width="10.3046875" style="23"/>
    <col min="12289" max="12289" width="3.84375" style="23" customWidth="1"/>
    <col min="12290" max="12290" width="32.69140625" style="23" customWidth="1"/>
    <col min="12291" max="12367" width="3.84375" style="23" customWidth="1"/>
    <col min="12368" max="12369" width="0" style="23" hidden="1" customWidth="1"/>
    <col min="12370" max="12370" width="3.84375" style="23" customWidth="1"/>
    <col min="12371" max="12372" width="0" style="23" hidden="1" customWidth="1"/>
    <col min="12373" max="12373" width="3.84375" style="23" customWidth="1"/>
    <col min="12374" max="12375" width="0" style="23" hidden="1" customWidth="1"/>
    <col min="12376" max="12376" width="3.84375" style="23" customWidth="1"/>
    <col min="12377" max="12378" width="0" style="23" hidden="1" customWidth="1"/>
    <col min="12379" max="12379" width="3.84375" style="23" customWidth="1"/>
    <col min="12380" max="12381" width="0" style="23" hidden="1" customWidth="1"/>
    <col min="12382" max="12382" width="3.84375" style="23" customWidth="1"/>
    <col min="12383" max="12384" width="0" style="23" hidden="1" customWidth="1"/>
    <col min="12385" max="12385" width="3.84375" style="23" customWidth="1"/>
    <col min="12386" max="12387" width="0" style="23" hidden="1" customWidth="1"/>
    <col min="12388" max="12388" width="3.84375" style="23" customWidth="1"/>
    <col min="12389" max="12390" width="0" style="23" hidden="1" customWidth="1"/>
    <col min="12391" max="12391" width="3.84375" style="23" customWidth="1"/>
    <col min="12392" max="12393" width="0" style="23" hidden="1" customWidth="1"/>
    <col min="12394" max="12394" width="3.84375" style="23" customWidth="1"/>
    <col min="12395" max="12396" width="0" style="23" hidden="1" customWidth="1"/>
    <col min="12397" max="12397" width="3.84375" style="23" customWidth="1"/>
    <col min="12398" max="12399" width="0" style="23" hidden="1" customWidth="1"/>
    <col min="12400" max="12400" width="3.84375" style="23" customWidth="1"/>
    <col min="12401" max="12402" width="0" style="23" hidden="1" customWidth="1"/>
    <col min="12403" max="12403" width="3.84375" style="23" customWidth="1"/>
    <col min="12404" max="12405" width="0" style="23" hidden="1" customWidth="1"/>
    <col min="12406" max="12406" width="3.84375" style="23" customWidth="1"/>
    <col min="12407" max="12408" width="0" style="23" hidden="1" customWidth="1"/>
    <col min="12409" max="12409" width="3.84375" style="23" customWidth="1"/>
    <col min="12410" max="12411" width="0" style="23" hidden="1" customWidth="1"/>
    <col min="12412" max="12412" width="3.84375" style="23" customWidth="1"/>
    <col min="12413" max="12414" width="0" style="23" hidden="1" customWidth="1"/>
    <col min="12415" max="12415" width="3.84375" style="23" customWidth="1"/>
    <col min="12416" max="12417" width="0" style="23" hidden="1" customWidth="1"/>
    <col min="12418" max="12419" width="3.84375" style="23" customWidth="1"/>
    <col min="12420" max="12420" width="3.69140625" style="23" customWidth="1"/>
    <col min="12421" max="12421" width="0" style="23" hidden="1" customWidth="1"/>
    <col min="12422" max="12422" width="3.84375" style="23" customWidth="1"/>
    <col min="12423" max="12423" width="4.15234375" style="23" bestFit="1" customWidth="1"/>
    <col min="12424" max="12424" width="0" style="23" hidden="1" customWidth="1"/>
    <col min="12425" max="12426" width="4.15234375" style="23" bestFit="1" customWidth="1"/>
    <col min="12427" max="12427" width="0" style="23" hidden="1" customWidth="1"/>
    <col min="12428" max="12429" width="4.3046875" style="23" customWidth="1"/>
    <col min="12430" max="12430" width="0" style="23" hidden="1" customWidth="1"/>
    <col min="12431" max="12431" width="4.69140625" style="23" bestFit="1" customWidth="1"/>
    <col min="12432" max="12432" width="4.15234375" style="23" customWidth="1"/>
    <col min="12433" max="12433" width="0" style="23" hidden="1" customWidth="1"/>
    <col min="12434" max="12435" width="4.15234375" style="23" customWidth="1"/>
    <col min="12436" max="12436" width="0" style="23" hidden="1" customWidth="1"/>
    <col min="12437" max="12437" width="4.53515625" style="23" customWidth="1"/>
    <col min="12438" max="12438" width="4.69140625" style="23" customWidth="1"/>
    <col min="12439" max="12439" width="0" style="23" hidden="1" customWidth="1"/>
    <col min="12440" max="12440" width="4.53515625" style="23" customWidth="1"/>
    <col min="12441" max="12441" width="4.69140625" style="23" customWidth="1"/>
    <col min="12442" max="12442" width="0" style="23" hidden="1" customWidth="1"/>
    <col min="12443" max="12444" width="4.53515625" style="23" customWidth="1"/>
    <col min="12445" max="12445" width="0" style="23" hidden="1" customWidth="1"/>
    <col min="12446" max="12447" width="4.69140625" style="23" customWidth="1"/>
    <col min="12448" max="12448" width="0" style="23" hidden="1" customWidth="1"/>
    <col min="12449" max="12450" width="4.53515625" style="23" customWidth="1"/>
    <col min="12451" max="12451" width="0" style="23" hidden="1" customWidth="1"/>
    <col min="12452" max="12452" width="4.53515625" style="23" customWidth="1"/>
    <col min="12453" max="12453" width="4.69140625" style="23" customWidth="1"/>
    <col min="12454" max="12454" width="0" style="23" hidden="1" customWidth="1"/>
    <col min="12455" max="12455" width="5.15234375" style="23" customWidth="1"/>
    <col min="12456" max="12456" width="4.53515625" style="23" customWidth="1"/>
    <col min="12457" max="12457" width="0" style="23" hidden="1" customWidth="1"/>
    <col min="12458" max="12458" width="5" style="23" customWidth="1"/>
    <col min="12459" max="12459" width="4.84375" style="23" customWidth="1"/>
    <col min="12460" max="12460" width="0" style="23" hidden="1" customWidth="1"/>
    <col min="12461" max="12462" width="4.53515625" style="23" customWidth="1"/>
    <col min="12463" max="12463" width="0" style="23" hidden="1" customWidth="1"/>
    <col min="12464" max="12464" width="4.53515625" style="23" customWidth="1"/>
    <col min="12465" max="12465" width="4.69140625" style="23" customWidth="1"/>
    <col min="12466" max="12466" width="0" style="23" hidden="1" customWidth="1"/>
    <col min="12467" max="12468" width="4.3828125" style="23" customWidth="1"/>
    <col min="12469" max="12469" width="0" style="23" hidden="1" customWidth="1"/>
    <col min="12470" max="12471" width="4.3828125" style="23" customWidth="1"/>
    <col min="12472" max="12472" width="0" style="23" hidden="1" customWidth="1"/>
    <col min="12473" max="12474" width="4.3828125" style="23" customWidth="1"/>
    <col min="12475" max="12475" width="0" style="23" hidden="1" customWidth="1"/>
    <col min="12476" max="12476" width="4.3828125" style="23" customWidth="1"/>
    <col min="12477" max="12477" width="4.3046875" style="23" customWidth="1"/>
    <col min="12478" max="12478" width="0" style="23" hidden="1" customWidth="1"/>
    <col min="12479" max="12480" width="4.3828125" style="23" customWidth="1"/>
    <col min="12481" max="12481" width="0" style="23" hidden="1" customWidth="1"/>
    <col min="12482" max="12483" width="4.3828125" style="23" customWidth="1"/>
    <col min="12484" max="12484" width="0" style="23" hidden="1" customWidth="1"/>
    <col min="12485" max="12486" width="4.3828125" style="23" customWidth="1"/>
    <col min="12487" max="12487" width="0" style="23" hidden="1" customWidth="1"/>
    <col min="12488" max="12489" width="4.3828125" style="23" customWidth="1"/>
    <col min="12490" max="12544" width="10.3046875" style="23"/>
    <col min="12545" max="12545" width="3.84375" style="23" customWidth="1"/>
    <col min="12546" max="12546" width="32.69140625" style="23" customWidth="1"/>
    <col min="12547" max="12623" width="3.84375" style="23" customWidth="1"/>
    <col min="12624" max="12625" width="0" style="23" hidden="1" customWidth="1"/>
    <col min="12626" max="12626" width="3.84375" style="23" customWidth="1"/>
    <col min="12627" max="12628" width="0" style="23" hidden="1" customWidth="1"/>
    <col min="12629" max="12629" width="3.84375" style="23" customWidth="1"/>
    <col min="12630" max="12631" width="0" style="23" hidden="1" customWidth="1"/>
    <col min="12632" max="12632" width="3.84375" style="23" customWidth="1"/>
    <col min="12633" max="12634" width="0" style="23" hidden="1" customWidth="1"/>
    <col min="12635" max="12635" width="3.84375" style="23" customWidth="1"/>
    <col min="12636" max="12637" width="0" style="23" hidden="1" customWidth="1"/>
    <col min="12638" max="12638" width="3.84375" style="23" customWidth="1"/>
    <col min="12639" max="12640" width="0" style="23" hidden="1" customWidth="1"/>
    <col min="12641" max="12641" width="3.84375" style="23" customWidth="1"/>
    <col min="12642" max="12643" width="0" style="23" hidden="1" customWidth="1"/>
    <col min="12644" max="12644" width="3.84375" style="23" customWidth="1"/>
    <col min="12645" max="12646" width="0" style="23" hidden="1" customWidth="1"/>
    <col min="12647" max="12647" width="3.84375" style="23" customWidth="1"/>
    <col min="12648" max="12649" width="0" style="23" hidden="1" customWidth="1"/>
    <col min="12650" max="12650" width="3.84375" style="23" customWidth="1"/>
    <col min="12651" max="12652" width="0" style="23" hidden="1" customWidth="1"/>
    <col min="12653" max="12653" width="3.84375" style="23" customWidth="1"/>
    <col min="12654" max="12655" width="0" style="23" hidden="1" customWidth="1"/>
    <col min="12656" max="12656" width="3.84375" style="23" customWidth="1"/>
    <col min="12657" max="12658" width="0" style="23" hidden="1" customWidth="1"/>
    <col min="12659" max="12659" width="3.84375" style="23" customWidth="1"/>
    <col min="12660" max="12661" width="0" style="23" hidden="1" customWidth="1"/>
    <col min="12662" max="12662" width="3.84375" style="23" customWidth="1"/>
    <col min="12663" max="12664" width="0" style="23" hidden="1" customWidth="1"/>
    <col min="12665" max="12665" width="3.84375" style="23" customWidth="1"/>
    <col min="12666" max="12667" width="0" style="23" hidden="1" customWidth="1"/>
    <col min="12668" max="12668" width="3.84375" style="23" customWidth="1"/>
    <col min="12669" max="12670" width="0" style="23" hidden="1" customWidth="1"/>
    <col min="12671" max="12671" width="3.84375" style="23" customWidth="1"/>
    <col min="12672" max="12673" width="0" style="23" hidden="1" customWidth="1"/>
    <col min="12674" max="12675" width="3.84375" style="23" customWidth="1"/>
    <col min="12676" max="12676" width="3.69140625" style="23" customWidth="1"/>
    <col min="12677" max="12677" width="0" style="23" hidden="1" customWidth="1"/>
    <col min="12678" max="12678" width="3.84375" style="23" customWidth="1"/>
    <col min="12679" max="12679" width="4.15234375" style="23" bestFit="1" customWidth="1"/>
    <col min="12680" max="12680" width="0" style="23" hidden="1" customWidth="1"/>
    <col min="12681" max="12682" width="4.15234375" style="23" bestFit="1" customWidth="1"/>
    <col min="12683" max="12683" width="0" style="23" hidden="1" customWidth="1"/>
    <col min="12684" max="12685" width="4.3046875" style="23" customWidth="1"/>
    <col min="12686" max="12686" width="0" style="23" hidden="1" customWidth="1"/>
    <col min="12687" max="12687" width="4.69140625" style="23" bestFit="1" customWidth="1"/>
    <col min="12688" max="12688" width="4.15234375" style="23" customWidth="1"/>
    <col min="12689" max="12689" width="0" style="23" hidden="1" customWidth="1"/>
    <col min="12690" max="12691" width="4.15234375" style="23" customWidth="1"/>
    <col min="12692" max="12692" width="0" style="23" hidden="1" customWidth="1"/>
    <col min="12693" max="12693" width="4.53515625" style="23" customWidth="1"/>
    <col min="12694" max="12694" width="4.69140625" style="23" customWidth="1"/>
    <col min="12695" max="12695" width="0" style="23" hidden="1" customWidth="1"/>
    <col min="12696" max="12696" width="4.53515625" style="23" customWidth="1"/>
    <col min="12697" max="12697" width="4.69140625" style="23" customWidth="1"/>
    <col min="12698" max="12698" width="0" style="23" hidden="1" customWidth="1"/>
    <col min="12699" max="12700" width="4.53515625" style="23" customWidth="1"/>
    <col min="12701" max="12701" width="0" style="23" hidden="1" customWidth="1"/>
    <col min="12702" max="12703" width="4.69140625" style="23" customWidth="1"/>
    <col min="12704" max="12704" width="0" style="23" hidden="1" customWidth="1"/>
    <col min="12705" max="12706" width="4.53515625" style="23" customWidth="1"/>
    <col min="12707" max="12707" width="0" style="23" hidden="1" customWidth="1"/>
    <col min="12708" max="12708" width="4.53515625" style="23" customWidth="1"/>
    <col min="12709" max="12709" width="4.69140625" style="23" customWidth="1"/>
    <col min="12710" max="12710" width="0" style="23" hidden="1" customWidth="1"/>
    <col min="12711" max="12711" width="5.15234375" style="23" customWidth="1"/>
    <col min="12712" max="12712" width="4.53515625" style="23" customWidth="1"/>
    <col min="12713" max="12713" width="0" style="23" hidden="1" customWidth="1"/>
    <col min="12714" max="12714" width="5" style="23" customWidth="1"/>
    <col min="12715" max="12715" width="4.84375" style="23" customWidth="1"/>
    <col min="12716" max="12716" width="0" style="23" hidden="1" customWidth="1"/>
    <col min="12717" max="12718" width="4.53515625" style="23" customWidth="1"/>
    <col min="12719" max="12719" width="0" style="23" hidden="1" customWidth="1"/>
    <col min="12720" max="12720" width="4.53515625" style="23" customWidth="1"/>
    <col min="12721" max="12721" width="4.69140625" style="23" customWidth="1"/>
    <col min="12722" max="12722" width="0" style="23" hidden="1" customWidth="1"/>
    <col min="12723" max="12724" width="4.3828125" style="23" customWidth="1"/>
    <col min="12725" max="12725" width="0" style="23" hidden="1" customWidth="1"/>
    <col min="12726" max="12727" width="4.3828125" style="23" customWidth="1"/>
    <col min="12728" max="12728" width="0" style="23" hidden="1" customWidth="1"/>
    <col min="12729" max="12730" width="4.3828125" style="23" customWidth="1"/>
    <col min="12731" max="12731" width="0" style="23" hidden="1" customWidth="1"/>
    <col min="12732" max="12732" width="4.3828125" style="23" customWidth="1"/>
    <col min="12733" max="12733" width="4.3046875" style="23" customWidth="1"/>
    <col min="12734" max="12734" width="0" style="23" hidden="1" customWidth="1"/>
    <col min="12735" max="12736" width="4.3828125" style="23" customWidth="1"/>
    <col min="12737" max="12737" width="0" style="23" hidden="1" customWidth="1"/>
    <col min="12738" max="12739" width="4.3828125" style="23" customWidth="1"/>
    <col min="12740" max="12740" width="0" style="23" hidden="1" customWidth="1"/>
    <col min="12741" max="12742" width="4.3828125" style="23" customWidth="1"/>
    <col min="12743" max="12743" width="0" style="23" hidden="1" customWidth="1"/>
    <col min="12744" max="12745" width="4.3828125" style="23" customWidth="1"/>
    <col min="12746" max="12800" width="10.3046875" style="23"/>
    <col min="12801" max="12801" width="3.84375" style="23" customWidth="1"/>
    <col min="12802" max="12802" width="32.69140625" style="23" customWidth="1"/>
    <col min="12803" max="12879" width="3.84375" style="23" customWidth="1"/>
    <col min="12880" max="12881" width="0" style="23" hidden="1" customWidth="1"/>
    <col min="12882" max="12882" width="3.84375" style="23" customWidth="1"/>
    <col min="12883" max="12884" width="0" style="23" hidden="1" customWidth="1"/>
    <col min="12885" max="12885" width="3.84375" style="23" customWidth="1"/>
    <col min="12886" max="12887" width="0" style="23" hidden="1" customWidth="1"/>
    <col min="12888" max="12888" width="3.84375" style="23" customWidth="1"/>
    <col min="12889" max="12890" width="0" style="23" hidden="1" customWidth="1"/>
    <col min="12891" max="12891" width="3.84375" style="23" customWidth="1"/>
    <col min="12892" max="12893" width="0" style="23" hidden="1" customWidth="1"/>
    <col min="12894" max="12894" width="3.84375" style="23" customWidth="1"/>
    <col min="12895" max="12896" width="0" style="23" hidden="1" customWidth="1"/>
    <col min="12897" max="12897" width="3.84375" style="23" customWidth="1"/>
    <col min="12898" max="12899" width="0" style="23" hidden="1" customWidth="1"/>
    <col min="12900" max="12900" width="3.84375" style="23" customWidth="1"/>
    <col min="12901" max="12902" width="0" style="23" hidden="1" customWidth="1"/>
    <col min="12903" max="12903" width="3.84375" style="23" customWidth="1"/>
    <col min="12904" max="12905" width="0" style="23" hidden="1" customWidth="1"/>
    <col min="12906" max="12906" width="3.84375" style="23" customWidth="1"/>
    <col min="12907" max="12908" width="0" style="23" hidden="1" customWidth="1"/>
    <col min="12909" max="12909" width="3.84375" style="23" customWidth="1"/>
    <col min="12910" max="12911" width="0" style="23" hidden="1" customWidth="1"/>
    <col min="12912" max="12912" width="3.84375" style="23" customWidth="1"/>
    <col min="12913" max="12914" width="0" style="23" hidden="1" customWidth="1"/>
    <col min="12915" max="12915" width="3.84375" style="23" customWidth="1"/>
    <col min="12916" max="12917" width="0" style="23" hidden="1" customWidth="1"/>
    <col min="12918" max="12918" width="3.84375" style="23" customWidth="1"/>
    <col min="12919" max="12920" width="0" style="23" hidden="1" customWidth="1"/>
    <col min="12921" max="12921" width="3.84375" style="23" customWidth="1"/>
    <col min="12922" max="12923" width="0" style="23" hidden="1" customWidth="1"/>
    <col min="12924" max="12924" width="3.84375" style="23" customWidth="1"/>
    <col min="12925" max="12926" width="0" style="23" hidden="1" customWidth="1"/>
    <col min="12927" max="12927" width="3.84375" style="23" customWidth="1"/>
    <col min="12928" max="12929" width="0" style="23" hidden="1" customWidth="1"/>
    <col min="12930" max="12931" width="3.84375" style="23" customWidth="1"/>
    <col min="12932" max="12932" width="3.69140625" style="23" customWidth="1"/>
    <col min="12933" max="12933" width="0" style="23" hidden="1" customWidth="1"/>
    <col min="12934" max="12934" width="3.84375" style="23" customWidth="1"/>
    <col min="12935" max="12935" width="4.15234375" style="23" bestFit="1" customWidth="1"/>
    <col min="12936" max="12936" width="0" style="23" hidden="1" customWidth="1"/>
    <col min="12937" max="12938" width="4.15234375" style="23" bestFit="1" customWidth="1"/>
    <col min="12939" max="12939" width="0" style="23" hidden="1" customWidth="1"/>
    <col min="12940" max="12941" width="4.3046875" style="23" customWidth="1"/>
    <col min="12942" max="12942" width="0" style="23" hidden="1" customWidth="1"/>
    <col min="12943" max="12943" width="4.69140625" style="23" bestFit="1" customWidth="1"/>
    <col min="12944" max="12944" width="4.15234375" style="23" customWidth="1"/>
    <col min="12945" max="12945" width="0" style="23" hidden="1" customWidth="1"/>
    <col min="12946" max="12947" width="4.15234375" style="23" customWidth="1"/>
    <col min="12948" max="12948" width="0" style="23" hidden="1" customWidth="1"/>
    <col min="12949" max="12949" width="4.53515625" style="23" customWidth="1"/>
    <col min="12950" max="12950" width="4.69140625" style="23" customWidth="1"/>
    <col min="12951" max="12951" width="0" style="23" hidden="1" customWidth="1"/>
    <col min="12952" max="12952" width="4.53515625" style="23" customWidth="1"/>
    <col min="12953" max="12953" width="4.69140625" style="23" customWidth="1"/>
    <col min="12954" max="12954" width="0" style="23" hidden="1" customWidth="1"/>
    <col min="12955" max="12956" width="4.53515625" style="23" customWidth="1"/>
    <col min="12957" max="12957" width="0" style="23" hidden="1" customWidth="1"/>
    <col min="12958" max="12959" width="4.69140625" style="23" customWidth="1"/>
    <col min="12960" max="12960" width="0" style="23" hidden="1" customWidth="1"/>
    <col min="12961" max="12962" width="4.53515625" style="23" customWidth="1"/>
    <col min="12963" max="12963" width="0" style="23" hidden="1" customWidth="1"/>
    <col min="12964" max="12964" width="4.53515625" style="23" customWidth="1"/>
    <col min="12965" max="12965" width="4.69140625" style="23" customWidth="1"/>
    <col min="12966" max="12966" width="0" style="23" hidden="1" customWidth="1"/>
    <col min="12967" max="12967" width="5.15234375" style="23" customWidth="1"/>
    <col min="12968" max="12968" width="4.53515625" style="23" customWidth="1"/>
    <col min="12969" max="12969" width="0" style="23" hidden="1" customWidth="1"/>
    <col min="12970" max="12970" width="5" style="23" customWidth="1"/>
    <col min="12971" max="12971" width="4.84375" style="23" customWidth="1"/>
    <col min="12972" max="12972" width="0" style="23" hidden="1" customWidth="1"/>
    <col min="12973" max="12974" width="4.53515625" style="23" customWidth="1"/>
    <col min="12975" max="12975" width="0" style="23" hidden="1" customWidth="1"/>
    <col min="12976" max="12976" width="4.53515625" style="23" customWidth="1"/>
    <col min="12977" max="12977" width="4.69140625" style="23" customWidth="1"/>
    <col min="12978" max="12978" width="0" style="23" hidden="1" customWidth="1"/>
    <col min="12979" max="12980" width="4.3828125" style="23" customWidth="1"/>
    <col min="12981" max="12981" width="0" style="23" hidden="1" customWidth="1"/>
    <col min="12982" max="12983" width="4.3828125" style="23" customWidth="1"/>
    <col min="12984" max="12984" width="0" style="23" hidden="1" customWidth="1"/>
    <col min="12985" max="12986" width="4.3828125" style="23" customWidth="1"/>
    <col min="12987" max="12987" width="0" style="23" hidden="1" customWidth="1"/>
    <col min="12988" max="12988" width="4.3828125" style="23" customWidth="1"/>
    <col min="12989" max="12989" width="4.3046875" style="23" customWidth="1"/>
    <col min="12990" max="12990" width="0" style="23" hidden="1" customWidth="1"/>
    <col min="12991" max="12992" width="4.3828125" style="23" customWidth="1"/>
    <col min="12993" max="12993" width="0" style="23" hidden="1" customWidth="1"/>
    <col min="12994" max="12995" width="4.3828125" style="23" customWidth="1"/>
    <col min="12996" max="12996" width="0" style="23" hidden="1" customWidth="1"/>
    <col min="12997" max="12998" width="4.3828125" style="23" customWidth="1"/>
    <col min="12999" max="12999" width="0" style="23" hidden="1" customWidth="1"/>
    <col min="13000" max="13001" width="4.3828125" style="23" customWidth="1"/>
    <col min="13002" max="13056" width="10.3046875" style="23"/>
    <col min="13057" max="13057" width="3.84375" style="23" customWidth="1"/>
    <col min="13058" max="13058" width="32.69140625" style="23" customWidth="1"/>
    <col min="13059" max="13135" width="3.84375" style="23" customWidth="1"/>
    <col min="13136" max="13137" width="0" style="23" hidden="1" customWidth="1"/>
    <col min="13138" max="13138" width="3.84375" style="23" customWidth="1"/>
    <col min="13139" max="13140" width="0" style="23" hidden="1" customWidth="1"/>
    <col min="13141" max="13141" width="3.84375" style="23" customWidth="1"/>
    <col min="13142" max="13143" width="0" style="23" hidden="1" customWidth="1"/>
    <col min="13144" max="13144" width="3.84375" style="23" customWidth="1"/>
    <col min="13145" max="13146" width="0" style="23" hidden="1" customWidth="1"/>
    <col min="13147" max="13147" width="3.84375" style="23" customWidth="1"/>
    <col min="13148" max="13149" width="0" style="23" hidden="1" customWidth="1"/>
    <col min="13150" max="13150" width="3.84375" style="23" customWidth="1"/>
    <col min="13151" max="13152" width="0" style="23" hidden="1" customWidth="1"/>
    <col min="13153" max="13153" width="3.84375" style="23" customWidth="1"/>
    <col min="13154" max="13155" width="0" style="23" hidden="1" customWidth="1"/>
    <col min="13156" max="13156" width="3.84375" style="23" customWidth="1"/>
    <col min="13157" max="13158" width="0" style="23" hidden="1" customWidth="1"/>
    <col min="13159" max="13159" width="3.84375" style="23" customWidth="1"/>
    <col min="13160" max="13161" width="0" style="23" hidden="1" customWidth="1"/>
    <col min="13162" max="13162" width="3.84375" style="23" customWidth="1"/>
    <col min="13163" max="13164" width="0" style="23" hidden="1" customWidth="1"/>
    <col min="13165" max="13165" width="3.84375" style="23" customWidth="1"/>
    <col min="13166" max="13167" width="0" style="23" hidden="1" customWidth="1"/>
    <col min="13168" max="13168" width="3.84375" style="23" customWidth="1"/>
    <col min="13169" max="13170" width="0" style="23" hidden="1" customWidth="1"/>
    <col min="13171" max="13171" width="3.84375" style="23" customWidth="1"/>
    <col min="13172" max="13173" width="0" style="23" hidden="1" customWidth="1"/>
    <col min="13174" max="13174" width="3.84375" style="23" customWidth="1"/>
    <col min="13175" max="13176" width="0" style="23" hidden="1" customWidth="1"/>
    <col min="13177" max="13177" width="3.84375" style="23" customWidth="1"/>
    <col min="13178" max="13179" width="0" style="23" hidden="1" customWidth="1"/>
    <col min="13180" max="13180" width="3.84375" style="23" customWidth="1"/>
    <col min="13181" max="13182" width="0" style="23" hidden="1" customWidth="1"/>
    <col min="13183" max="13183" width="3.84375" style="23" customWidth="1"/>
    <col min="13184" max="13185" width="0" style="23" hidden="1" customWidth="1"/>
    <col min="13186" max="13187" width="3.84375" style="23" customWidth="1"/>
    <col min="13188" max="13188" width="3.69140625" style="23" customWidth="1"/>
    <col min="13189" max="13189" width="0" style="23" hidden="1" customWidth="1"/>
    <col min="13190" max="13190" width="3.84375" style="23" customWidth="1"/>
    <col min="13191" max="13191" width="4.15234375" style="23" bestFit="1" customWidth="1"/>
    <col min="13192" max="13192" width="0" style="23" hidden="1" customWidth="1"/>
    <col min="13193" max="13194" width="4.15234375" style="23" bestFit="1" customWidth="1"/>
    <col min="13195" max="13195" width="0" style="23" hidden="1" customWidth="1"/>
    <col min="13196" max="13197" width="4.3046875" style="23" customWidth="1"/>
    <col min="13198" max="13198" width="0" style="23" hidden="1" customWidth="1"/>
    <col min="13199" max="13199" width="4.69140625" style="23" bestFit="1" customWidth="1"/>
    <col min="13200" max="13200" width="4.15234375" style="23" customWidth="1"/>
    <col min="13201" max="13201" width="0" style="23" hidden="1" customWidth="1"/>
    <col min="13202" max="13203" width="4.15234375" style="23" customWidth="1"/>
    <col min="13204" max="13204" width="0" style="23" hidden="1" customWidth="1"/>
    <col min="13205" max="13205" width="4.53515625" style="23" customWidth="1"/>
    <col min="13206" max="13206" width="4.69140625" style="23" customWidth="1"/>
    <col min="13207" max="13207" width="0" style="23" hidden="1" customWidth="1"/>
    <col min="13208" max="13208" width="4.53515625" style="23" customWidth="1"/>
    <col min="13209" max="13209" width="4.69140625" style="23" customWidth="1"/>
    <col min="13210" max="13210" width="0" style="23" hidden="1" customWidth="1"/>
    <col min="13211" max="13212" width="4.53515625" style="23" customWidth="1"/>
    <col min="13213" max="13213" width="0" style="23" hidden="1" customWidth="1"/>
    <col min="13214" max="13215" width="4.69140625" style="23" customWidth="1"/>
    <col min="13216" max="13216" width="0" style="23" hidden="1" customWidth="1"/>
    <col min="13217" max="13218" width="4.53515625" style="23" customWidth="1"/>
    <col min="13219" max="13219" width="0" style="23" hidden="1" customWidth="1"/>
    <col min="13220" max="13220" width="4.53515625" style="23" customWidth="1"/>
    <col min="13221" max="13221" width="4.69140625" style="23" customWidth="1"/>
    <col min="13222" max="13222" width="0" style="23" hidden="1" customWidth="1"/>
    <col min="13223" max="13223" width="5.15234375" style="23" customWidth="1"/>
    <col min="13224" max="13224" width="4.53515625" style="23" customWidth="1"/>
    <col min="13225" max="13225" width="0" style="23" hidden="1" customWidth="1"/>
    <col min="13226" max="13226" width="5" style="23" customWidth="1"/>
    <col min="13227" max="13227" width="4.84375" style="23" customWidth="1"/>
    <col min="13228" max="13228" width="0" style="23" hidden="1" customWidth="1"/>
    <col min="13229" max="13230" width="4.53515625" style="23" customWidth="1"/>
    <col min="13231" max="13231" width="0" style="23" hidden="1" customWidth="1"/>
    <col min="13232" max="13232" width="4.53515625" style="23" customWidth="1"/>
    <col min="13233" max="13233" width="4.69140625" style="23" customWidth="1"/>
    <col min="13234" max="13234" width="0" style="23" hidden="1" customWidth="1"/>
    <col min="13235" max="13236" width="4.3828125" style="23" customWidth="1"/>
    <col min="13237" max="13237" width="0" style="23" hidden="1" customWidth="1"/>
    <col min="13238" max="13239" width="4.3828125" style="23" customWidth="1"/>
    <col min="13240" max="13240" width="0" style="23" hidden="1" customWidth="1"/>
    <col min="13241" max="13242" width="4.3828125" style="23" customWidth="1"/>
    <col min="13243" max="13243" width="0" style="23" hidden="1" customWidth="1"/>
    <col min="13244" max="13244" width="4.3828125" style="23" customWidth="1"/>
    <col min="13245" max="13245" width="4.3046875" style="23" customWidth="1"/>
    <col min="13246" max="13246" width="0" style="23" hidden="1" customWidth="1"/>
    <col min="13247" max="13248" width="4.3828125" style="23" customWidth="1"/>
    <col min="13249" max="13249" width="0" style="23" hidden="1" customWidth="1"/>
    <col min="13250" max="13251" width="4.3828125" style="23" customWidth="1"/>
    <col min="13252" max="13252" width="0" style="23" hidden="1" customWidth="1"/>
    <col min="13253" max="13254" width="4.3828125" style="23" customWidth="1"/>
    <col min="13255" max="13255" width="0" style="23" hidden="1" customWidth="1"/>
    <col min="13256" max="13257" width="4.3828125" style="23" customWidth="1"/>
    <col min="13258" max="13312" width="10.3046875" style="23"/>
    <col min="13313" max="13313" width="3.84375" style="23" customWidth="1"/>
    <col min="13314" max="13314" width="32.69140625" style="23" customWidth="1"/>
    <col min="13315" max="13391" width="3.84375" style="23" customWidth="1"/>
    <col min="13392" max="13393" width="0" style="23" hidden="1" customWidth="1"/>
    <col min="13394" max="13394" width="3.84375" style="23" customWidth="1"/>
    <col min="13395" max="13396" width="0" style="23" hidden="1" customWidth="1"/>
    <col min="13397" max="13397" width="3.84375" style="23" customWidth="1"/>
    <col min="13398" max="13399" width="0" style="23" hidden="1" customWidth="1"/>
    <col min="13400" max="13400" width="3.84375" style="23" customWidth="1"/>
    <col min="13401" max="13402" width="0" style="23" hidden="1" customWidth="1"/>
    <col min="13403" max="13403" width="3.84375" style="23" customWidth="1"/>
    <col min="13404" max="13405" width="0" style="23" hidden="1" customWidth="1"/>
    <col min="13406" max="13406" width="3.84375" style="23" customWidth="1"/>
    <col min="13407" max="13408" width="0" style="23" hidden="1" customWidth="1"/>
    <col min="13409" max="13409" width="3.84375" style="23" customWidth="1"/>
    <col min="13410" max="13411" width="0" style="23" hidden="1" customWidth="1"/>
    <col min="13412" max="13412" width="3.84375" style="23" customWidth="1"/>
    <col min="13413" max="13414" width="0" style="23" hidden="1" customWidth="1"/>
    <col min="13415" max="13415" width="3.84375" style="23" customWidth="1"/>
    <col min="13416" max="13417" width="0" style="23" hidden="1" customWidth="1"/>
    <col min="13418" max="13418" width="3.84375" style="23" customWidth="1"/>
    <col min="13419" max="13420" width="0" style="23" hidden="1" customWidth="1"/>
    <col min="13421" max="13421" width="3.84375" style="23" customWidth="1"/>
    <col min="13422" max="13423" width="0" style="23" hidden="1" customWidth="1"/>
    <col min="13424" max="13424" width="3.84375" style="23" customWidth="1"/>
    <col min="13425" max="13426" width="0" style="23" hidden="1" customWidth="1"/>
    <col min="13427" max="13427" width="3.84375" style="23" customWidth="1"/>
    <col min="13428" max="13429" width="0" style="23" hidden="1" customWidth="1"/>
    <col min="13430" max="13430" width="3.84375" style="23" customWidth="1"/>
    <col min="13431" max="13432" width="0" style="23" hidden="1" customWidth="1"/>
    <col min="13433" max="13433" width="3.84375" style="23" customWidth="1"/>
    <col min="13434" max="13435" width="0" style="23" hidden="1" customWidth="1"/>
    <col min="13436" max="13436" width="3.84375" style="23" customWidth="1"/>
    <col min="13437" max="13438" width="0" style="23" hidden="1" customWidth="1"/>
    <col min="13439" max="13439" width="3.84375" style="23" customWidth="1"/>
    <col min="13440" max="13441" width="0" style="23" hidden="1" customWidth="1"/>
    <col min="13442" max="13443" width="3.84375" style="23" customWidth="1"/>
    <col min="13444" max="13444" width="3.69140625" style="23" customWidth="1"/>
    <col min="13445" max="13445" width="0" style="23" hidden="1" customWidth="1"/>
    <col min="13446" max="13446" width="3.84375" style="23" customWidth="1"/>
    <col min="13447" max="13447" width="4.15234375" style="23" bestFit="1" customWidth="1"/>
    <col min="13448" max="13448" width="0" style="23" hidden="1" customWidth="1"/>
    <col min="13449" max="13450" width="4.15234375" style="23" bestFit="1" customWidth="1"/>
    <col min="13451" max="13451" width="0" style="23" hidden="1" customWidth="1"/>
    <col min="13452" max="13453" width="4.3046875" style="23" customWidth="1"/>
    <col min="13454" max="13454" width="0" style="23" hidden="1" customWidth="1"/>
    <col min="13455" max="13455" width="4.69140625" style="23" bestFit="1" customWidth="1"/>
    <col min="13456" max="13456" width="4.15234375" style="23" customWidth="1"/>
    <col min="13457" max="13457" width="0" style="23" hidden="1" customWidth="1"/>
    <col min="13458" max="13459" width="4.15234375" style="23" customWidth="1"/>
    <col min="13460" max="13460" width="0" style="23" hidden="1" customWidth="1"/>
    <col min="13461" max="13461" width="4.53515625" style="23" customWidth="1"/>
    <col min="13462" max="13462" width="4.69140625" style="23" customWidth="1"/>
    <col min="13463" max="13463" width="0" style="23" hidden="1" customWidth="1"/>
    <col min="13464" max="13464" width="4.53515625" style="23" customWidth="1"/>
    <col min="13465" max="13465" width="4.69140625" style="23" customWidth="1"/>
    <col min="13466" max="13466" width="0" style="23" hidden="1" customWidth="1"/>
    <col min="13467" max="13468" width="4.53515625" style="23" customWidth="1"/>
    <col min="13469" max="13469" width="0" style="23" hidden="1" customWidth="1"/>
    <col min="13470" max="13471" width="4.69140625" style="23" customWidth="1"/>
    <col min="13472" max="13472" width="0" style="23" hidden="1" customWidth="1"/>
    <col min="13473" max="13474" width="4.53515625" style="23" customWidth="1"/>
    <col min="13475" max="13475" width="0" style="23" hidden="1" customWidth="1"/>
    <col min="13476" max="13476" width="4.53515625" style="23" customWidth="1"/>
    <col min="13477" max="13477" width="4.69140625" style="23" customWidth="1"/>
    <col min="13478" max="13478" width="0" style="23" hidden="1" customWidth="1"/>
    <col min="13479" max="13479" width="5.15234375" style="23" customWidth="1"/>
    <col min="13480" max="13480" width="4.53515625" style="23" customWidth="1"/>
    <col min="13481" max="13481" width="0" style="23" hidden="1" customWidth="1"/>
    <col min="13482" max="13482" width="5" style="23" customWidth="1"/>
    <col min="13483" max="13483" width="4.84375" style="23" customWidth="1"/>
    <col min="13484" max="13484" width="0" style="23" hidden="1" customWidth="1"/>
    <col min="13485" max="13486" width="4.53515625" style="23" customWidth="1"/>
    <col min="13487" max="13487" width="0" style="23" hidden="1" customWidth="1"/>
    <col min="13488" max="13488" width="4.53515625" style="23" customWidth="1"/>
    <col min="13489" max="13489" width="4.69140625" style="23" customWidth="1"/>
    <col min="13490" max="13490" width="0" style="23" hidden="1" customWidth="1"/>
    <col min="13491" max="13492" width="4.3828125" style="23" customWidth="1"/>
    <col min="13493" max="13493" width="0" style="23" hidden="1" customWidth="1"/>
    <col min="13494" max="13495" width="4.3828125" style="23" customWidth="1"/>
    <col min="13496" max="13496" width="0" style="23" hidden="1" customWidth="1"/>
    <col min="13497" max="13498" width="4.3828125" style="23" customWidth="1"/>
    <col min="13499" max="13499" width="0" style="23" hidden="1" customWidth="1"/>
    <col min="13500" max="13500" width="4.3828125" style="23" customWidth="1"/>
    <col min="13501" max="13501" width="4.3046875" style="23" customWidth="1"/>
    <col min="13502" max="13502" width="0" style="23" hidden="1" customWidth="1"/>
    <col min="13503" max="13504" width="4.3828125" style="23" customWidth="1"/>
    <col min="13505" max="13505" width="0" style="23" hidden="1" customWidth="1"/>
    <col min="13506" max="13507" width="4.3828125" style="23" customWidth="1"/>
    <col min="13508" max="13508" width="0" style="23" hidden="1" customWidth="1"/>
    <col min="13509" max="13510" width="4.3828125" style="23" customWidth="1"/>
    <col min="13511" max="13511" width="0" style="23" hidden="1" customWidth="1"/>
    <col min="13512" max="13513" width="4.3828125" style="23" customWidth="1"/>
    <col min="13514" max="13568" width="10.3046875" style="23"/>
    <col min="13569" max="13569" width="3.84375" style="23" customWidth="1"/>
    <col min="13570" max="13570" width="32.69140625" style="23" customWidth="1"/>
    <col min="13571" max="13647" width="3.84375" style="23" customWidth="1"/>
    <col min="13648" max="13649" width="0" style="23" hidden="1" customWidth="1"/>
    <col min="13650" max="13650" width="3.84375" style="23" customWidth="1"/>
    <col min="13651" max="13652" width="0" style="23" hidden="1" customWidth="1"/>
    <col min="13653" max="13653" width="3.84375" style="23" customWidth="1"/>
    <col min="13654" max="13655" width="0" style="23" hidden="1" customWidth="1"/>
    <col min="13656" max="13656" width="3.84375" style="23" customWidth="1"/>
    <col min="13657" max="13658" width="0" style="23" hidden="1" customWidth="1"/>
    <col min="13659" max="13659" width="3.84375" style="23" customWidth="1"/>
    <col min="13660" max="13661" width="0" style="23" hidden="1" customWidth="1"/>
    <col min="13662" max="13662" width="3.84375" style="23" customWidth="1"/>
    <col min="13663" max="13664" width="0" style="23" hidden="1" customWidth="1"/>
    <col min="13665" max="13665" width="3.84375" style="23" customWidth="1"/>
    <col min="13666" max="13667" width="0" style="23" hidden="1" customWidth="1"/>
    <col min="13668" max="13668" width="3.84375" style="23" customWidth="1"/>
    <col min="13669" max="13670" width="0" style="23" hidden="1" customWidth="1"/>
    <col min="13671" max="13671" width="3.84375" style="23" customWidth="1"/>
    <col min="13672" max="13673" width="0" style="23" hidden="1" customWidth="1"/>
    <col min="13674" max="13674" width="3.84375" style="23" customWidth="1"/>
    <col min="13675" max="13676" width="0" style="23" hidden="1" customWidth="1"/>
    <col min="13677" max="13677" width="3.84375" style="23" customWidth="1"/>
    <col min="13678" max="13679" width="0" style="23" hidden="1" customWidth="1"/>
    <col min="13680" max="13680" width="3.84375" style="23" customWidth="1"/>
    <col min="13681" max="13682" width="0" style="23" hidden="1" customWidth="1"/>
    <col min="13683" max="13683" width="3.84375" style="23" customWidth="1"/>
    <col min="13684" max="13685" width="0" style="23" hidden="1" customWidth="1"/>
    <col min="13686" max="13686" width="3.84375" style="23" customWidth="1"/>
    <col min="13687" max="13688" width="0" style="23" hidden="1" customWidth="1"/>
    <col min="13689" max="13689" width="3.84375" style="23" customWidth="1"/>
    <col min="13690" max="13691" width="0" style="23" hidden="1" customWidth="1"/>
    <col min="13692" max="13692" width="3.84375" style="23" customWidth="1"/>
    <col min="13693" max="13694" width="0" style="23" hidden="1" customWidth="1"/>
    <col min="13695" max="13695" width="3.84375" style="23" customWidth="1"/>
    <col min="13696" max="13697" width="0" style="23" hidden="1" customWidth="1"/>
    <col min="13698" max="13699" width="3.84375" style="23" customWidth="1"/>
    <col min="13700" max="13700" width="3.69140625" style="23" customWidth="1"/>
    <col min="13701" max="13701" width="0" style="23" hidden="1" customWidth="1"/>
    <col min="13702" max="13702" width="3.84375" style="23" customWidth="1"/>
    <col min="13703" max="13703" width="4.15234375" style="23" bestFit="1" customWidth="1"/>
    <col min="13704" max="13704" width="0" style="23" hidden="1" customWidth="1"/>
    <col min="13705" max="13706" width="4.15234375" style="23" bestFit="1" customWidth="1"/>
    <col min="13707" max="13707" width="0" style="23" hidden="1" customWidth="1"/>
    <col min="13708" max="13709" width="4.3046875" style="23" customWidth="1"/>
    <col min="13710" max="13710" width="0" style="23" hidden="1" customWidth="1"/>
    <col min="13711" max="13711" width="4.69140625" style="23" bestFit="1" customWidth="1"/>
    <col min="13712" max="13712" width="4.15234375" style="23" customWidth="1"/>
    <col min="13713" max="13713" width="0" style="23" hidden="1" customWidth="1"/>
    <col min="13714" max="13715" width="4.15234375" style="23" customWidth="1"/>
    <col min="13716" max="13716" width="0" style="23" hidden="1" customWidth="1"/>
    <col min="13717" max="13717" width="4.53515625" style="23" customWidth="1"/>
    <col min="13718" max="13718" width="4.69140625" style="23" customWidth="1"/>
    <col min="13719" max="13719" width="0" style="23" hidden="1" customWidth="1"/>
    <col min="13720" max="13720" width="4.53515625" style="23" customWidth="1"/>
    <col min="13721" max="13721" width="4.69140625" style="23" customWidth="1"/>
    <col min="13722" max="13722" width="0" style="23" hidden="1" customWidth="1"/>
    <col min="13723" max="13724" width="4.53515625" style="23" customWidth="1"/>
    <col min="13725" max="13725" width="0" style="23" hidden="1" customWidth="1"/>
    <col min="13726" max="13727" width="4.69140625" style="23" customWidth="1"/>
    <col min="13728" max="13728" width="0" style="23" hidden="1" customWidth="1"/>
    <col min="13729" max="13730" width="4.53515625" style="23" customWidth="1"/>
    <col min="13731" max="13731" width="0" style="23" hidden="1" customWidth="1"/>
    <col min="13732" max="13732" width="4.53515625" style="23" customWidth="1"/>
    <col min="13733" max="13733" width="4.69140625" style="23" customWidth="1"/>
    <col min="13734" max="13734" width="0" style="23" hidden="1" customWidth="1"/>
    <col min="13735" max="13735" width="5.15234375" style="23" customWidth="1"/>
    <col min="13736" max="13736" width="4.53515625" style="23" customWidth="1"/>
    <col min="13737" max="13737" width="0" style="23" hidden="1" customWidth="1"/>
    <col min="13738" max="13738" width="5" style="23" customWidth="1"/>
    <col min="13739" max="13739" width="4.84375" style="23" customWidth="1"/>
    <col min="13740" max="13740" width="0" style="23" hidden="1" customWidth="1"/>
    <col min="13741" max="13742" width="4.53515625" style="23" customWidth="1"/>
    <col min="13743" max="13743" width="0" style="23" hidden="1" customWidth="1"/>
    <col min="13744" max="13744" width="4.53515625" style="23" customWidth="1"/>
    <col min="13745" max="13745" width="4.69140625" style="23" customWidth="1"/>
    <col min="13746" max="13746" width="0" style="23" hidden="1" customWidth="1"/>
    <col min="13747" max="13748" width="4.3828125" style="23" customWidth="1"/>
    <col min="13749" max="13749" width="0" style="23" hidden="1" customWidth="1"/>
    <col min="13750" max="13751" width="4.3828125" style="23" customWidth="1"/>
    <col min="13752" max="13752" width="0" style="23" hidden="1" customWidth="1"/>
    <col min="13753" max="13754" width="4.3828125" style="23" customWidth="1"/>
    <col min="13755" max="13755" width="0" style="23" hidden="1" customWidth="1"/>
    <col min="13756" max="13756" width="4.3828125" style="23" customWidth="1"/>
    <col min="13757" max="13757" width="4.3046875" style="23" customWidth="1"/>
    <col min="13758" max="13758" width="0" style="23" hidden="1" customWidth="1"/>
    <col min="13759" max="13760" width="4.3828125" style="23" customWidth="1"/>
    <col min="13761" max="13761" width="0" style="23" hidden="1" customWidth="1"/>
    <col min="13762" max="13763" width="4.3828125" style="23" customWidth="1"/>
    <col min="13764" max="13764" width="0" style="23" hidden="1" customWidth="1"/>
    <col min="13765" max="13766" width="4.3828125" style="23" customWidth="1"/>
    <col min="13767" max="13767" width="0" style="23" hidden="1" customWidth="1"/>
    <col min="13768" max="13769" width="4.3828125" style="23" customWidth="1"/>
    <col min="13770" max="13824" width="10.3046875" style="23"/>
    <col min="13825" max="13825" width="3.84375" style="23" customWidth="1"/>
    <col min="13826" max="13826" width="32.69140625" style="23" customWidth="1"/>
    <col min="13827" max="13903" width="3.84375" style="23" customWidth="1"/>
    <col min="13904" max="13905" width="0" style="23" hidden="1" customWidth="1"/>
    <col min="13906" max="13906" width="3.84375" style="23" customWidth="1"/>
    <col min="13907" max="13908" width="0" style="23" hidden="1" customWidth="1"/>
    <col min="13909" max="13909" width="3.84375" style="23" customWidth="1"/>
    <col min="13910" max="13911" width="0" style="23" hidden="1" customWidth="1"/>
    <col min="13912" max="13912" width="3.84375" style="23" customWidth="1"/>
    <col min="13913" max="13914" width="0" style="23" hidden="1" customWidth="1"/>
    <col min="13915" max="13915" width="3.84375" style="23" customWidth="1"/>
    <col min="13916" max="13917" width="0" style="23" hidden="1" customWidth="1"/>
    <col min="13918" max="13918" width="3.84375" style="23" customWidth="1"/>
    <col min="13919" max="13920" width="0" style="23" hidden="1" customWidth="1"/>
    <col min="13921" max="13921" width="3.84375" style="23" customWidth="1"/>
    <col min="13922" max="13923" width="0" style="23" hidden="1" customWidth="1"/>
    <col min="13924" max="13924" width="3.84375" style="23" customWidth="1"/>
    <col min="13925" max="13926" width="0" style="23" hidden="1" customWidth="1"/>
    <col min="13927" max="13927" width="3.84375" style="23" customWidth="1"/>
    <col min="13928" max="13929" width="0" style="23" hidden="1" customWidth="1"/>
    <col min="13930" max="13930" width="3.84375" style="23" customWidth="1"/>
    <col min="13931" max="13932" width="0" style="23" hidden="1" customWidth="1"/>
    <col min="13933" max="13933" width="3.84375" style="23" customWidth="1"/>
    <col min="13934" max="13935" width="0" style="23" hidden="1" customWidth="1"/>
    <col min="13936" max="13936" width="3.84375" style="23" customWidth="1"/>
    <col min="13937" max="13938" width="0" style="23" hidden="1" customWidth="1"/>
    <col min="13939" max="13939" width="3.84375" style="23" customWidth="1"/>
    <col min="13940" max="13941" width="0" style="23" hidden="1" customWidth="1"/>
    <col min="13942" max="13942" width="3.84375" style="23" customWidth="1"/>
    <col min="13943" max="13944" width="0" style="23" hidden="1" customWidth="1"/>
    <col min="13945" max="13945" width="3.84375" style="23" customWidth="1"/>
    <col min="13946" max="13947" width="0" style="23" hidden="1" customWidth="1"/>
    <col min="13948" max="13948" width="3.84375" style="23" customWidth="1"/>
    <col min="13949" max="13950" width="0" style="23" hidden="1" customWidth="1"/>
    <col min="13951" max="13951" width="3.84375" style="23" customWidth="1"/>
    <col min="13952" max="13953" width="0" style="23" hidden="1" customWidth="1"/>
    <col min="13954" max="13955" width="3.84375" style="23" customWidth="1"/>
    <col min="13956" max="13956" width="3.69140625" style="23" customWidth="1"/>
    <col min="13957" max="13957" width="0" style="23" hidden="1" customWidth="1"/>
    <col min="13958" max="13958" width="3.84375" style="23" customWidth="1"/>
    <col min="13959" max="13959" width="4.15234375" style="23" bestFit="1" customWidth="1"/>
    <col min="13960" max="13960" width="0" style="23" hidden="1" customWidth="1"/>
    <col min="13961" max="13962" width="4.15234375" style="23" bestFit="1" customWidth="1"/>
    <col min="13963" max="13963" width="0" style="23" hidden="1" customWidth="1"/>
    <col min="13964" max="13965" width="4.3046875" style="23" customWidth="1"/>
    <col min="13966" max="13966" width="0" style="23" hidden="1" customWidth="1"/>
    <col min="13967" max="13967" width="4.69140625" style="23" bestFit="1" customWidth="1"/>
    <col min="13968" max="13968" width="4.15234375" style="23" customWidth="1"/>
    <col min="13969" max="13969" width="0" style="23" hidden="1" customWidth="1"/>
    <col min="13970" max="13971" width="4.15234375" style="23" customWidth="1"/>
    <col min="13972" max="13972" width="0" style="23" hidden="1" customWidth="1"/>
    <col min="13973" max="13973" width="4.53515625" style="23" customWidth="1"/>
    <col min="13974" max="13974" width="4.69140625" style="23" customWidth="1"/>
    <col min="13975" max="13975" width="0" style="23" hidden="1" customWidth="1"/>
    <col min="13976" max="13976" width="4.53515625" style="23" customWidth="1"/>
    <col min="13977" max="13977" width="4.69140625" style="23" customWidth="1"/>
    <col min="13978" max="13978" width="0" style="23" hidden="1" customWidth="1"/>
    <col min="13979" max="13980" width="4.53515625" style="23" customWidth="1"/>
    <col min="13981" max="13981" width="0" style="23" hidden="1" customWidth="1"/>
    <col min="13982" max="13983" width="4.69140625" style="23" customWidth="1"/>
    <col min="13984" max="13984" width="0" style="23" hidden="1" customWidth="1"/>
    <col min="13985" max="13986" width="4.53515625" style="23" customWidth="1"/>
    <col min="13987" max="13987" width="0" style="23" hidden="1" customWidth="1"/>
    <col min="13988" max="13988" width="4.53515625" style="23" customWidth="1"/>
    <col min="13989" max="13989" width="4.69140625" style="23" customWidth="1"/>
    <col min="13990" max="13990" width="0" style="23" hidden="1" customWidth="1"/>
    <col min="13991" max="13991" width="5.15234375" style="23" customWidth="1"/>
    <col min="13992" max="13992" width="4.53515625" style="23" customWidth="1"/>
    <col min="13993" max="13993" width="0" style="23" hidden="1" customWidth="1"/>
    <col min="13994" max="13994" width="5" style="23" customWidth="1"/>
    <col min="13995" max="13995" width="4.84375" style="23" customWidth="1"/>
    <col min="13996" max="13996" width="0" style="23" hidden="1" customWidth="1"/>
    <col min="13997" max="13998" width="4.53515625" style="23" customWidth="1"/>
    <col min="13999" max="13999" width="0" style="23" hidden="1" customWidth="1"/>
    <col min="14000" max="14000" width="4.53515625" style="23" customWidth="1"/>
    <col min="14001" max="14001" width="4.69140625" style="23" customWidth="1"/>
    <col min="14002" max="14002" width="0" style="23" hidden="1" customWidth="1"/>
    <col min="14003" max="14004" width="4.3828125" style="23" customWidth="1"/>
    <col min="14005" max="14005" width="0" style="23" hidden="1" customWidth="1"/>
    <col min="14006" max="14007" width="4.3828125" style="23" customWidth="1"/>
    <col min="14008" max="14008" width="0" style="23" hidden="1" customWidth="1"/>
    <col min="14009" max="14010" width="4.3828125" style="23" customWidth="1"/>
    <col min="14011" max="14011" width="0" style="23" hidden="1" customWidth="1"/>
    <col min="14012" max="14012" width="4.3828125" style="23" customWidth="1"/>
    <col min="14013" max="14013" width="4.3046875" style="23" customWidth="1"/>
    <col min="14014" max="14014" width="0" style="23" hidden="1" customWidth="1"/>
    <col min="14015" max="14016" width="4.3828125" style="23" customWidth="1"/>
    <col min="14017" max="14017" width="0" style="23" hidden="1" customWidth="1"/>
    <col min="14018" max="14019" width="4.3828125" style="23" customWidth="1"/>
    <col min="14020" max="14020" width="0" style="23" hidden="1" customWidth="1"/>
    <col min="14021" max="14022" width="4.3828125" style="23" customWidth="1"/>
    <col min="14023" max="14023" width="0" style="23" hidden="1" customWidth="1"/>
    <col min="14024" max="14025" width="4.3828125" style="23" customWidth="1"/>
    <col min="14026" max="14080" width="10.3046875" style="23"/>
    <col min="14081" max="14081" width="3.84375" style="23" customWidth="1"/>
    <col min="14082" max="14082" width="32.69140625" style="23" customWidth="1"/>
    <col min="14083" max="14159" width="3.84375" style="23" customWidth="1"/>
    <col min="14160" max="14161" width="0" style="23" hidden="1" customWidth="1"/>
    <col min="14162" max="14162" width="3.84375" style="23" customWidth="1"/>
    <col min="14163" max="14164" width="0" style="23" hidden="1" customWidth="1"/>
    <col min="14165" max="14165" width="3.84375" style="23" customWidth="1"/>
    <col min="14166" max="14167" width="0" style="23" hidden="1" customWidth="1"/>
    <col min="14168" max="14168" width="3.84375" style="23" customWidth="1"/>
    <col min="14169" max="14170" width="0" style="23" hidden="1" customWidth="1"/>
    <col min="14171" max="14171" width="3.84375" style="23" customWidth="1"/>
    <col min="14172" max="14173" width="0" style="23" hidden="1" customWidth="1"/>
    <col min="14174" max="14174" width="3.84375" style="23" customWidth="1"/>
    <col min="14175" max="14176" width="0" style="23" hidden="1" customWidth="1"/>
    <col min="14177" max="14177" width="3.84375" style="23" customWidth="1"/>
    <col min="14178" max="14179" width="0" style="23" hidden="1" customWidth="1"/>
    <col min="14180" max="14180" width="3.84375" style="23" customWidth="1"/>
    <col min="14181" max="14182" width="0" style="23" hidden="1" customWidth="1"/>
    <col min="14183" max="14183" width="3.84375" style="23" customWidth="1"/>
    <col min="14184" max="14185" width="0" style="23" hidden="1" customWidth="1"/>
    <col min="14186" max="14186" width="3.84375" style="23" customWidth="1"/>
    <col min="14187" max="14188" width="0" style="23" hidden="1" customWidth="1"/>
    <col min="14189" max="14189" width="3.84375" style="23" customWidth="1"/>
    <col min="14190" max="14191" width="0" style="23" hidden="1" customWidth="1"/>
    <col min="14192" max="14192" width="3.84375" style="23" customWidth="1"/>
    <col min="14193" max="14194" width="0" style="23" hidden="1" customWidth="1"/>
    <col min="14195" max="14195" width="3.84375" style="23" customWidth="1"/>
    <col min="14196" max="14197" width="0" style="23" hidden="1" customWidth="1"/>
    <col min="14198" max="14198" width="3.84375" style="23" customWidth="1"/>
    <col min="14199" max="14200" width="0" style="23" hidden="1" customWidth="1"/>
    <col min="14201" max="14201" width="3.84375" style="23" customWidth="1"/>
    <col min="14202" max="14203" width="0" style="23" hidden="1" customWidth="1"/>
    <col min="14204" max="14204" width="3.84375" style="23" customWidth="1"/>
    <col min="14205" max="14206" width="0" style="23" hidden="1" customWidth="1"/>
    <col min="14207" max="14207" width="3.84375" style="23" customWidth="1"/>
    <col min="14208" max="14209" width="0" style="23" hidden="1" customWidth="1"/>
    <col min="14210" max="14211" width="3.84375" style="23" customWidth="1"/>
    <col min="14212" max="14212" width="3.69140625" style="23" customWidth="1"/>
    <col min="14213" max="14213" width="0" style="23" hidden="1" customWidth="1"/>
    <col min="14214" max="14214" width="3.84375" style="23" customWidth="1"/>
    <col min="14215" max="14215" width="4.15234375" style="23" bestFit="1" customWidth="1"/>
    <col min="14216" max="14216" width="0" style="23" hidden="1" customWidth="1"/>
    <col min="14217" max="14218" width="4.15234375" style="23" bestFit="1" customWidth="1"/>
    <col min="14219" max="14219" width="0" style="23" hidden="1" customWidth="1"/>
    <col min="14220" max="14221" width="4.3046875" style="23" customWidth="1"/>
    <col min="14222" max="14222" width="0" style="23" hidden="1" customWidth="1"/>
    <col min="14223" max="14223" width="4.69140625" style="23" bestFit="1" customWidth="1"/>
    <col min="14224" max="14224" width="4.15234375" style="23" customWidth="1"/>
    <col min="14225" max="14225" width="0" style="23" hidden="1" customWidth="1"/>
    <col min="14226" max="14227" width="4.15234375" style="23" customWidth="1"/>
    <col min="14228" max="14228" width="0" style="23" hidden="1" customWidth="1"/>
    <col min="14229" max="14229" width="4.53515625" style="23" customWidth="1"/>
    <col min="14230" max="14230" width="4.69140625" style="23" customWidth="1"/>
    <col min="14231" max="14231" width="0" style="23" hidden="1" customWidth="1"/>
    <col min="14232" max="14232" width="4.53515625" style="23" customWidth="1"/>
    <col min="14233" max="14233" width="4.69140625" style="23" customWidth="1"/>
    <col min="14234" max="14234" width="0" style="23" hidden="1" customWidth="1"/>
    <col min="14235" max="14236" width="4.53515625" style="23" customWidth="1"/>
    <col min="14237" max="14237" width="0" style="23" hidden="1" customWidth="1"/>
    <col min="14238" max="14239" width="4.69140625" style="23" customWidth="1"/>
    <col min="14240" max="14240" width="0" style="23" hidden="1" customWidth="1"/>
    <col min="14241" max="14242" width="4.53515625" style="23" customWidth="1"/>
    <col min="14243" max="14243" width="0" style="23" hidden="1" customWidth="1"/>
    <col min="14244" max="14244" width="4.53515625" style="23" customWidth="1"/>
    <col min="14245" max="14245" width="4.69140625" style="23" customWidth="1"/>
    <col min="14246" max="14246" width="0" style="23" hidden="1" customWidth="1"/>
    <col min="14247" max="14247" width="5.15234375" style="23" customWidth="1"/>
    <col min="14248" max="14248" width="4.53515625" style="23" customWidth="1"/>
    <col min="14249" max="14249" width="0" style="23" hidden="1" customWidth="1"/>
    <col min="14250" max="14250" width="5" style="23" customWidth="1"/>
    <col min="14251" max="14251" width="4.84375" style="23" customWidth="1"/>
    <col min="14252" max="14252" width="0" style="23" hidden="1" customWidth="1"/>
    <col min="14253" max="14254" width="4.53515625" style="23" customWidth="1"/>
    <col min="14255" max="14255" width="0" style="23" hidden="1" customWidth="1"/>
    <col min="14256" max="14256" width="4.53515625" style="23" customWidth="1"/>
    <col min="14257" max="14257" width="4.69140625" style="23" customWidth="1"/>
    <col min="14258" max="14258" width="0" style="23" hidden="1" customWidth="1"/>
    <col min="14259" max="14260" width="4.3828125" style="23" customWidth="1"/>
    <col min="14261" max="14261" width="0" style="23" hidden="1" customWidth="1"/>
    <col min="14262" max="14263" width="4.3828125" style="23" customWidth="1"/>
    <col min="14264" max="14264" width="0" style="23" hidden="1" customWidth="1"/>
    <col min="14265" max="14266" width="4.3828125" style="23" customWidth="1"/>
    <col min="14267" max="14267" width="0" style="23" hidden="1" customWidth="1"/>
    <col min="14268" max="14268" width="4.3828125" style="23" customWidth="1"/>
    <col min="14269" max="14269" width="4.3046875" style="23" customWidth="1"/>
    <col min="14270" max="14270" width="0" style="23" hidden="1" customWidth="1"/>
    <col min="14271" max="14272" width="4.3828125" style="23" customWidth="1"/>
    <col min="14273" max="14273" width="0" style="23" hidden="1" customWidth="1"/>
    <col min="14274" max="14275" width="4.3828125" style="23" customWidth="1"/>
    <col min="14276" max="14276" width="0" style="23" hidden="1" customWidth="1"/>
    <col min="14277" max="14278" width="4.3828125" style="23" customWidth="1"/>
    <col min="14279" max="14279" width="0" style="23" hidden="1" customWidth="1"/>
    <col min="14280" max="14281" width="4.3828125" style="23" customWidth="1"/>
    <col min="14282" max="14336" width="10.3046875" style="23"/>
    <col min="14337" max="14337" width="3.84375" style="23" customWidth="1"/>
    <col min="14338" max="14338" width="32.69140625" style="23" customWidth="1"/>
    <col min="14339" max="14415" width="3.84375" style="23" customWidth="1"/>
    <col min="14416" max="14417" width="0" style="23" hidden="1" customWidth="1"/>
    <col min="14418" max="14418" width="3.84375" style="23" customWidth="1"/>
    <col min="14419" max="14420" width="0" style="23" hidden="1" customWidth="1"/>
    <col min="14421" max="14421" width="3.84375" style="23" customWidth="1"/>
    <col min="14422" max="14423" width="0" style="23" hidden="1" customWidth="1"/>
    <col min="14424" max="14424" width="3.84375" style="23" customWidth="1"/>
    <col min="14425" max="14426" width="0" style="23" hidden="1" customWidth="1"/>
    <col min="14427" max="14427" width="3.84375" style="23" customWidth="1"/>
    <col min="14428" max="14429" width="0" style="23" hidden="1" customWidth="1"/>
    <col min="14430" max="14430" width="3.84375" style="23" customWidth="1"/>
    <col min="14431" max="14432" width="0" style="23" hidden="1" customWidth="1"/>
    <col min="14433" max="14433" width="3.84375" style="23" customWidth="1"/>
    <col min="14434" max="14435" width="0" style="23" hidden="1" customWidth="1"/>
    <col min="14436" max="14436" width="3.84375" style="23" customWidth="1"/>
    <col min="14437" max="14438" width="0" style="23" hidden="1" customWidth="1"/>
    <col min="14439" max="14439" width="3.84375" style="23" customWidth="1"/>
    <col min="14440" max="14441" width="0" style="23" hidden="1" customWidth="1"/>
    <col min="14442" max="14442" width="3.84375" style="23" customWidth="1"/>
    <col min="14443" max="14444" width="0" style="23" hidden="1" customWidth="1"/>
    <col min="14445" max="14445" width="3.84375" style="23" customWidth="1"/>
    <col min="14446" max="14447" width="0" style="23" hidden="1" customWidth="1"/>
    <col min="14448" max="14448" width="3.84375" style="23" customWidth="1"/>
    <col min="14449" max="14450" width="0" style="23" hidden="1" customWidth="1"/>
    <col min="14451" max="14451" width="3.84375" style="23" customWidth="1"/>
    <col min="14452" max="14453" width="0" style="23" hidden="1" customWidth="1"/>
    <col min="14454" max="14454" width="3.84375" style="23" customWidth="1"/>
    <col min="14455" max="14456" width="0" style="23" hidden="1" customWidth="1"/>
    <col min="14457" max="14457" width="3.84375" style="23" customWidth="1"/>
    <col min="14458" max="14459" width="0" style="23" hidden="1" customWidth="1"/>
    <col min="14460" max="14460" width="3.84375" style="23" customWidth="1"/>
    <col min="14461" max="14462" width="0" style="23" hidden="1" customWidth="1"/>
    <col min="14463" max="14463" width="3.84375" style="23" customWidth="1"/>
    <col min="14464" max="14465" width="0" style="23" hidden="1" customWidth="1"/>
    <col min="14466" max="14467" width="3.84375" style="23" customWidth="1"/>
    <col min="14468" max="14468" width="3.69140625" style="23" customWidth="1"/>
    <col min="14469" max="14469" width="0" style="23" hidden="1" customWidth="1"/>
    <col min="14470" max="14470" width="3.84375" style="23" customWidth="1"/>
    <col min="14471" max="14471" width="4.15234375" style="23" bestFit="1" customWidth="1"/>
    <col min="14472" max="14472" width="0" style="23" hidden="1" customWidth="1"/>
    <col min="14473" max="14474" width="4.15234375" style="23" bestFit="1" customWidth="1"/>
    <col min="14475" max="14475" width="0" style="23" hidden="1" customWidth="1"/>
    <col min="14476" max="14477" width="4.3046875" style="23" customWidth="1"/>
    <col min="14478" max="14478" width="0" style="23" hidden="1" customWidth="1"/>
    <col min="14479" max="14479" width="4.69140625" style="23" bestFit="1" customWidth="1"/>
    <col min="14480" max="14480" width="4.15234375" style="23" customWidth="1"/>
    <col min="14481" max="14481" width="0" style="23" hidden="1" customWidth="1"/>
    <col min="14482" max="14483" width="4.15234375" style="23" customWidth="1"/>
    <col min="14484" max="14484" width="0" style="23" hidden="1" customWidth="1"/>
    <col min="14485" max="14485" width="4.53515625" style="23" customWidth="1"/>
    <col min="14486" max="14486" width="4.69140625" style="23" customWidth="1"/>
    <col min="14487" max="14487" width="0" style="23" hidden="1" customWidth="1"/>
    <col min="14488" max="14488" width="4.53515625" style="23" customWidth="1"/>
    <col min="14489" max="14489" width="4.69140625" style="23" customWidth="1"/>
    <col min="14490" max="14490" width="0" style="23" hidden="1" customWidth="1"/>
    <col min="14491" max="14492" width="4.53515625" style="23" customWidth="1"/>
    <col min="14493" max="14493" width="0" style="23" hidden="1" customWidth="1"/>
    <col min="14494" max="14495" width="4.69140625" style="23" customWidth="1"/>
    <col min="14496" max="14496" width="0" style="23" hidden="1" customWidth="1"/>
    <col min="14497" max="14498" width="4.53515625" style="23" customWidth="1"/>
    <col min="14499" max="14499" width="0" style="23" hidden="1" customWidth="1"/>
    <col min="14500" max="14500" width="4.53515625" style="23" customWidth="1"/>
    <col min="14501" max="14501" width="4.69140625" style="23" customWidth="1"/>
    <col min="14502" max="14502" width="0" style="23" hidden="1" customWidth="1"/>
    <col min="14503" max="14503" width="5.15234375" style="23" customWidth="1"/>
    <col min="14504" max="14504" width="4.53515625" style="23" customWidth="1"/>
    <col min="14505" max="14505" width="0" style="23" hidden="1" customWidth="1"/>
    <col min="14506" max="14506" width="5" style="23" customWidth="1"/>
    <col min="14507" max="14507" width="4.84375" style="23" customWidth="1"/>
    <col min="14508" max="14508" width="0" style="23" hidden="1" customWidth="1"/>
    <col min="14509" max="14510" width="4.53515625" style="23" customWidth="1"/>
    <col min="14511" max="14511" width="0" style="23" hidden="1" customWidth="1"/>
    <col min="14512" max="14512" width="4.53515625" style="23" customWidth="1"/>
    <col min="14513" max="14513" width="4.69140625" style="23" customWidth="1"/>
    <col min="14514" max="14514" width="0" style="23" hidden="1" customWidth="1"/>
    <col min="14515" max="14516" width="4.3828125" style="23" customWidth="1"/>
    <col min="14517" max="14517" width="0" style="23" hidden="1" customWidth="1"/>
    <col min="14518" max="14519" width="4.3828125" style="23" customWidth="1"/>
    <col min="14520" max="14520" width="0" style="23" hidden="1" customWidth="1"/>
    <col min="14521" max="14522" width="4.3828125" style="23" customWidth="1"/>
    <col min="14523" max="14523" width="0" style="23" hidden="1" customWidth="1"/>
    <col min="14524" max="14524" width="4.3828125" style="23" customWidth="1"/>
    <col min="14525" max="14525" width="4.3046875" style="23" customWidth="1"/>
    <col min="14526" max="14526" width="0" style="23" hidden="1" customWidth="1"/>
    <col min="14527" max="14528" width="4.3828125" style="23" customWidth="1"/>
    <col min="14529" max="14529" width="0" style="23" hidden="1" customWidth="1"/>
    <col min="14530" max="14531" width="4.3828125" style="23" customWidth="1"/>
    <col min="14532" max="14532" width="0" style="23" hidden="1" customWidth="1"/>
    <col min="14533" max="14534" width="4.3828125" style="23" customWidth="1"/>
    <col min="14535" max="14535" width="0" style="23" hidden="1" customWidth="1"/>
    <col min="14536" max="14537" width="4.3828125" style="23" customWidth="1"/>
    <col min="14538" max="14592" width="10.3046875" style="23"/>
    <col min="14593" max="14593" width="3.84375" style="23" customWidth="1"/>
    <col min="14594" max="14594" width="32.69140625" style="23" customWidth="1"/>
    <col min="14595" max="14671" width="3.84375" style="23" customWidth="1"/>
    <col min="14672" max="14673" width="0" style="23" hidden="1" customWidth="1"/>
    <col min="14674" max="14674" width="3.84375" style="23" customWidth="1"/>
    <col min="14675" max="14676" width="0" style="23" hidden="1" customWidth="1"/>
    <col min="14677" max="14677" width="3.84375" style="23" customWidth="1"/>
    <col min="14678" max="14679" width="0" style="23" hidden="1" customWidth="1"/>
    <col min="14680" max="14680" width="3.84375" style="23" customWidth="1"/>
    <col min="14681" max="14682" width="0" style="23" hidden="1" customWidth="1"/>
    <col min="14683" max="14683" width="3.84375" style="23" customWidth="1"/>
    <col min="14684" max="14685" width="0" style="23" hidden="1" customWidth="1"/>
    <col min="14686" max="14686" width="3.84375" style="23" customWidth="1"/>
    <col min="14687" max="14688" width="0" style="23" hidden="1" customWidth="1"/>
    <col min="14689" max="14689" width="3.84375" style="23" customWidth="1"/>
    <col min="14690" max="14691" width="0" style="23" hidden="1" customWidth="1"/>
    <col min="14692" max="14692" width="3.84375" style="23" customWidth="1"/>
    <col min="14693" max="14694" width="0" style="23" hidden="1" customWidth="1"/>
    <col min="14695" max="14695" width="3.84375" style="23" customWidth="1"/>
    <col min="14696" max="14697" width="0" style="23" hidden="1" customWidth="1"/>
    <col min="14698" max="14698" width="3.84375" style="23" customWidth="1"/>
    <col min="14699" max="14700" width="0" style="23" hidden="1" customWidth="1"/>
    <col min="14701" max="14701" width="3.84375" style="23" customWidth="1"/>
    <col min="14702" max="14703" width="0" style="23" hidden="1" customWidth="1"/>
    <col min="14704" max="14704" width="3.84375" style="23" customWidth="1"/>
    <col min="14705" max="14706" width="0" style="23" hidden="1" customWidth="1"/>
    <col min="14707" max="14707" width="3.84375" style="23" customWidth="1"/>
    <col min="14708" max="14709" width="0" style="23" hidden="1" customWidth="1"/>
    <col min="14710" max="14710" width="3.84375" style="23" customWidth="1"/>
    <col min="14711" max="14712" width="0" style="23" hidden="1" customWidth="1"/>
    <col min="14713" max="14713" width="3.84375" style="23" customWidth="1"/>
    <col min="14714" max="14715" width="0" style="23" hidden="1" customWidth="1"/>
    <col min="14716" max="14716" width="3.84375" style="23" customWidth="1"/>
    <col min="14717" max="14718" width="0" style="23" hidden="1" customWidth="1"/>
    <col min="14719" max="14719" width="3.84375" style="23" customWidth="1"/>
    <col min="14720" max="14721" width="0" style="23" hidden="1" customWidth="1"/>
    <col min="14722" max="14723" width="3.84375" style="23" customWidth="1"/>
    <col min="14724" max="14724" width="3.69140625" style="23" customWidth="1"/>
    <col min="14725" max="14725" width="0" style="23" hidden="1" customWidth="1"/>
    <col min="14726" max="14726" width="3.84375" style="23" customWidth="1"/>
    <col min="14727" max="14727" width="4.15234375" style="23" bestFit="1" customWidth="1"/>
    <col min="14728" max="14728" width="0" style="23" hidden="1" customWidth="1"/>
    <col min="14729" max="14730" width="4.15234375" style="23" bestFit="1" customWidth="1"/>
    <col min="14731" max="14731" width="0" style="23" hidden="1" customWidth="1"/>
    <col min="14732" max="14733" width="4.3046875" style="23" customWidth="1"/>
    <col min="14734" max="14734" width="0" style="23" hidden="1" customWidth="1"/>
    <col min="14735" max="14735" width="4.69140625" style="23" bestFit="1" customWidth="1"/>
    <col min="14736" max="14736" width="4.15234375" style="23" customWidth="1"/>
    <col min="14737" max="14737" width="0" style="23" hidden="1" customWidth="1"/>
    <col min="14738" max="14739" width="4.15234375" style="23" customWidth="1"/>
    <col min="14740" max="14740" width="0" style="23" hidden="1" customWidth="1"/>
    <col min="14741" max="14741" width="4.53515625" style="23" customWidth="1"/>
    <col min="14742" max="14742" width="4.69140625" style="23" customWidth="1"/>
    <col min="14743" max="14743" width="0" style="23" hidden="1" customWidth="1"/>
    <col min="14744" max="14744" width="4.53515625" style="23" customWidth="1"/>
    <col min="14745" max="14745" width="4.69140625" style="23" customWidth="1"/>
    <col min="14746" max="14746" width="0" style="23" hidden="1" customWidth="1"/>
    <col min="14747" max="14748" width="4.53515625" style="23" customWidth="1"/>
    <col min="14749" max="14749" width="0" style="23" hidden="1" customWidth="1"/>
    <col min="14750" max="14751" width="4.69140625" style="23" customWidth="1"/>
    <col min="14752" max="14752" width="0" style="23" hidden="1" customWidth="1"/>
    <col min="14753" max="14754" width="4.53515625" style="23" customWidth="1"/>
    <col min="14755" max="14755" width="0" style="23" hidden="1" customWidth="1"/>
    <col min="14756" max="14756" width="4.53515625" style="23" customWidth="1"/>
    <col min="14757" max="14757" width="4.69140625" style="23" customWidth="1"/>
    <col min="14758" max="14758" width="0" style="23" hidden="1" customWidth="1"/>
    <col min="14759" max="14759" width="5.15234375" style="23" customWidth="1"/>
    <col min="14760" max="14760" width="4.53515625" style="23" customWidth="1"/>
    <col min="14761" max="14761" width="0" style="23" hidden="1" customWidth="1"/>
    <col min="14762" max="14762" width="5" style="23" customWidth="1"/>
    <col min="14763" max="14763" width="4.84375" style="23" customWidth="1"/>
    <col min="14764" max="14764" width="0" style="23" hidden="1" customWidth="1"/>
    <col min="14765" max="14766" width="4.53515625" style="23" customWidth="1"/>
    <col min="14767" max="14767" width="0" style="23" hidden="1" customWidth="1"/>
    <col min="14768" max="14768" width="4.53515625" style="23" customWidth="1"/>
    <col min="14769" max="14769" width="4.69140625" style="23" customWidth="1"/>
    <col min="14770" max="14770" width="0" style="23" hidden="1" customWidth="1"/>
    <col min="14771" max="14772" width="4.3828125" style="23" customWidth="1"/>
    <col min="14773" max="14773" width="0" style="23" hidden="1" customWidth="1"/>
    <col min="14774" max="14775" width="4.3828125" style="23" customWidth="1"/>
    <col min="14776" max="14776" width="0" style="23" hidden="1" customWidth="1"/>
    <col min="14777" max="14778" width="4.3828125" style="23" customWidth="1"/>
    <col min="14779" max="14779" width="0" style="23" hidden="1" customWidth="1"/>
    <col min="14780" max="14780" width="4.3828125" style="23" customWidth="1"/>
    <col min="14781" max="14781" width="4.3046875" style="23" customWidth="1"/>
    <col min="14782" max="14782" width="0" style="23" hidden="1" customWidth="1"/>
    <col min="14783" max="14784" width="4.3828125" style="23" customWidth="1"/>
    <col min="14785" max="14785" width="0" style="23" hidden="1" customWidth="1"/>
    <col min="14786" max="14787" width="4.3828125" style="23" customWidth="1"/>
    <col min="14788" max="14788" width="0" style="23" hidden="1" customWidth="1"/>
    <col min="14789" max="14790" width="4.3828125" style="23" customWidth="1"/>
    <col min="14791" max="14791" width="0" style="23" hidden="1" customWidth="1"/>
    <col min="14792" max="14793" width="4.3828125" style="23" customWidth="1"/>
    <col min="14794" max="14848" width="10.3046875" style="23"/>
    <col min="14849" max="14849" width="3.84375" style="23" customWidth="1"/>
    <col min="14850" max="14850" width="32.69140625" style="23" customWidth="1"/>
    <col min="14851" max="14927" width="3.84375" style="23" customWidth="1"/>
    <col min="14928" max="14929" width="0" style="23" hidden="1" customWidth="1"/>
    <col min="14930" max="14930" width="3.84375" style="23" customWidth="1"/>
    <col min="14931" max="14932" width="0" style="23" hidden="1" customWidth="1"/>
    <col min="14933" max="14933" width="3.84375" style="23" customWidth="1"/>
    <col min="14934" max="14935" width="0" style="23" hidden="1" customWidth="1"/>
    <col min="14936" max="14936" width="3.84375" style="23" customWidth="1"/>
    <col min="14937" max="14938" width="0" style="23" hidden="1" customWidth="1"/>
    <col min="14939" max="14939" width="3.84375" style="23" customWidth="1"/>
    <col min="14940" max="14941" width="0" style="23" hidden="1" customWidth="1"/>
    <col min="14942" max="14942" width="3.84375" style="23" customWidth="1"/>
    <col min="14943" max="14944" width="0" style="23" hidden="1" customWidth="1"/>
    <col min="14945" max="14945" width="3.84375" style="23" customWidth="1"/>
    <col min="14946" max="14947" width="0" style="23" hidden="1" customWidth="1"/>
    <col min="14948" max="14948" width="3.84375" style="23" customWidth="1"/>
    <col min="14949" max="14950" width="0" style="23" hidden="1" customWidth="1"/>
    <col min="14951" max="14951" width="3.84375" style="23" customWidth="1"/>
    <col min="14952" max="14953" width="0" style="23" hidden="1" customWidth="1"/>
    <col min="14954" max="14954" width="3.84375" style="23" customWidth="1"/>
    <col min="14955" max="14956" width="0" style="23" hidden="1" customWidth="1"/>
    <col min="14957" max="14957" width="3.84375" style="23" customWidth="1"/>
    <col min="14958" max="14959" width="0" style="23" hidden="1" customWidth="1"/>
    <col min="14960" max="14960" width="3.84375" style="23" customWidth="1"/>
    <col min="14961" max="14962" width="0" style="23" hidden="1" customWidth="1"/>
    <col min="14963" max="14963" width="3.84375" style="23" customWidth="1"/>
    <col min="14964" max="14965" width="0" style="23" hidden="1" customWidth="1"/>
    <col min="14966" max="14966" width="3.84375" style="23" customWidth="1"/>
    <col min="14967" max="14968" width="0" style="23" hidden="1" customWidth="1"/>
    <col min="14969" max="14969" width="3.84375" style="23" customWidth="1"/>
    <col min="14970" max="14971" width="0" style="23" hidden="1" customWidth="1"/>
    <col min="14972" max="14972" width="3.84375" style="23" customWidth="1"/>
    <col min="14973" max="14974" width="0" style="23" hidden="1" customWidth="1"/>
    <col min="14975" max="14975" width="3.84375" style="23" customWidth="1"/>
    <col min="14976" max="14977" width="0" style="23" hidden="1" customWidth="1"/>
    <col min="14978" max="14979" width="3.84375" style="23" customWidth="1"/>
    <col min="14980" max="14980" width="3.69140625" style="23" customWidth="1"/>
    <col min="14981" max="14981" width="0" style="23" hidden="1" customWidth="1"/>
    <col min="14982" max="14982" width="3.84375" style="23" customWidth="1"/>
    <col min="14983" max="14983" width="4.15234375" style="23" bestFit="1" customWidth="1"/>
    <col min="14984" max="14984" width="0" style="23" hidden="1" customWidth="1"/>
    <col min="14985" max="14986" width="4.15234375" style="23" bestFit="1" customWidth="1"/>
    <col min="14987" max="14987" width="0" style="23" hidden="1" customWidth="1"/>
    <col min="14988" max="14989" width="4.3046875" style="23" customWidth="1"/>
    <col min="14990" max="14990" width="0" style="23" hidden="1" customWidth="1"/>
    <col min="14991" max="14991" width="4.69140625" style="23" bestFit="1" customWidth="1"/>
    <col min="14992" max="14992" width="4.15234375" style="23" customWidth="1"/>
    <col min="14993" max="14993" width="0" style="23" hidden="1" customWidth="1"/>
    <col min="14994" max="14995" width="4.15234375" style="23" customWidth="1"/>
    <col min="14996" max="14996" width="0" style="23" hidden="1" customWidth="1"/>
    <col min="14997" max="14997" width="4.53515625" style="23" customWidth="1"/>
    <col min="14998" max="14998" width="4.69140625" style="23" customWidth="1"/>
    <col min="14999" max="14999" width="0" style="23" hidden="1" customWidth="1"/>
    <col min="15000" max="15000" width="4.53515625" style="23" customWidth="1"/>
    <col min="15001" max="15001" width="4.69140625" style="23" customWidth="1"/>
    <col min="15002" max="15002" width="0" style="23" hidden="1" customWidth="1"/>
    <col min="15003" max="15004" width="4.53515625" style="23" customWidth="1"/>
    <col min="15005" max="15005" width="0" style="23" hidden="1" customWidth="1"/>
    <col min="15006" max="15007" width="4.69140625" style="23" customWidth="1"/>
    <col min="15008" max="15008" width="0" style="23" hidden="1" customWidth="1"/>
    <col min="15009" max="15010" width="4.53515625" style="23" customWidth="1"/>
    <col min="15011" max="15011" width="0" style="23" hidden="1" customWidth="1"/>
    <col min="15012" max="15012" width="4.53515625" style="23" customWidth="1"/>
    <col min="15013" max="15013" width="4.69140625" style="23" customWidth="1"/>
    <col min="15014" max="15014" width="0" style="23" hidden="1" customWidth="1"/>
    <col min="15015" max="15015" width="5.15234375" style="23" customWidth="1"/>
    <col min="15016" max="15016" width="4.53515625" style="23" customWidth="1"/>
    <col min="15017" max="15017" width="0" style="23" hidden="1" customWidth="1"/>
    <col min="15018" max="15018" width="5" style="23" customWidth="1"/>
    <col min="15019" max="15019" width="4.84375" style="23" customWidth="1"/>
    <col min="15020" max="15020" width="0" style="23" hidden="1" customWidth="1"/>
    <col min="15021" max="15022" width="4.53515625" style="23" customWidth="1"/>
    <col min="15023" max="15023" width="0" style="23" hidden="1" customWidth="1"/>
    <col min="15024" max="15024" width="4.53515625" style="23" customWidth="1"/>
    <col min="15025" max="15025" width="4.69140625" style="23" customWidth="1"/>
    <col min="15026" max="15026" width="0" style="23" hidden="1" customWidth="1"/>
    <col min="15027" max="15028" width="4.3828125" style="23" customWidth="1"/>
    <col min="15029" max="15029" width="0" style="23" hidden="1" customWidth="1"/>
    <col min="15030" max="15031" width="4.3828125" style="23" customWidth="1"/>
    <col min="15032" max="15032" width="0" style="23" hidden="1" customWidth="1"/>
    <col min="15033" max="15034" width="4.3828125" style="23" customWidth="1"/>
    <col min="15035" max="15035" width="0" style="23" hidden="1" customWidth="1"/>
    <col min="15036" max="15036" width="4.3828125" style="23" customWidth="1"/>
    <col min="15037" max="15037" width="4.3046875" style="23" customWidth="1"/>
    <col min="15038" max="15038" width="0" style="23" hidden="1" customWidth="1"/>
    <col min="15039" max="15040" width="4.3828125" style="23" customWidth="1"/>
    <col min="15041" max="15041" width="0" style="23" hidden="1" customWidth="1"/>
    <col min="15042" max="15043" width="4.3828125" style="23" customWidth="1"/>
    <col min="15044" max="15044" width="0" style="23" hidden="1" customWidth="1"/>
    <col min="15045" max="15046" width="4.3828125" style="23" customWidth="1"/>
    <col min="15047" max="15047" width="0" style="23" hidden="1" customWidth="1"/>
    <col min="15048" max="15049" width="4.3828125" style="23" customWidth="1"/>
    <col min="15050" max="15104" width="10.3046875" style="23"/>
    <col min="15105" max="15105" width="3.84375" style="23" customWidth="1"/>
    <col min="15106" max="15106" width="32.69140625" style="23" customWidth="1"/>
    <col min="15107" max="15183" width="3.84375" style="23" customWidth="1"/>
    <col min="15184" max="15185" width="0" style="23" hidden="1" customWidth="1"/>
    <col min="15186" max="15186" width="3.84375" style="23" customWidth="1"/>
    <col min="15187" max="15188" width="0" style="23" hidden="1" customWidth="1"/>
    <col min="15189" max="15189" width="3.84375" style="23" customWidth="1"/>
    <col min="15190" max="15191" width="0" style="23" hidden="1" customWidth="1"/>
    <col min="15192" max="15192" width="3.84375" style="23" customWidth="1"/>
    <col min="15193" max="15194" width="0" style="23" hidden="1" customWidth="1"/>
    <col min="15195" max="15195" width="3.84375" style="23" customWidth="1"/>
    <col min="15196" max="15197" width="0" style="23" hidden="1" customWidth="1"/>
    <col min="15198" max="15198" width="3.84375" style="23" customWidth="1"/>
    <col min="15199" max="15200" width="0" style="23" hidden="1" customWidth="1"/>
    <col min="15201" max="15201" width="3.84375" style="23" customWidth="1"/>
    <col min="15202" max="15203" width="0" style="23" hidden="1" customWidth="1"/>
    <col min="15204" max="15204" width="3.84375" style="23" customWidth="1"/>
    <col min="15205" max="15206" width="0" style="23" hidden="1" customWidth="1"/>
    <col min="15207" max="15207" width="3.84375" style="23" customWidth="1"/>
    <col min="15208" max="15209" width="0" style="23" hidden="1" customWidth="1"/>
    <col min="15210" max="15210" width="3.84375" style="23" customWidth="1"/>
    <col min="15211" max="15212" width="0" style="23" hidden="1" customWidth="1"/>
    <col min="15213" max="15213" width="3.84375" style="23" customWidth="1"/>
    <col min="15214" max="15215" width="0" style="23" hidden="1" customWidth="1"/>
    <col min="15216" max="15216" width="3.84375" style="23" customWidth="1"/>
    <col min="15217" max="15218" width="0" style="23" hidden="1" customWidth="1"/>
    <col min="15219" max="15219" width="3.84375" style="23" customWidth="1"/>
    <col min="15220" max="15221" width="0" style="23" hidden="1" customWidth="1"/>
    <col min="15222" max="15222" width="3.84375" style="23" customWidth="1"/>
    <col min="15223" max="15224" width="0" style="23" hidden="1" customWidth="1"/>
    <col min="15225" max="15225" width="3.84375" style="23" customWidth="1"/>
    <col min="15226" max="15227" width="0" style="23" hidden="1" customWidth="1"/>
    <col min="15228" max="15228" width="3.84375" style="23" customWidth="1"/>
    <col min="15229" max="15230" width="0" style="23" hidden="1" customWidth="1"/>
    <col min="15231" max="15231" width="3.84375" style="23" customWidth="1"/>
    <col min="15232" max="15233" width="0" style="23" hidden="1" customWidth="1"/>
    <col min="15234" max="15235" width="3.84375" style="23" customWidth="1"/>
    <col min="15236" max="15236" width="3.69140625" style="23" customWidth="1"/>
    <col min="15237" max="15237" width="0" style="23" hidden="1" customWidth="1"/>
    <col min="15238" max="15238" width="3.84375" style="23" customWidth="1"/>
    <col min="15239" max="15239" width="4.15234375" style="23" bestFit="1" customWidth="1"/>
    <col min="15240" max="15240" width="0" style="23" hidden="1" customWidth="1"/>
    <col min="15241" max="15242" width="4.15234375" style="23" bestFit="1" customWidth="1"/>
    <col min="15243" max="15243" width="0" style="23" hidden="1" customWidth="1"/>
    <col min="15244" max="15245" width="4.3046875" style="23" customWidth="1"/>
    <col min="15246" max="15246" width="0" style="23" hidden="1" customWidth="1"/>
    <col min="15247" max="15247" width="4.69140625" style="23" bestFit="1" customWidth="1"/>
    <col min="15248" max="15248" width="4.15234375" style="23" customWidth="1"/>
    <col min="15249" max="15249" width="0" style="23" hidden="1" customWidth="1"/>
    <col min="15250" max="15251" width="4.15234375" style="23" customWidth="1"/>
    <col min="15252" max="15252" width="0" style="23" hidden="1" customWidth="1"/>
    <col min="15253" max="15253" width="4.53515625" style="23" customWidth="1"/>
    <col min="15254" max="15254" width="4.69140625" style="23" customWidth="1"/>
    <col min="15255" max="15255" width="0" style="23" hidden="1" customWidth="1"/>
    <col min="15256" max="15256" width="4.53515625" style="23" customWidth="1"/>
    <col min="15257" max="15257" width="4.69140625" style="23" customWidth="1"/>
    <col min="15258" max="15258" width="0" style="23" hidden="1" customWidth="1"/>
    <col min="15259" max="15260" width="4.53515625" style="23" customWidth="1"/>
    <col min="15261" max="15261" width="0" style="23" hidden="1" customWidth="1"/>
    <col min="15262" max="15263" width="4.69140625" style="23" customWidth="1"/>
    <col min="15264" max="15264" width="0" style="23" hidden="1" customWidth="1"/>
    <col min="15265" max="15266" width="4.53515625" style="23" customWidth="1"/>
    <col min="15267" max="15267" width="0" style="23" hidden="1" customWidth="1"/>
    <col min="15268" max="15268" width="4.53515625" style="23" customWidth="1"/>
    <col min="15269" max="15269" width="4.69140625" style="23" customWidth="1"/>
    <col min="15270" max="15270" width="0" style="23" hidden="1" customWidth="1"/>
    <col min="15271" max="15271" width="5.15234375" style="23" customWidth="1"/>
    <col min="15272" max="15272" width="4.53515625" style="23" customWidth="1"/>
    <col min="15273" max="15273" width="0" style="23" hidden="1" customWidth="1"/>
    <col min="15274" max="15274" width="5" style="23" customWidth="1"/>
    <col min="15275" max="15275" width="4.84375" style="23" customWidth="1"/>
    <col min="15276" max="15276" width="0" style="23" hidden="1" customWidth="1"/>
    <col min="15277" max="15278" width="4.53515625" style="23" customWidth="1"/>
    <col min="15279" max="15279" width="0" style="23" hidden="1" customWidth="1"/>
    <col min="15280" max="15280" width="4.53515625" style="23" customWidth="1"/>
    <col min="15281" max="15281" width="4.69140625" style="23" customWidth="1"/>
    <col min="15282" max="15282" width="0" style="23" hidden="1" customWidth="1"/>
    <col min="15283" max="15284" width="4.3828125" style="23" customWidth="1"/>
    <col min="15285" max="15285" width="0" style="23" hidden="1" customWidth="1"/>
    <col min="15286" max="15287" width="4.3828125" style="23" customWidth="1"/>
    <col min="15288" max="15288" width="0" style="23" hidden="1" customWidth="1"/>
    <col min="15289" max="15290" width="4.3828125" style="23" customWidth="1"/>
    <col min="15291" max="15291" width="0" style="23" hidden="1" customWidth="1"/>
    <col min="15292" max="15292" width="4.3828125" style="23" customWidth="1"/>
    <col min="15293" max="15293" width="4.3046875" style="23" customWidth="1"/>
    <col min="15294" max="15294" width="0" style="23" hidden="1" customWidth="1"/>
    <col min="15295" max="15296" width="4.3828125" style="23" customWidth="1"/>
    <col min="15297" max="15297" width="0" style="23" hidden="1" customWidth="1"/>
    <col min="15298" max="15299" width="4.3828125" style="23" customWidth="1"/>
    <col min="15300" max="15300" width="0" style="23" hidden="1" customWidth="1"/>
    <col min="15301" max="15302" width="4.3828125" style="23" customWidth="1"/>
    <col min="15303" max="15303" width="0" style="23" hidden="1" customWidth="1"/>
    <col min="15304" max="15305" width="4.3828125" style="23" customWidth="1"/>
    <col min="15306" max="15360" width="10.3046875" style="23"/>
    <col min="15361" max="15361" width="3.84375" style="23" customWidth="1"/>
    <col min="15362" max="15362" width="32.69140625" style="23" customWidth="1"/>
    <col min="15363" max="15439" width="3.84375" style="23" customWidth="1"/>
    <col min="15440" max="15441" width="0" style="23" hidden="1" customWidth="1"/>
    <col min="15442" max="15442" width="3.84375" style="23" customWidth="1"/>
    <col min="15443" max="15444" width="0" style="23" hidden="1" customWidth="1"/>
    <col min="15445" max="15445" width="3.84375" style="23" customWidth="1"/>
    <col min="15446" max="15447" width="0" style="23" hidden="1" customWidth="1"/>
    <col min="15448" max="15448" width="3.84375" style="23" customWidth="1"/>
    <col min="15449" max="15450" width="0" style="23" hidden="1" customWidth="1"/>
    <col min="15451" max="15451" width="3.84375" style="23" customWidth="1"/>
    <col min="15452" max="15453" width="0" style="23" hidden="1" customWidth="1"/>
    <col min="15454" max="15454" width="3.84375" style="23" customWidth="1"/>
    <col min="15455" max="15456" width="0" style="23" hidden="1" customWidth="1"/>
    <col min="15457" max="15457" width="3.84375" style="23" customWidth="1"/>
    <col min="15458" max="15459" width="0" style="23" hidden="1" customWidth="1"/>
    <col min="15460" max="15460" width="3.84375" style="23" customWidth="1"/>
    <col min="15461" max="15462" width="0" style="23" hidden="1" customWidth="1"/>
    <col min="15463" max="15463" width="3.84375" style="23" customWidth="1"/>
    <col min="15464" max="15465" width="0" style="23" hidden="1" customWidth="1"/>
    <col min="15466" max="15466" width="3.84375" style="23" customWidth="1"/>
    <col min="15467" max="15468" width="0" style="23" hidden="1" customWidth="1"/>
    <col min="15469" max="15469" width="3.84375" style="23" customWidth="1"/>
    <col min="15470" max="15471" width="0" style="23" hidden="1" customWidth="1"/>
    <col min="15472" max="15472" width="3.84375" style="23" customWidth="1"/>
    <col min="15473" max="15474" width="0" style="23" hidden="1" customWidth="1"/>
    <col min="15475" max="15475" width="3.84375" style="23" customWidth="1"/>
    <col min="15476" max="15477" width="0" style="23" hidden="1" customWidth="1"/>
    <col min="15478" max="15478" width="3.84375" style="23" customWidth="1"/>
    <col min="15479" max="15480" width="0" style="23" hidden="1" customWidth="1"/>
    <col min="15481" max="15481" width="3.84375" style="23" customWidth="1"/>
    <col min="15482" max="15483" width="0" style="23" hidden="1" customWidth="1"/>
    <col min="15484" max="15484" width="3.84375" style="23" customWidth="1"/>
    <col min="15485" max="15486" width="0" style="23" hidden="1" customWidth="1"/>
    <col min="15487" max="15487" width="3.84375" style="23" customWidth="1"/>
    <col min="15488" max="15489" width="0" style="23" hidden="1" customWidth="1"/>
    <col min="15490" max="15491" width="3.84375" style="23" customWidth="1"/>
    <col min="15492" max="15492" width="3.69140625" style="23" customWidth="1"/>
    <col min="15493" max="15493" width="0" style="23" hidden="1" customWidth="1"/>
    <col min="15494" max="15494" width="3.84375" style="23" customWidth="1"/>
    <col min="15495" max="15495" width="4.15234375" style="23" bestFit="1" customWidth="1"/>
    <col min="15496" max="15496" width="0" style="23" hidden="1" customWidth="1"/>
    <col min="15497" max="15498" width="4.15234375" style="23" bestFit="1" customWidth="1"/>
    <col min="15499" max="15499" width="0" style="23" hidden="1" customWidth="1"/>
    <col min="15500" max="15501" width="4.3046875" style="23" customWidth="1"/>
    <col min="15502" max="15502" width="0" style="23" hidden="1" customWidth="1"/>
    <col min="15503" max="15503" width="4.69140625" style="23" bestFit="1" customWidth="1"/>
    <col min="15504" max="15504" width="4.15234375" style="23" customWidth="1"/>
    <col min="15505" max="15505" width="0" style="23" hidden="1" customWidth="1"/>
    <col min="15506" max="15507" width="4.15234375" style="23" customWidth="1"/>
    <col min="15508" max="15508" width="0" style="23" hidden="1" customWidth="1"/>
    <col min="15509" max="15509" width="4.53515625" style="23" customWidth="1"/>
    <col min="15510" max="15510" width="4.69140625" style="23" customWidth="1"/>
    <col min="15511" max="15511" width="0" style="23" hidden="1" customWidth="1"/>
    <col min="15512" max="15512" width="4.53515625" style="23" customWidth="1"/>
    <col min="15513" max="15513" width="4.69140625" style="23" customWidth="1"/>
    <col min="15514" max="15514" width="0" style="23" hidden="1" customWidth="1"/>
    <col min="15515" max="15516" width="4.53515625" style="23" customWidth="1"/>
    <col min="15517" max="15517" width="0" style="23" hidden="1" customWidth="1"/>
    <col min="15518" max="15519" width="4.69140625" style="23" customWidth="1"/>
    <col min="15520" max="15520" width="0" style="23" hidden="1" customWidth="1"/>
    <col min="15521" max="15522" width="4.53515625" style="23" customWidth="1"/>
    <col min="15523" max="15523" width="0" style="23" hidden="1" customWidth="1"/>
    <col min="15524" max="15524" width="4.53515625" style="23" customWidth="1"/>
    <col min="15525" max="15525" width="4.69140625" style="23" customWidth="1"/>
    <col min="15526" max="15526" width="0" style="23" hidden="1" customWidth="1"/>
    <col min="15527" max="15527" width="5.15234375" style="23" customWidth="1"/>
    <col min="15528" max="15528" width="4.53515625" style="23" customWidth="1"/>
    <col min="15529" max="15529" width="0" style="23" hidden="1" customWidth="1"/>
    <col min="15530" max="15530" width="5" style="23" customWidth="1"/>
    <col min="15531" max="15531" width="4.84375" style="23" customWidth="1"/>
    <col min="15532" max="15532" width="0" style="23" hidden="1" customWidth="1"/>
    <col min="15533" max="15534" width="4.53515625" style="23" customWidth="1"/>
    <col min="15535" max="15535" width="0" style="23" hidden="1" customWidth="1"/>
    <col min="15536" max="15536" width="4.53515625" style="23" customWidth="1"/>
    <col min="15537" max="15537" width="4.69140625" style="23" customWidth="1"/>
    <col min="15538" max="15538" width="0" style="23" hidden="1" customWidth="1"/>
    <col min="15539" max="15540" width="4.3828125" style="23" customWidth="1"/>
    <col min="15541" max="15541" width="0" style="23" hidden="1" customWidth="1"/>
    <col min="15542" max="15543" width="4.3828125" style="23" customWidth="1"/>
    <col min="15544" max="15544" width="0" style="23" hidden="1" customWidth="1"/>
    <col min="15545" max="15546" width="4.3828125" style="23" customWidth="1"/>
    <col min="15547" max="15547" width="0" style="23" hidden="1" customWidth="1"/>
    <col min="15548" max="15548" width="4.3828125" style="23" customWidth="1"/>
    <col min="15549" max="15549" width="4.3046875" style="23" customWidth="1"/>
    <col min="15550" max="15550" width="0" style="23" hidden="1" customWidth="1"/>
    <col min="15551" max="15552" width="4.3828125" style="23" customWidth="1"/>
    <col min="15553" max="15553" width="0" style="23" hidden="1" customWidth="1"/>
    <col min="15554" max="15555" width="4.3828125" style="23" customWidth="1"/>
    <col min="15556" max="15556" width="0" style="23" hidden="1" customWidth="1"/>
    <col min="15557" max="15558" width="4.3828125" style="23" customWidth="1"/>
    <col min="15559" max="15559" width="0" style="23" hidden="1" customWidth="1"/>
    <col min="15560" max="15561" width="4.3828125" style="23" customWidth="1"/>
    <col min="15562" max="15616" width="10.3046875" style="23"/>
    <col min="15617" max="15617" width="3.84375" style="23" customWidth="1"/>
    <col min="15618" max="15618" width="32.69140625" style="23" customWidth="1"/>
    <col min="15619" max="15695" width="3.84375" style="23" customWidth="1"/>
    <col min="15696" max="15697" width="0" style="23" hidden="1" customWidth="1"/>
    <col min="15698" max="15698" width="3.84375" style="23" customWidth="1"/>
    <col min="15699" max="15700" width="0" style="23" hidden="1" customWidth="1"/>
    <col min="15701" max="15701" width="3.84375" style="23" customWidth="1"/>
    <col min="15702" max="15703" width="0" style="23" hidden="1" customWidth="1"/>
    <col min="15704" max="15704" width="3.84375" style="23" customWidth="1"/>
    <col min="15705" max="15706" width="0" style="23" hidden="1" customWidth="1"/>
    <col min="15707" max="15707" width="3.84375" style="23" customWidth="1"/>
    <col min="15708" max="15709" width="0" style="23" hidden="1" customWidth="1"/>
    <col min="15710" max="15710" width="3.84375" style="23" customWidth="1"/>
    <col min="15711" max="15712" width="0" style="23" hidden="1" customWidth="1"/>
    <col min="15713" max="15713" width="3.84375" style="23" customWidth="1"/>
    <col min="15714" max="15715" width="0" style="23" hidden="1" customWidth="1"/>
    <col min="15716" max="15716" width="3.84375" style="23" customWidth="1"/>
    <col min="15717" max="15718" width="0" style="23" hidden="1" customWidth="1"/>
    <col min="15719" max="15719" width="3.84375" style="23" customWidth="1"/>
    <col min="15720" max="15721" width="0" style="23" hidden="1" customWidth="1"/>
    <col min="15722" max="15722" width="3.84375" style="23" customWidth="1"/>
    <col min="15723" max="15724" width="0" style="23" hidden="1" customWidth="1"/>
    <col min="15725" max="15725" width="3.84375" style="23" customWidth="1"/>
    <col min="15726" max="15727" width="0" style="23" hidden="1" customWidth="1"/>
    <col min="15728" max="15728" width="3.84375" style="23" customWidth="1"/>
    <col min="15729" max="15730" width="0" style="23" hidden="1" customWidth="1"/>
    <col min="15731" max="15731" width="3.84375" style="23" customWidth="1"/>
    <col min="15732" max="15733" width="0" style="23" hidden="1" customWidth="1"/>
    <col min="15734" max="15734" width="3.84375" style="23" customWidth="1"/>
    <col min="15735" max="15736" width="0" style="23" hidden="1" customWidth="1"/>
    <col min="15737" max="15737" width="3.84375" style="23" customWidth="1"/>
    <col min="15738" max="15739" width="0" style="23" hidden="1" customWidth="1"/>
    <col min="15740" max="15740" width="3.84375" style="23" customWidth="1"/>
    <col min="15741" max="15742" width="0" style="23" hidden="1" customWidth="1"/>
    <col min="15743" max="15743" width="3.84375" style="23" customWidth="1"/>
    <col min="15744" max="15745" width="0" style="23" hidden="1" customWidth="1"/>
    <col min="15746" max="15747" width="3.84375" style="23" customWidth="1"/>
    <col min="15748" max="15748" width="3.69140625" style="23" customWidth="1"/>
    <col min="15749" max="15749" width="0" style="23" hidden="1" customWidth="1"/>
    <col min="15750" max="15750" width="3.84375" style="23" customWidth="1"/>
    <col min="15751" max="15751" width="4.15234375" style="23" bestFit="1" customWidth="1"/>
    <col min="15752" max="15752" width="0" style="23" hidden="1" customWidth="1"/>
    <col min="15753" max="15754" width="4.15234375" style="23" bestFit="1" customWidth="1"/>
    <col min="15755" max="15755" width="0" style="23" hidden="1" customWidth="1"/>
    <col min="15756" max="15757" width="4.3046875" style="23" customWidth="1"/>
    <col min="15758" max="15758" width="0" style="23" hidden="1" customWidth="1"/>
    <col min="15759" max="15759" width="4.69140625" style="23" bestFit="1" customWidth="1"/>
    <col min="15760" max="15760" width="4.15234375" style="23" customWidth="1"/>
    <col min="15761" max="15761" width="0" style="23" hidden="1" customWidth="1"/>
    <col min="15762" max="15763" width="4.15234375" style="23" customWidth="1"/>
    <col min="15764" max="15764" width="0" style="23" hidden="1" customWidth="1"/>
    <col min="15765" max="15765" width="4.53515625" style="23" customWidth="1"/>
    <col min="15766" max="15766" width="4.69140625" style="23" customWidth="1"/>
    <col min="15767" max="15767" width="0" style="23" hidden="1" customWidth="1"/>
    <col min="15768" max="15768" width="4.53515625" style="23" customWidth="1"/>
    <col min="15769" max="15769" width="4.69140625" style="23" customWidth="1"/>
    <col min="15770" max="15770" width="0" style="23" hidden="1" customWidth="1"/>
    <col min="15771" max="15772" width="4.53515625" style="23" customWidth="1"/>
    <col min="15773" max="15773" width="0" style="23" hidden="1" customWidth="1"/>
    <col min="15774" max="15775" width="4.69140625" style="23" customWidth="1"/>
    <col min="15776" max="15776" width="0" style="23" hidden="1" customWidth="1"/>
    <col min="15777" max="15778" width="4.53515625" style="23" customWidth="1"/>
    <col min="15779" max="15779" width="0" style="23" hidden="1" customWidth="1"/>
    <col min="15780" max="15780" width="4.53515625" style="23" customWidth="1"/>
    <col min="15781" max="15781" width="4.69140625" style="23" customWidth="1"/>
    <col min="15782" max="15782" width="0" style="23" hidden="1" customWidth="1"/>
    <col min="15783" max="15783" width="5.15234375" style="23" customWidth="1"/>
    <col min="15784" max="15784" width="4.53515625" style="23" customWidth="1"/>
    <col min="15785" max="15785" width="0" style="23" hidden="1" customWidth="1"/>
    <col min="15786" max="15786" width="5" style="23" customWidth="1"/>
    <col min="15787" max="15787" width="4.84375" style="23" customWidth="1"/>
    <col min="15788" max="15788" width="0" style="23" hidden="1" customWidth="1"/>
    <col min="15789" max="15790" width="4.53515625" style="23" customWidth="1"/>
    <col min="15791" max="15791" width="0" style="23" hidden="1" customWidth="1"/>
    <col min="15792" max="15792" width="4.53515625" style="23" customWidth="1"/>
    <col min="15793" max="15793" width="4.69140625" style="23" customWidth="1"/>
    <col min="15794" max="15794" width="0" style="23" hidden="1" customWidth="1"/>
    <col min="15795" max="15796" width="4.3828125" style="23" customWidth="1"/>
    <col min="15797" max="15797" width="0" style="23" hidden="1" customWidth="1"/>
    <col min="15798" max="15799" width="4.3828125" style="23" customWidth="1"/>
    <col min="15800" max="15800" width="0" style="23" hidden="1" customWidth="1"/>
    <col min="15801" max="15802" width="4.3828125" style="23" customWidth="1"/>
    <col min="15803" max="15803" width="0" style="23" hidden="1" customWidth="1"/>
    <col min="15804" max="15804" width="4.3828125" style="23" customWidth="1"/>
    <col min="15805" max="15805" width="4.3046875" style="23" customWidth="1"/>
    <col min="15806" max="15806" width="0" style="23" hidden="1" customWidth="1"/>
    <col min="15807" max="15808" width="4.3828125" style="23" customWidth="1"/>
    <col min="15809" max="15809" width="0" style="23" hidden="1" customWidth="1"/>
    <col min="15810" max="15811" width="4.3828125" style="23" customWidth="1"/>
    <col min="15812" max="15812" width="0" style="23" hidden="1" customWidth="1"/>
    <col min="15813" max="15814" width="4.3828125" style="23" customWidth="1"/>
    <col min="15815" max="15815" width="0" style="23" hidden="1" customWidth="1"/>
    <col min="15816" max="15817" width="4.3828125" style="23" customWidth="1"/>
    <col min="15818" max="15872" width="10.3046875" style="23"/>
    <col min="15873" max="15873" width="3.84375" style="23" customWidth="1"/>
    <col min="15874" max="15874" width="32.69140625" style="23" customWidth="1"/>
    <col min="15875" max="15951" width="3.84375" style="23" customWidth="1"/>
    <col min="15952" max="15953" width="0" style="23" hidden="1" customWidth="1"/>
    <col min="15954" max="15954" width="3.84375" style="23" customWidth="1"/>
    <col min="15955" max="15956" width="0" style="23" hidden="1" customWidth="1"/>
    <col min="15957" max="15957" width="3.84375" style="23" customWidth="1"/>
    <col min="15958" max="15959" width="0" style="23" hidden="1" customWidth="1"/>
    <col min="15960" max="15960" width="3.84375" style="23" customWidth="1"/>
    <col min="15961" max="15962" width="0" style="23" hidden="1" customWidth="1"/>
    <col min="15963" max="15963" width="3.84375" style="23" customWidth="1"/>
    <col min="15964" max="15965" width="0" style="23" hidden="1" customWidth="1"/>
    <col min="15966" max="15966" width="3.84375" style="23" customWidth="1"/>
    <col min="15967" max="15968" width="0" style="23" hidden="1" customWidth="1"/>
    <col min="15969" max="15969" width="3.84375" style="23" customWidth="1"/>
    <col min="15970" max="15971" width="0" style="23" hidden="1" customWidth="1"/>
    <col min="15972" max="15972" width="3.84375" style="23" customWidth="1"/>
    <col min="15973" max="15974" width="0" style="23" hidden="1" customWidth="1"/>
    <col min="15975" max="15975" width="3.84375" style="23" customWidth="1"/>
    <col min="15976" max="15977" width="0" style="23" hidden="1" customWidth="1"/>
    <col min="15978" max="15978" width="3.84375" style="23" customWidth="1"/>
    <col min="15979" max="15980" width="0" style="23" hidden="1" customWidth="1"/>
    <col min="15981" max="15981" width="3.84375" style="23" customWidth="1"/>
    <col min="15982" max="15983" width="0" style="23" hidden="1" customWidth="1"/>
    <col min="15984" max="15984" width="3.84375" style="23" customWidth="1"/>
    <col min="15985" max="15986" width="0" style="23" hidden="1" customWidth="1"/>
    <col min="15987" max="15987" width="3.84375" style="23" customWidth="1"/>
    <col min="15988" max="15989" width="0" style="23" hidden="1" customWidth="1"/>
    <col min="15990" max="15990" width="3.84375" style="23" customWidth="1"/>
    <col min="15991" max="15992" width="0" style="23" hidden="1" customWidth="1"/>
    <col min="15993" max="15993" width="3.84375" style="23" customWidth="1"/>
    <col min="15994" max="15995" width="0" style="23" hidden="1" customWidth="1"/>
    <col min="15996" max="15996" width="3.84375" style="23" customWidth="1"/>
    <col min="15997" max="15998" width="0" style="23" hidden="1" customWidth="1"/>
    <col min="15999" max="15999" width="3.84375" style="23" customWidth="1"/>
    <col min="16000" max="16001" width="0" style="23" hidden="1" customWidth="1"/>
    <col min="16002" max="16003" width="3.84375" style="23" customWidth="1"/>
    <col min="16004" max="16004" width="3.69140625" style="23" customWidth="1"/>
    <col min="16005" max="16005" width="0" style="23" hidden="1" customWidth="1"/>
    <col min="16006" max="16006" width="3.84375" style="23" customWidth="1"/>
    <col min="16007" max="16007" width="4.15234375" style="23" bestFit="1" customWidth="1"/>
    <col min="16008" max="16008" width="0" style="23" hidden="1" customWidth="1"/>
    <col min="16009" max="16010" width="4.15234375" style="23" bestFit="1" customWidth="1"/>
    <col min="16011" max="16011" width="0" style="23" hidden="1" customWidth="1"/>
    <col min="16012" max="16013" width="4.3046875" style="23" customWidth="1"/>
    <col min="16014" max="16014" width="0" style="23" hidden="1" customWidth="1"/>
    <col min="16015" max="16015" width="4.69140625" style="23" bestFit="1" customWidth="1"/>
    <col min="16016" max="16016" width="4.15234375" style="23" customWidth="1"/>
    <col min="16017" max="16017" width="0" style="23" hidden="1" customWidth="1"/>
    <col min="16018" max="16019" width="4.15234375" style="23" customWidth="1"/>
    <col min="16020" max="16020" width="0" style="23" hidden="1" customWidth="1"/>
    <col min="16021" max="16021" width="4.53515625" style="23" customWidth="1"/>
    <col min="16022" max="16022" width="4.69140625" style="23" customWidth="1"/>
    <col min="16023" max="16023" width="0" style="23" hidden="1" customWidth="1"/>
    <col min="16024" max="16024" width="4.53515625" style="23" customWidth="1"/>
    <col min="16025" max="16025" width="4.69140625" style="23" customWidth="1"/>
    <col min="16026" max="16026" width="0" style="23" hidden="1" customWidth="1"/>
    <col min="16027" max="16028" width="4.53515625" style="23" customWidth="1"/>
    <col min="16029" max="16029" width="0" style="23" hidden="1" customWidth="1"/>
    <col min="16030" max="16031" width="4.69140625" style="23" customWidth="1"/>
    <col min="16032" max="16032" width="0" style="23" hidden="1" customWidth="1"/>
    <col min="16033" max="16034" width="4.53515625" style="23" customWidth="1"/>
    <col min="16035" max="16035" width="0" style="23" hidden="1" customWidth="1"/>
    <col min="16036" max="16036" width="4.53515625" style="23" customWidth="1"/>
    <col min="16037" max="16037" width="4.69140625" style="23" customWidth="1"/>
    <col min="16038" max="16038" width="0" style="23" hidden="1" customWidth="1"/>
    <col min="16039" max="16039" width="5.15234375" style="23" customWidth="1"/>
    <col min="16040" max="16040" width="4.53515625" style="23" customWidth="1"/>
    <col min="16041" max="16041" width="0" style="23" hidden="1" customWidth="1"/>
    <col min="16042" max="16042" width="5" style="23" customWidth="1"/>
    <col min="16043" max="16043" width="4.84375" style="23" customWidth="1"/>
    <col min="16044" max="16044" width="0" style="23" hidden="1" customWidth="1"/>
    <col min="16045" max="16046" width="4.53515625" style="23" customWidth="1"/>
    <col min="16047" max="16047" width="0" style="23" hidden="1" customWidth="1"/>
    <col min="16048" max="16048" width="4.53515625" style="23" customWidth="1"/>
    <col min="16049" max="16049" width="4.69140625" style="23" customWidth="1"/>
    <col min="16050" max="16050" width="0" style="23" hidden="1" customWidth="1"/>
    <col min="16051" max="16052" width="4.3828125" style="23" customWidth="1"/>
    <col min="16053" max="16053" width="0" style="23" hidden="1" customWidth="1"/>
    <col min="16054" max="16055" width="4.3828125" style="23" customWidth="1"/>
    <col min="16056" max="16056" width="0" style="23" hidden="1" customWidth="1"/>
    <col min="16057" max="16058" width="4.3828125" style="23" customWidth="1"/>
    <col min="16059" max="16059" width="0" style="23" hidden="1" customWidth="1"/>
    <col min="16060" max="16060" width="4.3828125" style="23" customWidth="1"/>
    <col min="16061" max="16061" width="4.3046875" style="23" customWidth="1"/>
    <col min="16062" max="16062" width="0" style="23" hidden="1" customWidth="1"/>
    <col min="16063" max="16064" width="4.3828125" style="23" customWidth="1"/>
    <col min="16065" max="16065" width="0" style="23" hidden="1" customWidth="1"/>
    <col min="16066" max="16067" width="4.3828125" style="23" customWidth="1"/>
    <col min="16068" max="16068" width="0" style="23" hidden="1" customWidth="1"/>
    <col min="16069" max="16070" width="4.3828125" style="23" customWidth="1"/>
    <col min="16071" max="16071" width="0" style="23" hidden="1" customWidth="1"/>
    <col min="16072" max="16073" width="4.3828125" style="23" customWidth="1"/>
    <col min="16074" max="16128" width="10.3046875" style="23"/>
    <col min="16129" max="16129" width="3.84375" style="23" customWidth="1"/>
    <col min="16130" max="16130" width="32.69140625" style="23" customWidth="1"/>
    <col min="16131" max="16207" width="3.84375" style="23" customWidth="1"/>
    <col min="16208" max="16209" width="0" style="23" hidden="1" customWidth="1"/>
    <col min="16210" max="16210" width="3.84375" style="23" customWidth="1"/>
    <col min="16211" max="16212" width="0" style="23" hidden="1" customWidth="1"/>
    <col min="16213" max="16213" width="3.84375" style="23" customWidth="1"/>
    <col min="16214" max="16215" width="0" style="23" hidden="1" customWidth="1"/>
    <col min="16216" max="16216" width="3.84375" style="23" customWidth="1"/>
    <col min="16217" max="16218" width="0" style="23" hidden="1" customWidth="1"/>
    <col min="16219" max="16219" width="3.84375" style="23" customWidth="1"/>
    <col min="16220" max="16221" width="0" style="23" hidden="1" customWidth="1"/>
    <col min="16222" max="16222" width="3.84375" style="23" customWidth="1"/>
    <col min="16223" max="16224" width="0" style="23" hidden="1" customWidth="1"/>
    <col min="16225" max="16225" width="3.84375" style="23" customWidth="1"/>
    <col min="16226" max="16227" width="0" style="23" hidden="1" customWidth="1"/>
    <col min="16228" max="16228" width="3.84375" style="23" customWidth="1"/>
    <col min="16229" max="16230" width="0" style="23" hidden="1" customWidth="1"/>
    <col min="16231" max="16231" width="3.84375" style="23" customWidth="1"/>
    <col min="16232" max="16233" width="0" style="23" hidden="1" customWidth="1"/>
    <col min="16234" max="16234" width="3.84375" style="23" customWidth="1"/>
    <col min="16235" max="16236" width="0" style="23" hidden="1" customWidth="1"/>
    <col min="16237" max="16237" width="3.84375" style="23" customWidth="1"/>
    <col min="16238" max="16239" width="0" style="23" hidden="1" customWidth="1"/>
    <col min="16240" max="16240" width="3.84375" style="23" customWidth="1"/>
    <col min="16241" max="16242" width="0" style="23" hidden="1" customWidth="1"/>
    <col min="16243" max="16243" width="3.84375" style="23" customWidth="1"/>
    <col min="16244" max="16245" width="0" style="23" hidden="1" customWidth="1"/>
    <col min="16246" max="16246" width="3.84375" style="23" customWidth="1"/>
    <col min="16247" max="16248" width="0" style="23" hidden="1" customWidth="1"/>
    <col min="16249" max="16249" width="3.84375" style="23" customWidth="1"/>
    <col min="16250" max="16251" width="0" style="23" hidden="1" customWidth="1"/>
    <col min="16252" max="16252" width="3.84375" style="23" customWidth="1"/>
    <col min="16253" max="16254" width="0" style="23" hidden="1" customWidth="1"/>
    <col min="16255" max="16255" width="3.84375" style="23" customWidth="1"/>
    <col min="16256" max="16257" width="0" style="23" hidden="1" customWidth="1"/>
    <col min="16258" max="16259" width="3.84375" style="23" customWidth="1"/>
    <col min="16260" max="16260" width="3.69140625" style="23" customWidth="1"/>
    <col min="16261" max="16261" width="0" style="23" hidden="1" customWidth="1"/>
    <col min="16262" max="16262" width="3.84375" style="23" customWidth="1"/>
    <col min="16263" max="16263" width="4.15234375" style="23" bestFit="1" customWidth="1"/>
    <col min="16264" max="16264" width="0" style="23" hidden="1" customWidth="1"/>
    <col min="16265" max="16266" width="4.15234375" style="23" bestFit="1" customWidth="1"/>
    <col min="16267" max="16267" width="0" style="23" hidden="1" customWidth="1"/>
    <col min="16268" max="16269" width="4.3046875" style="23" customWidth="1"/>
    <col min="16270" max="16270" width="0" style="23" hidden="1" customWidth="1"/>
    <col min="16271" max="16271" width="4.69140625" style="23" bestFit="1" customWidth="1"/>
    <col min="16272" max="16272" width="4.15234375" style="23" customWidth="1"/>
    <col min="16273" max="16273" width="0" style="23" hidden="1" customWidth="1"/>
    <col min="16274" max="16275" width="4.15234375" style="23" customWidth="1"/>
    <col min="16276" max="16276" width="0" style="23" hidden="1" customWidth="1"/>
    <col min="16277" max="16277" width="4.53515625" style="23" customWidth="1"/>
    <col min="16278" max="16278" width="4.69140625" style="23" customWidth="1"/>
    <col min="16279" max="16279" width="0" style="23" hidden="1" customWidth="1"/>
    <col min="16280" max="16280" width="4.53515625" style="23" customWidth="1"/>
    <col min="16281" max="16281" width="4.69140625" style="23" customWidth="1"/>
    <col min="16282" max="16282" width="0" style="23" hidden="1" customWidth="1"/>
    <col min="16283" max="16284" width="4.53515625" style="23" customWidth="1"/>
    <col min="16285" max="16285" width="0" style="23" hidden="1" customWidth="1"/>
    <col min="16286" max="16287" width="4.69140625" style="23" customWidth="1"/>
    <col min="16288" max="16288" width="0" style="23" hidden="1" customWidth="1"/>
    <col min="16289" max="16290" width="4.53515625" style="23" customWidth="1"/>
    <col min="16291" max="16291" width="0" style="23" hidden="1" customWidth="1"/>
    <col min="16292" max="16292" width="4.53515625" style="23" customWidth="1"/>
    <col min="16293" max="16293" width="4.69140625" style="23" customWidth="1"/>
    <col min="16294" max="16294" width="0" style="23" hidden="1" customWidth="1"/>
    <col min="16295" max="16295" width="5.15234375" style="23" customWidth="1"/>
    <col min="16296" max="16296" width="4.53515625" style="23" customWidth="1"/>
    <col min="16297" max="16297" width="0" style="23" hidden="1" customWidth="1"/>
    <col min="16298" max="16298" width="5" style="23" customWidth="1"/>
    <col min="16299" max="16299" width="4.84375" style="23" customWidth="1"/>
    <col min="16300" max="16300" width="0" style="23" hidden="1" customWidth="1"/>
    <col min="16301" max="16302" width="4.53515625" style="23" customWidth="1"/>
    <col min="16303" max="16303" width="0" style="23" hidden="1" customWidth="1"/>
    <col min="16304" max="16304" width="4.53515625" style="23" customWidth="1"/>
    <col min="16305" max="16305" width="4.69140625" style="23" customWidth="1"/>
    <col min="16306" max="16306" width="0" style="23" hidden="1" customWidth="1"/>
    <col min="16307" max="16308" width="4.3828125" style="23" customWidth="1"/>
    <col min="16309" max="16309" width="0" style="23" hidden="1" customWidth="1"/>
    <col min="16310" max="16311" width="4.3828125" style="23" customWidth="1"/>
    <col min="16312" max="16312" width="0" style="23" hidden="1" customWidth="1"/>
    <col min="16313" max="16314" width="4.3828125" style="23" customWidth="1"/>
    <col min="16315" max="16315" width="0" style="23" hidden="1" customWidth="1"/>
    <col min="16316" max="16316" width="4.3828125" style="23" customWidth="1"/>
    <col min="16317" max="16317" width="4.3046875" style="23" customWidth="1"/>
    <col min="16318" max="16318" width="0" style="23" hidden="1" customWidth="1"/>
    <col min="16319" max="16320" width="4.3828125" style="23" customWidth="1"/>
    <col min="16321" max="16321" width="0" style="23" hidden="1" customWidth="1"/>
    <col min="16322" max="16323" width="4.3828125" style="23" customWidth="1"/>
    <col min="16324" max="16324" width="0" style="23" hidden="1" customWidth="1"/>
    <col min="16325" max="16326" width="4.3828125" style="23" customWidth="1"/>
    <col min="16327" max="16327" width="0" style="23" hidden="1" customWidth="1"/>
    <col min="16328" max="16329" width="4.3828125" style="23" customWidth="1"/>
    <col min="16330" max="16384" width="10.3046875" style="23"/>
  </cols>
  <sheetData>
    <row r="1" spans="1:201" ht="19.5" customHeight="1" x14ac:dyDescent="0.55000000000000004">
      <c r="B1" s="24" t="s">
        <v>32</v>
      </c>
      <c r="C1" s="25"/>
      <c r="D1" s="26" t="s">
        <v>33</v>
      </c>
      <c r="E1" s="27"/>
      <c r="G1" s="28"/>
      <c r="H1" s="26"/>
      <c r="I1" s="26"/>
      <c r="J1" s="26"/>
      <c r="K1" s="26"/>
      <c r="L1" s="26"/>
      <c r="M1" s="26"/>
      <c r="N1" s="26"/>
      <c r="O1" s="26"/>
      <c r="P1" s="26"/>
      <c r="Q1" s="26"/>
      <c r="R1" s="26" t="str">
        <f>D1</f>
        <v>COST TRENDS OF WATER UTILITY CONSTRUCTION</v>
      </c>
      <c r="U1" s="28"/>
      <c r="W1" s="26"/>
      <c r="X1" s="26"/>
      <c r="Y1" s="26"/>
      <c r="Z1" s="26"/>
      <c r="AA1" s="26"/>
      <c r="AB1" s="26"/>
      <c r="AC1" s="26"/>
      <c r="AD1" s="26"/>
      <c r="AE1" s="26"/>
      <c r="AF1" s="26" t="str">
        <f>R1</f>
        <v>COST TRENDS OF WATER UTILITY CONSTRUCTION</v>
      </c>
      <c r="AG1" s="26"/>
      <c r="AH1" s="26"/>
      <c r="AI1" s="26"/>
      <c r="AJ1" s="29"/>
      <c r="AK1" s="28"/>
      <c r="AM1" s="26"/>
      <c r="AN1" s="26"/>
      <c r="AO1" s="26"/>
      <c r="AP1" s="26"/>
      <c r="AQ1" s="26"/>
      <c r="AR1" s="26"/>
      <c r="AS1" s="26"/>
      <c r="AT1" s="26" t="str">
        <f>AF1</f>
        <v>COST TRENDS OF WATER UTILITY CONSTRUCTION</v>
      </c>
      <c r="AU1" s="26"/>
      <c r="AV1" s="26"/>
      <c r="AW1" s="26"/>
      <c r="AX1" s="26"/>
      <c r="AY1" s="26"/>
      <c r="AZ1" s="29"/>
      <c r="BA1" s="28"/>
      <c r="BC1" s="26"/>
      <c r="BD1" s="26"/>
      <c r="BE1" s="26"/>
      <c r="BF1" s="26"/>
      <c r="BG1" s="26"/>
      <c r="BH1" s="26" t="str">
        <f>AT1</f>
        <v>COST TRENDS OF WATER UTILITY CONSTRUCTION</v>
      </c>
      <c r="BI1" s="26"/>
      <c r="BJ1" s="26"/>
      <c r="BK1" s="26"/>
      <c r="BL1" s="26"/>
      <c r="BM1" s="26"/>
      <c r="BN1" s="26"/>
      <c r="BO1" s="26"/>
      <c r="BP1" s="29"/>
      <c r="BQ1" s="28"/>
      <c r="BS1" s="26"/>
      <c r="BT1" s="26"/>
      <c r="BU1" s="26"/>
      <c r="BV1" s="26" t="str">
        <f>BH1</f>
        <v>COST TRENDS OF WATER UTILITY CONSTRUCTION</v>
      </c>
      <c r="BW1" s="26"/>
      <c r="BX1" s="26"/>
      <c r="BY1" s="26"/>
      <c r="BZ1" s="26"/>
      <c r="CA1" s="26"/>
      <c r="CB1" s="26"/>
      <c r="CC1" s="26"/>
      <c r="CD1" s="26"/>
      <c r="CE1" s="26"/>
      <c r="CF1" s="26"/>
      <c r="CG1" s="26"/>
      <c r="CH1" s="29"/>
      <c r="CI1" s="28"/>
      <c r="CJ1" s="28"/>
      <c r="CL1" s="26"/>
      <c r="CM1" s="26"/>
      <c r="CN1" s="26" t="str">
        <f>BV1</f>
        <v>COST TRENDS OF WATER UTILITY CONSTRUCTION</v>
      </c>
      <c r="CO1" s="26"/>
      <c r="CP1" s="26"/>
      <c r="CQ1" s="26"/>
      <c r="CR1" s="26"/>
      <c r="CS1" s="26"/>
      <c r="CT1" s="26"/>
      <c r="CU1" s="26"/>
      <c r="CV1" s="26"/>
      <c r="CW1" s="26"/>
      <c r="CX1" s="26"/>
      <c r="CY1" s="26"/>
      <c r="CZ1" s="26"/>
      <c r="DA1" s="26"/>
      <c r="DB1" s="28" t="str">
        <f>CN1</f>
        <v>COST TRENDS OF WATER UTILITY CONSTRUCTION</v>
      </c>
      <c r="EJ1" s="28" t="str">
        <f>D1</f>
        <v>COST TRENDS OF WATER UTILITY CONSTRUCTION</v>
      </c>
      <c r="ET1" s="30"/>
      <c r="EU1" s="30"/>
      <c r="EV1" s="30"/>
      <c r="EW1" s="30"/>
      <c r="EX1" s="30"/>
      <c r="EY1" s="30"/>
      <c r="EZ1" s="30"/>
      <c r="FA1" s="30"/>
      <c r="FB1" s="30"/>
      <c r="FC1" s="30"/>
      <c r="FD1" s="30"/>
      <c r="FE1" s="30" t="s">
        <v>33</v>
      </c>
      <c r="FF1" s="30"/>
      <c r="FG1" s="30"/>
      <c r="FH1" s="30"/>
      <c r="FI1" s="30"/>
      <c r="FJ1" s="30"/>
      <c r="FM1" s="30"/>
      <c r="FO1" s="30"/>
      <c r="FP1" s="30"/>
      <c r="FQ1" s="30"/>
      <c r="FR1" s="30"/>
      <c r="FS1" s="30"/>
      <c r="FT1" s="30"/>
      <c r="FU1" s="30"/>
      <c r="FV1" s="30"/>
      <c r="FW1" s="30"/>
      <c r="FX1" s="30"/>
      <c r="FY1" s="30"/>
      <c r="FZ1" s="30" t="s">
        <v>33</v>
      </c>
      <c r="GA1" s="30"/>
      <c r="GB1" s="30"/>
      <c r="GC1" s="30"/>
      <c r="GD1" s="30"/>
      <c r="GE1" s="30"/>
      <c r="GG1" s="31"/>
      <c r="GH1" s="31"/>
      <c r="GI1" s="32"/>
      <c r="GJ1" s="32"/>
      <c r="GK1" s="33"/>
      <c r="GL1" s="32"/>
      <c r="GM1" s="32"/>
      <c r="GN1" s="33"/>
      <c r="GO1" s="32"/>
      <c r="GP1" s="32"/>
      <c r="GQ1" s="33"/>
      <c r="GR1" s="32"/>
      <c r="GS1" s="32"/>
    </row>
    <row r="2" spans="1:201" ht="10.5" customHeight="1" x14ac:dyDescent="0.4">
      <c r="B2" s="34"/>
      <c r="C2" s="25"/>
      <c r="E2" s="25"/>
      <c r="F2" s="35"/>
      <c r="G2" s="31"/>
      <c r="H2" s="35"/>
      <c r="I2" s="35"/>
      <c r="J2" s="35"/>
      <c r="K2" s="35"/>
      <c r="L2" s="35"/>
      <c r="M2" s="35"/>
      <c r="N2" s="35"/>
      <c r="O2" s="35"/>
      <c r="P2" s="35"/>
      <c r="Q2" s="35"/>
      <c r="R2" s="35"/>
      <c r="S2" s="35"/>
      <c r="T2" s="31"/>
      <c r="U2" s="31"/>
      <c r="V2" s="35"/>
      <c r="W2" s="35"/>
      <c r="X2" s="35"/>
      <c r="Y2" s="35"/>
      <c r="Z2" s="35"/>
      <c r="AA2" s="35"/>
      <c r="AB2" s="35"/>
      <c r="AC2" s="35"/>
      <c r="AD2" s="35"/>
      <c r="AE2" s="35"/>
      <c r="AF2" s="35"/>
      <c r="AG2" s="35"/>
      <c r="AH2" s="35"/>
      <c r="AI2" s="35"/>
      <c r="AJ2" s="31"/>
      <c r="AK2" s="31"/>
      <c r="AL2" s="35"/>
      <c r="AM2" s="35"/>
      <c r="AN2" s="35"/>
      <c r="AO2" s="35"/>
      <c r="AP2" s="35"/>
      <c r="AQ2" s="35"/>
      <c r="AR2" s="35"/>
      <c r="AS2" s="35"/>
      <c r="AT2" s="35"/>
      <c r="AU2" s="35"/>
      <c r="AV2" s="35"/>
      <c r="AW2" s="35"/>
      <c r="AX2" s="35"/>
      <c r="AY2" s="35"/>
      <c r="AZ2" s="31"/>
      <c r="BA2" s="31"/>
      <c r="BB2" s="35"/>
      <c r="BC2" s="35"/>
      <c r="BD2" s="35"/>
      <c r="BE2" s="35"/>
      <c r="BF2" s="35"/>
      <c r="BG2" s="35"/>
      <c r="BH2" s="35"/>
      <c r="BI2" s="35"/>
      <c r="BJ2" s="35"/>
      <c r="BK2" s="35"/>
      <c r="BL2" s="35"/>
      <c r="BM2" s="35"/>
      <c r="BN2" s="35"/>
      <c r="BO2" s="35"/>
      <c r="BP2" s="31"/>
      <c r="BQ2" s="31"/>
      <c r="BR2" s="35"/>
      <c r="BS2" s="35"/>
      <c r="BT2" s="35"/>
      <c r="BU2" s="35"/>
      <c r="BV2" s="35"/>
      <c r="BW2" s="35"/>
      <c r="BX2" s="35"/>
      <c r="BY2" s="35"/>
      <c r="BZ2" s="35"/>
      <c r="CA2" s="35"/>
      <c r="CB2" s="35"/>
      <c r="CC2" s="35"/>
      <c r="CD2" s="35"/>
      <c r="CE2" s="35"/>
      <c r="CF2" s="35"/>
      <c r="CG2" s="35"/>
      <c r="CH2" s="31"/>
      <c r="CI2" s="31"/>
      <c r="CJ2" s="31"/>
      <c r="CK2" s="35"/>
      <c r="CL2" s="35"/>
      <c r="CM2" s="35"/>
      <c r="CN2" s="35"/>
      <c r="CO2" s="35"/>
      <c r="CP2" s="35"/>
      <c r="CQ2" s="35"/>
      <c r="CR2" s="35"/>
      <c r="CS2" s="35"/>
      <c r="CT2" s="35"/>
      <c r="CU2" s="35"/>
      <c r="CV2" s="35"/>
      <c r="CW2" s="35"/>
      <c r="CX2" s="35"/>
      <c r="CY2" s="35"/>
      <c r="CZ2" s="35"/>
      <c r="DA2" s="35"/>
      <c r="DB2" s="35"/>
      <c r="DC2" s="35"/>
      <c r="DD2" s="35"/>
      <c r="DE2" s="35"/>
      <c r="DF2" s="31"/>
      <c r="DG2" s="31"/>
      <c r="DH2" s="31"/>
      <c r="DI2" s="35"/>
      <c r="DJ2" s="34"/>
      <c r="DK2" s="34"/>
      <c r="DL2" s="36"/>
      <c r="DM2" s="34"/>
      <c r="DN2" s="34"/>
      <c r="DO2" s="37"/>
      <c r="DP2" s="37"/>
      <c r="DQ2" s="34"/>
      <c r="DR2" s="34"/>
      <c r="DS2" s="34"/>
      <c r="DT2" s="34"/>
      <c r="DU2" s="34"/>
      <c r="DV2" s="34"/>
      <c r="DW2" s="34"/>
      <c r="DX2" s="34"/>
      <c r="DY2" s="34"/>
      <c r="DZ2" s="34"/>
      <c r="EB2" s="37"/>
      <c r="EC2" s="34"/>
      <c r="EF2" s="34"/>
      <c r="EI2" s="34"/>
      <c r="EJ2" s="34"/>
      <c r="EL2" s="34"/>
      <c r="EO2" s="34"/>
      <c r="ER2" s="34"/>
      <c r="EU2" s="34"/>
      <c r="EX2" s="34"/>
      <c r="FA2" s="34"/>
      <c r="FD2" s="34"/>
      <c r="FG2" s="34"/>
      <c r="FJ2" s="34"/>
      <c r="FM2" s="34"/>
      <c r="FP2" s="34"/>
      <c r="FQ2" s="38"/>
      <c r="FS2" s="34"/>
      <c r="FV2" s="34"/>
      <c r="FY2" s="34"/>
      <c r="GB2" s="34"/>
      <c r="GE2" s="34"/>
      <c r="GI2" s="32"/>
      <c r="GJ2" s="32"/>
      <c r="GK2" s="35"/>
      <c r="GL2" s="32"/>
      <c r="GM2" s="32"/>
      <c r="GN2" s="35"/>
      <c r="GO2" s="32"/>
      <c r="GP2" s="32"/>
      <c r="GQ2" s="35"/>
      <c r="GR2" s="32"/>
      <c r="GS2" s="32"/>
    </row>
    <row r="3" spans="1:201" ht="13.5" customHeight="1" x14ac:dyDescent="0.35">
      <c r="B3" s="34"/>
      <c r="C3" s="25"/>
      <c r="D3" s="35" t="s">
        <v>34</v>
      </c>
      <c r="E3" s="25"/>
      <c r="G3" s="31"/>
      <c r="H3" s="35"/>
      <c r="I3" s="35"/>
      <c r="J3" s="35"/>
      <c r="K3" s="35"/>
      <c r="L3" s="35"/>
      <c r="M3" s="35"/>
      <c r="N3" s="35"/>
      <c r="O3" s="35"/>
      <c r="P3" s="35"/>
      <c r="Q3" s="35"/>
      <c r="R3" s="35" t="str">
        <f>D3</f>
        <v>NORTH ATLANTIC REGION  (1973=100)</v>
      </c>
      <c r="S3" s="35"/>
      <c r="T3" s="31"/>
      <c r="U3" s="31"/>
      <c r="W3" s="35"/>
      <c r="X3" s="35"/>
      <c r="Y3" s="35"/>
      <c r="Z3" s="35"/>
      <c r="AA3" s="35"/>
      <c r="AB3" s="35"/>
      <c r="AC3" s="35"/>
      <c r="AD3" s="35"/>
      <c r="AE3" s="35"/>
      <c r="AF3" s="35" t="str">
        <f>R3</f>
        <v>NORTH ATLANTIC REGION  (1973=100)</v>
      </c>
      <c r="AG3" s="35"/>
      <c r="AH3" s="35"/>
      <c r="AI3" s="35"/>
      <c r="AJ3" s="31"/>
      <c r="AK3" s="31"/>
      <c r="AM3" s="35"/>
      <c r="AN3" s="35"/>
      <c r="AO3" s="35"/>
      <c r="AP3" s="35"/>
      <c r="AQ3" s="35"/>
      <c r="AR3" s="35"/>
      <c r="AS3" s="35"/>
      <c r="AT3" s="35" t="str">
        <f>AF3</f>
        <v>NORTH ATLANTIC REGION  (1973=100)</v>
      </c>
      <c r="AU3" s="35"/>
      <c r="AV3" s="35"/>
      <c r="AW3" s="35"/>
      <c r="AX3" s="35"/>
      <c r="AY3" s="35"/>
      <c r="AZ3" s="31"/>
      <c r="BA3" s="31"/>
      <c r="BC3" s="35"/>
      <c r="BD3" s="35"/>
      <c r="BE3" s="35"/>
      <c r="BF3" s="35"/>
      <c r="BG3" s="35"/>
      <c r="BH3" s="35" t="str">
        <f>AT3</f>
        <v>NORTH ATLANTIC REGION  (1973=100)</v>
      </c>
      <c r="BI3" s="35"/>
      <c r="BJ3" s="35"/>
      <c r="BK3" s="35"/>
      <c r="BL3" s="35"/>
      <c r="BM3" s="35"/>
      <c r="BN3" s="35"/>
      <c r="BO3" s="35"/>
      <c r="BP3" s="31"/>
      <c r="BQ3" s="31"/>
      <c r="BS3" s="35"/>
      <c r="BT3" s="35"/>
      <c r="BU3" s="35"/>
      <c r="BV3" s="35" t="str">
        <f>BH3</f>
        <v>NORTH ATLANTIC REGION  (1973=100)</v>
      </c>
      <c r="BW3" s="35"/>
      <c r="BX3" s="35"/>
      <c r="BY3" s="35"/>
      <c r="BZ3" s="35"/>
      <c r="CA3" s="35"/>
      <c r="CB3" s="35"/>
      <c r="CC3" s="35"/>
      <c r="CD3" s="35"/>
      <c r="CE3" s="35"/>
      <c r="CF3" s="35"/>
      <c r="CG3" s="35"/>
      <c r="CH3" s="31"/>
      <c r="CI3" s="31"/>
      <c r="CJ3" s="31"/>
      <c r="CL3" s="35"/>
      <c r="CM3" s="35"/>
      <c r="CN3" s="35" t="str">
        <f>BV3</f>
        <v>NORTH ATLANTIC REGION  (1973=100)</v>
      </c>
      <c r="CO3" s="35"/>
      <c r="CP3" s="35"/>
      <c r="CQ3" s="35"/>
      <c r="CR3" s="35"/>
      <c r="CS3" s="35"/>
      <c r="CT3" s="35"/>
      <c r="CU3" s="35"/>
      <c r="CV3" s="35"/>
      <c r="CW3" s="35"/>
      <c r="CX3" s="35"/>
      <c r="CY3" s="35"/>
      <c r="CZ3" s="35"/>
      <c r="DA3" s="35"/>
      <c r="DB3" s="39" t="str">
        <f>CN3</f>
        <v>NORTH ATLANTIC REGION  (1973=100)</v>
      </c>
      <c r="DC3" s="40"/>
      <c r="DD3" s="40"/>
      <c r="DE3" s="40"/>
      <c r="DF3" s="40"/>
      <c r="DG3" s="40"/>
      <c r="DH3" s="40"/>
      <c r="DI3" s="40"/>
      <c r="DJ3" s="40"/>
      <c r="DK3" s="40"/>
      <c r="DL3" s="40"/>
      <c r="DM3" s="40"/>
      <c r="DN3" s="40"/>
      <c r="DO3" s="40"/>
      <c r="DP3" s="40"/>
      <c r="DQ3" s="40"/>
      <c r="DR3" s="40"/>
      <c r="DS3" s="40"/>
      <c r="DT3" s="40"/>
      <c r="DU3" s="40"/>
      <c r="DV3" s="40"/>
      <c r="DW3" s="41"/>
      <c r="DY3" s="42"/>
      <c r="DZ3" s="41"/>
      <c r="EB3" s="42"/>
      <c r="EC3" s="41"/>
      <c r="ED3" s="42"/>
      <c r="EE3" s="42"/>
      <c r="EF3" s="41"/>
      <c r="EG3" s="42"/>
      <c r="EH3" s="42"/>
      <c r="EI3" s="41"/>
      <c r="EJ3" s="39" t="str">
        <f>D3</f>
        <v>NORTH ATLANTIC REGION  (1973=100)</v>
      </c>
      <c r="EK3" s="42"/>
      <c r="EL3" s="41"/>
      <c r="EM3" s="42"/>
      <c r="EN3" s="42"/>
      <c r="EO3" s="41"/>
      <c r="EP3" s="42"/>
      <c r="EQ3" s="42"/>
      <c r="ER3" s="41"/>
      <c r="ET3" s="39"/>
      <c r="EU3" s="39"/>
      <c r="EV3" s="39"/>
      <c r="EW3" s="39"/>
      <c r="EX3" s="39"/>
      <c r="EY3" s="39"/>
      <c r="EZ3" s="39"/>
      <c r="FA3" s="39"/>
      <c r="FB3" s="39"/>
      <c r="FC3" s="39"/>
      <c r="FD3" s="39"/>
      <c r="FE3" s="39" t="s">
        <v>35</v>
      </c>
      <c r="FF3" s="39"/>
      <c r="FG3" s="39"/>
      <c r="FH3" s="39"/>
      <c r="FI3" s="39"/>
      <c r="FJ3" s="39"/>
      <c r="FM3" s="39"/>
      <c r="FO3" s="39"/>
      <c r="FP3" s="39"/>
      <c r="FQ3" s="39"/>
      <c r="FR3" s="39"/>
      <c r="FS3" s="39"/>
      <c r="FT3" s="39"/>
      <c r="FU3" s="39"/>
      <c r="FV3" s="39"/>
      <c r="FW3" s="39"/>
      <c r="FX3" s="39"/>
      <c r="FY3" s="39"/>
      <c r="FZ3" s="39" t="s">
        <v>35</v>
      </c>
      <c r="GA3" s="39"/>
      <c r="GB3" s="39"/>
      <c r="GC3" s="39"/>
      <c r="GD3" s="39"/>
      <c r="GE3" s="39"/>
      <c r="GG3" s="40"/>
      <c r="GH3" s="40"/>
      <c r="GI3" s="32"/>
      <c r="GJ3" s="32"/>
      <c r="GK3" s="43"/>
      <c r="GL3" s="32"/>
      <c r="GM3" s="32"/>
      <c r="GN3" s="43"/>
      <c r="GO3" s="32"/>
      <c r="GP3" s="32"/>
      <c r="GQ3" s="43"/>
      <c r="GR3" s="32"/>
      <c r="GS3" s="32"/>
    </row>
    <row r="4" spans="1:201" ht="13.5" customHeight="1" x14ac:dyDescent="0.3">
      <c r="B4" s="34"/>
      <c r="C4" s="25"/>
      <c r="E4" s="25"/>
      <c r="G4" s="25"/>
      <c r="J4" s="25"/>
      <c r="K4" s="25"/>
      <c r="L4" s="44"/>
      <c r="M4" s="25"/>
      <c r="N4" s="25"/>
      <c r="O4" s="25"/>
      <c r="P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F4" s="25"/>
      <c r="EI4" s="25"/>
      <c r="EL4" s="25"/>
      <c r="EO4" s="25"/>
      <c r="ER4" s="25"/>
      <c r="EU4" s="25"/>
      <c r="EX4" s="25"/>
      <c r="FA4" s="25"/>
      <c r="FD4" s="25"/>
      <c r="FG4" s="25"/>
      <c r="FJ4" s="25"/>
      <c r="FM4" s="25"/>
      <c r="FP4" s="25"/>
      <c r="FQ4" s="38"/>
      <c r="FS4" s="25"/>
      <c r="FV4" s="25"/>
      <c r="FY4" s="25"/>
      <c r="GB4" s="25"/>
      <c r="GE4" s="25"/>
      <c r="GI4" s="32"/>
      <c r="GJ4" s="32"/>
      <c r="GK4" s="25"/>
      <c r="GL4" s="32"/>
      <c r="GM4" s="32"/>
      <c r="GN4" s="25"/>
      <c r="GO4" s="32"/>
      <c r="GP4" s="32"/>
      <c r="GQ4" s="25"/>
      <c r="GR4" s="32"/>
      <c r="GS4" s="32"/>
    </row>
    <row r="5" spans="1:201" ht="19.5" customHeight="1" x14ac:dyDescent="0.3">
      <c r="A5" s="45"/>
      <c r="B5" s="46"/>
      <c r="C5" s="47"/>
      <c r="D5" s="48" t="s">
        <v>36</v>
      </c>
      <c r="E5" s="49"/>
      <c r="F5" s="49"/>
      <c r="G5" s="49"/>
      <c r="H5" s="49"/>
      <c r="I5" s="49"/>
      <c r="J5" s="49"/>
      <c r="K5" s="49"/>
      <c r="L5" s="49"/>
      <c r="M5" s="49"/>
      <c r="N5" s="49"/>
      <c r="O5" s="49"/>
      <c r="P5" s="49"/>
      <c r="Q5" s="50"/>
      <c r="R5" s="48" t="s">
        <v>36</v>
      </c>
      <c r="S5" s="49"/>
      <c r="T5" s="49"/>
      <c r="U5" s="49"/>
      <c r="V5" s="49"/>
      <c r="W5" s="49"/>
      <c r="X5" s="49"/>
      <c r="Y5" s="49"/>
      <c r="Z5" s="49"/>
      <c r="AA5" s="49"/>
      <c r="AB5" s="49"/>
      <c r="AC5" s="49"/>
      <c r="AD5" s="49"/>
      <c r="AE5" s="50"/>
      <c r="AF5" s="48" t="s">
        <v>36</v>
      </c>
      <c r="AG5" s="49"/>
      <c r="AH5" s="49"/>
      <c r="AI5" s="49"/>
      <c r="AJ5" s="49"/>
      <c r="AK5" s="49"/>
      <c r="AL5" s="49"/>
      <c r="AM5" s="49"/>
      <c r="AN5" s="49"/>
      <c r="AO5" s="49"/>
      <c r="AP5" s="49"/>
      <c r="AQ5" s="49"/>
      <c r="AR5" s="49"/>
      <c r="AS5" s="50"/>
      <c r="AT5" s="48" t="s">
        <v>36</v>
      </c>
      <c r="AU5" s="49"/>
      <c r="AV5" s="49"/>
      <c r="AW5" s="49"/>
      <c r="AX5" s="49"/>
      <c r="AY5" s="49"/>
      <c r="AZ5" s="49"/>
      <c r="BA5" s="49"/>
      <c r="BB5" s="49"/>
      <c r="BC5" s="49"/>
      <c r="BD5" s="49"/>
      <c r="BE5" s="49"/>
      <c r="BF5" s="49"/>
      <c r="BG5" s="50"/>
      <c r="BH5" s="48" t="s">
        <v>36</v>
      </c>
      <c r="BI5" s="49"/>
      <c r="BJ5" s="49"/>
      <c r="BK5" s="49"/>
      <c r="BL5" s="49"/>
      <c r="BM5" s="49"/>
      <c r="BN5" s="49"/>
      <c r="BO5" s="49"/>
      <c r="BP5" s="49"/>
      <c r="BQ5" s="49"/>
      <c r="BR5" s="49"/>
      <c r="BS5" s="49"/>
      <c r="BT5" s="49"/>
      <c r="BU5" s="50"/>
      <c r="BV5" s="891" t="s">
        <v>36</v>
      </c>
      <c r="BW5" s="892"/>
      <c r="BX5" s="892"/>
      <c r="BY5" s="892"/>
      <c r="BZ5" s="892"/>
      <c r="CA5" s="892"/>
      <c r="CB5" s="892"/>
      <c r="CC5" s="892"/>
      <c r="CD5" s="892"/>
      <c r="CE5" s="892"/>
      <c r="CF5" s="892"/>
      <c r="CG5" s="892"/>
      <c r="CH5" s="892"/>
      <c r="CI5" s="892"/>
      <c r="CJ5" s="892"/>
      <c r="CK5" s="892"/>
      <c r="CL5" s="892"/>
      <c r="CM5" s="892"/>
      <c r="CN5" s="892"/>
      <c r="CO5" s="892"/>
      <c r="CP5" s="892"/>
      <c r="CQ5" s="892"/>
      <c r="CR5" s="892"/>
      <c r="CS5" s="892"/>
      <c r="CT5" s="892"/>
      <c r="CU5" s="892"/>
      <c r="CV5" s="892"/>
      <c r="CW5" s="892"/>
      <c r="CX5" s="892"/>
      <c r="CY5" s="883"/>
      <c r="CZ5" s="51"/>
      <c r="DA5" s="51"/>
      <c r="DB5" s="893" t="s">
        <v>36</v>
      </c>
      <c r="DC5" s="894"/>
      <c r="DD5" s="894"/>
      <c r="DE5" s="894"/>
      <c r="DF5" s="894"/>
      <c r="DG5" s="894"/>
      <c r="DH5" s="894"/>
      <c r="DI5" s="894"/>
      <c r="DJ5" s="894"/>
      <c r="DK5" s="894"/>
      <c r="DL5" s="894"/>
      <c r="DM5" s="894"/>
      <c r="DN5" s="894"/>
      <c r="DO5" s="894"/>
      <c r="DP5" s="894"/>
      <c r="DQ5" s="894"/>
      <c r="DR5" s="894"/>
      <c r="DS5" s="894"/>
      <c r="DT5" s="894"/>
      <c r="DU5" s="894"/>
      <c r="DV5" s="894"/>
      <c r="DW5" s="894"/>
      <c r="DX5" s="894"/>
      <c r="DY5" s="894"/>
      <c r="DZ5" s="894"/>
      <c r="EA5" s="894"/>
      <c r="EB5" s="894"/>
      <c r="EC5" s="894"/>
      <c r="ED5" s="894"/>
      <c r="EE5" s="894"/>
      <c r="EF5" s="894"/>
      <c r="EG5" s="894"/>
      <c r="EH5" s="895"/>
      <c r="EI5" s="52"/>
      <c r="EJ5" s="891" t="s">
        <v>36</v>
      </c>
      <c r="EK5" s="896"/>
      <c r="EL5" s="896"/>
      <c r="EM5" s="896"/>
      <c r="EN5" s="896"/>
      <c r="EO5" s="896"/>
      <c r="EP5" s="896"/>
      <c r="EQ5" s="896"/>
      <c r="ER5" s="896"/>
      <c r="ES5" s="896"/>
      <c r="ET5" s="896"/>
      <c r="EU5" s="896"/>
      <c r="EV5" s="896"/>
      <c r="EW5" s="896"/>
      <c r="EX5" s="896"/>
      <c r="EY5" s="896"/>
      <c r="EZ5" s="896"/>
      <c r="FA5" s="896"/>
      <c r="FB5" s="896"/>
      <c r="FC5" s="897"/>
      <c r="FD5" s="52"/>
      <c r="FE5" s="876" t="s">
        <v>36</v>
      </c>
      <c r="FF5" s="877"/>
      <c r="FG5" s="877"/>
      <c r="FH5" s="877"/>
      <c r="FI5" s="877"/>
      <c r="FJ5" s="877"/>
      <c r="FK5" s="877"/>
      <c r="FL5" s="877"/>
      <c r="FM5" s="877"/>
      <c r="FN5" s="877"/>
      <c r="FO5" s="877"/>
      <c r="FP5" s="877"/>
      <c r="FQ5" s="877"/>
      <c r="FR5" s="877"/>
      <c r="FS5" s="877"/>
      <c r="FT5" s="877"/>
      <c r="FU5" s="877"/>
      <c r="FV5" s="877"/>
      <c r="FW5" s="877"/>
      <c r="FX5" s="878"/>
      <c r="FY5" s="52"/>
      <c r="FZ5" s="876" t="s">
        <v>36</v>
      </c>
      <c r="GA5" s="877"/>
      <c r="GB5" s="877"/>
      <c r="GC5" s="877"/>
      <c r="GD5" s="877"/>
      <c r="GE5" s="877"/>
      <c r="GF5" s="877"/>
      <c r="GG5" s="877"/>
      <c r="GH5" s="877"/>
      <c r="GI5" s="877"/>
      <c r="GJ5" s="877"/>
      <c r="GK5" s="877"/>
      <c r="GL5" s="877"/>
      <c r="GM5" s="877"/>
      <c r="GN5" s="877"/>
      <c r="GO5" s="877"/>
      <c r="GP5" s="877"/>
      <c r="GQ5" s="877"/>
      <c r="GR5" s="877"/>
      <c r="GS5" s="878"/>
    </row>
    <row r="6" spans="1:201" ht="11.25" customHeight="1" x14ac:dyDescent="0.3">
      <c r="A6" s="53"/>
      <c r="B6" s="34"/>
      <c r="C6" s="54"/>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c r="BA6" s="55"/>
      <c r="BB6" s="55"/>
      <c r="BC6" s="55"/>
      <c r="BD6" s="55"/>
      <c r="BE6" s="55"/>
      <c r="BF6" s="55"/>
      <c r="BG6" s="55"/>
      <c r="BH6" s="55"/>
      <c r="BI6" s="55"/>
      <c r="BJ6" s="55"/>
      <c r="BK6" s="55"/>
      <c r="BL6" s="55"/>
      <c r="BM6" s="55"/>
      <c r="BN6" s="55"/>
      <c r="BO6" s="55"/>
      <c r="BP6" s="55"/>
      <c r="BQ6" s="55"/>
      <c r="BR6" s="55"/>
      <c r="BS6" s="55"/>
      <c r="BT6" s="55"/>
      <c r="BU6" s="55"/>
      <c r="BV6" s="56"/>
      <c r="BW6" s="56"/>
      <c r="BX6" s="56"/>
      <c r="BY6" s="56"/>
      <c r="BZ6" s="56"/>
      <c r="CA6" s="56"/>
      <c r="CB6" s="57">
        <v>1988</v>
      </c>
      <c r="CC6" s="58"/>
      <c r="CD6" s="59"/>
      <c r="CE6" s="60">
        <f>CB6+1</f>
        <v>1989</v>
      </c>
      <c r="CF6" s="60"/>
      <c r="CG6" s="59"/>
      <c r="CH6" s="60">
        <f>CE6+1</f>
        <v>1990</v>
      </c>
      <c r="CI6" s="60"/>
      <c r="CJ6" s="59"/>
      <c r="CK6" s="60">
        <f>CH6+1</f>
        <v>1991</v>
      </c>
      <c r="CL6" s="60"/>
      <c r="CM6" s="59"/>
      <c r="CN6" s="60">
        <f>CK6+1</f>
        <v>1992</v>
      </c>
      <c r="CO6" s="60"/>
      <c r="CP6" s="59"/>
      <c r="CQ6" s="60">
        <f>CN6+1</f>
        <v>1993</v>
      </c>
      <c r="CR6" s="60"/>
      <c r="CS6" s="59"/>
      <c r="CT6" s="60">
        <f>CQ6+1</f>
        <v>1994</v>
      </c>
      <c r="CU6" s="60"/>
      <c r="CV6" s="59"/>
      <c r="CW6" s="60">
        <f>CT6+1</f>
        <v>1995</v>
      </c>
      <c r="CX6" s="60"/>
      <c r="CY6" s="59"/>
      <c r="CZ6" s="60">
        <f>CW6+1</f>
        <v>1996</v>
      </c>
      <c r="DA6" s="60"/>
      <c r="DB6" s="59"/>
      <c r="DC6" s="60">
        <f>CZ6+1</f>
        <v>1997</v>
      </c>
      <c r="DD6" s="60"/>
      <c r="DE6" s="59"/>
      <c r="DF6" s="58">
        <f>DC6+1</f>
        <v>1998</v>
      </c>
      <c r="DG6" s="61"/>
      <c r="DH6" s="62"/>
      <c r="DI6" s="57">
        <f>DF6+1</f>
        <v>1999</v>
      </c>
      <c r="DJ6" s="61"/>
      <c r="DK6" s="62"/>
      <c r="DL6" s="57">
        <f>DI6+1</f>
        <v>2000</v>
      </c>
      <c r="DM6" s="61"/>
      <c r="DN6" s="62"/>
      <c r="DO6" s="63">
        <f>DL6+1</f>
        <v>2001</v>
      </c>
      <c r="DP6" s="64"/>
      <c r="DQ6" s="62"/>
      <c r="DR6" s="63">
        <f>DO6+1</f>
        <v>2002</v>
      </c>
      <c r="DS6" s="64"/>
      <c r="DT6" s="62"/>
      <c r="DU6" s="63">
        <f>DR6+1</f>
        <v>2003</v>
      </c>
      <c r="DV6" s="64"/>
      <c r="DW6" s="62"/>
      <c r="DX6" s="63">
        <f>DU6+1</f>
        <v>2004</v>
      </c>
      <c r="DY6" s="64"/>
      <c r="DZ6" s="62"/>
      <c r="EA6" s="63">
        <f>DX6+1</f>
        <v>2005</v>
      </c>
      <c r="EB6" s="64"/>
      <c r="EC6" s="62"/>
      <c r="ED6" s="879">
        <v>2006</v>
      </c>
      <c r="EE6" s="880"/>
      <c r="EF6" s="62"/>
      <c r="EG6" s="879">
        <v>2007</v>
      </c>
      <c r="EH6" s="880"/>
      <c r="EI6" s="65"/>
      <c r="EJ6" s="881">
        <v>2008</v>
      </c>
      <c r="EK6" s="882"/>
      <c r="EL6" s="65"/>
      <c r="EM6" s="881">
        <v>2009</v>
      </c>
      <c r="EN6" s="882"/>
      <c r="EO6" s="65"/>
      <c r="EP6" s="881">
        <v>2010</v>
      </c>
      <c r="EQ6" s="883"/>
      <c r="ER6" s="65"/>
      <c r="ES6" s="898">
        <v>2011</v>
      </c>
      <c r="ET6" s="899"/>
      <c r="EU6" s="65"/>
      <c r="EV6" s="898">
        <v>2012</v>
      </c>
      <c r="EW6" s="899"/>
      <c r="EX6" s="65"/>
      <c r="EY6" s="898">
        <v>2013</v>
      </c>
      <c r="EZ6" s="899"/>
      <c r="FA6" s="65"/>
      <c r="FB6" s="898">
        <v>2014</v>
      </c>
      <c r="FC6" s="899"/>
      <c r="FD6" s="65"/>
      <c r="FE6" s="888">
        <v>2015</v>
      </c>
      <c r="FF6" s="885"/>
      <c r="FG6" s="62"/>
      <c r="FH6" s="884">
        <v>2016</v>
      </c>
      <c r="FI6" s="885"/>
      <c r="FJ6" s="62"/>
      <c r="FK6" s="888">
        <v>2017</v>
      </c>
      <c r="FL6" s="885"/>
      <c r="FM6" s="62"/>
      <c r="FN6" s="884">
        <v>2018</v>
      </c>
      <c r="FO6" s="885"/>
      <c r="FP6" s="62"/>
      <c r="FQ6" s="888">
        <v>2019</v>
      </c>
      <c r="FR6" s="885"/>
      <c r="FS6" s="62"/>
      <c r="FT6" s="884">
        <v>2020</v>
      </c>
      <c r="FU6" s="885"/>
      <c r="FV6" s="62"/>
      <c r="FW6" s="888">
        <v>2021</v>
      </c>
      <c r="FX6" s="885"/>
      <c r="FY6" s="65"/>
      <c r="FZ6" s="884">
        <v>2022</v>
      </c>
      <c r="GA6" s="885"/>
      <c r="GB6" s="62"/>
      <c r="GC6" s="888">
        <v>2023</v>
      </c>
      <c r="GD6" s="885"/>
      <c r="GE6" s="62"/>
      <c r="GF6" s="884">
        <v>2024</v>
      </c>
      <c r="GG6" s="885"/>
      <c r="GH6" s="66"/>
      <c r="GI6" s="889">
        <v>2025</v>
      </c>
      <c r="GJ6" s="890"/>
      <c r="GK6" s="67"/>
      <c r="GL6" s="886">
        <v>2026</v>
      </c>
      <c r="GM6" s="890"/>
      <c r="GN6" s="67"/>
      <c r="GO6" s="886">
        <v>2027</v>
      </c>
      <c r="GP6" s="890"/>
      <c r="GQ6" s="67"/>
      <c r="GR6" s="886">
        <v>2028</v>
      </c>
      <c r="GS6" s="887"/>
    </row>
    <row r="7" spans="1:201" ht="58.75" x14ac:dyDescent="0.3">
      <c r="A7" s="68" t="s">
        <v>37</v>
      </c>
      <c r="B7" s="69" t="s">
        <v>38</v>
      </c>
      <c r="C7" s="70" t="s">
        <v>39</v>
      </c>
      <c r="D7" s="70">
        <v>1912</v>
      </c>
      <c r="E7" s="70">
        <f t="shared" ref="E7:BP7" si="0">D7+1</f>
        <v>1913</v>
      </c>
      <c r="F7" s="70">
        <f t="shared" si="0"/>
        <v>1914</v>
      </c>
      <c r="G7" s="70">
        <f t="shared" si="0"/>
        <v>1915</v>
      </c>
      <c r="H7" s="70">
        <f t="shared" si="0"/>
        <v>1916</v>
      </c>
      <c r="I7" s="70">
        <f t="shared" si="0"/>
        <v>1917</v>
      </c>
      <c r="J7" s="70">
        <f t="shared" si="0"/>
        <v>1918</v>
      </c>
      <c r="K7" s="70">
        <f t="shared" si="0"/>
        <v>1919</v>
      </c>
      <c r="L7" s="70">
        <f t="shared" si="0"/>
        <v>1920</v>
      </c>
      <c r="M7" s="70">
        <f t="shared" si="0"/>
        <v>1921</v>
      </c>
      <c r="N7" s="70">
        <f t="shared" si="0"/>
        <v>1922</v>
      </c>
      <c r="O7" s="70">
        <f t="shared" si="0"/>
        <v>1923</v>
      </c>
      <c r="P7" s="70">
        <f t="shared" si="0"/>
        <v>1924</v>
      </c>
      <c r="Q7" s="70">
        <f t="shared" si="0"/>
        <v>1925</v>
      </c>
      <c r="R7" s="70">
        <f t="shared" si="0"/>
        <v>1926</v>
      </c>
      <c r="S7" s="70">
        <f t="shared" si="0"/>
        <v>1927</v>
      </c>
      <c r="T7" s="70">
        <f t="shared" si="0"/>
        <v>1928</v>
      </c>
      <c r="U7" s="70">
        <f t="shared" si="0"/>
        <v>1929</v>
      </c>
      <c r="V7" s="70">
        <f t="shared" si="0"/>
        <v>1930</v>
      </c>
      <c r="W7" s="70">
        <f t="shared" si="0"/>
        <v>1931</v>
      </c>
      <c r="X7" s="70">
        <f t="shared" si="0"/>
        <v>1932</v>
      </c>
      <c r="Y7" s="70">
        <f t="shared" si="0"/>
        <v>1933</v>
      </c>
      <c r="Z7" s="70">
        <f t="shared" si="0"/>
        <v>1934</v>
      </c>
      <c r="AA7" s="70">
        <f t="shared" si="0"/>
        <v>1935</v>
      </c>
      <c r="AB7" s="70">
        <f t="shared" si="0"/>
        <v>1936</v>
      </c>
      <c r="AC7" s="70">
        <f t="shared" si="0"/>
        <v>1937</v>
      </c>
      <c r="AD7" s="70">
        <f t="shared" si="0"/>
        <v>1938</v>
      </c>
      <c r="AE7" s="70">
        <f t="shared" si="0"/>
        <v>1939</v>
      </c>
      <c r="AF7" s="70">
        <f t="shared" si="0"/>
        <v>1940</v>
      </c>
      <c r="AG7" s="70">
        <f t="shared" si="0"/>
        <v>1941</v>
      </c>
      <c r="AH7" s="70">
        <f t="shared" si="0"/>
        <v>1942</v>
      </c>
      <c r="AI7" s="70">
        <f t="shared" si="0"/>
        <v>1943</v>
      </c>
      <c r="AJ7" s="70">
        <f t="shared" si="0"/>
        <v>1944</v>
      </c>
      <c r="AK7" s="70">
        <f t="shared" si="0"/>
        <v>1945</v>
      </c>
      <c r="AL7" s="70">
        <f t="shared" si="0"/>
        <v>1946</v>
      </c>
      <c r="AM7" s="70">
        <f t="shared" si="0"/>
        <v>1947</v>
      </c>
      <c r="AN7" s="70">
        <f t="shared" si="0"/>
        <v>1948</v>
      </c>
      <c r="AO7" s="70">
        <f t="shared" si="0"/>
        <v>1949</v>
      </c>
      <c r="AP7" s="70">
        <f t="shared" si="0"/>
        <v>1950</v>
      </c>
      <c r="AQ7" s="70">
        <f t="shared" si="0"/>
        <v>1951</v>
      </c>
      <c r="AR7" s="70">
        <f t="shared" si="0"/>
        <v>1952</v>
      </c>
      <c r="AS7" s="70">
        <f t="shared" si="0"/>
        <v>1953</v>
      </c>
      <c r="AT7" s="70">
        <f t="shared" si="0"/>
        <v>1954</v>
      </c>
      <c r="AU7" s="70">
        <f t="shared" si="0"/>
        <v>1955</v>
      </c>
      <c r="AV7" s="70">
        <f t="shared" si="0"/>
        <v>1956</v>
      </c>
      <c r="AW7" s="70">
        <f t="shared" si="0"/>
        <v>1957</v>
      </c>
      <c r="AX7" s="70">
        <f t="shared" si="0"/>
        <v>1958</v>
      </c>
      <c r="AY7" s="70">
        <f t="shared" si="0"/>
        <v>1959</v>
      </c>
      <c r="AZ7" s="70">
        <f t="shared" si="0"/>
        <v>1960</v>
      </c>
      <c r="BA7" s="70">
        <f t="shared" si="0"/>
        <v>1961</v>
      </c>
      <c r="BB7" s="70">
        <f t="shared" si="0"/>
        <v>1962</v>
      </c>
      <c r="BC7" s="70">
        <f t="shared" si="0"/>
        <v>1963</v>
      </c>
      <c r="BD7" s="70">
        <f t="shared" si="0"/>
        <v>1964</v>
      </c>
      <c r="BE7" s="70">
        <f t="shared" si="0"/>
        <v>1965</v>
      </c>
      <c r="BF7" s="70">
        <f t="shared" si="0"/>
        <v>1966</v>
      </c>
      <c r="BG7" s="70">
        <f t="shared" si="0"/>
        <v>1967</v>
      </c>
      <c r="BH7" s="70">
        <f t="shared" si="0"/>
        <v>1968</v>
      </c>
      <c r="BI7" s="70">
        <f t="shared" si="0"/>
        <v>1969</v>
      </c>
      <c r="BJ7" s="70">
        <f t="shared" si="0"/>
        <v>1970</v>
      </c>
      <c r="BK7" s="70">
        <f t="shared" si="0"/>
        <v>1971</v>
      </c>
      <c r="BL7" s="70">
        <f t="shared" si="0"/>
        <v>1972</v>
      </c>
      <c r="BM7" s="70">
        <f t="shared" si="0"/>
        <v>1973</v>
      </c>
      <c r="BN7" s="70">
        <f t="shared" si="0"/>
        <v>1974</v>
      </c>
      <c r="BO7" s="70">
        <f t="shared" si="0"/>
        <v>1975</v>
      </c>
      <c r="BP7" s="70">
        <f t="shared" si="0"/>
        <v>1976</v>
      </c>
      <c r="BQ7" s="70">
        <f t="shared" ref="BQ7:CA7" si="1">BP7+1</f>
        <v>1977</v>
      </c>
      <c r="BR7" s="70">
        <f t="shared" si="1"/>
        <v>1978</v>
      </c>
      <c r="BS7" s="70">
        <f t="shared" si="1"/>
        <v>1979</v>
      </c>
      <c r="BT7" s="70">
        <f t="shared" si="1"/>
        <v>1980</v>
      </c>
      <c r="BU7" s="70">
        <f t="shared" si="1"/>
        <v>1981</v>
      </c>
      <c r="BV7" s="70">
        <f t="shared" si="1"/>
        <v>1982</v>
      </c>
      <c r="BW7" s="70">
        <f t="shared" si="1"/>
        <v>1983</v>
      </c>
      <c r="BX7" s="70">
        <f t="shared" si="1"/>
        <v>1984</v>
      </c>
      <c r="BY7" s="70">
        <f t="shared" si="1"/>
        <v>1985</v>
      </c>
      <c r="BZ7" s="70">
        <f t="shared" si="1"/>
        <v>1986</v>
      </c>
      <c r="CA7" s="70">
        <f t="shared" si="1"/>
        <v>1987</v>
      </c>
      <c r="CB7" s="71" t="s">
        <v>40</v>
      </c>
      <c r="CC7" s="72" t="s">
        <v>41</v>
      </c>
      <c r="CD7" s="73">
        <v>1988</v>
      </c>
      <c r="CE7" s="74" t="s">
        <v>40</v>
      </c>
      <c r="CF7" s="74" t="s">
        <v>41</v>
      </c>
      <c r="CG7" s="73">
        <v>1989</v>
      </c>
      <c r="CH7" s="74" t="s">
        <v>40</v>
      </c>
      <c r="CI7" s="74" t="s">
        <v>41</v>
      </c>
      <c r="CJ7" s="73">
        <v>1990</v>
      </c>
      <c r="CK7" s="74" t="s">
        <v>40</v>
      </c>
      <c r="CL7" s="74" t="s">
        <v>41</v>
      </c>
      <c r="CM7" s="73">
        <v>1991</v>
      </c>
      <c r="CN7" s="74" t="s">
        <v>40</v>
      </c>
      <c r="CO7" s="74" t="s">
        <v>41</v>
      </c>
      <c r="CP7" s="73">
        <v>1992</v>
      </c>
      <c r="CQ7" s="74" t="s">
        <v>40</v>
      </c>
      <c r="CR7" s="74" t="s">
        <v>41</v>
      </c>
      <c r="CS7" s="73">
        <v>1993</v>
      </c>
      <c r="CT7" s="74" t="s">
        <v>40</v>
      </c>
      <c r="CU7" s="74" t="s">
        <v>41</v>
      </c>
      <c r="CV7" s="73">
        <v>1994</v>
      </c>
      <c r="CW7" s="74" t="s">
        <v>40</v>
      </c>
      <c r="CX7" s="74" t="s">
        <v>41</v>
      </c>
      <c r="CY7" s="73">
        <v>1995</v>
      </c>
      <c r="CZ7" s="74" t="s">
        <v>40</v>
      </c>
      <c r="DA7" s="74" t="s">
        <v>41</v>
      </c>
      <c r="DB7" s="73">
        <v>1996</v>
      </c>
      <c r="DC7" s="74" t="s">
        <v>40</v>
      </c>
      <c r="DD7" s="74" t="s">
        <v>41</v>
      </c>
      <c r="DE7" s="73">
        <v>1997</v>
      </c>
      <c r="DF7" s="75" t="s">
        <v>40</v>
      </c>
      <c r="DG7" s="71" t="s">
        <v>41</v>
      </c>
      <c r="DH7" s="76">
        <v>1998</v>
      </c>
      <c r="DI7" s="71" t="s">
        <v>40</v>
      </c>
      <c r="DJ7" s="71" t="s">
        <v>41</v>
      </c>
      <c r="DK7" s="76">
        <v>1999</v>
      </c>
      <c r="DL7" s="71" t="s">
        <v>40</v>
      </c>
      <c r="DM7" s="71" t="s">
        <v>41</v>
      </c>
      <c r="DN7" s="76">
        <v>2000</v>
      </c>
      <c r="DO7" s="77" t="s">
        <v>40</v>
      </c>
      <c r="DP7" s="77" t="s">
        <v>41</v>
      </c>
      <c r="DQ7" s="76">
        <f>DO6</f>
        <v>2001</v>
      </c>
      <c r="DR7" s="77" t="s">
        <v>40</v>
      </c>
      <c r="DS7" s="77" t="s">
        <v>41</v>
      </c>
      <c r="DT7" s="76">
        <f>DR6</f>
        <v>2002</v>
      </c>
      <c r="DU7" s="77" t="s">
        <v>40</v>
      </c>
      <c r="DV7" s="78" t="s">
        <v>41</v>
      </c>
      <c r="DW7" s="76">
        <f>DU6</f>
        <v>2003</v>
      </c>
      <c r="DX7" s="78" t="s">
        <v>40</v>
      </c>
      <c r="DY7" s="77" t="s">
        <v>41</v>
      </c>
      <c r="DZ7" s="76">
        <f>DX6</f>
        <v>2004</v>
      </c>
      <c r="EA7" s="77" t="s">
        <v>40</v>
      </c>
      <c r="EB7" s="77" t="s">
        <v>41</v>
      </c>
      <c r="EC7" s="76">
        <f>EA6</f>
        <v>2005</v>
      </c>
      <c r="ED7" s="78" t="s">
        <v>40</v>
      </c>
      <c r="EE7" s="78" t="s">
        <v>41</v>
      </c>
      <c r="EF7" s="76">
        <f>ED6</f>
        <v>2006</v>
      </c>
      <c r="EG7" s="78" t="s">
        <v>40</v>
      </c>
      <c r="EH7" s="78" t="s">
        <v>41</v>
      </c>
      <c r="EI7" s="76">
        <f>EG6</f>
        <v>2007</v>
      </c>
      <c r="EJ7" s="78" t="s">
        <v>40</v>
      </c>
      <c r="EK7" s="78" t="s">
        <v>41</v>
      </c>
      <c r="EL7" s="76">
        <f>EJ6</f>
        <v>2008</v>
      </c>
      <c r="EM7" s="78" t="s">
        <v>40</v>
      </c>
      <c r="EN7" s="78" t="s">
        <v>41</v>
      </c>
      <c r="EO7" s="76">
        <f>EM6</f>
        <v>2009</v>
      </c>
      <c r="EP7" s="79" t="s">
        <v>40</v>
      </c>
      <c r="EQ7" s="79" t="s">
        <v>41</v>
      </c>
      <c r="ER7" s="76">
        <f>EP6</f>
        <v>2010</v>
      </c>
      <c r="ES7" s="77" t="s">
        <v>40</v>
      </c>
      <c r="ET7" s="77" t="s">
        <v>41</v>
      </c>
      <c r="EU7" s="76">
        <f>ES6</f>
        <v>2011</v>
      </c>
      <c r="EV7" s="80" t="s">
        <v>40</v>
      </c>
      <c r="EW7" s="77" t="s">
        <v>41</v>
      </c>
      <c r="EX7" s="76">
        <f>EV6</f>
        <v>2012</v>
      </c>
      <c r="EY7" s="77" t="s">
        <v>40</v>
      </c>
      <c r="EZ7" s="77" t="s">
        <v>41</v>
      </c>
      <c r="FA7" s="76">
        <f>EY6</f>
        <v>2013</v>
      </c>
      <c r="FB7" s="77" t="s">
        <v>40</v>
      </c>
      <c r="FC7" s="77" t="s">
        <v>41</v>
      </c>
      <c r="FD7" s="76">
        <f>FB6</f>
        <v>2014</v>
      </c>
      <c r="FE7" s="77" t="s">
        <v>40</v>
      </c>
      <c r="FF7" s="77" t="s">
        <v>41</v>
      </c>
      <c r="FG7" s="76">
        <f>FE6</f>
        <v>2015</v>
      </c>
      <c r="FH7" s="77" t="s">
        <v>40</v>
      </c>
      <c r="FI7" s="77" t="s">
        <v>41</v>
      </c>
      <c r="FJ7" s="76">
        <f>FH6</f>
        <v>2016</v>
      </c>
      <c r="FK7" s="77" t="s">
        <v>40</v>
      </c>
      <c r="FL7" s="77" t="s">
        <v>41</v>
      </c>
      <c r="FM7" s="76">
        <f>FK6</f>
        <v>2017</v>
      </c>
      <c r="FN7" s="77" t="s">
        <v>40</v>
      </c>
      <c r="FO7" s="77" t="s">
        <v>41</v>
      </c>
      <c r="FP7" s="76">
        <f>FN6</f>
        <v>2018</v>
      </c>
      <c r="FQ7" s="80" t="s">
        <v>40</v>
      </c>
      <c r="FR7" s="77" t="s">
        <v>41</v>
      </c>
      <c r="FS7" s="76">
        <f>FQ6</f>
        <v>2019</v>
      </c>
      <c r="FT7" s="77" t="s">
        <v>40</v>
      </c>
      <c r="FU7" s="77" t="s">
        <v>41</v>
      </c>
      <c r="FV7" s="76">
        <f>FT6</f>
        <v>2020</v>
      </c>
      <c r="FW7" s="77" t="s">
        <v>40</v>
      </c>
      <c r="FX7" s="77" t="s">
        <v>41</v>
      </c>
      <c r="FY7" s="76">
        <f>FW6</f>
        <v>2021</v>
      </c>
      <c r="FZ7" s="77" t="s">
        <v>40</v>
      </c>
      <c r="GA7" s="77" t="s">
        <v>41</v>
      </c>
      <c r="GB7" s="76">
        <f>FZ6</f>
        <v>2022</v>
      </c>
      <c r="GC7" s="77" t="s">
        <v>40</v>
      </c>
      <c r="GD7" s="77" t="s">
        <v>41</v>
      </c>
      <c r="GE7" s="76">
        <f>GC6</f>
        <v>2023</v>
      </c>
      <c r="GF7" s="77" t="s">
        <v>40</v>
      </c>
      <c r="GG7" s="81" t="s">
        <v>42</v>
      </c>
      <c r="GH7" s="76">
        <f>GF6</f>
        <v>2024</v>
      </c>
      <c r="GI7" s="82" t="s">
        <v>40</v>
      </c>
      <c r="GJ7" s="82" t="s">
        <v>41</v>
      </c>
      <c r="GK7" s="83">
        <f>GH7+1</f>
        <v>2025</v>
      </c>
      <c r="GL7" s="82" t="s">
        <v>40</v>
      </c>
      <c r="GM7" s="82" t="s">
        <v>41</v>
      </c>
      <c r="GN7" s="83">
        <f>GK7+1</f>
        <v>2026</v>
      </c>
      <c r="GO7" s="82" t="s">
        <v>40</v>
      </c>
      <c r="GP7" s="82" t="s">
        <v>41</v>
      </c>
      <c r="GQ7" s="83">
        <f>GN7+1</f>
        <v>2027</v>
      </c>
      <c r="GR7" s="82" t="s">
        <v>40</v>
      </c>
      <c r="GS7" s="82" t="s">
        <v>41</v>
      </c>
    </row>
    <row r="8" spans="1:201" ht="12.75" customHeight="1" x14ac:dyDescent="0.3">
      <c r="A8" s="84">
        <v>1</v>
      </c>
      <c r="B8" s="85" t="s">
        <v>43</v>
      </c>
      <c r="C8" s="86"/>
      <c r="D8" s="87"/>
      <c r="E8" s="87"/>
      <c r="F8" s="87"/>
      <c r="G8" s="88"/>
      <c r="H8" s="87"/>
      <c r="I8" s="87"/>
      <c r="J8" s="87"/>
      <c r="K8" s="87"/>
      <c r="L8" s="88"/>
      <c r="M8" s="87"/>
      <c r="N8" s="87"/>
      <c r="O8" s="87"/>
      <c r="P8" s="87"/>
      <c r="Q8" s="88"/>
      <c r="R8" s="87"/>
      <c r="S8" s="86"/>
      <c r="T8" s="87"/>
      <c r="U8" s="89"/>
      <c r="V8" s="87"/>
      <c r="W8" s="89"/>
      <c r="X8" s="87"/>
      <c r="Y8" s="89"/>
      <c r="Z8" s="87"/>
      <c r="AA8" s="88"/>
      <c r="AB8" s="87"/>
      <c r="AC8" s="89"/>
      <c r="AD8" s="87"/>
      <c r="AE8" s="88"/>
      <c r="AF8" s="87"/>
      <c r="AG8" s="88"/>
      <c r="AH8" s="87"/>
      <c r="AI8" s="89"/>
      <c r="AJ8" s="87"/>
      <c r="AK8" s="88"/>
      <c r="AL8" s="87"/>
      <c r="AM8" s="87"/>
      <c r="AN8" s="87"/>
      <c r="AO8" s="87"/>
      <c r="AP8" s="87"/>
      <c r="AQ8" s="89"/>
      <c r="AR8" s="87"/>
      <c r="AS8" s="88"/>
      <c r="AT8" s="87"/>
      <c r="AU8" s="88"/>
      <c r="AV8" s="87"/>
      <c r="AW8" s="86"/>
      <c r="AX8" s="87"/>
      <c r="AY8" s="89"/>
      <c r="AZ8" s="87"/>
      <c r="BA8" s="89"/>
      <c r="BB8" s="87"/>
      <c r="BC8" s="89"/>
      <c r="BD8" s="87"/>
      <c r="BE8" s="88"/>
      <c r="BF8" s="87"/>
      <c r="BG8" s="88"/>
      <c r="BH8" s="87"/>
      <c r="BI8" s="89"/>
      <c r="BJ8" s="87"/>
      <c r="BK8" s="87"/>
      <c r="BL8" s="87"/>
      <c r="BM8" s="88"/>
      <c r="BN8" s="87"/>
      <c r="BO8" s="88"/>
      <c r="BP8" s="87"/>
      <c r="BQ8" s="88"/>
      <c r="BR8" s="87"/>
      <c r="BS8" s="88"/>
      <c r="BT8" s="87"/>
      <c r="BU8" s="88"/>
      <c r="BV8" s="87"/>
      <c r="BW8" s="88"/>
      <c r="BX8" s="87"/>
      <c r="BY8" s="88"/>
      <c r="BZ8" s="87"/>
      <c r="CA8" s="88"/>
      <c r="CB8" s="87"/>
      <c r="CC8" s="89"/>
      <c r="CD8" s="90"/>
      <c r="CE8" s="88"/>
      <c r="CF8" s="88"/>
      <c r="CG8" s="88"/>
      <c r="CH8" s="87"/>
      <c r="CI8" s="89"/>
      <c r="CJ8" s="90"/>
      <c r="CK8" s="88"/>
      <c r="CL8" s="89"/>
      <c r="CM8" s="90"/>
      <c r="CN8" s="88"/>
      <c r="CO8" s="88"/>
      <c r="CP8" s="88"/>
      <c r="CQ8" s="87"/>
      <c r="CR8" s="89"/>
      <c r="CS8" s="90"/>
      <c r="CT8" s="91"/>
      <c r="CU8" s="91"/>
      <c r="CV8" s="90"/>
      <c r="CW8" s="91"/>
      <c r="CX8" s="91"/>
      <c r="CY8" s="90"/>
      <c r="CZ8" s="91"/>
      <c r="DA8" s="91"/>
      <c r="DB8" s="90"/>
      <c r="DC8" s="91"/>
      <c r="DD8" s="91"/>
      <c r="DE8" s="90"/>
      <c r="DF8" s="91"/>
      <c r="DG8" s="91"/>
      <c r="DH8" s="91"/>
      <c r="DI8" s="91"/>
      <c r="DJ8" s="91"/>
      <c r="DK8" s="91"/>
      <c r="DL8" s="91"/>
      <c r="DM8" s="91"/>
      <c r="DN8" s="91"/>
      <c r="DO8" s="91"/>
      <c r="DP8" s="91"/>
      <c r="DQ8" s="91"/>
      <c r="DR8" s="91"/>
      <c r="DS8" s="91"/>
      <c r="DT8" s="91"/>
      <c r="DU8" s="91"/>
      <c r="DV8" s="90"/>
      <c r="DW8" s="91"/>
      <c r="DX8" s="90"/>
      <c r="DY8" s="91"/>
      <c r="DZ8" s="91"/>
      <c r="EA8" s="92"/>
      <c r="EB8" s="91"/>
      <c r="EC8" s="91"/>
      <c r="ED8" s="93"/>
      <c r="EE8" s="93"/>
      <c r="EF8" s="91"/>
      <c r="EG8" s="93"/>
      <c r="EH8" s="93"/>
      <c r="EI8" s="91"/>
      <c r="EJ8" s="93"/>
      <c r="EK8" s="93"/>
      <c r="EL8" s="91"/>
      <c r="EM8" s="93"/>
      <c r="EN8" s="93"/>
      <c r="EO8" s="91"/>
      <c r="EP8" s="93"/>
      <c r="EQ8" s="94"/>
      <c r="ER8" s="91"/>
      <c r="ES8" s="95"/>
      <c r="ET8" s="95"/>
      <c r="EU8" s="91"/>
      <c r="EV8" s="54"/>
      <c r="EW8" s="54"/>
      <c r="EX8" s="91"/>
      <c r="EY8" s="54"/>
      <c r="EZ8" s="54"/>
      <c r="FA8" s="91"/>
      <c r="FB8" s="54"/>
      <c r="FC8" s="54"/>
      <c r="FD8" s="91"/>
      <c r="FE8" s="54"/>
      <c r="FF8" s="54"/>
      <c r="FG8" s="91"/>
      <c r="FH8" s="54"/>
      <c r="FI8" s="54"/>
      <c r="FJ8" s="91"/>
      <c r="FK8" s="54"/>
      <c r="FL8" s="54"/>
      <c r="FM8" s="91"/>
      <c r="FN8" s="95"/>
      <c r="FO8" s="95"/>
      <c r="FP8" s="91"/>
      <c r="FQ8" s="54"/>
      <c r="FR8" s="54"/>
      <c r="FS8" s="91"/>
      <c r="FT8" s="54"/>
      <c r="FU8" s="54"/>
      <c r="FV8" s="91"/>
      <c r="FW8" s="54"/>
      <c r="FX8" s="54"/>
      <c r="FY8" s="91"/>
      <c r="FZ8" s="54"/>
      <c r="GA8" s="54"/>
      <c r="GB8" s="91"/>
      <c r="GC8" s="54"/>
      <c r="GD8" s="54"/>
      <c r="GE8" s="91"/>
      <c r="GF8" s="54"/>
      <c r="GG8" s="96"/>
      <c r="GH8" s="97">
        <f t="shared" ref="GH8:GH63" si="2">(GF8+GG8*2+GI8)/4</f>
        <v>0</v>
      </c>
      <c r="GI8" s="98"/>
      <c r="GJ8" s="98"/>
      <c r="GK8" s="90">
        <f>(GI8+GJ8*2+GL8)/4</f>
        <v>0</v>
      </c>
      <c r="GL8" s="98"/>
      <c r="GM8" s="98"/>
      <c r="GN8" s="90">
        <f>(GL8+GM8*2+GO8)/4</f>
        <v>0</v>
      </c>
      <c r="GO8" s="98"/>
      <c r="GP8" s="98"/>
      <c r="GQ8" s="90">
        <f>(GO8+GP8*2+GR8)/4</f>
        <v>0</v>
      </c>
      <c r="GR8" s="98"/>
      <c r="GS8" s="98"/>
    </row>
    <row r="9" spans="1:201" ht="10.5" customHeight="1" x14ac:dyDescent="0.3">
      <c r="A9" s="99">
        <f t="shared" ref="A9:A63" si="3">A8+1</f>
        <v>2</v>
      </c>
      <c r="B9" s="56" t="s">
        <v>22</v>
      </c>
      <c r="C9" s="86">
        <v>305</v>
      </c>
      <c r="D9" s="87">
        <v>7</v>
      </c>
      <c r="E9" s="87">
        <v>7</v>
      </c>
      <c r="F9" s="87">
        <v>7</v>
      </c>
      <c r="G9" s="88">
        <v>7</v>
      </c>
      <c r="H9" s="87">
        <v>9</v>
      </c>
      <c r="I9" s="87">
        <v>13</v>
      </c>
      <c r="J9" s="87">
        <v>15</v>
      </c>
      <c r="K9" s="87">
        <v>15</v>
      </c>
      <c r="L9" s="88">
        <v>17</v>
      </c>
      <c r="M9" s="87">
        <v>16</v>
      </c>
      <c r="N9" s="87">
        <v>16</v>
      </c>
      <c r="O9" s="87">
        <v>16</v>
      </c>
      <c r="P9" s="87">
        <v>16</v>
      </c>
      <c r="Q9" s="88">
        <v>16</v>
      </c>
      <c r="R9" s="87">
        <v>17</v>
      </c>
      <c r="S9" s="86">
        <v>17</v>
      </c>
      <c r="T9" s="87">
        <v>17</v>
      </c>
      <c r="U9" s="89">
        <v>17</v>
      </c>
      <c r="V9" s="87">
        <v>17</v>
      </c>
      <c r="W9" s="89">
        <v>16</v>
      </c>
      <c r="X9" s="87">
        <v>14</v>
      </c>
      <c r="Y9" s="89">
        <v>14</v>
      </c>
      <c r="Z9" s="87">
        <v>15</v>
      </c>
      <c r="AA9" s="88">
        <v>15</v>
      </c>
      <c r="AB9" s="87">
        <v>15</v>
      </c>
      <c r="AC9" s="89">
        <v>17</v>
      </c>
      <c r="AD9" s="87">
        <v>17</v>
      </c>
      <c r="AE9" s="88">
        <v>17</v>
      </c>
      <c r="AF9" s="87">
        <v>17</v>
      </c>
      <c r="AG9" s="88">
        <v>18</v>
      </c>
      <c r="AH9" s="87">
        <v>20</v>
      </c>
      <c r="AI9" s="89">
        <v>20</v>
      </c>
      <c r="AJ9" s="87">
        <v>20</v>
      </c>
      <c r="AK9" s="88">
        <v>21</v>
      </c>
      <c r="AL9" s="87">
        <v>23</v>
      </c>
      <c r="AM9" s="87">
        <v>27</v>
      </c>
      <c r="AN9" s="87">
        <v>31</v>
      </c>
      <c r="AO9" s="87">
        <v>32</v>
      </c>
      <c r="AP9" s="87">
        <v>33</v>
      </c>
      <c r="AQ9" s="89">
        <v>35</v>
      </c>
      <c r="AR9" s="87">
        <v>36</v>
      </c>
      <c r="AS9" s="88">
        <v>38</v>
      </c>
      <c r="AT9" s="87">
        <v>39</v>
      </c>
      <c r="AU9" s="88">
        <v>41</v>
      </c>
      <c r="AV9" s="87">
        <v>44</v>
      </c>
      <c r="AW9" s="86">
        <v>47</v>
      </c>
      <c r="AX9" s="87">
        <v>49</v>
      </c>
      <c r="AY9" s="89">
        <v>51</v>
      </c>
      <c r="AZ9" s="87">
        <v>52</v>
      </c>
      <c r="BA9" s="89">
        <v>53</v>
      </c>
      <c r="BB9" s="87">
        <v>55</v>
      </c>
      <c r="BC9" s="89">
        <v>56</v>
      </c>
      <c r="BD9" s="87">
        <v>57</v>
      </c>
      <c r="BE9" s="88">
        <v>59</v>
      </c>
      <c r="BF9" s="87">
        <v>61</v>
      </c>
      <c r="BG9" s="88">
        <v>64</v>
      </c>
      <c r="BH9" s="87">
        <v>67</v>
      </c>
      <c r="BI9" s="89">
        <v>72</v>
      </c>
      <c r="BJ9" s="87">
        <v>78</v>
      </c>
      <c r="BK9" s="87">
        <v>86</v>
      </c>
      <c r="BL9" s="87">
        <v>94</v>
      </c>
      <c r="BM9" s="88">
        <v>100</v>
      </c>
      <c r="BN9" s="100">
        <v>115</v>
      </c>
      <c r="BO9" s="88">
        <v>127</v>
      </c>
      <c r="BP9" s="87">
        <v>133</v>
      </c>
      <c r="BQ9" s="88">
        <v>139</v>
      </c>
      <c r="BR9" s="87">
        <v>148</v>
      </c>
      <c r="BS9" s="88">
        <v>164</v>
      </c>
      <c r="BT9" s="87">
        <v>179</v>
      </c>
      <c r="BU9" s="88">
        <v>189</v>
      </c>
      <c r="BV9" s="87">
        <v>197</v>
      </c>
      <c r="BW9" s="88">
        <v>206</v>
      </c>
      <c r="BX9" s="87">
        <v>217</v>
      </c>
      <c r="BY9" s="88">
        <v>227</v>
      </c>
      <c r="BZ9" s="87">
        <v>234</v>
      </c>
      <c r="CA9" s="88">
        <v>238</v>
      </c>
      <c r="CB9" s="87">
        <v>242</v>
      </c>
      <c r="CC9" s="89">
        <v>250</v>
      </c>
      <c r="CD9" s="91">
        <v>248.25</v>
      </c>
      <c r="CE9" s="88">
        <v>251</v>
      </c>
      <c r="CF9" s="88">
        <v>256</v>
      </c>
      <c r="CG9" s="88">
        <v>255</v>
      </c>
      <c r="CH9" s="87">
        <v>257</v>
      </c>
      <c r="CI9" s="89">
        <v>258</v>
      </c>
      <c r="CJ9" s="91">
        <v>257.75</v>
      </c>
      <c r="CK9" s="88">
        <v>258</v>
      </c>
      <c r="CL9" s="89">
        <v>263</v>
      </c>
      <c r="CM9" s="91">
        <v>261.5</v>
      </c>
      <c r="CN9" s="88">
        <v>262</v>
      </c>
      <c r="CO9" s="88">
        <v>271</v>
      </c>
      <c r="CP9" s="88">
        <v>269.5</v>
      </c>
      <c r="CQ9" s="87">
        <v>274</v>
      </c>
      <c r="CR9" s="89">
        <v>283</v>
      </c>
      <c r="CS9" s="91">
        <v>282</v>
      </c>
      <c r="CT9" s="91">
        <v>288</v>
      </c>
      <c r="CU9" s="91">
        <v>295</v>
      </c>
      <c r="CV9" s="91">
        <v>294.5</v>
      </c>
      <c r="CW9" s="91">
        <v>300</v>
      </c>
      <c r="CX9" s="91">
        <v>303</v>
      </c>
      <c r="CY9" s="91">
        <v>302.25</v>
      </c>
      <c r="CZ9" s="91">
        <v>303</v>
      </c>
      <c r="DA9" s="91">
        <v>308</v>
      </c>
      <c r="DB9" s="91">
        <v>309</v>
      </c>
      <c r="DC9" s="91">
        <v>317</v>
      </c>
      <c r="DD9" s="91">
        <v>317</v>
      </c>
      <c r="DE9" s="91">
        <v>317.25</v>
      </c>
      <c r="DF9" s="91">
        <v>318</v>
      </c>
      <c r="DG9" s="91">
        <v>320</v>
      </c>
      <c r="DH9" s="91">
        <f>(DF9+DG9*2+DI9)/4</f>
        <v>318</v>
      </c>
      <c r="DI9" s="91">
        <v>314</v>
      </c>
      <c r="DJ9" s="101">
        <v>318</v>
      </c>
      <c r="DK9" s="91">
        <f>(DI9+DJ9*2+DL9)/4</f>
        <v>317.5</v>
      </c>
      <c r="DL9" s="91">
        <v>320</v>
      </c>
      <c r="DM9" s="91">
        <v>327</v>
      </c>
      <c r="DN9" s="91">
        <f>(DL9+DM9*2+DO9)/4</f>
        <v>325.5</v>
      </c>
      <c r="DO9" s="91">
        <v>328</v>
      </c>
      <c r="DP9" s="91">
        <v>338</v>
      </c>
      <c r="DQ9" s="91">
        <f>(DO9+DP9*2+DR9)/4</f>
        <v>335.5</v>
      </c>
      <c r="DR9" s="91">
        <v>338</v>
      </c>
      <c r="DS9" s="91">
        <v>346</v>
      </c>
      <c r="DT9" s="91">
        <f>(DR9+DS9*2+DU9)/4</f>
        <v>343.5</v>
      </c>
      <c r="DU9" s="91">
        <v>344</v>
      </c>
      <c r="DV9" s="91">
        <v>345</v>
      </c>
      <c r="DW9" s="91">
        <f>(DU9+DV9*2+DX9)/4</f>
        <v>349.5</v>
      </c>
      <c r="DX9" s="91">
        <v>364</v>
      </c>
      <c r="DY9" s="91">
        <v>370</v>
      </c>
      <c r="DZ9" s="91">
        <f>(DX9+DY9*2+EA9)/4</f>
        <v>373</v>
      </c>
      <c r="EA9" s="101">
        <v>388</v>
      </c>
      <c r="EB9" s="91">
        <v>394</v>
      </c>
      <c r="EC9" s="91">
        <f>(EA9+EB9*2+ED9)/4</f>
        <v>394</v>
      </c>
      <c r="ED9" s="102">
        <v>400</v>
      </c>
      <c r="EE9" s="102">
        <v>405</v>
      </c>
      <c r="EF9" s="91">
        <f>(ED9+EE9*2+EG9)/4</f>
        <v>405.75</v>
      </c>
      <c r="EG9" s="102">
        <v>413</v>
      </c>
      <c r="EH9" s="102">
        <v>439.46674017560304</v>
      </c>
      <c r="EI9" s="91">
        <f>(EG9+EH9*2+EJ9)/4</f>
        <v>437.23337008780152</v>
      </c>
      <c r="EJ9" s="102">
        <v>457</v>
      </c>
      <c r="EK9" s="102">
        <v>466</v>
      </c>
      <c r="EL9" s="91">
        <f>(EJ9+EK9*2+EM9)/4</f>
        <v>464.75</v>
      </c>
      <c r="EM9" s="102">
        <v>470</v>
      </c>
      <c r="EN9" s="102">
        <v>465</v>
      </c>
      <c r="EO9" s="91">
        <f>(EM9+EN9*2+EP9)/4</f>
        <v>468.75</v>
      </c>
      <c r="EP9" s="102">
        <v>475</v>
      </c>
      <c r="EQ9" s="103">
        <v>478</v>
      </c>
      <c r="ER9" s="91">
        <f>(EP9+EQ9*2+ES9)/4</f>
        <v>480.75</v>
      </c>
      <c r="ES9" s="54">
        <v>492</v>
      </c>
      <c r="ET9" s="54">
        <v>495</v>
      </c>
      <c r="EU9" s="91">
        <f>(ES9+ET9*2+EV9)/4</f>
        <v>495.75</v>
      </c>
      <c r="EV9" s="54">
        <v>501</v>
      </c>
      <c r="EW9" s="54">
        <v>502</v>
      </c>
      <c r="EX9" s="91">
        <f>(EV9+EW9*2+EY9)/4</f>
        <v>503</v>
      </c>
      <c r="EY9" s="54">
        <v>507</v>
      </c>
      <c r="EZ9" s="54">
        <v>505</v>
      </c>
      <c r="FA9" s="91">
        <f>(EY9+EZ9*2+FB9)/4</f>
        <v>508</v>
      </c>
      <c r="FB9" s="54">
        <v>515</v>
      </c>
      <c r="FC9" s="54">
        <v>517</v>
      </c>
      <c r="FD9" s="91">
        <f>(FB9+FC9*2+FE9)/4</f>
        <v>518.75</v>
      </c>
      <c r="FE9" s="54">
        <v>526</v>
      </c>
      <c r="FF9" s="54">
        <v>521</v>
      </c>
      <c r="FG9" s="91">
        <f>(FE9+FF9*2+FH9)/4</f>
        <v>523.5</v>
      </c>
      <c r="FH9" s="54">
        <v>526</v>
      </c>
      <c r="FI9" s="54">
        <v>532</v>
      </c>
      <c r="FJ9" s="91">
        <f>(FH9+FI9*2+FK9)/4</f>
        <v>533.25</v>
      </c>
      <c r="FK9" s="54">
        <v>543</v>
      </c>
      <c r="FL9" s="54">
        <v>549</v>
      </c>
      <c r="FM9" s="91">
        <f>(FK9+FL9*2+FN9)/4</f>
        <v>550</v>
      </c>
      <c r="FN9" s="54">
        <v>559</v>
      </c>
      <c r="FO9" s="54">
        <v>570</v>
      </c>
      <c r="FP9" s="91">
        <f>(FN9+FO9*2+FQ9)/4</f>
        <v>568.75</v>
      </c>
      <c r="FQ9" s="54">
        <v>576</v>
      </c>
      <c r="FR9" s="54">
        <v>575</v>
      </c>
      <c r="FS9" s="91">
        <f>(FQ9+FR9*2+FT9)/4</f>
        <v>577.5</v>
      </c>
      <c r="FT9" s="54">
        <v>584</v>
      </c>
      <c r="FU9" s="54">
        <v>583</v>
      </c>
      <c r="FV9" s="91">
        <f>(FT9+FU9*2+FW9)/4</f>
        <v>588.75</v>
      </c>
      <c r="FW9" s="54">
        <v>605</v>
      </c>
      <c r="FX9" s="54">
        <v>648</v>
      </c>
      <c r="FY9" s="91">
        <f>(FW9+FX9*2+FZ9)/4</f>
        <v>648.5</v>
      </c>
      <c r="FZ9" s="54">
        <v>693</v>
      </c>
      <c r="GA9" s="54">
        <v>704</v>
      </c>
      <c r="GB9" s="91">
        <f>(FZ9+GA9*2+GC9)/4</f>
        <v>694.25</v>
      </c>
      <c r="GC9" s="54">
        <v>676</v>
      </c>
      <c r="GD9" s="54"/>
      <c r="GE9" s="133">
        <f>GC9</f>
        <v>676</v>
      </c>
      <c r="GF9" s="54"/>
      <c r="GG9" s="104"/>
      <c r="GH9" s="97">
        <f t="shared" si="2"/>
        <v>0</v>
      </c>
      <c r="GI9" s="105"/>
      <c r="GJ9" s="105"/>
      <c r="GK9" s="97">
        <f>(GI9+GJ9*2+GL9)/4</f>
        <v>0</v>
      </c>
      <c r="GL9" s="105"/>
      <c r="GM9" s="105"/>
      <c r="GN9" s="97">
        <f>(GL9+GM9*2+GO9)/4</f>
        <v>0</v>
      </c>
      <c r="GO9" s="105"/>
      <c r="GP9" s="105"/>
      <c r="GQ9" s="97">
        <f>(GO9+GP9*2+GR9)/4</f>
        <v>0</v>
      </c>
      <c r="GR9" s="105"/>
      <c r="GS9" s="105"/>
    </row>
    <row r="10" spans="1:201" ht="10.5" customHeight="1" x14ac:dyDescent="0.3">
      <c r="A10" s="99">
        <f t="shared" si="3"/>
        <v>3</v>
      </c>
      <c r="B10" s="56"/>
      <c r="C10" s="86"/>
      <c r="D10" s="87"/>
      <c r="E10" s="87"/>
      <c r="F10" s="87"/>
      <c r="G10" s="88"/>
      <c r="H10" s="87"/>
      <c r="I10" s="87"/>
      <c r="J10" s="87"/>
      <c r="K10" s="87"/>
      <c r="L10" s="88"/>
      <c r="M10" s="87"/>
      <c r="N10" s="87"/>
      <c r="O10" s="87"/>
      <c r="P10" s="87"/>
      <c r="Q10" s="88"/>
      <c r="R10" s="87"/>
      <c r="S10" s="86"/>
      <c r="T10" s="87"/>
      <c r="U10" s="89"/>
      <c r="V10" s="87"/>
      <c r="W10" s="89"/>
      <c r="X10" s="87"/>
      <c r="Y10" s="89"/>
      <c r="Z10" s="87"/>
      <c r="AA10" s="88"/>
      <c r="AB10" s="87"/>
      <c r="AC10" s="89"/>
      <c r="AD10" s="87"/>
      <c r="AE10" s="88"/>
      <c r="AF10" s="87"/>
      <c r="AG10" s="88"/>
      <c r="AH10" s="87"/>
      <c r="AI10" s="89"/>
      <c r="AJ10" s="87"/>
      <c r="AK10" s="88"/>
      <c r="AL10" s="87"/>
      <c r="AM10" s="87"/>
      <c r="AN10" s="87"/>
      <c r="AO10" s="87"/>
      <c r="AP10" s="87"/>
      <c r="AQ10" s="89"/>
      <c r="AR10" s="87"/>
      <c r="AS10" s="88"/>
      <c r="AT10" s="87"/>
      <c r="AU10" s="88"/>
      <c r="AV10" s="87"/>
      <c r="AW10" s="86"/>
      <c r="AX10" s="87"/>
      <c r="AY10" s="89"/>
      <c r="AZ10" s="87"/>
      <c r="BA10" s="89"/>
      <c r="BB10" s="87"/>
      <c r="BC10" s="89"/>
      <c r="BD10" s="87"/>
      <c r="BE10" s="88"/>
      <c r="BF10" s="87"/>
      <c r="BG10" s="88"/>
      <c r="BH10" s="87"/>
      <c r="BI10" s="89"/>
      <c r="BJ10" s="87"/>
      <c r="BK10" s="87"/>
      <c r="BL10" s="87"/>
      <c r="BM10" s="88"/>
      <c r="BN10" s="100"/>
      <c r="BO10" s="88"/>
      <c r="BP10" s="87"/>
      <c r="BQ10" s="88"/>
      <c r="BR10" s="87"/>
      <c r="BS10" s="88"/>
      <c r="BT10" s="87"/>
      <c r="BU10" s="88"/>
      <c r="BV10" s="87"/>
      <c r="BW10" s="88"/>
      <c r="BX10" s="87"/>
      <c r="BY10" s="88"/>
      <c r="BZ10" s="87"/>
      <c r="CA10" s="88"/>
      <c r="CB10" s="87"/>
      <c r="CC10" s="89"/>
      <c r="CD10" s="91"/>
      <c r="CE10" s="88"/>
      <c r="CF10" s="88"/>
      <c r="CG10" s="88"/>
      <c r="CH10" s="87"/>
      <c r="CI10" s="89"/>
      <c r="CJ10" s="91"/>
      <c r="CK10" s="88"/>
      <c r="CL10" s="89"/>
      <c r="CM10" s="91"/>
      <c r="CN10" s="88"/>
      <c r="CO10" s="88"/>
      <c r="CP10" s="88"/>
      <c r="CQ10" s="87"/>
      <c r="CR10" s="89"/>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102"/>
      <c r="EE10" s="102"/>
      <c r="EF10" s="91"/>
      <c r="EG10" s="102"/>
      <c r="EH10" s="102"/>
      <c r="EI10" s="91"/>
      <c r="EJ10" s="102"/>
      <c r="EK10" s="102"/>
      <c r="EL10" s="91"/>
      <c r="EM10" s="102"/>
      <c r="EN10" s="102"/>
      <c r="EO10" s="91"/>
      <c r="EP10" s="102"/>
      <c r="EQ10" s="103"/>
      <c r="ER10" s="91"/>
      <c r="ES10" s="54"/>
      <c r="ET10" s="54"/>
      <c r="EU10" s="91"/>
      <c r="EV10" s="54"/>
      <c r="EW10" s="54"/>
      <c r="EX10" s="91"/>
      <c r="EY10" s="54"/>
      <c r="EZ10" s="54"/>
      <c r="FA10" s="91"/>
      <c r="FB10" s="54"/>
      <c r="FC10" s="54"/>
      <c r="FD10" s="91"/>
      <c r="FE10" s="54"/>
      <c r="FF10" s="54"/>
      <c r="FG10" s="91"/>
      <c r="FH10" s="54"/>
      <c r="FI10" s="54"/>
      <c r="FJ10" s="91"/>
      <c r="FK10" s="54"/>
      <c r="FL10" s="54"/>
      <c r="FM10" s="91"/>
      <c r="FN10" s="54"/>
      <c r="FO10" s="54"/>
      <c r="FP10" s="91"/>
      <c r="FQ10" s="54"/>
      <c r="FR10" s="54"/>
      <c r="FS10" s="91"/>
      <c r="FT10" s="54"/>
      <c r="FU10" s="54"/>
      <c r="FV10" s="91"/>
      <c r="FW10" s="54"/>
      <c r="FX10" s="54"/>
      <c r="FY10" s="91"/>
      <c r="FZ10" s="54"/>
      <c r="GA10" s="54"/>
      <c r="GB10" s="91"/>
      <c r="GC10" s="54"/>
      <c r="GD10" s="54"/>
      <c r="GE10" s="133"/>
      <c r="GF10" s="54"/>
      <c r="GG10" s="104"/>
      <c r="GH10" s="97">
        <f t="shared" si="2"/>
        <v>0</v>
      </c>
      <c r="GI10" s="105"/>
      <c r="GJ10" s="105"/>
      <c r="GK10" s="97">
        <f>(GI10+GJ10*2+GL10)/4</f>
        <v>0</v>
      </c>
      <c r="GL10" s="105"/>
      <c r="GM10" s="105"/>
      <c r="GN10" s="97">
        <f>(GL10+GM10*2+GO10)/4</f>
        <v>0</v>
      </c>
      <c r="GO10" s="105"/>
      <c r="GP10" s="105"/>
      <c r="GQ10" s="97">
        <f>(GO10+GP10*2+GR10)/4</f>
        <v>0</v>
      </c>
      <c r="GR10" s="105"/>
      <c r="GS10" s="105"/>
    </row>
    <row r="11" spans="1:201" ht="10.5" customHeight="1" x14ac:dyDescent="0.3">
      <c r="A11" s="99">
        <f t="shared" si="3"/>
        <v>4</v>
      </c>
      <c r="B11" s="56"/>
      <c r="C11" s="86"/>
      <c r="D11" s="87"/>
      <c r="E11" s="87"/>
      <c r="F11" s="87"/>
      <c r="G11" s="88"/>
      <c r="H11" s="87"/>
      <c r="I11" s="87"/>
      <c r="J11" s="87"/>
      <c r="K11" s="87"/>
      <c r="L11" s="88"/>
      <c r="M11" s="87"/>
      <c r="N11" s="87"/>
      <c r="O11" s="87"/>
      <c r="P11" s="87"/>
      <c r="Q11" s="88"/>
      <c r="R11" s="87"/>
      <c r="S11" s="86"/>
      <c r="T11" s="87"/>
      <c r="U11" s="89"/>
      <c r="V11" s="87"/>
      <c r="W11" s="89"/>
      <c r="X11" s="87"/>
      <c r="Y11" s="89"/>
      <c r="Z11" s="87"/>
      <c r="AA11" s="88"/>
      <c r="AB11" s="87"/>
      <c r="AC11" s="89"/>
      <c r="AD11" s="87"/>
      <c r="AE11" s="88"/>
      <c r="AF11" s="87"/>
      <c r="AG11" s="88"/>
      <c r="AH11" s="87"/>
      <c r="AI11" s="89"/>
      <c r="AJ11" s="87"/>
      <c r="AK11" s="88"/>
      <c r="AL11" s="87"/>
      <c r="AM11" s="87"/>
      <c r="AN11" s="87"/>
      <c r="AO11" s="87"/>
      <c r="AP11" s="87"/>
      <c r="AQ11" s="89"/>
      <c r="AR11" s="87"/>
      <c r="AS11" s="88"/>
      <c r="AT11" s="87"/>
      <c r="AU11" s="88"/>
      <c r="AV11" s="87"/>
      <c r="AW11" s="86"/>
      <c r="AX11" s="87"/>
      <c r="AY11" s="89"/>
      <c r="AZ11" s="87"/>
      <c r="BA11" s="89"/>
      <c r="BB11" s="87"/>
      <c r="BC11" s="89"/>
      <c r="BD11" s="87"/>
      <c r="BE11" s="88"/>
      <c r="BF11" s="87"/>
      <c r="BG11" s="88"/>
      <c r="BH11" s="87"/>
      <c r="BI11" s="89"/>
      <c r="BJ11" s="87"/>
      <c r="BK11" s="87"/>
      <c r="BL11" s="87"/>
      <c r="BM11" s="88"/>
      <c r="BN11" s="100"/>
      <c r="BO11" s="88"/>
      <c r="BP11" s="87"/>
      <c r="BQ11" s="88"/>
      <c r="BR11" s="87"/>
      <c r="BS11" s="88"/>
      <c r="BT11" s="87"/>
      <c r="BU11" s="88"/>
      <c r="BV11" s="87"/>
      <c r="BW11" s="88"/>
      <c r="BX11" s="87"/>
      <c r="BY11" s="88"/>
      <c r="BZ11" s="87"/>
      <c r="CA11" s="88"/>
      <c r="CB11" s="87"/>
      <c r="CC11" s="89"/>
      <c r="CD11" s="91"/>
      <c r="CE11" s="88"/>
      <c r="CF11" s="88"/>
      <c r="CG11" s="88"/>
      <c r="CH11" s="87"/>
      <c r="CI11" s="89"/>
      <c r="CJ11" s="91"/>
      <c r="CK11" s="88"/>
      <c r="CL11" s="89"/>
      <c r="CM11" s="91"/>
      <c r="CN11" s="88"/>
      <c r="CO11" s="88"/>
      <c r="CP11" s="88"/>
      <c r="CQ11" s="87"/>
      <c r="CR11" s="89"/>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102"/>
      <c r="EE11" s="102"/>
      <c r="EF11" s="91"/>
      <c r="EG11" s="102"/>
      <c r="EH11" s="102"/>
      <c r="EI11" s="91"/>
      <c r="EJ11" s="102"/>
      <c r="EK11" s="102"/>
      <c r="EL11" s="91"/>
      <c r="EM11" s="102"/>
      <c r="EN11" s="102"/>
      <c r="EO11" s="91"/>
      <c r="EP11" s="102"/>
      <c r="EQ11" s="103"/>
      <c r="ER11" s="91"/>
      <c r="ES11" s="54"/>
      <c r="ET11" s="54"/>
      <c r="EU11" s="91"/>
      <c r="EV11" s="54"/>
      <c r="EW11" s="54"/>
      <c r="EX11" s="91"/>
      <c r="EY11" s="54"/>
      <c r="EZ11" s="54"/>
      <c r="FA11" s="91"/>
      <c r="FB11" s="54"/>
      <c r="FC11" s="54"/>
      <c r="FD11" s="91"/>
      <c r="FE11" s="54"/>
      <c r="FF11" s="54"/>
      <c r="FG11" s="91"/>
      <c r="FH11" s="54"/>
      <c r="FI11" s="54"/>
      <c r="FJ11" s="91"/>
      <c r="FK11" s="54"/>
      <c r="FL11" s="54"/>
      <c r="FM11" s="91"/>
      <c r="FN11" s="54"/>
      <c r="FO11" s="54"/>
      <c r="FP11" s="91"/>
      <c r="FQ11" s="54"/>
      <c r="FR11" s="54"/>
      <c r="FS11" s="91"/>
      <c r="FT11" s="54"/>
      <c r="FU11" s="54"/>
      <c r="FV11" s="91"/>
      <c r="FW11" s="54"/>
      <c r="FX11" s="54"/>
      <c r="FY11" s="91"/>
      <c r="FZ11" s="54"/>
      <c r="GA11" s="54"/>
      <c r="GB11" s="91"/>
      <c r="GC11" s="54"/>
      <c r="GD11" s="54"/>
      <c r="GE11" s="133"/>
      <c r="GF11" s="54"/>
      <c r="GG11" s="104"/>
      <c r="GH11" s="97">
        <f t="shared" si="2"/>
        <v>0</v>
      </c>
      <c r="GI11" s="105"/>
      <c r="GJ11" s="105"/>
      <c r="GK11" s="97"/>
      <c r="GL11" s="105"/>
      <c r="GM11" s="105"/>
      <c r="GN11" s="97"/>
      <c r="GO11" s="105"/>
      <c r="GP11" s="105"/>
      <c r="GQ11" s="97"/>
      <c r="GR11" s="105"/>
      <c r="GS11" s="105"/>
    </row>
    <row r="12" spans="1:201" ht="10.5" customHeight="1" x14ac:dyDescent="0.3">
      <c r="A12" s="99">
        <f t="shared" si="3"/>
        <v>5</v>
      </c>
      <c r="B12" s="56"/>
      <c r="C12" s="86"/>
      <c r="D12" s="87"/>
      <c r="E12" s="87"/>
      <c r="F12" s="87"/>
      <c r="G12" s="88"/>
      <c r="H12" s="87"/>
      <c r="I12" s="87"/>
      <c r="J12" s="87"/>
      <c r="K12" s="87"/>
      <c r="L12" s="88"/>
      <c r="M12" s="87"/>
      <c r="N12" s="87"/>
      <c r="O12" s="87"/>
      <c r="P12" s="87"/>
      <c r="Q12" s="88"/>
      <c r="R12" s="87"/>
      <c r="S12" s="86"/>
      <c r="T12" s="87"/>
      <c r="U12" s="89"/>
      <c r="V12" s="87"/>
      <c r="W12" s="89"/>
      <c r="X12" s="87"/>
      <c r="Y12" s="89"/>
      <c r="Z12" s="87"/>
      <c r="AA12" s="88"/>
      <c r="AB12" s="87"/>
      <c r="AC12" s="89"/>
      <c r="AD12" s="87"/>
      <c r="AE12" s="88"/>
      <c r="AF12" s="87"/>
      <c r="AG12" s="88"/>
      <c r="AH12" s="87"/>
      <c r="AI12" s="89"/>
      <c r="AJ12" s="87"/>
      <c r="AK12" s="88"/>
      <c r="AL12" s="87"/>
      <c r="AM12" s="87"/>
      <c r="AN12" s="87"/>
      <c r="AO12" s="87"/>
      <c r="AP12" s="87"/>
      <c r="AQ12" s="89"/>
      <c r="AR12" s="87"/>
      <c r="AS12" s="88"/>
      <c r="AT12" s="87"/>
      <c r="AU12" s="88"/>
      <c r="AV12" s="87"/>
      <c r="AW12" s="86"/>
      <c r="AX12" s="87"/>
      <c r="AY12" s="89"/>
      <c r="AZ12" s="87"/>
      <c r="BA12" s="89"/>
      <c r="BB12" s="87"/>
      <c r="BC12" s="89"/>
      <c r="BD12" s="87"/>
      <c r="BE12" s="88"/>
      <c r="BF12" s="87"/>
      <c r="BG12" s="88"/>
      <c r="BH12" s="87"/>
      <c r="BI12" s="89"/>
      <c r="BJ12" s="87"/>
      <c r="BK12" s="87"/>
      <c r="BL12" s="87"/>
      <c r="BM12" s="88"/>
      <c r="BN12" s="100"/>
      <c r="BO12" s="88"/>
      <c r="BP12" s="87"/>
      <c r="BQ12" s="88"/>
      <c r="BR12" s="87"/>
      <c r="BS12" s="88"/>
      <c r="BT12" s="87"/>
      <c r="BU12" s="88"/>
      <c r="BV12" s="87"/>
      <c r="BW12" s="88"/>
      <c r="BX12" s="87"/>
      <c r="BY12" s="88"/>
      <c r="BZ12" s="87"/>
      <c r="CA12" s="88"/>
      <c r="CB12" s="87"/>
      <c r="CC12" s="89"/>
      <c r="CD12" s="91"/>
      <c r="CE12" s="88"/>
      <c r="CF12" s="88"/>
      <c r="CG12" s="88"/>
      <c r="CH12" s="87"/>
      <c r="CI12" s="89"/>
      <c r="CJ12" s="91"/>
      <c r="CK12" s="88"/>
      <c r="CL12" s="89"/>
      <c r="CM12" s="91"/>
      <c r="CN12" s="88"/>
      <c r="CO12" s="88"/>
      <c r="CP12" s="88"/>
      <c r="CQ12" s="87"/>
      <c r="CR12" s="89"/>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102"/>
      <c r="EE12" s="102"/>
      <c r="EF12" s="91"/>
      <c r="EG12" s="102"/>
      <c r="EH12" s="102"/>
      <c r="EI12" s="91"/>
      <c r="EJ12" s="102"/>
      <c r="EK12" s="102"/>
      <c r="EL12" s="91"/>
      <c r="EM12" s="102"/>
      <c r="EN12" s="102"/>
      <c r="EO12" s="91"/>
      <c r="EP12" s="102"/>
      <c r="EQ12" s="103"/>
      <c r="ER12" s="91"/>
      <c r="ES12" s="54"/>
      <c r="ET12" s="54"/>
      <c r="EU12" s="91"/>
      <c r="EV12" s="54"/>
      <c r="EW12" s="54"/>
      <c r="EX12" s="91"/>
      <c r="EY12" s="54"/>
      <c r="EZ12" s="54"/>
      <c r="FA12" s="91"/>
      <c r="FB12" s="54"/>
      <c r="FC12" s="54"/>
      <c r="FD12" s="91"/>
      <c r="FE12" s="54"/>
      <c r="FF12" s="54"/>
      <c r="FG12" s="91"/>
      <c r="FH12" s="54"/>
      <c r="FI12" s="54"/>
      <c r="FJ12" s="91"/>
      <c r="FK12" s="54"/>
      <c r="FL12" s="54"/>
      <c r="FM12" s="91"/>
      <c r="FN12" s="54"/>
      <c r="FO12" s="54"/>
      <c r="FP12" s="91"/>
      <c r="FQ12" s="54"/>
      <c r="FR12" s="54"/>
      <c r="FS12" s="91"/>
      <c r="FT12" s="54"/>
      <c r="FU12" s="54"/>
      <c r="FV12" s="91"/>
      <c r="FW12" s="54"/>
      <c r="FX12" s="54"/>
      <c r="FY12" s="91"/>
      <c r="FZ12" s="54"/>
      <c r="GA12" s="54"/>
      <c r="GB12" s="91"/>
      <c r="GC12" s="54"/>
      <c r="GD12" s="54"/>
      <c r="GE12" s="133"/>
      <c r="GF12" s="54"/>
      <c r="GG12" s="104"/>
      <c r="GH12" s="97">
        <f t="shared" si="2"/>
        <v>0</v>
      </c>
      <c r="GI12" s="105"/>
      <c r="GJ12" s="105"/>
      <c r="GK12" s="97"/>
      <c r="GL12" s="105"/>
      <c r="GM12" s="105"/>
      <c r="GN12" s="97"/>
      <c r="GO12" s="105"/>
      <c r="GP12" s="105"/>
      <c r="GQ12" s="97"/>
      <c r="GR12" s="105"/>
      <c r="GS12" s="105"/>
    </row>
    <row r="13" spans="1:201" ht="10.5" customHeight="1" x14ac:dyDescent="0.3">
      <c r="A13" s="99">
        <f t="shared" si="3"/>
        <v>6</v>
      </c>
      <c r="B13" s="56"/>
      <c r="C13" s="86"/>
      <c r="D13" s="87"/>
      <c r="E13" s="87"/>
      <c r="F13" s="87"/>
      <c r="G13" s="88"/>
      <c r="H13" s="87"/>
      <c r="I13" s="87"/>
      <c r="J13" s="87"/>
      <c r="K13" s="87"/>
      <c r="L13" s="88"/>
      <c r="M13" s="87"/>
      <c r="N13" s="87"/>
      <c r="O13" s="87"/>
      <c r="P13" s="87"/>
      <c r="Q13" s="88"/>
      <c r="R13" s="87"/>
      <c r="S13" s="86"/>
      <c r="T13" s="87"/>
      <c r="U13" s="89"/>
      <c r="V13" s="87"/>
      <c r="W13" s="89"/>
      <c r="X13" s="87"/>
      <c r="Y13" s="89"/>
      <c r="Z13" s="87"/>
      <c r="AA13" s="88"/>
      <c r="AB13" s="87"/>
      <c r="AC13" s="89"/>
      <c r="AD13" s="87"/>
      <c r="AE13" s="88"/>
      <c r="AF13" s="87"/>
      <c r="AG13" s="88"/>
      <c r="AH13" s="87"/>
      <c r="AI13" s="89"/>
      <c r="AJ13" s="87"/>
      <c r="AK13" s="88"/>
      <c r="AL13" s="87"/>
      <c r="AM13" s="87"/>
      <c r="AN13" s="87"/>
      <c r="AO13" s="87"/>
      <c r="AP13" s="87"/>
      <c r="AQ13" s="89"/>
      <c r="AR13" s="87"/>
      <c r="AS13" s="88"/>
      <c r="AT13" s="87"/>
      <c r="AU13" s="88"/>
      <c r="AV13" s="87"/>
      <c r="AW13" s="86"/>
      <c r="AX13" s="87"/>
      <c r="AY13" s="89"/>
      <c r="AZ13" s="87"/>
      <c r="BA13" s="89"/>
      <c r="BB13" s="87"/>
      <c r="BC13" s="89"/>
      <c r="BD13" s="87"/>
      <c r="BE13" s="88"/>
      <c r="BF13" s="87"/>
      <c r="BG13" s="88"/>
      <c r="BH13" s="87"/>
      <c r="BI13" s="89"/>
      <c r="BJ13" s="87"/>
      <c r="BK13" s="87"/>
      <c r="BL13" s="87"/>
      <c r="BM13" s="88"/>
      <c r="BN13" s="100"/>
      <c r="BO13" s="88"/>
      <c r="BP13" s="87"/>
      <c r="BQ13" s="88"/>
      <c r="BR13" s="87"/>
      <c r="BS13" s="88"/>
      <c r="BT13" s="87"/>
      <c r="BU13" s="88"/>
      <c r="BV13" s="87"/>
      <c r="BW13" s="88"/>
      <c r="BX13" s="87"/>
      <c r="BY13" s="88"/>
      <c r="BZ13" s="87"/>
      <c r="CA13" s="88"/>
      <c r="CB13" s="87"/>
      <c r="CC13" s="89"/>
      <c r="CD13" s="91"/>
      <c r="CE13" s="88"/>
      <c r="CF13" s="88"/>
      <c r="CG13" s="88"/>
      <c r="CH13" s="87"/>
      <c r="CI13" s="89"/>
      <c r="CJ13" s="91"/>
      <c r="CK13" s="88"/>
      <c r="CL13" s="89"/>
      <c r="CM13" s="91"/>
      <c r="CN13" s="88"/>
      <c r="CO13" s="88"/>
      <c r="CP13" s="88"/>
      <c r="CQ13" s="87"/>
      <c r="CR13" s="89"/>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102"/>
      <c r="EE13" s="102"/>
      <c r="EF13" s="91"/>
      <c r="EG13" s="102"/>
      <c r="EH13" s="102"/>
      <c r="EI13" s="91"/>
      <c r="EJ13" s="102"/>
      <c r="EK13" s="102"/>
      <c r="EL13" s="91"/>
      <c r="EM13" s="102"/>
      <c r="EN13" s="102"/>
      <c r="EO13" s="91"/>
      <c r="EP13" s="102"/>
      <c r="EQ13" s="103"/>
      <c r="ER13" s="91"/>
      <c r="ES13" s="54"/>
      <c r="ET13" s="54"/>
      <c r="EU13" s="91"/>
      <c r="EV13" s="54"/>
      <c r="EW13" s="54"/>
      <c r="EX13" s="91"/>
      <c r="EY13" s="54"/>
      <c r="EZ13" s="54"/>
      <c r="FA13" s="91"/>
      <c r="FB13" s="54"/>
      <c r="FC13" s="54"/>
      <c r="FD13" s="91"/>
      <c r="FE13" s="54"/>
      <c r="FF13" s="54"/>
      <c r="FG13" s="91"/>
      <c r="FH13" s="54"/>
      <c r="FI13" s="54"/>
      <c r="FJ13" s="91"/>
      <c r="FK13" s="54"/>
      <c r="FL13" s="54"/>
      <c r="FM13" s="91"/>
      <c r="FN13" s="54"/>
      <c r="FO13" s="54"/>
      <c r="FP13" s="91"/>
      <c r="FQ13" s="54"/>
      <c r="FR13" s="54"/>
      <c r="FS13" s="91"/>
      <c r="FT13" s="54"/>
      <c r="FU13" s="54"/>
      <c r="FV13" s="91"/>
      <c r="FW13" s="54"/>
      <c r="FX13" s="54"/>
      <c r="FY13" s="91"/>
      <c r="FZ13" s="54"/>
      <c r="GA13" s="54"/>
      <c r="GB13" s="91"/>
      <c r="GC13" s="54"/>
      <c r="GD13" s="54"/>
      <c r="GE13" s="133"/>
      <c r="GF13" s="54"/>
      <c r="GG13" s="104"/>
      <c r="GH13" s="97">
        <f t="shared" si="2"/>
        <v>0</v>
      </c>
      <c r="GI13" s="105"/>
      <c r="GJ13" s="105"/>
      <c r="GK13" s="97">
        <f t="shared" ref="GK13:GK62" si="4">(GI13+GJ13*2+GL13)/4</f>
        <v>0</v>
      </c>
      <c r="GL13" s="105"/>
      <c r="GM13" s="105"/>
      <c r="GN13" s="97">
        <f t="shared" ref="GN13:GN62" si="5">(GL13+GM13*2+GO13)/4</f>
        <v>0</v>
      </c>
      <c r="GO13" s="105"/>
      <c r="GP13" s="105"/>
      <c r="GQ13" s="97">
        <f t="shared" ref="GQ13:GQ62" si="6">(GO13+GP13*2+GR13)/4</f>
        <v>0</v>
      </c>
      <c r="GR13" s="105"/>
      <c r="GS13" s="105"/>
    </row>
    <row r="14" spans="1:201" ht="10.5" customHeight="1" x14ac:dyDescent="0.3">
      <c r="A14" s="99">
        <f t="shared" si="3"/>
        <v>7</v>
      </c>
      <c r="B14" s="85" t="s">
        <v>44</v>
      </c>
      <c r="C14" s="86"/>
      <c r="D14" s="87"/>
      <c r="E14" s="87"/>
      <c r="F14" s="87"/>
      <c r="G14" s="88"/>
      <c r="H14" s="87"/>
      <c r="I14" s="87"/>
      <c r="J14" s="87"/>
      <c r="K14" s="87"/>
      <c r="L14" s="88"/>
      <c r="M14" s="87"/>
      <c r="N14" s="87"/>
      <c r="O14" s="87"/>
      <c r="P14" s="87"/>
      <c r="Q14" s="88"/>
      <c r="R14" s="87"/>
      <c r="S14" s="86"/>
      <c r="T14" s="87"/>
      <c r="U14" s="89"/>
      <c r="V14" s="87"/>
      <c r="W14" s="89"/>
      <c r="X14" s="87"/>
      <c r="Y14" s="89"/>
      <c r="Z14" s="87"/>
      <c r="AA14" s="88"/>
      <c r="AB14" s="87"/>
      <c r="AC14" s="89"/>
      <c r="AD14" s="87"/>
      <c r="AE14" s="88"/>
      <c r="AF14" s="87"/>
      <c r="AG14" s="88"/>
      <c r="AH14" s="87"/>
      <c r="AI14" s="89"/>
      <c r="AJ14" s="87"/>
      <c r="AK14" s="88"/>
      <c r="AL14" s="87"/>
      <c r="AM14" s="87"/>
      <c r="AN14" s="87"/>
      <c r="AO14" s="87"/>
      <c r="AP14" s="87"/>
      <c r="AQ14" s="89"/>
      <c r="AR14" s="87"/>
      <c r="AS14" s="88"/>
      <c r="AT14" s="87"/>
      <c r="AU14" s="88"/>
      <c r="AV14" s="87"/>
      <c r="AW14" s="86"/>
      <c r="AX14" s="87"/>
      <c r="AY14" s="89"/>
      <c r="AZ14" s="87"/>
      <c r="BA14" s="89"/>
      <c r="BB14" s="87"/>
      <c r="BC14" s="89"/>
      <c r="BD14" s="87"/>
      <c r="BE14" s="88"/>
      <c r="BF14" s="87"/>
      <c r="BG14" s="88"/>
      <c r="BH14" s="87"/>
      <c r="BI14" s="89"/>
      <c r="BJ14" s="87"/>
      <c r="BK14" s="87"/>
      <c r="BL14" s="87"/>
      <c r="BM14" s="88"/>
      <c r="BN14" s="100"/>
      <c r="BO14" s="88"/>
      <c r="BP14" s="87"/>
      <c r="BQ14" s="88"/>
      <c r="BR14" s="87"/>
      <c r="BS14" s="88"/>
      <c r="BT14" s="87"/>
      <c r="BU14" s="88"/>
      <c r="BV14" s="87"/>
      <c r="BW14" s="88"/>
      <c r="BX14" s="87"/>
      <c r="BY14" s="88"/>
      <c r="BZ14" s="87"/>
      <c r="CA14" s="88"/>
      <c r="CB14" s="87"/>
      <c r="CC14" s="89"/>
      <c r="CD14" s="91"/>
      <c r="CE14" s="88"/>
      <c r="CF14" s="88"/>
      <c r="CG14" s="88"/>
      <c r="CH14" s="87"/>
      <c r="CI14" s="89"/>
      <c r="CJ14" s="91"/>
      <c r="CK14" s="88"/>
      <c r="CL14" s="89"/>
      <c r="CM14" s="91"/>
      <c r="CN14" s="88"/>
      <c r="CO14" s="88"/>
      <c r="CP14" s="88"/>
      <c r="CQ14" s="87"/>
      <c r="CR14" s="89"/>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102"/>
      <c r="EE14" s="102"/>
      <c r="EF14" s="91"/>
      <c r="EG14" s="102"/>
      <c r="EH14" s="102"/>
      <c r="EI14" s="91"/>
      <c r="EJ14" s="102"/>
      <c r="EK14" s="102"/>
      <c r="EL14" s="91"/>
      <c r="EM14" s="102"/>
      <c r="EN14" s="102"/>
      <c r="EO14" s="91"/>
      <c r="EP14" s="102"/>
      <c r="EQ14" s="103"/>
      <c r="ER14" s="91"/>
      <c r="ES14" s="54"/>
      <c r="ET14" s="54"/>
      <c r="EU14" s="91"/>
      <c r="EV14" s="54"/>
      <c r="EW14" s="54"/>
      <c r="EX14" s="91"/>
      <c r="EY14" s="54"/>
      <c r="EZ14" s="54"/>
      <c r="FA14" s="91"/>
      <c r="FB14" s="54"/>
      <c r="FC14" s="54"/>
      <c r="FD14" s="91"/>
      <c r="FE14" s="54"/>
      <c r="FF14" s="54"/>
      <c r="FG14" s="91"/>
      <c r="FH14" s="54"/>
      <c r="FI14" s="54"/>
      <c r="FJ14" s="91"/>
      <c r="FK14" s="54"/>
      <c r="FL14" s="54"/>
      <c r="FM14" s="91"/>
      <c r="FN14" s="54"/>
      <c r="FO14" s="54"/>
      <c r="FP14" s="91"/>
      <c r="FQ14" s="54"/>
      <c r="FR14" s="54"/>
      <c r="FS14" s="91"/>
      <c r="FT14" s="54"/>
      <c r="FU14" s="54"/>
      <c r="FV14" s="91"/>
      <c r="FW14" s="54"/>
      <c r="FX14" s="54"/>
      <c r="FY14" s="91"/>
      <c r="FZ14" s="54"/>
      <c r="GA14" s="54"/>
      <c r="GB14" s="91"/>
      <c r="GC14" s="54"/>
      <c r="GD14" s="54"/>
      <c r="GE14" s="133"/>
      <c r="GF14" s="54"/>
      <c r="GG14" s="104"/>
      <c r="GH14" s="97">
        <f t="shared" si="2"/>
        <v>0</v>
      </c>
      <c r="GI14" s="105"/>
      <c r="GJ14" s="105"/>
      <c r="GK14" s="97">
        <f t="shared" si="4"/>
        <v>0</v>
      </c>
      <c r="GL14" s="105"/>
      <c r="GM14" s="105"/>
      <c r="GN14" s="97">
        <f t="shared" si="5"/>
        <v>0</v>
      </c>
      <c r="GO14" s="105"/>
      <c r="GP14" s="105"/>
      <c r="GQ14" s="97">
        <f t="shared" si="6"/>
        <v>0</v>
      </c>
      <c r="GR14" s="105"/>
      <c r="GS14" s="105"/>
    </row>
    <row r="15" spans="1:201" ht="10.5" customHeight="1" x14ac:dyDescent="0.3">
      <c r="A15" s="99">
        <f t="shared" si="3"/>
        <v>8</v>
      </c>
      <c r="B15" s="56" t="s">
        <v>45</v>
      </c>
      <c r="C15" s="86">
        <v>304</v>
      </c>
      <c r="D15" s="87">
        <v>8</v>
      </c>
      <c r="E15" s="87">
        <v>8</v>
      </c>
      <c r="F15" s="87">
        <v>8</v>
      </c>
      <c r="G15" s="88">
        <v>9</v>
      </c>
      <c r="H15" s="87">
        <v>11</v>
      </c>
      <c r="I15" s="87">
        <v>16</v>
      </c>
      <c r="J15" s="87">
        <v>17</v>
      </c>
      <c r="K15" s="87">
        <v>18</v>
      </c>
      <c r="L15" s="88">
        <v>20</v>
      </c>
      <c r="M15" s="87">
        <v>18</v>
      </c>
      <c r="N15" s="87">
        <v>18</v>
      </c>
      <c r="O15" s="87">
        <v>18</v>
      </c>
      <c r="P15" s="87">
        <v>19</v>
      </c>
      <c r="Q15" s="88">
        <v>18</v>
      </c>
      <c r="R15" s="87">
        <v>19</v>
      </c>
      <c r="S15" s="86">
        <v>18</v>
      </c>
      <c r="T15" s="87">
        <v>18</v>
      </c>
      <c r="U15" s="89">
        <v>18</v>
      </c>
      <c r="V15" s="87">
        <v>17</v>
      </c>
      <c r="W15" s="89">
        <v>16</v>
      </c>
      <c r="X15" s="87">
        <v>15</v>
      </c>
      <c r="Y15" s="89">
        <v>15</v>
      </c>
      <c r="Z15" s="87">
        <v>16</v>
      </c>
      <c r="AA15" s="88">
        <v>16</v>
      </c>
      <c r="AB15" s="87">
        <v>16</v>
      </c>
      <c r="AC15" s="89">
        <v>18</v>
      </c>
      <c r="AD15" s="87">
        <v>18</v>
      </c>
      <c r="AE15" s="88">
        <v>18</v>
      </c>
      <c r="AF15" s="87">
        <v>18</v>
      </c>
      <c r="AG15" s="88">
        <v>19</v>
      </c>
      <c r="AH15" s="87">
        <v>20</v>
      </c>
      <c r="AI15" s="89">
        <v>21</v>
      </c>
      <c r="AJ15" s="87">
        <v>21</v>
      </c>
      <c r="AK15" s="88">
        <v>22</v>
      </c>
      <c r="AL15" s="87">
        <v>24</v>
      </c>
      <c r="AM15" s="87">
        <v>28</v>
      </c>
      <c r="AN15" s="87">
        <v>32</v>
      </c>
      <c r="AO15" s="87">
        <v>35</v>
      </c>
      <c r="AP15" s="87">
        <v>36</v>
      </c>
      <c r="AQ15" s="89">
        <v>38</v>
      </c>
      <c r="AR15" s="87">
        <v>38</v>
      </c>
      <c r="AS15" s="88">
        <v>39</v>
      </c>
      <c r="AT15" s="87">
        <v>41</v>
      </c>
      <c r="AU15" s="88">
        <v>43</v>
      </c>
      <c r="AV15" s="87">
        <v>46</v>
      </c>
      <c r="AW15" s="86">
        <v>49</v>
      </c>
      <c r="AX15" s="87">
        <v>50</v>
      </c>
      <c r="AY15" s="89">
        <v>52</v>
      </c>
      <c r="AZ15" s="87">
        <v>53</v>
      </c>
      <c r="BA15" s="89">
        <v>53</v>
      </c>
      <c r="BB15" s="87">
        <v>54</v>
      </c>
      <c r="BC15" s="89">
        <v>55</v>
      </c>
      <c r="BD15" s="87">
        <v>56</v>
      </c>
      <c r="BE15" s="88">
        <v>57</v>
      </c>
      <c r="BF15" s="87">
        <v>59</v>
      </c>
      <c r="BG15" s="88">
        <v>61</v>
      </c>
      <c r="BH15" s="87">
        <v>64</v>
      </c>
      <c r="BI15" s="89">
        <v>69</v>
      </c>
      <c r="BJ15" s="87">
        <v>75</v>
      </c>
      <c r="BK15" s="87">
        <v>84</v>
      </c>
      <c r="BL15" s="87">
        <v>92</v>
      </c>
      <c r="BM15" s="88">
        <v>100</v>
      </c>
      <c r="BN15" s="100">
        <v>117</v>
      </c>
      <c r="BO15" s="88">
        <v>127</v>
      </c>
      <c r="BP15" s="87">
        <v>130</v>
      </c>
      <c r="BQ15" s="88">
        <v>137</v>
      </c>
      <c r="BR15" s="87">
        <v>148</v>
      </c>
      <c r="BS15" s="88">
        <v>163</v>
      </c>
      <c r="BT15" s="87">
        <v>181</v>
      </c>
      <c r="BU15" s="88">
        <v>191</v>
      </c>
      <c r="BV15" s="87">
        <v>198</v>
      </c>
      <c r="BW15" s="88">
        <v>206</v>
      </c>
      <c r="BX15" s="87">
        <v>218</v>
      </c>
      <c r="BY15" s="88">
        <v>225</v>
      </c>
      <c r="BZ15" s="87">
        <v>233</v>
      </c>
      <c r="CA15" s="88">
        <v>239</v>
      </c>
      <c r="CB15" s="87">
        <v>242</v>
      </c>
      <c r="CC15" s="89">
        <v>253</v>
      </c>
      <c r="CD15" s="91">
        <v>251.25</v>
      </c>
      <c r="CE15" s="88">
        <v>257</v>
      </c>
      <c r="CF15" s="88">
        <v>268</v>
      </c>
      <c r="CG15" s="88">
        <v>265.25</v>
      </c>
      <c r="CH15" s="87">
        <v>268</v>
      </c>
      <c r="CI15" s="89">
        <v>272</v>
      </c>
      <c r="CJ15" s="91">
        <v>270.75</v>
      </c>
      <c r="CK15" s="88">
        <v>271</v>
      </c>
      <c r="CL15" s="89">
        <v>276</v>
      </c>
      <c r="CM15" s="91">
        <v>274</v>
      </c>
      <c r="CN15" s="88">
        <v>273</v>
      </c>
      <c r="CO15" s="88">
        <v>281</v>
      </c>
      <c r="CP15" s="88">
        <v>280.75</v>
      </c>
      <c r="CQ15" s="87">
        <v>288</v>
      </c>
      <c r="CR15" s="89">
        <v>294</v>
      </c>
      <c r="CS15" s="91">
        <v>294</v>
      </c>
      <c r="CT15" s="91">
        <v>300</v>
      </c>
      <c r="CU15" s="91">
        <v>308</v>
      </c>
      <c r="CV15" s="91">
        <v>307.5</v>
      </c>
      <c r="CW15" s="91">
        <v>314</v>
      </c>
      <c r="CX15" s="91">
        <v>316</v>
      </c>
      <c r="CY15" s="91">
        <v>315.75</v>
      </c>
      <c r="CZ15" s="91">
        <v>317</v>
      </c>
      <c r="DA15" s="91">
        <v>319</v>
      </c>
      <c r="DB15" s="91">
        <v>321</v>
      </c>
      <c r="DC15" s="91">
        <v>329</v>
      </c>
      <c r="DD15" s="91">
        <v>331</v>
      </c>
      <c r="DE15" s="91">
        <v>331</v>
      </c>
      <c r="DF15" s="91">
        <v>333</v>
      </c>
      <c r="DG15" s="91">
        <v>336</v>
      </c>
      <c r="DH15" s="91">
        <f>(DF15+DG15*2+DI15)/4</f>
        <v>336.5</v>
      </c>
      <c r="DI15" s="91">
        <v>341</v>
      </c>
      <c r="DJ15" s="101">
        <v>342</v>
      </c>
      <c r="DK15" s="91">
        <f>(DI15+DJ15*2+DL15)/4</f>
        <v>343</v>
      </c>
      <c r="DL15" s="91">
        <v>347</v>
      </c>
      <c r="DM15" s="91">
        <v>365</v>
      </c>
      <c r="DN15" s="91">
        <f>(DL15+DM15*2+DO15)/4</f>
        <v>361.75</v>
      </c>
      <c r="DO15" s="91">
        <v>370</v>
      </c>
      <c r="DP15" s="91">
        <v>380</v>
      </c>
      <c r="DQ15" s="91">
        <f>(DO15+DP15*2+DR15)/4</f>
        <v>378</v>
      </c>
      <c r="DR15" s="91">
        <v>382</v>
      </c>
      <c r="DS15" s="91">
        <v>390</v>
      </c>
      <c r="DT15" s="91">
        <f>(DR15+DS15*2+DU15)/4</f>
        <v>388.75</v>
      </c>
      <c r="DU15" s="91">
        <v>393</v>
      </c>
      <c r="DV15" s="91">
        <v>388</v>
      </c>
      <c r="DW15" s="91">
        <f>(DU15+DV15*2+DX15)/4</f>
        <v>393.5</v>
      </c>
      <c r="DX15" s="91">
        <v>405</v>
      </c>
      <c r="DY15" s="91">
        <v>418</v>
      </c>
      <c r="DZ15" s="91">
        <f>(DX15+DY15*2+EA15)/4</f>
        <v>420.75</v>
      </c>
      <c r="EA15" s="101">
        <v>442</v>
      </c>
      <c r="EB15" s="91">
        <v>447</v>
      </c>
      <c r="EC15" s="91">
        <f>(EA15+EB15*2+ED15)/4</f>
        <v>448</v>
      </c>
      <c r="ED15" s="102">
        <v>456</v>
      </c>
      <c r="EE15" s="102">
        <v>464</v>
      </c>
      <c r="EF15" s="91">
        <f>(ED15+EE15*2+EG15)/4</f>
        <v>466.25</v>
      </c>
      <c r="EG15" s="102">
        <v>481</v>
      </c>
      <c r="EH15" s="102">
        <v>493.99973183175643</v>
      </c>
      <c r="EI15" s="91">
        <f>(EG15+EH15*2+EJ15)/4</f>
        <v>496.24986591587822</v>
      </c>
      <c r="EJ15" s="102">
        <v>516</v>
      </c>
      <c r="EK15" s="102">
        <v>543</v>
      </c>
      <c r="EL15" s="91">
        <f>(EJ15+EK15*2+EM15)/4</f>
        <v>538.25</v>
      </c>
      <c r="EM15" s="102">
        <v>551</v>
      </c>
      <c r="EN15" s="102">
        <v>536</v>
      </c>
      <c r="EO15" s="91">
        <f>(EM15+EN15*2+EP15)/4</f>
        <v>543.75</v>
      </c>
      <c r="EP15" s="102">
        <v>552</v>
      </c>
      <c r="EQ15" s="103">
        <v>558</v>
      </c>
      <c r="ER15" s="91">
        <f>(EP15+EQ15*2+ES15)/4</f>
        <v>559.75</v>
      </c>
      <c r="ES15" s="54">
        <v>571</v>
      </c>
      <c r="ET15" s="54">
        <v>583</v>
      </c>
      <c r="EU15" s="91">
        <f>(ES15+ET15*2+EV15)/4</f>
        <v>583.5</v>
      </c>
      <c r="EV15" s="54">
        <v>597</v>
      </c>
      <c r="EW15" s="54">
        <v>600</v>
      </c>
      <c r="EX15" s="91">
        <f>(EV15+EW15*2+EY15)/4</f>
        <v>603.75</v>
      </c>
      <c r="EY15" s="54">
        <v>618</v>
      </c>
      <c r="EZ15" s="54">
        <v>608</v>
      </c>
      <c r="FA15" s="91">
        <f>(EY15+EZ15*2+FB15)/4</f>
        <v>613.75</v>
      </c>
      <c r="FB15" s="54">
        <v>621</v>
      </c>
      <c r="FC15" s="54">
        <v>630</v>
      </c>
      <c r="FD15" s="91">
        <f>(FB15+FC15*2+FE15)/4</f>
        <v>630.75</v>
      </c>
      <c r="FE15" s="54">
        <v>642</v>
      </c>
      <c r="FF15" s="54">
        <v>646</v>
      </c>
      <c r="FG15" s="91">
        <f>(FE15+FF15*2+FH15)/4</f>
        <v>647.25</v>
      </c>
      <c r="FH15" s="54">
        <v>655</v>
      </c>
      <c r="FI15" s="54">
        <v>659</v>
      </c>
      <c r="FJ15" s="91">
        <f>(FH15+FI15*2+FK15)/4</f>
        <v>661.25</v>
      </c>
      <c r="FK15" s="54">
        <v>672</v>
      </c>
      <c r="FL15" s="54">
        <v>671</v>
      </c>
      <c r="FM15" s="91">
        <f>(FK15+FL15*2+FN15)/4</f>
        <v>675.25</v>
      </c>
      <c r="FN15" s="54">
        <v>687</v>
      </c>
      <c r="FO15" s="54">
        <v>706</v>
      </c>
      <c r="FP15" s="91">
        <f>(FN15+FO15*2+FQ15)/4</f>
        <v>704</v>
      </c>
      <c r="FQ15" s="54">
        <v>717</v>
      </c>
      <c r="FR15" s="54">
        <v>713</v>
      </c>
      <c r="FS15" s="91">
        <f>(FQ15+FR15*2+FT15)/4</f>
        <v>715.5</v>
      </c>
      <c r="FT15" s="54">
        <v>719</v>
      </c>
      <c r="FU15" s="54">
        <v>730</v>
      </c>
      <c r="FV15" s="91">
        <f>(FT15+FU15*2+FW15)/4</f>
        <v>735.25</v>
      </c>
      <c r="FW15" s="54">
        <v>762</v>
      </c>
      <c r="FX15" s="54">
        <v>815</v>
      </c>
      <c r="FY15" s="91">
        <f>(FW15+FX15*2+FZ15)/4</f>
        <v>818.25</v>
      </c>
      <c r="FZ15" s="54">
        <v>881</v>
      </c>
      <c r="GA15" s="54">
        <v>905</v>
      </c>
      <c r="GB15" s="91">
        <f>(FZ15+GA15*2+GC15)/4</f>
        <v>900.75</v>
      </c>
      <c r="GC15" s="54">
        <v>912</v>
      </c>
      <c r="GD15" s="54"/>
      <c r="GE15" s="133">
        <f>GC15</f>
        <v>912</v>
      </c>
      <c r="GF15" s="54"/>
      <c r="GG15" s="104"/>
      <c r="GH15" s="97">
        <f t="shared" si="2"/>
        <v>0</v>
      </c>
      <c r="GI15" s="105"/>
      <c r="GJ15" s="105"/>
      <c r="GK15" s="97">
        <f t="shared" si="4"/>
        <v>0</v>
      </c>
      <c r="GL15" s="105"/>
      <c r="GM15" s="105"/>
      <c r="GN15" s="97">
        <f t="shared" si="5"/>
        <v>0</v>
      </c>
      <c r="GO15" s="105"/>
      <c r="GP15" s="105"/>
      <c r="GQ15" s="97">
        <f t="shared" si="6"/>
        <v>0</v>
      </c>
      <c r="GR15" s="105"/>
      <c r="GS15" s="105"/>
    </row>
    <row r="16" spans="1:201" ht="10.5" customHeight="1" x14ac:dyDescent="0.3">
      <c r="A16" s="99">
        <f t="shared" si="3"/>
        <v>9</v>
      </c>
      <c r="B16" s="56" t="s">
        <v>23</v>
      </c>
      <c r="C16" s="86">
        <v>311</v>
      </c>
      <c r="D16" s="106" t="s">
        <v>46</v>
      </c>
      <c r="E16" s="106" t="s">
        <v>46</v>
      </c>
      <c r="F16" s="87">
        <v>15</v>
      </c>
      <c r="G16" s="88">
        <v>15</v>
      </c>
      <c r="H16" s="87">
        <v>17</v>
      </c>
      <c r="I16" s="87">
        <v>20</v>
      </c>
      <c r="J16" s="87">
        <v>22</v>
      </c>
      <c r="K16" s="87">
        <v>24</v>
      </c>
      <c r="L16" s="88">
        <v>24</v>
      </c>
      <c r="M16" s="87">
        <v>23</v>
      </c>
      <c r="N16" s="87">
        <v>21</v>
      </c>
      <c r="O16" s="87">
        <v>22</v>
      </c>
      <c r="P16" s="87">
        <v>23</v>
      </c>
      <c r="Q16" s="88">
        <v>23</v>
      </c>
      <c r="R16" s="87">
        <v>23</v>
      </c>
      <c r="S16" s="86">
        <v>23</v>
      </c>
      <c r="T16" s="87">
        <v>23</v>
      </c>
      <c r="U16" s="89">
        <v>22</v>
      </c>
      <c r="V16" s="87">
        <v>22</v>
      </c>
      <c r="W16" s="89">
        <v>22</v>
      </c>
      <c r="X16" s="87">
        <v>22</v>
      </c>
      <c r="Y16" s="89">
        <v>23</v>
      </c>
      <c r="Z16" s="87">
        <v>24</v>
      </c>
      <c r="AA16" s="88">
        <v>24</v>
      </c>
      <c r="AB16" s="87">
        <v>25</v>
      </c>
      <c r="AC16" s="89">
        <v>26</v>
      </c>
      <c r="AD16" s="87">
        <v>26</v>
      </c>
      <c r="AE16" s="88">
        <v>26</v>
      </c>
      <c r="AF16" s="87">
        <v>26</v>
      </c>
      <c r="AG16" s="88">
        <v>27</v>
      </c>
      <c r="AH16" s="87">
        <v>27</v>
      </c>
      <c r="AI16" s="89">
        <v>27</v>
      </c>
      <c r="AJ16" s="87">
        <v>27</v>
      </c>
      <c r="AK16" s="88">
        <v>27</v>
      </c>
      <c r="AL16" s="87">
        <v>31</v>
      </c>
      <c r="AM16" s="87">
        <v>39</v>
      </c>
      <c r="AN16" s="87">
        <v>43</v>
      </c>
      <c r="AO16" s="87">
        <v>45</v>
      </c>
      <c r="AP16" s="87">
        <v>49</v>
      </c>
      <c r="AQ16" s="89">
        <v>55</v>
      </c>
      <c r="AR16" s="87">
        <v>55</v>
      </c>
      <c r="AS16" s="88">
        <v>55</v>
      </c>
      <c r="AT16" s="87">
        <v>55</v>
      </c>
      <c r="AU16" s="88">
        <v>56</v>
      </c>
      <c r="AV16" s="87">
        <v>63</v>
      </c>
      <c r="AW16" s="86">
        <v>69</v>
      </c>
      <c r="AX16" s="87">
        <v>73</v>
      </c>
      <c r="AY16" s="89">
        <v>74</v>
      </c>
      <c r="AZ16" s="87">
        <v>74</v>
      </c>
      <c r="BA16" s="89">
        <v>71</v>
      </c>
      <c r="BB16" s="87">
        <v>71</v>
      </c>
      <c r="BC16" s="89">
        <v>71</v>
      </c>
      <c r="BD16" s="87">
        <v>73</v>
      </c>
      <c r="BE16" s="88">
        <v>74</v>
      </c>
      <c r="BF16" s="87">
        <v>78</v>
      </c>
      <c r="BG16" s="88">
        <v>81</v>
      </c>
      <c r="BH16" s="87">
        <v>81</v>
      </c>
      <c r="BI16" s="89">
        <v>84</v>
      </c>
      <c r="BJ16" s="87">
        <v>89</v>
      </c>
      <c r="BK16" s="87">
        <v>93</v>
      </c>
      <c r="BL16" s="87">
        <v>96</v>
      </c>
      <c r="BM16" s="88">
        <v>100</v>
      </c>
      <c r="BN16" s="100">
        <v>122</v>
      </c>
      <c r="BO16" s="88">
        <v>155</v>
      </c>
      <c r="BP16" s="87">
        <v>174</v>
      </c>
      <c r="BQ16" s="88">
        <v>184</v>
      </c>
      <c r="BR16" s="87">
        <v>192</v>
      </c>
      <c r="BS16" s="88">
        <v>205</v>
      </c>
      <c r="BT16" s="87">
        <v>222</v>
      </c>
      <c r="BU16" s="88">
        <v>245</v>
      </c>
      <c r="BV16" s="87">
        <v>260</v>
      </c>
      <c r="BW16" s="88">
        <v>271</v>
      </c>
      <c r="BX16" s="87">
        <v>277</v>
      </c>
      <c r="BY16" s="88">
        <v>282</v>
      </c>
      <c r="BZ16" s="87">
        <v>284</v>
      </c>
      <c r="CA16" s="88">
        <v>299</v>
      </c>
      <c r="CB16" s="87">
        <v>330</v>
      </c>
      <c r="CC16" s="89">
        <v>303</v>
      </c>
      <c r="CD16" s="91">
        <v>311.25</v>
      </c>
      <c r="CE16" s="88">
        <v>309</v>
      </c>
      <c r="CF16" s="88">
        <v>336</v>
      </c>
      <c r="CG16" s="88">
        <v>330.25</v>
      </c>
      <c r="CH16" s="87">
        <v>340</v>
      </c>
      <c r="CI16" s="89">
        <v>349</v>
      </c>
      <c r="CJ16" s="91">
        <v>348.75</v>
      </c>
      <c r="CK16" s="88">
        <v>357</v>
      </c>
      <c r="CL16" s="89">
        <v>350</v>
      </c>
      <c r="CM16" s="91">
        <v>355</v>
      </c>
      <c r="CN16" s="88">
        <v>363</v>
      </c>
      <c r="CO16" s="88">
        <v>370</v>
      </c>
      <c r="CP16" s="88">
        <v>368</v>
      </c>
      <c r="CQ16" s="87">
        <v>369</v>
      </c>
      <c r="CR16" s="89">
        <v>378</v>
      </c>
      <c r="CS16" s="91">
        <v>386.25</v>
      </c>
      <c r="CT16" s="91">
        <v>420</v>
      </c>
      <c r="CU16" s="91">
        <v>426</v>
      </c>
      <c r="CV16" s="91">
        <v>427.5</v>
      </c>
      <c r="CW16" s="91">
        <v>438</v>
      </c>
      <c r="CX16" s="91">
        <v>437</v>
      </c>
      <c r="CY16" s="91">
        <v>441.5</v>
      </c>
      <c r="CZ16" s="91">
        <v>454</v>
      </c>
      <c r="DA16" s="91">
        <v>446</v>
      </c>
      <c r="DB16" s="91">
        <v>450</v>
      </c>
      <c r="DC16" s="91">
        <v>454</v>
      </c>
      <c r="DD16" s="91">
        <v>476</v>
      </c>
      <c r="DE16" s="91">
        <v>472.75</v>
      </c>
      <c r="DF16" s="91">
        <v>485</v>
      </c>
      <c r="DG16" s="91">
        <v>486</v>
      </c>
      <c r="DH16" s="91">
        <f>(DF16+DG16*2+DI16)/4</f>
        <v>489</v>
      </c>
      <c r="DI16" s="91">
        <v>499</v>
      </c>
      <c r="DJ16" s="101">
        <v>499</v>
      </c>
      <c r="DK16" s="91">
        <f>(DI16+DJ16*2+DL16)/4</f>
        <v>505</v>
      </c>
      <c r="DL16" s="91">
        <v>523</v>
      </c>
      <c r="DM16" s="91">
        <v>532</v>
      </c>
      <c r="DN16" s="91">
        <f>(DL16+DM16*2+DO16)/4</f>
        <v>529.5</v>
      </c>
      <c r="DO16" s="91">
        <v>531</v>
      </c>
      <c r="DP16" s="91">
        <v>531</v>
      </c>
      <c r="DQ16" s="91">
        <f>(DO16+DP16*2+DR16)/4</f>
        <v>527.25</v>
      </c>
      <c r="DR16" s="91">
        <v>516</v>
      </c>
      <c r="DS16" s="91">
        <v>533</v>
      </c>
      <c r="DT16" s="91">
        <f>(DR16+DS16*2+DU16)/4</f>
        <v>529</v>
      </c>
      <c r="DU16" s="91">
        <v>534</v>
      </c>
      <c r="DV16" s="91">
        <v>546</v>
      </c>
      <c r="DW16" s="91">
        <f>(DU16+DV16*2+DX16)/4</f>
        <v>543.25</v>
      </c>
      <c r="DX16" s="91">
        <v>547</v>
      </c>
      <c r="DY16" s="91">
        <v>569</v>
      </c>
      <c r="DZ16" s="91">
        <f>(DX16+DY16*2+EA16)/4</f>
        <v>572.25</v>
      </c>
      <c r="EA16" s="101">
        <v>604</v>
      </c>
      <c r="EB16" s="91">
        <v>611</v>
      </c>
      <c r="EC16" s="91">
        <f>(EA16+EB16*2+ED16)/4</f>
        <v>611.5</v>
      </c>
      <c r="ED16" s="102">
        <v>620</v>
      </c>
      <c r="EE16" s="102">
        <v>619</v>
      </c>
      <c r="EF16" s="91">
        <f>(ED16+EE16*2+EG16)/4</f>
        <v>624.25</v>
      </c>
      <c r="EG16" s="102">
        <v>639</v>
      </c>
      <c r="EH16" s="102">
        <v>628.03721561137343</v>
      </c>
      <c r="EI16" s="91">
        <f>(EG16+EH16*2+EJ16)/4</f>
        <v>633.76860780568677</v>
      </c>
      <c r="EJ16" s="102">
        <v>640</v>
      </c>
      <c r="EK16" s="102">
        <v>666</v>
      </c>
      <c r="EL16" s="91">
        <f>(EJ16+EK16*2+EM16)/4</f>
        <v>662.75</v>
      </c>
      <c r="EM16" s="102">
        <v>679</v>
      </c>
      <c r="EN16" s="102">
        <v>688</v>
      </c>
      <c r="EO16" s="91">
        <f>(EM16+EN16*2+EP16)/4</f>
        <v>690.5</v>
      </c>
      <c r="EP16" s="102">
        <v>707</v>
      </c>
      <c r="EQ16" s="103">
        <v>701</v>
      </c>
      <c r="ER16" s="91">
        <f>(EP16+EQ16*2+ES16)/4</f>
        <v>704.25</v>
      </c>
      <c r="ES16" s="54">
        <v>708</v>
      </c>
      <c r="ET16" s="54">
        <v>760</v>
      </c>
      <c r="EU16" s="91">
        <f>(ES16+ET16*2+EV16)/4</f>
        <v>752</v>
      </c>
      <c r="EV16" s="54">
        <v>780</v>
      </c>
      <c r="EW16" s="54">
        <v>785</v>
      </c>
      <c r="EX16" s="91">
        <f>(EV16+EW16*2+EY16)/4</f>
        <v>787.5</v>
      </c>
      <c r="EY16" s="54">
        <v>800</v>
      </c>
      <c r="EZ16" s="54">
        <v>844</v>
      </c>
      <c r="FA16" s="91">
        <f>(EY16+EZ16*2+FB16)/4</f>
        <v>836</v>
      </c>
      <c r="FB16" s="54">
        <v>856</v>
      </c>
      <c r="FC16" s="54">
        <v>900</v>
      </c>
      <c r="FD16" s="91">
        <f>(FB16+FC16*2+FE16)/4</f>
        <v>896</v>
      </c>
      <c r="FE16" s="54">
        <v>928</v>
      </c>
      <c r="FF16" s="54">
        <v>931</v>
      </c>
      <c r="FG16" s="91">
        <f>(FE16+FF16*2+FH16)/4</f>
        <v>945</v>
      </c>
      <c r="FH16" s="54">
        <v>990</v>
      </c>
      <c r="FI16" s="54">
        <v>1013</v>
      </c>
      <c r="FJ16" s="91">
        <f>(FH16+FI16*2+FK16)/4</f>
        <v>1017</v>
      </c>
      <c r="FK16" s="54">
        <v>1052</v>
      </c>
      <c r="FL16" s="54">
        <v>1135</v>
      </c>
      <c r="FM16" s="91">
        <f>(FK16+FL16*2+FN16)/4</f>
        <v>1117</v>
      </c>
      <c r="FN16" s="54">
        <v>1146</v>
      </c>
      <c r="FO16" s="54">
        <v>1216</v>
      </c>
      <c r="FP16" s="87">
        <f>(FN16+FO16*2+FQ16)/4</f>
        <v>1209.75</v>
      </c>
      <c r="FQ16" s="54">
        <v>1261</v>
      </c>
      <c r="FR16" s="54">
        <v>1346</v>
      </c>
      <c r="FS16" s="91">
        <f>(FQ16+FR16*2+FT16)/4</f>
        <v>1331.75</v>
      </c>
      <c r="FT16" s="54">
        <v>1374</v>
      </c>
      <c r="FU16" s="54">
        <v>1454</v>
      </c>
      <c r="FV16" s="91">
        <f>(FT16+FU16*2+FW16)/4</f>
        <v>1429.5</v>
      </c>
      <c r="FW16" s="54">
        <v>1436</v>
      </c>
      <c r="FX16" s="54">
        <v>1465</v>
      </c>
      <c r="FY16" s="91">
        <f>(FW16+FX16*2+FZ16)/4</f>
        <v>1489.75</v>
      </c>
      <c r="FZ16" s="54">
        <v>1593</v>
      </c>
      <c r="GA16" s="54">
        <v>1787</v>
      </c>
      <c r="GB16" s="91">
        <f>(FZ16+GA16*2+GC16)/4</f>
        <v>1742</v>
      </c>
      <c r="GC16" s="54">
        <v>1801</v>
      </c>
      <c r="GD16" s="54"/>
      <c r="GE16" s="133">
        <f>GC16</f>
        <v>1801</v>
      </c>
      <c r="GF16" s="54"/>
      <c r="GG16" s="104"/>
      <c r="GH16" s="97">
        <f t="shared" si="2"/>
        <v>0</v>
      </c>
      <c r="GI16" s="105"/>
      <c r="GJ16" s="105"/>
      <c r="GK16" s="97">
        <f t="shared" si="4"/>
        <v>0</v>
      </c>
      <c r="GL16" s="105"/>
      <c r="GM16" s="105"/>
      <c r="GN16" s="97">
        <f t="shared" si="5"/>
        <v>0</v>
      </c>
      <c r="GO16" s="105"/>
      <c r="GP16" s="105"/>
      <c r="GQ16" s="97">
        <f t="shared" si="6"/>
        <v>0</v>
      </c>
      <c r="GR16" s="105"/>
      <c r="GS16" s="105"/>
    </row>
    <row r="17" spans="1:201" ht="10.5" customHeight="1" x14ac:dyDescent="0.3">
      <c r="A17" s="99">
        <f t="shared" si="3"/>
        <v>10</v>
      </c>
      <c r="B17" s="56"/>
      <c r="C17" s="86"/>
      <c r="D17" s="87"/>
      <c r="E17" s="87"/>
      <c r="F17" s="87"/>
      <c r="G17" s="88"/>
      <c r="H17" s="87"/>
      <c r="I17" s="87"/>
      <c r="J17" s="87"/>
      <c r="K17" s="87"/>
      <c r="L17" s="88"/>
      <c r="M17" s="87"/>
      <c r="N17" s="87"/>
      <c r="O17" s="87"/>
      <c r="P17" s="87"/>
      <c r="Q17" s="88"/>
      <c r="R17" s="87"/>
      <c r="S17" s="86"/>
      <c r="T17" s="87"/>
      <c r="U17" s="89"/>
      <c r="V17" s="87"/>
      <c r="W17" s="89"/>
      <c r="X17" s="87"/>
      <c r="Y17" s="89"/>
      <c r="Z17" s="87"/>
      <c r="AA17" s="88"/>
      <c r="AB17" s="87"/>
      <c r="AC17" s="89"/>
      <c r="AD17" s="87"/>
      <c r="AE17" s="88"/>
      <c r="AF17" s="87"/>
      <c r="AG17" s="88"/>
      <c r="AH17" s="87"/>
      <c r="AI17" s="89"/>
      <c r="AJ17" s="87"/>
      <c r="AK17" s="88"/>
      <c r="AL17" s="87"/>
      <c r="AM17" s="87"/>
      <c r="AN17" s="87"/>
      <c r="AO17" s="87"/>
      <c r="AP17" s="87"/>
      <c r="AQ17" s="89"/>
      <c r="AR17" s="87"/>
      <c r="AS17" s="88"/>
      <c r="AT17" s="87"/>
      <c r="AU17" s="88"/>
      <c r="AV17" s="87"/>
      <c r="AW17" s="86"/>
      <c r="AX17" s="87"/>
      <c r="AY17" s="89"/>
      <c r="AZ17" s="87"/>
      <c r="BA17" s="89"/>
      <c r="BB17" s="87"/>
      <c r="BC17" s="89"/>
      <c r="BD17" s="87"/>
      <c r="BE17" s="88"/>
      <c r="BF17" s="87"/>
      <c r="BG17" s="88"/>
      <c r="BH17" s="87"/>
      <c r="BI17" s="89"/>
      <c r="BJ17" s="87"/>
      <c r="BK17" s="87"/>
      <c r="BL17" s="87"/>
      <c r="BM17" s="88"/>
      <c r="BN17" s="100"/>
      <c r="BO17" s="88"/>
      <c r="BP17" s="87"/>
      <c r="BQ17" s="88"/>
      <c r="BR17" s="87"/>
      <c r="BS17" s="88"/>
      <c r="BT17" s="87"/>
      <c r="BU17" s="88"/>
      <c r="BV17" s="87"/>
      <c r="BW17" s="88"/>
      <c r="BX17" s="87"/>
      <c r="BY17" s="88"/>
      <c r="BZ17" s="87"/>
      <c r="CA17" s="88"/>
      <c r="CB17" s="87"/>
      <c r="CC17" s="89"/>
      <c r="CD17" s="91"/>
      <c r="CE17" s="88"/>
      <c r="CF17" s="88"/>
      <c r="CG17" s="88"/>
      <c r="CH17" s="87"/>
      <c r="CI17" s="89"/>
      <c r="CJ17" s="91"/>
      <c r="CK17" s="88"/>
      <c r="CL17" s="89"/>
      <c r="CM17" s="91"/>
      <c r="CN17" s="88"/>
      <c r="CO17" s="88"/>
      <c r="CP17" s="88"/>
      <c r="CQ17" s="87"/>
      <c r="CR17" s="89"/>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102"/>
      <c r="EE17" s="102"/>
      <c r="EF17" s="91"/>
      <c r="EG17" s="102"/>
      <c r="EH17" s="102"/>
      <c r="EI17" s="91"/>
      <c r="EJ17" s="102"/>
      <c r="EK17" s="102"/>
      <c r="EL17" s="91"/>
      <c r="EM17" s="102"/>
      <c r="EN17" s="102"/>
      <c r="EO17" s="91"/>
      <c r="EP17" s="102"/>
      <c r="EQ17" s="103"/>
      <c r="ER17" s="91"/>
      <c r="ES17" s="54"/>
      <c r="ET17" s="54"/>
      <c r="EU17" s="91"/>
      <c r="EV17" s="54"/>
      <c r="EW17" s="54"/>
      <c r="EX17" s="91"/>
      <c r="EY17" s="54"/>
      <c r="EZ17" s="54"/>
      <c r="FA17" s="91"/>
      <c r="FB17" s="54"/>
      <c r="FC17" s="54"/>
      <c r="FD17" s="91"/>
      <c r="FE17" s="54"/>
      <c r="FF17" s="54"/>
      <c r="FG17" s="91"/>
      <c r="FH17" s="54"/>
      <c r="FI17" s="54"/>
      <c r="FJ17" s="91"/>
      <c r="FK17" s="54"/>
      <c r="FL17" s="54"/>
      <c r="FM17" s="91"/>
      <c r="FN17" s="54"/>
      <c r="FO17" s="54"/>
      <c r="FP17" s="87"/>
      <c r="FQ17" s="54"/>
      <c r="FR17" s="54"/>
      <c r="FS17" s="91"/>
      <c r="FT17" s="54"/>
      <c r="FU17" s="54"/>
      <c r="FV17" s="91"/>
      <c r="FW17" s="54"/>
      <c r="FX17" s="54"/>
      <c r="FY17" s="91"/>
      <c r="FZ17" s="54"/>
      <c r="GA17" s="54"/>
      <c r="GB17" s="91"/>
      <c r="GC17" s="54"/>
      <c r="GD17" s="54"/>
      <c r="GE17" s="133"/>
      <c r="GF17" s="54"/>
      <c r="GG17" s="104"/>
      <c r="GH17" s="97">
        <f t="shared" si="2"/>
        <v>0</v>
      </c>
      <c r="GI17" s="107"/>
      <c r="GJ17" s="105"/>
      <c r="GK17" s="99" t="s">
        <v>46</v>
      </c>
      <c r="GL17" s="107"/>
      <c r="GM17" s="105"/>
      <c r="GN17" s="99" t="s">
        <v>46</v>
      </c>
      <c r="GO17" s="107"/>
      <c r="GP17" s="105"/>
      <c r="GQ17" s="99" t="s">
        <v>46</v>
      </c>
      <c r="GR17" s="107"/>
      <c r="GS17" s="105"/>
    </row>
    <row r="18" spans="1:201" ht="10.5" customHeight="1" x14ac:dyDescent="0.3">
      <c r="A18" s="99">
        <f t="shared" si="3"/>
        <v>11</v>
      </c>
      <c r="B18" s="56"/>
      <c r="C18" s="86"/>
      <c r="D18" s="87"/>
      <c r="E18" s="87"/>
      <c r="F18" s="87"/>
      <c r="G18" s="88"/>
      <c r="H18" s="87"/>
      <c r="I18" s="87"/>
      <c r="J18" s="87"/>
      <c r="K18" s="87"/>
      <c r="L18" s="88"/>
      <c r="M18" s="87"/>
      <c r="N18" s="87"/>
      <c r="O18" s="87"/>
      <c r="P18" s="87"/>
      <c r="Q18" s="88"/>
      <c r="R18" s="87"/>
      <c r="S18" s="86"/>
      <c r="T18" s="87"/>
      <c r="U18" s="89"/>
      <c r="V18" s="87"/>
      <c r="W18" s="89"/>
      <c r="X18" s="87"/>
      <c r="Y18" s="89"/>
      <c r="Z18" s="87"/>
      <c r="AA18" s="88"/>
      <c r="AB18" s="87"/>
      <c r="AC18" s="89"/>
      <c r="AD18" s="87"/>
      <c r="AE18" s="88"/>
      <c r="AF18" s="87"/>
      <c r="AG18" s="88"/>
      <c r="AH18" s="87"/>
      <c r="AI18" s="89"/>
      <c r="AJ18" s="87"/>
      <c r="AK18" s="88"/>
      <c r="AL18" s="87"/>
      <c r="AM18" s="87"/>
      <c r="AN18" s="87"/>
      <c r="AO18" s="87"/>
      <c r="AP18" s="87"/>
      <c r="AQ18" s="89"/>
      <c r="AR18" s="87"/>
      <c r="AS18" s="88"/>
      <c r="AT18" s="87"/>
      <c r="AU18" s="88"/>
      <c r="AV18" s="87"/>
      <c r="AW18" s="86"/>
      <c r="AX18" s="87"/>
      <c r="AY18" s="89"/>
      <c r="AZ18" s="87"/>
      <c r="BA18" s="89"/>
      <c r="BB18" s="87"/>
      <c r="BC18" s="89"/>
      <c r="BD18" s="87"/>
      <c r="BE18" s="88"/>
      <c r="BF18" s="87"/>
      <c r="BG18" s="88"/>
      <c r="BH18" s="87"/>
      <c r="BI18" s="89"/>
      <c r="BJ18" s="87"/>
      <c r="BK18" s="87"/>
      <c r="BL18" s="87"/>
      <c r="BM18" s="88"/>
      <c r="BN18" s="100"/>
      <c r="BO18" s="88"/>
      <c r="BP18" s="87"/>
      <c r="BQ18" s="88"/>
      <c r="BR18" s="87"/>
      <c r="BS18" s="88"/>
      <c r="BT18" s="87"/>
      <c r="BU18" s="88"/>
      <c r="BV18" s="87"/>
      <c r="BW18" s="88"/>
      <c r="BX18" s="87"/>
      <c r="BY18" s="88"/>
      <c r="BZ18" s="87"/>
      <c r="CA18" s="88"/>
      <c r="CB18" s="87"/>
      <c r="CC18" s="89"/>
      <c r="CD18" s="91"/>
      <c r="CE18" s="88"/>
      <c r="CF18" s="88"/>
      <c r="CG18" s="88"/>
      <c r="CH18" s="87"/>
      <c r="CI18" s="89"/>
      <c r="CJ18" s="91"/>
      <c r="CK18" s="88"/>
      <c r="CL18" s="89"/>
      <c r="CM18" s="91"/>
      <c r="CN18" s="88"/>
      <c r="CO18" s="88"/>
      <c r="CP18" s="88"/>
      <c r="CQ18" s="87"/>
      <c r="CR18" s="89"/>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102"/>
      <c r="EE18" s="102"/>
      <c r="EF18" s="91"/>
      <c r="EG18" s="102"/>
      <c r="EH18" s="102"/>
      <c r="EI18" s="91"/>
      <c r="EJ18" s="102"/>
      <c r="EK18" s="102"/>
      <c r="EL18" s="91"/>
      <c r="EM18" s="102"/>
      <c r="EN18" s="102"/>
      <c r="EO18" s="91"/>
      <c r="EP18" s="102"/>
      <c r="EQ18" s="103"/>
      <c r="ER18" s="91"/>
      <c r="ES18" s="54"/>
      <c r="ET18" s="54"/>
      <c r="EU18" s="91"/>
      <c r="EV18" s="54"/>
      <c r="EW18" s="54"/>
      <c r="EX18" s="91"/>
      <c r="EY18" s="54"/>
      <c r="EZ18" s="54"/>
      <c r="FA18" s="91"/>
      <c r="FB18" s="54"/>
      <c r="FC18" s="54"/>
      <c r="FD18" s="91"/>
      <c r="FE18" s="54"/>
      <c r="FF18" s="54"/>
      <c r="FG18" s="91"/>
      <c r="FH18" s="54"/>
      <c r="FI18" s="54"/>
      <c r="FJ18" s="91"/>
      <c r="FK18" s="54"/>
      <c r="FL18" s="54"/>
      <c r="FM18" s="91"/>
      <c r="FN18" s="54"/>
      <c r="FO18" s="54"/>
      <c r="FP18" s="87"/>
      <c r="FQ18" s="54"/>
      <c r="FR18" s="54"/>
      <c r="FS18" s="91"/>
      <c r="FT18" s="54"/>
      <c r="FU18" s="54"/>
      <c r="FV18" s="91"/>
      <c r="FW18" s="54"/>
      <c r="FX18" s="54"/>
      <c r="FY18" s="91"/>
      <c r="FZ18" s="54"/>
      <c r="GA18" s="54"/>
      <c r="GB18" s="91"/>
      <c r="GC18" s="54"/>
      <c r="GD18" s="54"/>
      <c r="GE18" s="133"/>
      <c r="GF18" s="54"/>
      <c r="GG18" s="104"/>
      <c r="GH18" s="97">
        <f t="shared" si="2"/>
        <v>0</v>
      </c>
      <c r="GI18" s="105"/>
      <c r="GJ18" s="105"/>
      <c r="GK18" s="97">
        <f t="shared" si="4"/>
        <v>0</v>
      </c>
      <c r="GL18" s="105"/>
      <c r="GM18" s="105"/>
      <c r="GN18" s="97">
        <f t="shared" si="5"/>
        <v>0</v>
      </c>
      <c r="GO18" s="105"/>
      <c r="GP18" s="105"/>
      <c r="GQ18" s="97">
        <f t="shared" si="6"/>
        <v>0</v>
      </c>
      <c r="GR18" s="105"/>
      <c r="GS18" s="105"/>
    </row>
    <row r="19" spans="1:201" ht="10.5" customHeight="1" x14ac:dyDescent="0.3">
      <c r="A19" s="99">
        <f t="shared" si="3"/>
        <v>12</v>
      </c>
      <c r="B19" s="56"/>
      <c r="C19" s="86"/>
      <c r="D19" s="87"/>
      <c r="E19" s="87"/>
      <c r="F19" s="87"/>
      <c r="G19" s="88"/>
      <c r="H19" s="87"/>
      <c r="I19" s="87"/>
      <c r="J19" s="87"/>
      <c r="K19" s="87"/>
      <c r="L19" s="88"/>
      <c r="M19" s="87"/>
      <c r="N19" s="87"/>
      <c r="O19" s="87"/>
      <c r="P19" s="87"/>
      <c r="Q19" s="88"/>
      <c r="R19" s="87"/>
      <c r="S19" s="86"/>
      <c r="T19" s="87"/>
      <c r="U19" s="89"/>
      <c r="V19" s="87"/>
      <c r="W19" s="89"/>
      <c r="X19" s="87"/>
      <c r="Y19" s="89"/>
      <c r="Z19" s="87"/>
      <c r="AA19" s="88"/>
      <c r="AB19" s="87"/>
      <c r="AC19" s="89"/>
      <c r="AD19" s="87"/>
      <c r="AE19" s="88"/>
      <c r="AF19" s="87"/>
      <c r="AG19" s="88"/>
      <c r="AH19" s="87"/>
      <c r="AI19" s="89"/>
      <c r="AJ19" s="87"/>
      <c r="AK19" s="88"/>
      <c r="AL19" s="87"/>
      <c r="AM19" s="87"/>
      <c r="AN19" s="87"/>
      <c r="AO19" s="87"/>
      <c r="AP19" s="87"/>
      <c r="AQ19" s="89"/>
      <c r="AR19" s="87"/>
      <c r="AS19" s="88"/>
      <c r="AT19" s="87"/>
      <c r="AU19" s="88"/>
      <c r="AV19" s="87"/>
      <c r="AW19" s="86"/>
      <c r="AX19" s="87"/>
      <c r="AY19" s="89"/>
      <c r="AZ19" s="87"/>
      <c r="BA19" s="89"/>
      <c r="BB19" s="87"/>
      <c r="BC19" s="89"/>
      <c r="BD19" s="87"/>
      <c r="BE19" s="88"/>
      <c r="BF19" s="87"/>
      <c r="BG19" s="88"/>
      <c r="BH19" s="87"/>
      <c r="BI19" s="89"/>
      <c r="BJ19" s="87"/>
      <c r="BK19" s="87"/>
      <c r="BL19" s="87"/>
      <c r="BM19" s="88"/>
      <c r="BN19" s="100"/>
      <c r="BO19" s="88"/>
      <c r="BP19" s="87"/>
      <c r="BQ19" s="88"/>
      <c r="BR19" s="87"/>
      <c r="BS19" s="88"/>
      <c r="BT19" s="87"/>
      <c r="BU19" s="88"/>
      <c r="BV19" s="87"/>
      <c r="BW19" s="88"/>
      <c r="BX19" s="87"/>
      <c r="BY19" s="88"/>
      <c r="BZ19" s="87"/>
      <c r="CA19" s="88"/>
      <c r="CB19" s="87"/>
      <c r="CC19" s="89"/>
      <c r="CD19" s="91"/>
      <c r="CE19" s="88"/>
      <c r="CF19" s="88"/>
      <c r="CG19" s="88"/>
      <c r="CH19" s="87"/>
      <c r="CI19" s="89"/>
      <c r="CJ19" s="91"/>
      <c r="CK19" s="88"/>
      <c r="CL19" s="89"/>
      <c r="CM19" s="91"/>
      <c r="CN19" s="88"/>
      <c r="CO19" s="88"/>
      <c r="CP19" s="88"/>
      <c r="CQ19" s="87"/>
      <c r="CR19" s="89"/>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102"/>
      <c r="EE19" s="102"/>
      <c r="EF19" s="91"/>
      <c r="EG19" s="102"/>
      <c r="EH19" s="102"/>
      <c r="EI19" s="91"/>
      <c r="EJ19" s="102"/>
      <c r="EK19" s="102"/>
      <c r="EL19" s="91"/>
      <c r="EM19" s="102"/>
      <c r="EN19" s="102"/>
      <c r="EO19" s="91"/>
      <c r="EP19" s="102"/>
      <c r="EQ19" s="103"/>
      <c r="ER19" s="91"/>
      <c r="ES19" s="54"/>
      <c r="ET19" s="54"/>
      <c r="EU19" s="91"/>
      <c r="EV19" s="54"/>
      <c r="EW19" s="54"/>
      <c r="EX19" s="91"/>
      <c r="EY19" s="54"/>
      <c r="EZ19" s="54"/>
      <c r="FA19" s="91"/>
      <c r="FB19" s="54"/>
      <c r="FC19" s="54"/>
      <c r="FD19" s="91"/>
      <c r="FE19" s="54"/>
      <c r="FF19" s="54"/>
      <c r="FG19" s="91"/>
      <c r="FH19" s="54"/>
      <c r="FI19" s="54"/>
      <c r="FJ19" s="91"/>
      <c r="FK19" s="54"/>
      <c r="FL19" s="54"/>
      <c r="FM19" s="91"/>
      <c r="FN19" s="54"/>
      <c r="FO19" s="54"/>
      <c r="FP19" s="87"/>
      <c r="FQ19" s="54"/>
      <c r="FR19" s="54"/>
      <c r="FS19" s="91"/>
      <c r="FT19" s="54"/>
      <c r="FU19" s="54"/>
      <c r="FV19" s="91"/>
      <c r="FW19" s="54"/>
      <c r="FX19" s="54"/>
      <c r="FY19" s="91"/>
      <c r="FZ19" s="54"/>
      <c r="GA19" s="54"/>
      <c r="GB19" s="91"/>
      <c r="GC19" s="54"/>
      <c r="GD19" s="54"/>
      <c r="GE19" s="133"/>
      <c r="GF19" s="54"/>
      <c r="GG19" s="104"/>
      <c r="GH19" s="97">
        <f t="shared" si="2"/>
        <v>0</v>
      </c>
      <c r="GI19" s="105"/>
      <c r="GJ19" s="105"/>
      <c r="GK19" s="97">
        <f t="shared" si="4"/>
        <v>0</v>
      </c>
      <c r="GL19" s="105"/>
      <c r="GM19" s="105"/>
      <c r="GN19" s="97">
        <f t="shared" si="5"/>
        <v>0</v>
      </c>
      <c r="GO19" s="105"/>
      <c r="GP19" s="105"/>
      <c r="GQ19" s="97">
        <f t="shared" si="6"/>
        <v>0</v>
      </c>
      <c r="GR19" s="105"/>
      <c r="GS19" s="105"/>
    </row>
    <row r="20" spans="1:201" ht="10.5" customHeight="1" x14ac:dyDescent="0.3">
      <c r="A20" s="99">
        <f t="shared" si="3"/>
        <v>13</v>
      </c>
      <c r="B20" s="56"/>
      <c r="C20" s="86"/>
      <c r="D20" s="87"/>
      <c r="E20" s="87"/>
      <c r="F20" s="87"/>
      <c r="G20" s="88"/>
      <c r="H20" s="87"/>
      <c r="I20" s="87"/>
      <c r="J20" s="87"/>
      <c r="K20" s="87"/>
      <c r="L20" s="88"/>
      <c r="M20" s="87"/>
      <c r="N20" s="87"/>
      <c r="O20" s="87"/>
      <c r="P20" s="87"/>
      <c r="Q20" s="88"/>
      <c r="R20" s="87"/>
      <c r="S20" s="86"/>
      <c r="T20" s="87"/>
      <c r="U20" s="89"/>
      <c r="V20" s="87"/>
      <c r="W20" s="89"/>
      <c r="X20" s="87"/>
      <c r="Y20" s="89"/>
      <c r="Z20" s="87"/>
      <c r="AA20" s="88"/>
      <c r="AB20" s="87"/>
      <c r="AC20" s="89"/>
      <c r="AD20" s="87"/>
      <c r="AE20" s="88"/>
      <c r="AF20" s="87"/>
      <c r="AG20" s="88"/>
      <c r="AH20" s="87"/>
      <c r="AI20" s="89"/>
      <c r="AJ20" s="87"/>
      <c r="AK20" s="88"/>
      <c r="AL20" s="87"/>
      <c r="AM20" s="87"/>
      <c r="AN20" s="87"/>
      <c r="AO20" s="87"/>
      <c r="AP20" s="87"/>
      <c r="AQ20" s="89"/>
      <c r="AR20" s="87"/>
      <c r="AS20" s="88"/>
      <c r="AT20" s="87"/>
      <c r="AU20" s="88"/>
      <c r="AV20" s="87"/>
      <c r="AW20" s="86"/>
      <c r="AX20" s="87"/>
      <c r="AY20" s="89"/>
      <c r="AZ20" s="87"/>
      <c r="BA20" s="89"/>
      <c r="BB20" s="87"/>
      <c r="BC20" s="89"/>
      <c r="BD20" s="87"/>
      <c r="BE20" s="88"/>
      <c r="BF20" s="87"/>
      <c r="BG20" s="88"/>
      <c r="BH20" s="87"/>
      <c r="BI20" s="89"/>
      <c r="BJ20" s="87"/>
      <c r="BK20" s="87"/>
      <c r="BL20" s="87"/>
      <c r="BM20" s="88"/>
      <c r="BN20" s="100"/>
      <c r="BO20" s="88"/>
      <c r="BP20" s="87"/>
      <c r="BQ20" s="88"/>
      <c r="BR20" s="87"/>
      <c r="BS20" s="88"/>
      <c r="BT20" s="87"/>
      <c r="BU20" s="88"/>
      <c r="BV20" s="87"/>
      <c r="BW20" s="88"/>
      <c r="BX20" s="87"/>
      <c r="BY20" s="88"/>
      <c r="BZ20" s="87"/>
      <c r="CA20" s="88"/>
      <c r="CB20" s="87"/>
      <c r="CC20" s="89"/>
      <c r="CD20" s="91"/>
      <c r="CE20" s="88"/>
      <c r="CF20" s="88"/>
      <c r="CG20" s="88"/>
      <c r="CH20" s="87"/>
      <c r="CI20" s="89"/>
      <c r="CJ20" s="91"/>
      <c r="CK20" s="88"/>
      <c r="CL20" s="89"/>
      <c r="CM20" s="91"/>
      <c r="CN20" s="88"/>
      <c r="CO20" s="88"/>
      <c r="CP20" s="88"/>
      <c r="CQ20" s="87"/>
      <c r="CR20" s="89"/>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102"/>
      <c r="EE20" s="102"/>
      <c r="EF20" s="91"/>
      <c r="EG20" s="102"/>
      <c r="EH20" s="102"/>
      <c r="EI20" s="91"/>
      <c r="EJ20" s="102"/>
      <c r="EK20" s="102"/>
      <c r="EL20" s="91"/>
      <c r="EM20" s="102"/>
      <c r="EN20" s="102"/>
      <c r="EO20" s="91"/>
      <c r="EP20" s="102"/>
      <c r="EQ20" s="103"/>
      <c r="ER20" s="91"/>
      <c r="ES20" s="54"/>
      <c r="ET20" s="54"/>
      <c r="EU20" s="91"/>
      <c r="EV20" s="54"/>
      <c r="EW20" s="54"/>
      <c r="EX20" s="91"/>
      <c r="EY20" s="54"/>
      <c r="EZ20" s="54"/>
      <c r="FA20" s="91"/>
      <c r="FB20" s="54"/>
      <c r="FC20" s="54"/>
      <c r="FD20" s="91"/>
      <c r="FE20" s="54"/>
      <c r="FF20" s="54"/>
      <c r="FG20" s="91"/>
      <c r="FH20" s="54"/>
      <c r="FI20" s="54"/>
      <c r="FJ20" s="91"/>
      <c r="FK20" s="54"/>
      <c r="FL20" s="54"/>
      <c r="FM20" s="91"/>
      <c r="FN20" s="54"/>
      <c r="FO20" s="54"/>
      <c r="FP20" s="87"/>
      <c r="FQ20" s="54"/>
      <c r="FR20" s="54"/>
      <c r="FS20" s="91"/>
      <c r="FT20" s="54"/>
      <c r="FU20" s="54"/>
      <c r="FV20" s="91"/>
      <c r="FW20" s="54"/>
      <c r="FX20" s="54"/>
      <c r="FY20" s="91"/>
      <c r="FZ20" s="54"/>
      <c r="GA20" s="54"/>
      <c r="GB20" s="91"/>
      <c r="GC20" s="54"/>
      <c r="GD20" s="54"/>
      <c r="GE20" s="133"/>
      <c r="GF20" s="54"/>
      <c r="GG20" s="104"/>
      <c r="GH20" s="97">
        <f t="shared" si="2"/>
        <v>0</v>
      </c>
      <c r="GI20" s="105"/>
      <c r="GJ20" s="105"/>
      <c r="GK20" s="97">
        <f t="shared" si="4"/>
        <v>0</v>
      </c>
      <c r="GL20" s="105"/>
      <c r="GM20" s="105"/>
      <c r="GN20" s="97">
        <f t="shared" si="5"/>
        <v>0</v>
      </c>
      <c r="GO20" s="105"/>
      <c r="GP20" s="105"/>
      <c r="GQ20" s="97">
        <f t="shared" si="6"/>
        <v>0</v>
      </c>
      <c r="GR20" s="105"/>
      <c r="GS20" s="105"/>
    </row>
    <row r="21" spans="1:201" ht="10.5" customHeight="1" x14ac:dyDescent="0.3">
      <c r="A21" s="99">
        <f t="shared" si="3"/>
        <v>14</v>
      </c>
      <c r="B21" s="85" t="s">
        <v>47</v>
      </c>
      <c r="C21" s="86"/>
      <c r="D21" s="87"/>
      <c r="E21" s="87"/>
      <c r="F21" s="87"/>
      <c r="G21" s="88"/>
      <c r="H21" s="87"/>
      <c r="I21" s="87"/>
      <c r="J21" s="87"/>
      <c r="K21" s="87"/>
      <c r="L21" s="88"/>
      <c r="M21" s="87"/>
      <c r="N21" s="87"/>
      <c r="O21" s="87"/>
      <c r="P21" s="87"/>
      <c r="Q21" s="88"/>
      <c r="R21" s="87"/>
      <c r="S21" s="86"/>
      <c r="T21" s="87"/>
      <c r="U21" s="89"/>
      <c r="V21" s="87"/>
      <c r="W21" s="89"/>
      <c r="X21" s="87"/>
      <c r="Y21" s="89"/>
      <c r="Z21" s="87"/>
      <c r="AA21" s="88"/>
      <c r="AB21" s="87"/>
      <c r="AC21" s="89"/>
      <c r="AD21" s="87"/>
      <c r="AE21" s="88"/>
      <c r="AF21" s="87"/>
      <c r="AG21" s="88"/>
      <c r="AH21" s="87"/>
      <c r="AI21" s="89"/>
      <c r="AJ21" s="87"/>
      <c r="AK21" s="88"/>
      <c r="AL21" s="87"/>
      <c r="AM21" s="87"/>
      <c r="AN21" s="87"/>
      <c r="AO21" s="87"/>
      <c r="AP21" s="87"/>
      <c r="AQ21" s="89"/>
      <c r="AR21" s="87"/>
      <c r="AS21" s="88"/>
      <c r="AT21" s="87"/>
      <c r="AU21" s="88"/>
      <c r="AV21" s="87"/>
      <c r="AW21" s="86"/>
      <c r="AX21" s="87"/>
      <c r="AY21" s="89"/>
      <c r="AZ21" s="87"/>
      <c r="BA21" s="89"/>
      <c r="BB21" s="87"/>
      <c r="BC21" s="89"/>
      <c r="BD21" s="87"/>
      <c r="BE21" s="88"/>
      <c r="BF21" s="87"/>
      <c r="BG21" s="88"/>
      <c r="BH21" s="87"/>
      <c r="BI21" s="89"/>
      <c r="BJ21" s="87"/>
      <c r="BK21" s="87"/>
      <c r="BL21" s="87"/>
      <c r="BM21" s="88"/>
      <c r="BN21" s="100"/>
      <c r="BO21" s="88"/>
      <c r="BP21" s="87"/>
      <c r="BQ21" s="88"/>
      <c r="BR21" s="87"/>
      <c r="BS21" s="88"/>
      <c r="BT21" s="87"/>
      <c r="BU21" s="88"/>
      <c r="BV21" s="87"/>
      <c r="BW21" s="88"/>
      <c r="BX21" s="87"/>
      <c r="BY21" s="88"/>
      <c r="BZ21" s="87"/>
      <c r="CA21" s="88"/>
      <c r="CB21" s="87"/>
      <c r="CC21" s="89"/>
      <c r="CD21" s="91"/>
      <c r="CE21" s="88"/>
      <c r="CF21" s="88"/>
      <c r="CG21" s="88"/>
      <c r="CH21" s="87"/>
      <c r="CI21" s="89"/>
      <c r="CJ21" s="91"/>
      <c r="CK21" s="88"/>
      <c r="CL21" s="89"/>
      <c r="CM21" s="91"/>
      <c r="CN21" s="88"/>
      <c r="CO21" s="88"/>
      <c r="CP21" s="88"/>
      <c r="CQ21" s="87"/>
      <c r="CR21" s="89"/>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102"/>
      <c r="EE21" s="102"/>
      <c r="EF21" s="91"/>
      <c r="EG21" s="102"/>
      <c r="EH21" s="102"/>
      <c r="EI21" s="91"/>
      <c r="EJ21" s="102"/>
      <c r="EK21" s="102"/>
      <c r="EL21" s="91"/>
      <c r="EM21" s="102"/>
      <c r="EN21" s="102"/>
      <c r="EO21" s="91"/>
      <c r="EP21" s="102"/>
      <c r="EQ21" s="103"/>
      <c r="ER21" s="91"/>
      <c r="ES21" s="54"/>
      <c r="ET21" s="54"/>
      <c r="EU21" s="91"/>
      <c r="EV21" s="54"/>
      <c r="EW21" s="54"/>
      <c r="EX21" s="91"/>
      <c r="EY21" s="54"/>
      <c r="EZ21" s="54"/>
      <c r="FA21" s="91"/>
      <c r="FB21" s="54"/>
      <c r="FC21" s="54"/>
      <c r="FD21" s="91"/>
      <c r="FE21" s="54"/>
      <c r="FF21" s="54"/>
      <c r="FG21" s="91"/>
      <c r="FH21" s="54"/>
      <c r="FI21" s="54"/>
      <c r="FJ21" s="91"/>
      <c r="FK21" s="54"/>
      <c r="FL21" s="54"/>
      <c r="FM21" s="91"/>
      <c r="FN21" s="54"/>
      <c r="FO21" s="54"/>
      <c r="FP21" s="87"/>
      <c r="FQ21" s="54"/>
      <c r="FR21" s="54"/>
      <c r="FS21" s="91"/>
      <c r="FT21" s="54"/>
      <c r="FU21" s="54"/>
      <c r="FV21" s="91"/>
      <c r="FW21" s="54"/>
      <c r="FX21" s="54"/>
      <c r="FY21" s="91"/>
      <c r="FZ21" s="54"/>
      <c r="GA21" s="54"/>
      <c r="GB21" s="91"/>
      <c r="GC21" s="54"/>
      <c r="GD21" s="54"/>
      <c r="GE21" s="133"/>
      <c r="GF21" s="54"/>
      <c r="GG21" s="104"/>
      <c r="GH21" s="97">
        <f t="shared" si="2"/>
        <v>0</v>
      </c>
      <c r="GI21" s="105"/>
      <c r="GJ21" s="105"/>
      <c r="GK21" s="97">
        <f t="shared" si="4"/>
        <v>0</v>
      </c>
      <c r="GL21" s="105"/>
      <c r="GM21" s="105"/>
      <c r="GN21" s="97">
        <f t="shared" si="5"/>
        <v>0</v>
      </c>
      <c r="GO21" s="105"/>
      <c r="GP21" s="105"/>
      <c r="GQ21" s="97">
        <f t="shared" si="6"/>
        <v>0</v>
      </c>
      <c r="GR21" s="105"/>
      <c r="GS21" s="105"/>
    </row>
    <row r="22" spans="1:201" ht="10.5" customHeight="1" x14ac:dyDescent="0.3">
      <c r="A22" s="99">
        <f t="shared" si="3"/>
        <v>15</v>
      </c>
      <c r="B22" s="56" t="s">
        <v>45</v>
      </c>
      <c r="C22" s="86">
        <v>304</v>
      </c>
      <c r="D22" s="87">
        <v>8</v>
      </c>
      <c r="E22" s="87">
        <v>8</v>
      </c>
      <c r="F22" s="87">
        <v>8</v>
      </c>
      <c r="G22" s="88">
        <v>9</v>
      </c>
      <c r="H22" s="87">
        <v>11</v>
      </c>
      <c r="I22" s="87">
        <v>16</v>
      </c>
      <c r="J22" s="87">
        <v>17</v>
      </c>
      <c r="K22" s="87">
        <v>18</v>
      </c>
      <c r="L22" s="88">
        <v>20</v>
      </c>
      <c r="M22" s="87">
        <v>18</v>
      </c>
      <c r="N22" s="87">
        <v>18</v>
      </c>
      <c r="O22" s="87">
        <v>18</v>
      </c>
      <c r="P22" s="87">
        <v>19</v>
      </c>
      <c r="Q22" s="88">
        <v>18</v>
      </c>
      <c r="R22" s="87">
        <v>19</v>
      </c>
      <c r="S22" s="86">
        <v>18</v>
      </c>
      <c r="T22" s="87">
        <v>18</v>
      </c>
      <c r="U22" s="89">
        <v>18</v>
      </c>
      <c r="V22" s="87">
        <v>17</v>
      </c>
      <c r="W22" s="89">
        <v>16</v>
      </c>
      <c r="X22" s="87">
        <v>15</v>
      </c>
      <c r="Y22" s="89">
        <v>15</v>
      </c>
      <c r="Z22" s="87">
        <v>16</v>
      </c>
      <c r="AA22" s="88">
        <v>16</v>
      </c>
      <c r="AB22" s="87">
        <v>16</v>
      </c>
      <c r="AC22" s="89">
        <v>18</v>
      </c>
      <c r="AD22" s="87">
        <v>18</v>
      </c>
      <c r="AE22" s="88">
        <v>18</v>
      </c>
      <c r="AF22" s="87">
        <v>18</v>
      </c>
      <c r="AG22" s="88">
        <v>19</v>
      </c>
      <c r="AH22" s="87">
        <v>20</v>
      </c>
      <c r="AI22" s="89">
        <v>21</v>
      </c>
      <c r="AJ22" s="87">
        <v>21</v>
      </c>
      <c r="AK22" s="88">
        <v>22</v>
      </c>
      <c r="AL22" s="87">
        <v>24</v>
      </c>
      <c r="AM22" s="87">
        <v>28</v>
      </c>
      <c r="AN22" s="87">
        <v>32</v>
      </c>
      <c r="AO22" s="87">
        <v>35</v>
      </c>
      <c r="AP22" s="87">
        <v>36</v>
      </c>
      <c r="AQ22" s="89">
        <v>38</v>
      </c>
      <c r="AR22" s="87">
        <v>38</v>
      </c>
      <c r="AS22" s="88">
        <v>39</v>
      </c>
      <c r="AT22" s="87">
        <v>41</v>
      </c>
      <c r="AU22" s="88">
        <v>43</v>
      </c>
      <c r="AV22" s="87">
        <v>46</v>
      </c>
      <c r="AW22" s="86">
        <v>49</v>
      </c>
      <c r="AX22" s="87">
        <v>50</v>
      </c>
      <c r="AY22" s="89">
        <v>52</v>
      </c>
      <c r="AZ22" s="87">
        <v>53</v>
      </c>
      <c r="BA22" s="89">
        <v>53</v>
      </c>
      <c r="BB22" s="87">
        <v>54</v>
      </c>
      <c r="BC22" s="89">
        <v>55</v>
      </c>
      <c r="BD22" s="87">
        <v>56</v>
      </c>
      <c r="BE22" s="88">
        <v>57</v>
      </c>
      <c r="BF22" s="87">
        <v>59</v>
      </c>
      <c r="BG22" s="88">
        <v>61</v>
      </c>
      <c r="BH22" s="87">
        <v>64</v>
      </c>
      <c r="BI22" s="89">
        <v>69</v>
      </c>
      <c r="BJ22" s="87">
        <v>75</v>
      </c>
      <c r="BK22" s="87">
        <v>84</v>
      </c>
      <c r="BL22" s="87">
        <v>92</v>
      </c>
      <c r="BM22" s="88">
        <v>100</v>
      </c>
      <c r="BN22" s="100">
        <v>117</v>
      </c>
      <c r="BO22" s="88">
        <v>127</v>
      </c>
      <c r="BP22" s="87">
        <v>130</v>
      </c>
      <c r="BQ22" s="88">
        <v>137</v>
      </c>
      <c r="BR22" s="87">
        <v>148</v>
      </c>
      <c r="BS22" s="88">
        <v>163</v>
      </c>
      <c r="BT22" s="87">
        <v>181</v>
      </c>
      <c r="BU22" s="88">
        <v>191</v>
      </c>
      <c r="BV22" s="87">
        <v>198</v>
      </c>
      <c r="BW22" s="88">
        <v>206</v>
      </c>
      <c r="BX22" s="87">
        <v>218</v>
      </c>
      <c r="BY22" s="88">
        <v>225</v>
      </c>
      <c r="BZ22" s="87">
        <v>233</v>
      </c>
      <c r="CA22" s="88">
        <v>239</v>
      </c>
      <c r="CB22" s="87">
        <v>242</v>
      </c>
      <c r="CC22" s="89">
        <v>253</v>
      </c>
      <c r="CD22" s="91">
        <v>251.25</v>
      </c>
      <c r="CE22" s="88">
        <v>257</v>
      </c>
      <c r="CF22" s="88">
        <v>268</v>
      </c>
      <c r="CG22" s="88">
        <v>265.25</v>
      </c>
      <c r="CH22" s="87">
        <v>268</v>
      </c>
      <c r="CI22" s="89">
        <v>272</v>
      </c>
      <c r="CJ22" s="91">
        <v>270.75</v>
      </c>
      <c r="CK22" s="88">
        <v>271</v>
      </c>
      <c r="CL22" s="89">
        <v>276</v>
      </c>
      <c r="CM22" s="91">
        <v>274</v>
      </c>
      <c r="CN22" s="88">
        <v>273</v>
      </c>
      <c r="CO22" s="88">
        <v>281</v>
      </c>
      <c r="CP22" s="88">
        <v>280.75</v>
      </c>
      <c r="CQ22" s="87">
        <v>288</v>
      </c>
      <c r="CR22" s="89">
        <v>294</v>
      </c>
      <c r="CS22" s="91">
        <v>294</v>
      </c>
      <c r="CT22" s="91">
        <v>300</v>
      </c>
      <c r="CU22" s="91">
        <v>308</v>
      </c>
      <c r="CV22" s="91">
        <v>307.5</v>
      </c>
      <c r="CW22" s="91">
        <v>314</v>
      </c>
      <c r="CX22" s="91">
        <v>316</v>
      </c>
      <c r="CY22" s="91">
        <v>315.75</v>
      </c>
      <c r="CZ22" s="91">
        <v>317</v>
      </c>
      <c r="DA22" s="91">
        <v>319</v>
      </c>
      <c r="DB22" s="91">
        <v>321</v>
      </c>
      <c r="DC22" s="91">
        <v>329</v>
      </c>
      <c r="DD22" s="91">
        <v>331</v>
      </c>
      <c r="DE22" s="91">
        <v>331</v>
      </c>
      <c r="DF22" s="91">
        <v>333</v>
      </c>
      <c r="DG22" s="91">
        <v>336</v>
      </c>
      <c r="DH22" s="91">
        <f>(DF22+DG22*2+DI22)/4</f>
        <v>336.5</v>
      </c>
      <c r="DI22" s="91">
        <v>341</v>
      </c>
      <c r="DJ22" s="101">
        <v>342</v>
      </c>
      <c r="DK22" s="91">
        <f>(DI22+DJ22*2+DL22)/4</f>
        <v>343</v>
      </c>
      <c r="DL22" s="91">
        <v>347</v>
      </c>
      <c r="DM22" s="91">
        <v>365</v>
      </c>
      <c r="DN22" s="91">
        <f>(DL22+DM22*2+DO22)/4</f>
        <v>361.75</v>
      </c>
      <c r="DO22" s="91">
        <v>370</v>
      </c>
      <c r="DP22" s="91">
        <v>380</v>
      </c>
      <c r="DQ22" s="91">
        <f>(DO22+DP22*2+DR22)/4</f>
        <v>378</v>
      </c>
      <c r="DR22" s="91">
        <v>382</v>
      </c>
      <c r="DS22" s="91">
        <v>390</v>
      </c>
      <c r="DT22" s="91">
        <f>(DR22+DS22*2+DU22)/4</f>
        <v>388.75</v>
      </c>
      <c r="DU22" s="91">
        <v>393</v>
      </c>
      <c r="DV22" s="91">
        <v>388</v>
      </c>
      <c r="DW22" s="91">
        <f>(DU22+DV22*2+DX22)/4</f>
        <v>393.5</v>
      </c>
      <c r="DX22" s="91">
        <v>405</v>
      </c>
      <c r="DY22" s="91">
        <v>418</v>
      </c>
      <c r="DZ22" s="91">
        <f>(DX22+DY22*2+EA22)/4</f>
        <v>420.75</v>
      </c>
      <c r="EA22" s="101">
        <v>442</v>
      </c>
      <c r="EB22" s="91">
        <v>447</v>
      </c>
      <c r="EC22" s="91">
        <f>(EA22+EB22*2+ED22)/4</f>
        <v>448</v>
      </c>
      <c r="ED22" s="102">
        <v>456</v>
      </c>
      <c r="EE22" s="102">
        <v>464</v>
      </c>
      <c r="EF22" s="91">
        <f>(ED22+EE22*2+EG22)/4</f>
        <v>466.25</v>
      </c>
      <c r="EG22" s="102">
        <v>481</v>
      </c>
      <c r="EH22" s="102">
        <v>493.99973183175643</v>
      </c>
      <c r="EI22" s="91">
        <f>(EG22+EH22*2+EJ22)/4</f>
        <v>496.24986591587822</v>
      </c>
      <c r="EJ22" s="102">
        <v>516</v>
      </c>
      <c r="EK22" s="102">
        <v>543</v>
      </c>
      <c r="EL22" s="91">
        <f>(EJ22+EK22*2+EM22)/4</f>
        <v>538.25</v>
      </c>
      <c r="EM22" s="102">
        <v>551</v>
      </c>
      <c r="EN22" s="102">
        <v>536</v>
      </c>
      <c r="EO22" s="91">
        <f>(EM22+EN22*2+EP22)/4</f>
        <v>543.75</v>
      </c>
      <c r="EP22" s="102">
        <v>552</v>
      </c>
      <c r="EQ22" s="103">
        <v>558</v>
      </c>
      <c r="ER22" s="91">
        <f>(EP22+EQ22*2+ES22)/4</f>
        <v>559.75</v>
      </c>
      <c r="ES22" s="54">
        <v>571</v>
      </c>
      <c r="ET22" s="54">
        <v>583</v>
      </c>
      <c r="EU22" s="91">
        <f>(ES22+ET22*2+EV22)/4</f>
        <v>583.5</v>
      </c>
      <c r="EV22" s="54">
        <v>597</v>
      </c>
      <c r="EW22" s="54">
        <v>600</v>
      </c>
      <c r="EX22" s="91">
        <f>(EV22+EW22*2+EY22)/4</f>
        <v>603.75</v>
      </c>
      <c r="EY22" s="54">
        <v>618</v>
      </c>
      <c r="EZ22" s="54">
        <v>608</v>
      </c>
      <c r="FA22" s="91">
        <f>(EY22+EZ22*2+FB22)/4</f>
        <v>613.75</v>
      </c>
      <c r="FB22" s="54">
        <v>621</v>
      </c>
      <c r="FC22" s="54">
        <v>630</v>
      </c>
      <c r="FD22" s="91">
        <f>(FB22+FC22*2+FE22)/4</f>
        <v>630.75</v>
      </c>
      <c r="FE22" s="54">
        <v>642</v>
      </c>
      <c r="FF22" s="54">
        <v>646</v>
      </c>
      <c r="FG22" s="91">
        <f>(FE22+FF22*2+FH22)/4</f>
        <v>647.25</v>
      </c>
      <c r="FH22" s="54">
        <v>655</v>
      </c>
      <c r="FI22" s="54">
        <v>659</v>
      </c>
      <c r="FJ22" s="91">
        <f>(FH22+FI22*2+FK22)/4</f>
        <v>661.25</v>
      </c>
      <c r="FK22" s="54">
        <v>672</v>
      </c>
      <c r="FL22" s="54">
        <v>671</v>
      </c>
      <c r="FM22" s="91">
        <f>(FK22+FL22*2+FN22)/4</f>
        <v>675.25</v>
      </c>
      <c r="FN22" s="54">
        <v>687</v>
      </c>
      <c r="FO22" s="54">
        <v>706</v>
      </c>
      <c r="FP22" s="87">
        <f>(FN22+FO22*2+FQ22)/4</f>
        <v>704</v>
      </c>
      <c r="FQ22" s="54">
        <v>717</v>
      </c>
      <c r="FR22" s="54">
        <v>713</v>
      </c>
      <c r="FS22" s="91">
        <f>(FQ22+FR22*2+FT22)/4</f>
        <v>715.5</v>
      </c>
      <c r="FT22" s="54">
        <v>719</v>
      </c>
      <c r="FU22" s="54">
        <v>730</v>
      </c>
      <c r="FV22" s="91">
        <f>(FT22+FU22*2+FW22)/4</f>
        <v>735.25</v>
      </c>
      <c r="FW22" s="54">
        <v>762</v>
      </c>
      <c r="FX22" s="54">
        <v>815</v>
      </c>
      <c r="FY22" s="91">
        <f>(FW22+FX22*2+FZ22)/4</f>
        <v>818.25</v>
      </c>
      <c r="FZ22" s="54">
        <v>881</v>
      </c>
      <c r="GA22" s="54">
        <v>905</v>
      </c>
      <c r="GB22" s="91">
        <f>(FZ22+GA22*2+GC22)/4</f>
        <v>900.75</v>
      </c>
      <c r="GC22" s="54">
        <v>912</v>
      </c>
      <c r="GD22" s="54"/>
      <c r="GE22" s="133">
        <f>GC22</f>
        <v>912</v>
      </c>
      <c r="GF22" s="54"/>
      <c r="GG22" s="104"/>
      <c r="GH22" s="97">
        <f t="shared" si="2"/>
        <v>0</v>
      </c>
      <c r="GI22" s="105"/>
      <c r="GJ22" s="105"/>
      <c r="GK22" s="97"/>
      <c r="GL22" s="105"/>
      <c r="GM22" s="105"/>
      <c r="GN22" s="97"/>
      <c r="GO22" s="105"/>
      <c r="GP22" s="105"/>
      <c r="GQ22" s="97"/>
      <c r="GR22" s="105"/>
      <c r="GS22" s="105"/>
    </row>
    <row r="23" spans="1:201" ht="10.5" customHeight="1" x14ac:dyDescent="0.3">
      <c r="A23" s="99">
        <f t="shared" si="3"/>
        <v>16</v>
      </c>
      <c r="B23" s="56" t="s">
        <v>28</v>
      </c>
      <c r="C23" s="86">
        <v>320</v>
      </c>
      <c r="D23" s="87">
        <v>9</v>
      </c>
      <c r="E23" s="87">
        <v>9</v>
      </c>
      <c r="F23" s="87">
        <v>9</v>
      </c>
      <c r="G23" s="88">
        <v>9</v>
      </c>
      <c r="H23" s="87">
        <v>11</v>
      </c>
      <c r="I23" s="87">
        <v>14</v>
      </c>
      <c r="J23" s="87">
        <v>16</v>
      </c>
      <c r="K23" s="87">
        <v>17</v>
      </c>
      <c r="L23" s="88">
        <v>20</v>
      </c>
      <c r="M23" s="87">
        <v>19</v>
      </c>
      <c r="N23" s="87">
        <v>18</v>
      </c>
      <c r="O23" s="87">
        <v>18</v>
      </c>
      <c r="P23" s="87">
        <v>20</v>
      </c>
      <c r="Q23" s="88">
        <v>20</v>
      </c>
      <c r="R23" s="87">
        <v>20</v>
      </c>
      <c r="S23" s="86">
        <v>20</v>
      </c>
      <c r="T23" s="87">
        <v>20</v>
      </c>
      <c r="U23" s="89">
        <v>20</v>
      </c>
      <c r="V23" s="87">
        <v>20</v>
      </c>
      <c r="W23" s="89">
        <v>19</v>
      </c>
      <c r="X23" s="87">
        <v>17</v>
      </c>
      <c r="Y23" s="89">
        <v>17</v>
      </c>
      <c r="Z23" s="87">
        <v>18</v>
      </c>
      <c r="AA23" s="88">
        <v>18</v>
      </c>
      <c r="AB23" s="87">
        <v>18</v>
      </c>
      <c r="AC23" s="89">
        <v>20</v>
      </c>
      <c r="AD23" s="87">
        <v>20</v>
      </c>
      <c r="AE23" s="88">
        <v>20</v>
      </c>
      <c r="AF23" s="87">
        <v>21</v>
      </c>
      <c r="AG23" s="88">
        <v>22</v>
      </c>
      <c r="AH23" s="87">
        <v>23</v>
      </c>
      <c r="AI23" s="89">
        <v>24</v>
      </c>
      <c r="AJ23" s="87">
        <v>24</v>
      </c>
      <c r="AK23" s="88">
        <v>25</v>
      </c>
      <c r="AL23" s="87">
        <v>28</v>
      </c>
      <c r="AM23" s="87">
        <v>32</v>
      </c>
      <c r="AN23" s="87">
        <v>35</v>
      </c>
      <c r="AO23" s="87">
        <v>36</v>
      </c>
      <c r="AP23" s="87">
        <v>38</v>
      </c>
      <c r="AQ23" s="89">
        <v>40</v>
      </c>
      <c r="AR23" s="87">
        <v>41</v>
      </c>
      <c r="AS23" s="88">
        <v>42</v>
      </c>
      <c r="AT23" s="87">
        <v>44</v>
      </c>
      <c r="AU23" s="88">
        <v>45</v>
      </c>
      <c r="AV23" s="87">
        <v>48</v>
      </c>
      <c r="AW23" s="86">
        <v>50</v>
      </c>
      <c r="AX23" s="87">
        <v>52</v>
      </c>
      <c r="AY23" s="89">
        <v>54</v>
      </c>
      <c r="AZ23" s="87">
        <v>55</v>
      </c>
      <c r="BA23" s="89">
        <v>56</v>
      </c>
      <c r="BB23" s="87">
        <v>58</v>
      </c>
      <c r="BC23" s="89">
        <v>59</v>
      </c>
      <c r="BD23" s="87">
        <v>60</v>
      </c>
      <c r="BE23" s="88">
        <v>62</v>
      </c>
      <c r="BF23" s="87">
        <v>64</v>
      </c>
      <c r="BG23" s="88">
        <v>67</v>
      </c>
      <c r="BH23" s="87">
        <v>69</v>
      </c>
      <c r="BI23" s="89">
        <v>73</v>
      </c>
      <c r="BJ23" s="87">
        <v>79</v>
      </c>
      <c r="BK23" s="87">
        <v>89</v>
      </c>
      <c r="BL23" s="87">
        <v>96</v>
      </c>
      <c r="BM23" s="88">
        <v>100</v>
      </c>
      <c r="BN23" s="100">
        <v>118</v>
      </c>
      <c r="BO23" s="88">
        <v>134</v>
      </c>
      <c r="BP23" s="87">
        <v>144</v>
      </c>
      <c r="BQ23" s="88">
        <v>152</v>
      </c>
      <c r="BR23" s="87">
        <v>162</v>
      </c>
      <c r="BS23" s="88">
        <v>175</v>
      </c>
      <c r="BT23" s="87">
        <v>191</v>
      </c>
      <c r="BU23" s="88">
        <v>208</v>
      </c>
      <c r="BV23" s="87">
        <v>227</v>
      </c>
      <c r="BW23" s="88">
        <v>242</v>
      </c>
      <c r="BX23" s="87">
        <v>251</v>
      </c>
      <c r="BY23" s="88">
        <v>262</v>
      </c>
      <c r="BZ23" s="87">
        <v>269</v>
      </c>
      <c r="CA23" s="88">
        <v>276</v>
      </c>
      <c r="CB23" s="87">
        <v>279</v>
      </c>
      <c r="CC23" s="89">
        <v>287</v>
      </c>
      <c r="CD23" s="91">
        <v>285.75</v>
      </c>
      <c r="CE23" s="88">
        <v>290</v>
      </c>
      <c r="CF23" s="88">
        <v>303</v>
      </c>
      <c r="CG23" s="88">
        <v>300.5</v>
      </c>
      <c r="CH23" s="87">
        <v>306</v>
      </c>
      <c r="CI23" s="89">
        <v>314</v>
      </c>
      <c r="CJ23" s="91">
        <v>312.5</v>
      </c>
      <c r="CK23" s="88">
        <v>316</v>
      </c>
      <c r="CL23" s="89">
        <v>323</v>
      </c>
      <c r="CM23" s="91">
        <v>321.5</v>
      </c>
      <c r="CN23" s="88">
        <v>324</v>
      </c>
      <c r="CO23" s="88">
        <v>333</v>
      </c>
      <c r="CP23" s="88">
        <v>332</v>
      </c>
      <c r="CQ23" s="87">
        <v>338</v>
      </c>
      <c r="CR23" s="89">
        <v>343</v>
      </c>
      <c r="CS23" s="91">
        <v>342.25</v>
      </c>
      <c r="CT23" s="91">
        <v>345</v>
      </c>
      <c r="CU23" s="91">
        <v>347</v>
      </c>
      <c r="CV23" s="91">
        <v>348.25</v>
      </c>
      <c r="CW23" s="91">
        <v>354</v>
      </c>
      <c r="CX23" s="91">
        <v>357</v>
      </c>
      <c r="CY23" s="91">
        <v>357</v>
      </c>
      <c r="CZ23" s="91">
        <v>360</v>
      </c>
      <c r="DA23" s="91">
        <v>366</v>
      </c>
      <c r="DB23" s="91">
        <v>366.5</v>
      </c>
      <c r="DC23" s="91">
        <v>374</v>
      </c>
      <c r="DD23" s="91">
        <v>379</v>
      </c>
      <c r="DE23" s="91">
        <v>379.5</v>
      </c>
      <c r="DF23" s="91">
        <v>386</v>
      </c>
      <c r="DG23" s="91">
        <v>390</v>
      </c>
      <c r="DH23" s="91">
        <f>(DF23+DG23*2+DI23)/4</f>
        <v>390.75</v>
      </c>
      <c r="DI23" s="91">
        <v>397</v>
      </c>
      <c r="DJ23" s="101">
        <v>399</v>
      </c>
      <c r="DK23" s="91">
        <f>(DI23+DJ23*2+DL23)/4</f>
        <v>400.5</v>
      </c>
      <c r="DL23" s="91">
        <v>407</v>
      </c>
      <c r="DM23" s="91">
        <v>413</v>
      </c>
      <c r="DN23" s="91">
        <f>(DL23+DM23*2+DO23)/4</f>
        <v>413</v>
      </c>
      <c r="DO23" s="91">
        <v>419</v>
      </c>
      <c r="DP23" s="91">
        <v>429</v>
      </c>
      <c r="DQ23" s="91">
        <f>(DO23+DP23*2+DR23)/4</f>
        <v>428</v>
      </c>
      <c r="DR23" s="91">
        <v>435</v>
      </c>
      <c r="DS23" s="91">
        <v>445</v>
      </c>
      <c r="DT23" s="91">
        <f>(DR23+DS23*2+DU23)/4</f>
        <v>443.25</v>
      </c>
      <c r="DU23" s="91">
        <v>448</v>
      </c>
      <c r="DV23" s="91">
        <v>449</v>
      </c>
      <c r="DW23" s="91">
        <f>(DU23+DV23*2+DX23)/4</f>
        <v>451.75</v>
      </c>
      <c r="DX23" s="91">
        <v>461</v>
      </c>
      <c r="DY23" s="91">
        <v>462</v>
      </c>
      <c r="DZ23" s="91">
        <f>(DX23+DY23*2+EA23)/4</f>
        <v>466.25</v>
      </c>
      <c r="EA23" s="101">
        <v>480</v>
      </c>
      <c r="EB23" s="91">
        <v>482</v>
      </c>
      <c r="EC23" s="91">
        <f>(EA23+EB23*2+ED23)/4</f>
        <v>485.75</v>
      </c>
      <c r="ED23" s="102">
        <v>499</v>
      </c>
      <c r="EE23" s="102">
        <v>500</v>
      </c>
      <c r="EF23" s="91">
        <f>(ED23+EE23*2+EG23)/4</f>
        <v>503.75</v>
      </c>
      <c r="EG23" s="102">
        <v>516</v>
      </c>
      <c r="EH23" s="102">
        <v>532.65277567117505</v>
      </c>
      <c r="EI23" s="91">
        <f>(EG23+EH23*2+EJ23)/4</f>
        <v>536.82638783558752</v>
      </c>
      <c r="EJ23" s="102">
        <v>566</v>
      </c>
      <c r="EK23" s="102">
        <v>582</v>
      </c>
      <c r="EL23" s="91">
        <f>(EJ23+EK23*2+EM23)/4</f>
        <v>586</v>
      </c>
      <c r="EM23" s="102">
        <v>614</v>
      </c>
      <c r="EN23" s="102">
        <v>616</v>
      </c>
      <c r="EO23" s="91">
        <f>(EM23+EN23*2+EP23)/4</f>
        <v>619.25</v>
      </c>
      <c r="EP23" s="102">
        <v>631</v>
      </c>
      <c r="EQ23" s="103">
        <v>638</v>
      </c>
      <c r="ER23" s="91">
        <f>(EP23+EQ23*2+ES23)/4</f>
        <v>637.25</v>
      </c>
      <c r="ES23" s="54">
        <v>642</v>
      </c>
      <c r="ET23" s="54">
        <v>653</v>
      </c>
      <c r="EU23" s="91">
        <f>(ES23+ET23*2+EV23)/4</f>
        <v>654.25</v>
      </c>
      <c r="EV23" s="54">
        <v>669</v>
      </c>
      <c r="EW23" s="54">
        <v>680</v>
      </c>
      <c r="EX23" s="91">
        <f>(EV23+EW23*2+EY23)/4</f>
        <v>679.5</v>
      </c>
      <c r="EY23" s="54">
        <v>689</v>
      </c>
      <c r="EZ23" s="54">
        <v>697</v>
      </c>
      <c r="FA23" s="91">
        <f>(EY23+EZ23*2+FB23)/4</f>
        <v>699</v>
      </c>
      <c r="FB23" s="54">
        <v>713</v>
      </c>
      <c r="FC23" s="54">
        <v>725</v>
      </c>
      <c r="FD23" s="91">
        <f>(FB23+FC23*2+FE23)/4</f>
        <v>724.75</v>
      </c>
      <c r="FE23" s="54">
        <v>736</v>
      </c>
      <c r="FF23" s="54">
        <v>737</v>
      </c>
      <c r="FG23" s="91">
        <f>(FE23+FF23*2+FH23)/4</f>
        <v>741.25</v>
      </c>
      <c r="FH23" s="54">
        <v>755</v>
      </c>
      <c r="FI23" s="54">
        <v>758</v>
      </c>
      <c r="FJ23" s="91">
        <f>(FH23+FI23*2+FK23)/4</f>
        <v>761.25</v>
      </c>
      <c r="FK23" s="54">
        <v>774</v>
      </c>
      <c r="FL23" s="54">
        <v>785</v>
      </c>
      <c r="FM23" s="91">
        <f>(FK23+FL23*2+FN23)/4</f>
        <v>785.25</v>
      </c>
      <c r="FN23" s="54">
        <v>797</v>
      </c>
      <c r="FO23" s="54">
        <v>812</v>
      </c>
      <c r="FP23" s="87">
        <f>(FN23+FO23*2+FQ23)/4</f>
        <v>813.25</v>
      </c>
      <c r="FQ23" s="54">
        <v>832</v>
      </c>
      <c r="FR23" s="54">
        <v>842</v>
      </c>
      <c r="FS23" s="91">
        <f>(FQ23+FR23*2+FT23)/4</f>
        <v>846.75</v>
      </c>
      <c r="FT23" s="54">
        <v>871</v>
      </c>
      <c r="FU23" s="54">
        <v>890</v>
      </c>
      <c r="FV23" s="91">
        <f>(FT23+FU23*2+FW23)/4</f>
        <v>893.25</v>
      </c>
      <c r="FW23" s="54">
        <v>922</v>
      </c>
      <c r="FX23" s="54">
        <v>946</v>
      </c>
      <c r="FY23" s="91">
        <f>(FW23+FX23*2+FZ23)/4</f>
        <v>956.5</v>
      </c>
      <c r="FZ23" s="54">
        <v>1012</v>
      </c>
      <c r="GA23" s="54">
        <v>1065</v>
      </c>
      <c r="GB23" s="91">
        <f>(FZ23+GA23*2+GC23)/4</f>
        <v>1066</v>
      </c>
      <c r="GC23" s="54">
        <v>1122</v>
      </c>
      <c r="GD23" s="54"/>
      <c r="GE23" s="133">
        <f>GC23</f>
        <v>1122</v>
      </c>
      <c r="GF23" s="54"/>
      <c r="GG23" s="104"/>
      <c r="GH23" s="97">
        <f t="shared" si="2"/>
        <v>0</v>
      </c>
      <c r="GI23" s="105"/>
      <c r="GJ23" s="105"/>
      <c r="GK23" s="97"/>
      <c r="GL23" s="105"/>
      <c r="GM23" s="105"/>
      <c r="GN23" s="97"/>
      <c r="GO23" s="105"/>
      <c r="GP23" s="105"/>
      <c r="GQ23" s="97"/>
      <c r="GR23" s="105"/>
      <c r="GS23" s="105"/>
    </row>
    <row r="24" spans="1:201" ht="10.5" customHeight="1" x14ac:dyDescent="0.3">
      <c r="A24" s="99">
        <f t="shared" si="3"/>
        <v>17</v>
      </c>
      <c r="B24" s="56" t="s">
        <v>48</v>
      </c>
      <c r="C24" s="86">
        <v>320</v>
      </c>
      <c r="D24" s="87">
        <v>10</v>
      </c>
      <c r="E24" s="87">
        <v>10</v>
      </c>
      <c r="F24" s="87">
        <v>10</v>
      </c>
      <c r="G24" s="88">
        <v>10</v>
      </c>
      <c r="H24" s="87">
        <v>13</v>
      </c>
      <c r="I24" s="87">
        <v>17</v>
      </c>
      <c r="J24" s="87">
        <v>19</v>
      </c>
      <c r="K24" s="87">
        <v>19</v>
      </c>
      <c r="L24" s="88">
        <v>22</v>
      </c>
      <c r="M24" s="87">
        <v>20</v>
      </c>
      <c r="N24" s="87">
        <v>20</v>
      </c>
      <c r="O24" s="87">
        <v>20</v>
      </c>
      <c r="P24" s="87">
        <v>21</v>
      </c>
      <c r="Q24" s="88">
        <v>20</v>
      </c>
      <c r="R24" s="87">
        <v>20</v>
      </c>
      <c r="S24" s="86">
        <v>20</v>
      </c>
      <c r="T24" s="87">
        <v>20</v>
      </c>
      <c r="U24" s="89">
        <v>20</v>
      </c>
      <c r="V24" s="87">
        <v>20</v>
      </c>
      <c r="W24" s="89">
        <v>19</v>
      </c>
      <c r="X24" s="87">
        <v>17</v>
      </c>
      <c r="Y24" s="89">
        <v>17</v>
      </c>
      <c r="Z24" s="87">
        <v>19</v>
      </c>
      <c r="AA24" s="88">
        <v>19</v>
      </c>
      <c r="AB24" s="87">
        <v>19</v>
      </c>
      <c r="AC24" s="89">
        <v>21</v>
      </c>
      <c r="AD24" s="87">
        <v>21</v>
      </c>
      <c r="AE24" s="88">
        <v>21</v>
      </c>
      <c r="AF24" s="87">
        <v>21</v>
      </c>
      <c r="AG24" s="88">
        <v>22</v>
      </c>
      <c r="AH24" s="87">
        <v>24</v>
      </c>
      <c r="AI24" s="89">
        <v>24</v>
      </c>
      <c r="AJ24" s="87">
        <v>24</v>
      </c>
      <c r="AK24" s="88">
        <v>25</v>
      </c>
      <c r="AL24" s="87">
        <v>28</v>
      </c>
      <c r="AM24" s="87">
        <v>33</v>
      </c>
      <c r="AN24" s="87">
        <v>37</v>
      </c>
      <c r="AO24" s="87">
        <v>39</v>
      </c>
      <c r="AP24" s="87">
        <v>41</v>
      </c>
      <c r="AQ24" s="89">
        <v>43</v>
      </c>
      <c r="AR24" s="87">
        <v>43</v>
      </c>
      <c r="AS24" s="88">
        <v>44</v>
      </c>
      <c r="AT24" s="87">
        <v>46</v>
      </c>
      <c r="AU24" s="88">
        <v>47</v>
      </c>
      <c r="AV24" s="87">
        <v>50</v>
      </c>
      <c r="AW24" s="86">
        <v>53</v>
      </c>
      <c r="AX24" s="87">
        <v>54</v>
      </c>
      <c r="AY24" s="89">
        <v>56</v>
      </c>
      <c r="AZ24" s="87">
        <v>58</v>
      </c>
      <c r="BA24" s="89">
        <v>58</v>
      </c>
      <c r="BB24" s="87">
        <v>60</v>
      </c>
      <c r="BC24" s="89">
        <v>60</v>
      </c>
      <c r="BD24" s="87">
        <v>62</v>
      </c>
      <c r="BE24" s="88">
        <v>63</v>
      </c>
      <c r="BF24" s="87">
        <v>66</v>
      </c>
      <c r="BG24" s="88">
        <v>68</v>
      </c>
      <c r="BH24" s="87">
        <v>70</v>
      </c>
      <c r="BI24" s="89">
        <v>74</v>
      </c>
      <c r="BJ24" s="87">
        <v>80</v>
      </c>
      <c r="BK24" s="87">
        <v>90</v>
      </c>
      <c r="BL24" s="87">
        <v>96</v>
      </c>
      <c r="BM24" s="88">
        <v>100</v>
      </c>
      <c r="BN24" s="100">
        <v>120</v>
      </c>
      <c r="BO24" s="88">
        <v>139</v>
      </c>
      <c r="BP24" s="87">
        <v>150</v>
      </c>
      <c r="BQ24" s="88">
        <v>160</v>
      </c>
      <c r="BR24" s="87">
        <v>172</v>
      </c>
      <c r="BS24" s="88">
        <v>186</v>
      </c>
      <c r="BT24" s="87">
        <v>204</v>
      </c>
      <c r="BU24" s="88">
        <v>223</v>
      </c>
      <c r="BV24" s="87">
        <v>243</v>
      </c>
      <c r="BW24" s="88">
        <v>259</v>
      </c>
      <c r="BX24" s="87">
        <v>268</v>
      </c>
      <c r="BY24" s="88">
        <v>279</v>
      </c>
      <c r="BZ24" s="87">
        <v>286</v>
      </c>
      <c r="CA24" s="88">
        <v>293</v>
      </c>
      <c r="CB24" s="87">
        <v>296</v>
      </c>
      <c r="CC24" s="89">
        <v>304</v>
      </c>
      <c r="CD24" s="91">
        <v>302.75</v>
      </c>
      <c r="CE24" s="88">
        <v>307</v>
      </c>
      <c r="CF24" s="88">
        <v>319</v>
      </c>
      <c r="CG24" s="88">
        <v>316.5</v>
      </c>
      <c r="CH24" s="87">
        <v>321</v>
      </c>
      <c r="CI24" s="89">
        <v>330</v>
      </c>
      <c r="CJ24" s="91">
        <v>327.5</v>
      </c>
      <c r="CK24" s="88">
        <v>329</v>
      </c>
      <c r="CL24" s="89">
        <v>335</v>
      </c>
      <c r="CM24" s="91">
        <v>333.75</v>
      </c>
      <c r="CN24" s="88">
        <v>336</v>
      </c>
      <c r="CO24" s="88">
        <v>344</v>
      </c>
      <c r="CP24" s="88">
        <v>343.25</v>
      </c>
      <c r="CQ24" s="87">
        <v>349</v>
      </c>
      <c r="CR24" s="89">
        <v>355</v>
      </c>
      <c r="CS24" s="91">
        <v>353.75</v>
      </c>
      <c r="CT24" s="91">
        <v>356</v>
      </c>
      <c r="CU24" s="91">
        <v>360</v>
      </c>
      <c r="CV24" s="91">
        <v>360</v>
      </c>
      <c r="CW24" s="91">
        <v>364</v>
      </c>
      <c r="CX24" s="91">
        <v>365</v>
      </c>
      <c r="CY24" s="91">
        <v>365.75</v>
      </c>
      <c r="CZ24" s="91">
        <v>369</v>
      </c>
      <c r="DA24" s="91">
        <v>375</v>
      </c>
      <c r="DB24" s="91">
        <v>375.25</v>
      </c>
      <c r="DC24" s="91">
        <v>382</v>
      </c>
      <c r="DD24" s="91">
        <v>388</v>
      </c>
      <c r="DE24" s="91">
        <v>388.75</v>
      </c>
      <c r="DF24" s="91">
        <v>397</v>
      </c>
      <c r="DG24" s="91">
        <v>400</v>
      </c>
      <c r="DH24" s="91">
        <f>(DF24+DG24*2+DI24)/4</f>
        <v>400.75</v>
      </c>
      <c r="DI24" s="91">
        <v>406</v>
      </c>
      <c r="DJ24" s="101">
        <v>408</v>
      </c>
      <c r="DK24" s="91">
        <f>(DI24+DJ24*2+DL24)/4</f>
        <v>409.5</v>
      </c>
      <c r="DL24" s="91">
        <v>416</v>
      </c>
      <c r="DM24" s="91">
        <v>425</v>
      </c>
      <c r="DN24" s="91">
        <f>(DL24+DM24*2+DO24)/4</f>
        <v>424.25</v>
      </c>
      <c r="DO24" s="91">
        <v>431</v>
      </c>
      <c r="DP24" s="91">
        <v>440</v>
      </c>
      <c r="DQ24" s="91">
        <f>(DO24+DP24*2+DR24)/4</f>
        <v>438.75</v>
      </c>
      <c r="DR24" s="91">
        <v>444</v>
      </c>
      <c r="DS24" s="91">
        <v>454</v>
      </c>
      <c r="DT24" s="91">
        <f>(DR24+DS24*2+DU24)/4</f>
        <v>452</v>
      </c>
      <c r="DU24" s="91">
        <v>456</v>
      </c>
      <c r="DV24" s="91">
        <v>457</v>
      </c>
      <c r="DW24" s="91">
        <f>(DU24+DV24*2+DX24)/4</f>
        <v>460</v>
      </c>
      <c r="DX24" s="91">
        <v>470</v>
      </c>
      <c r="DY24" s="91">
        <v>476</v>
      </c>
      <c r="DZ24" s="91">
        <f>(DX24+DY24*2+EA24)/4</f>
        <v>480</v>
      </c>
      <c r="EA24" s="101">
        <v>498</v>
      </c>
      <c r="EB24" s="91">
        <v>502</v>
      </c>
      <c r="EC24" s="91">
        <f>(EA24+EB24*2+ED24)/4</f>
        <v>505.5</v>
      </c>
      <c r="ED24" s="102">
        <v>520</v>
      </c>
      <c r="EE24" s="102">
        <v>518</v>
      </c>
      <c r="EF24" s="91">
        <f>(ED24+EE24*2+EG24)/4</f>
        <v>523.75</v>
      </c>
      <c r="EG24" s="102">
        <v>539</v>
      </c>
      <c r="EH24" s="102">
        <v>558.95000980657051</v>
      </c>
      <c r="EI24" s="91">
        <f>(EG24+EH24*2+EJ24)/4</f>
        <v>564.72500490328525</v>
      </c>
      <c r="EJ24" s="102">
        <v>602</v>
      </c>
      <c r="EK24" s="102">
        <v>624</v>
      </c>
      <c r="EL24" s="91">
        <f>(EJ24+EK24*2+EM24)/4</f>
        <v>629</v>
      </c>
      <c r="EM24" s="102">
        <v>666</v>
      </c>
      <c r="EN24" s="102">
        <v>669</v>
      </c>
      <c r="EO24" s="91">
        <f>(EM24+EN24*2+EP24)/4</f>
        <v>672.5</v>
      </c>
      <c r="EP24" s="102">
        <v>686</v>
      </c>
      <c r="EQ24" s="103">
        <v>693</v>
      </c>
      <c r="ER24" s="91">
        <f>(EP24+EQ24*2+ES24)/4</f>
        <v>694.5</v>
      </c>
      <c r="ES24" s="54">
        <v>706</v>
      </c>
      <c r="ET24" s="54">
        <v>712</v>
      </c>
      <c r="EU24" s="91">
        <f>(ES24+ET24*2+EV24)/4</f>
        <v>717.5</v>
      </c>
      <c r="EV24" s="54">
        <v>740</v>
      </c>
      <c r="EW24" s="54">
        <v>754</v>
      </c>
      <c r="EX24" s="91">
        <f>(EV24+EW24*2+EY24)/4</f>
        <v>753</v>
      </c>
      <c r="EY24" s="54">
        <v>764</v>
      </c>
      <c r="EZ24" s="54">
        <v>779</v>
      </c>
      <c r="FA24" s="91">
        <f>(EY24+EZ24*2+FB24)/4</f>
        <v>780.5</v>
      </c>
      <c r="FB24" s="54">
        <v>800</v>
      </c>
      <c r="FC24" s="54">
        <v>813</v>
      </c>
      <c r="FD24" s="91">
        <f>(FB24+FC24*2+FE24)/4</f>
        <v>814.5</v>
      </c>
      <c r="FE24" s="54">
        <v>832</v>
      </c>
      <c r="FF24" s="54">
        <v>840</v>
      </c>
      <c r="FG24" s="91">
        <f>(FE24+FF24*2+FH24)/4</f>
        <v>843.25</v>
      </c>
      <c r="FH24" s="54">
        <v>861</v>
      </c>
      <c r="FI24" s="54">
        <v>864</v>
      </c>
      <c r="FJ24" s="91">
        <f>(FH24+FI24*2+FK24)/4</f>
        <v>867.5</v>
      </c>
      <c r="FK24" s="54">
        <v>881</v>
      </c>
      <c r="FL24" s="54">
        <v>897</v>
      </c>
      <c r="FM24" s="91">
        <f>(FK24+FL24*2+FN24)/4</f>
        <v>896.5</v>
      </c>
      <c r="FN24" s="54">
        <v>911</v>
      </c>
      <c r="FO24" s="54">
        <v>934</v>
      </c>
      <c r="FP24" s="87">
        <f>(FN24+FO24*2+FQ24)/4</f>
        <v>934.75</v>
      </c>
      <c r="FQ24" s="54">
        <v>960</v>
      </c>
      <c r="FR24" s="54">
        <v>975</v>
      </c>
      <c r="FS24" s="91">
        <f>(FQ24+FR24*2+FT24)/4</f>
        <v>980.5</v>
      </c>
      <c r="FT24" s="54">
        <v>1012</v>
      </c>
      <c r="FU24" s="54">
        <v>1035</v>
      </c>
      <c r="FV24" s="91">
        <f>(FT24+FU24*2+FW24)/4</f>
        <v>1039.25</v>
      </c>
      <c r="FW24" s="54">
        <v>1075</v>
      </c>
      <c r="FX24" s="54">
        <v>1107</v>
      </c>
      <c r="FY24" s="91">
        <f>(FW24+FX24*2+FZ24)/4</f>
        <v>1119.25</v>
      </c>
      <c r="FZ24" s="54">
        <v>1188</v>
      </c>
      <c r="GA24" s="54">
        <v>1259</v>
      </c>
      <c r="GB24" s="91">
        <f>(FZ24+GA24*2+GC24)/4</f>
        <v>1258.75</v>
      </c>
      <c r="GC24" s="54">
        <v>1329</v>
      </c>
      <c r="GD24" s="54"/>
      <c r="GE24" s="133">
        <f>GC24</f>
        <v>1329</v>
      </c>
      <c r="GF24" s="54"/>
      <c r="GG24" s="104"/>
      <c r="GH24" s="97">
        <f t="shared" si="2"/>
        <v>0</v>
      </c>
      <c r="GI24" s="105"/>
      <c r="GJ24" s="105"/>
      <c r="GK24" s="97">
        <f t="shared" si="4"/>
        <v>0</v>
      </c>
      <c r="GL24" s="105"/>
      <c r="GM24" s="105"/>
      <c r="GN24" s="97">
        <f t="shared" si="5"/>
        <v>0</v>
      </c>
      <c r="GO24" s="105"/>
      <c r="GP24" s="105"/>
      <c r="GQ24" s="97">
        <f t="shared" si="6"/>
        <v>0</v>
      </c>
      <c r="GR24" s="105"/>
      <c r="GS24" s="105"/>
    </row>
    <row r="25" spans="1:201" ht="10.5" customHeight="1" x14ac:dyDescent="0.3">
      <c r="A25" s="99">
        <f t="shared" si="3"/>
        <v>18</v>
      </c>
      <c r="B25" s="56"/>
      <c r="C25" s="86"/>
      <c r="D25" s="87"/>
      <c r="E25" s="87"/>
      <c r="F25" s="87"/>
      <c r="G25" s="88"/>
      <c r="H25" s="87"/>
      <c r="I25" s="87"/>
      <c r="J25" s="87"/>
      <c r="K25" s="87"/>
      <c r="L25" s="88"/>
      <c r="M25" s="87"/>
      <c r="N25" s="87"/>
      <c r="O25" s="87"/>
      <c r="P25" s="87"/>
      <c r="Q25" s="88"/>
      <c r="R25" s="87"/>
      <c r="S25" s="86"/>
      <c r="T25" s="87"/>
      <c r="U25" s="89"/>
      <c r="V25" s="87"/>
      <c r="W25" s="89"/>
      <c r="X25" s="87"/>
      <c r="Y25" s="89"/>
      <c r="Z25" s="87"/>
      <c r="AA25" s="88"/>
      <c r="AB25" s="87"/>
      <c r="AC25" s="89"/>
      <c r="AD25" s="87"/>
      <c r="AE25" s="88"/>
      <c r="AF25" s="87"/>
      <c r="AG25" s="88"/>
      <c r="AH25" s="87"/>
      <c r="AI25" s="89"/>
      <c r="AJ25" s="87"/>
      <c r="AK25" s="88"/>
      <c r="AL25" s="87"/>
      <c r="AM25" s="87"/>
      <c r="AN25" s="87"/>
      <c r="AO25" s="87"/>
      <c r="AP25" s="87"/>
      <c r="AQ25" s="89"/>
      <c r="AR25" s="87"/>
      <c r="AS25" s="88"/>
      <c r="AT25" s="87"/>
      <c r="AU25" s="88"/>
      <c r="AV25" s="87"/>
      <c r="AW25" s="86"/>
      <c r="AX25" s="87"/>
      <c r="AY25" s="89"/>
      <c r="AZ25" s="87"/>
      <c r="BA25" s="89"/>
      <c r="BB25" s="87"/>
      <c r="BC25" s="89"/>
      <c r="BD25" s="87"/>
      <c r="BE25" s="88"/>
      <c r="BF25" s="87"/>
      <c r="BG25" s="88"/>
      <c r="BH25" s="87"/>
      <c r="BI25" s="89"/>
      <c r="BJ25" s="87"/>
      <c r="BK25" s="87"/>
      <c r="BL25" s="87"/>
      <c r="BM25" s="88"/>
      <c r="BN25" s="100"/>
      <c r="BO25" s="88"/>
      <c r="BP25" s="87"/>
      <c r="BQ25" s="88"/>
      <c r="BR25" s="87"/>
      <c r="BS25" s="88"/>
      <c r="BT25" s="87"/>
      <c r="BU25" s="88"/>
      <c r="BV25" s="87"/>
      <c r="BW25" s="88"/>
      <c r="BX25" s="87"/>
      <c r="BY25" s="88"/>
      <c r="BZ25" s="87"/>
      <c r="CA25" s="88"/>
      <c r="CB25" s="87"/>
      <c r="CC25" s="89"/>
      <c r="CD25" s="91"/>
      <c r="CE25" s="88"/>
      <c r="CF25" s="88"/>
      <c r="CG25" s="88"/>
      <c r="CH25" s="87"/>
      <c r="CI25" s="89"/>
      <c r="CJ25" s="91"/>
      <c r="CK25" s="88"/>
      <c r="CL25" s="89"/>
      <c r="CM25" s="91"/>
      <c r="CN25" s="88"/>
      <c r="CO25" s="88"/>
      <c r="CP25" s="88"/>
      <c r="CQ25" s="87"/>
      <c r="CR25" s="89"/>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102"/>
      <c r="EE25" s="102"/>
      <c r="EF25" s="91"/>
      <c r="EG25" s="102"/>
      <c r="EH25" s="102"/>
      <c r="EI25" s="91"/>
      <c r="EJ25" s="102"/>
      <c r="EK25" s="102"/>
      <c r="EL25" s="91"/>
      <c r="EM25" s="102"/>
      <c r="EN25" s="102"/>
      <c r="EO25" s="91"/>
      <c r="EP25" s="102"/>
      <c r="EQ25" s="103"/>
      <c r="ER25" s="91"/>
      <c r="ES25" s="54"/>
      <c r="ET25" s="54"/>
      <c r="EU25" s="91"/>
      <c r="EV25" s="54"/>
      <c r="EW25" s="54"/>
      <c r="EX25" s="91"/>
      <c r="EY25" s="54"/>
      <c r="EZ25" s="54"/>
      <c r="FA25" s="91"/>
      <c r="FB25" s="54"/>
      <c r="FC25" s="54"/>
      <c r="FD25" s="91"/>
      <c r="FE25" s="54"/>
      <c r="FF25" s="54"/>
      <c r="FG25" s="91"/>
      <c r="FH25" s="54"/>
      <c r="FI25" s="54"/>
      <c r="FJ25" s="91"/>
      <c r="FK25" s="54"/>
      <c r="FL25" s="54"/>
      <c r="FM25" s="91"/>
      <c r="FN25" s="54"/>
      <c r="FO25" s="54"/>
      <c r="FP25" s="87"/>
      <c r="FQ25" s="54"/>
      <c r="FR25" s="54"/>
      <c r="FS25" s="91"/>
      <c r="FT25" s="54"/>
      <c r="FU25" s="54"/>
      <c r="FV25" s="91"/>
      <c r="FW25" s="54"/>
      <c r="FX25" s="54"/>
      <c r="FY25" s="91"/>
      <c r="FZ25" s="54"/>
      <c r="GA25" s="54"/>
      <c r="GB25" s="91"/>
      <c r="GC25" s="54"/>
      <c r="GD25" s="54"/>
      <c r="GE25" s="133"/>
      <c r="GF25" s="54"/>
      <c r="GG25" s="104"/>
      <c r="GH25" s="97">
        <f t="shared" si="2"/>
        <v>0</v>
      </c>
      <c r="GI25" s="105"/>
      <c r="GJ25" s="105"/>
      <c r="GK25" s="97">
        <f t="shared" si="4"/>
        <v>0</v>
      </c>
      <c r="GL25" s="105"/>
      <c r="GM25" s="105"/>
      <c r="GN25" s="97">
        <f t="shared" si="5"/>
        <v>0</v>
      </c>
      <c r="GO25" s="105"/>
      <c r="GP25" s="105"/>
      <c r="GQ25" s="97">
        <f t="shared" si="6"/>
        <v>0</v>
      </c>
      <c r="GR25" s="105"/>
      <c r="GS25" s="105"/>
    </row>
    <row r="26" spans="1:201" ht="10.5" customHeight="1" x14ac:dyDescent="0.3">
      <c r="A26" s="99">
        <f t="shared" si="3"/>
        <v>19</v>
      </c>
      <c r="B26" s="56"/>
      <c r="C26" s="86"/>
      <c r="D26" s="87"/>
      <c r="E26" s="87"/>
      <c r="F26" s="87"/>
      <c r="G26" s="88"/>
      <c r="H26" s="87"/>
      <c r="I26" s="87"/>
      <c r="J26" s="87"/>
      <c r="K26" s="87"/>
      <c r="L26" s="88"/>
      <c r="M26" s="87"/>
      <c r="N26" s="87"/>
      <c r="O26" s="87"/>
      <c r="P26" s="87"/>
      <c r="Q26" s="88"/>
      <c r="R26" s="87"/>
      <c r="S26" s="86"/>
      <c r="T26" s="87"/>
      <c r="U26" s="89"/>
      <c r="V26" s="87"/>
      <c r="W26" s="89"/>
      <c r="X26" s="87"/>
      <c r="Y26" s="89"/>
      <c r="Z26" s="87"/>
      <c r="AA26" s="88"/>
      <c r="AB26" s="87"/>
      <c r="AC26" s="89"/>
      <c r="AD26" s="87"/>
      <c r="AE26" s="88"/>
      <c r="AF26" s="87"/>
      <c r="AG26" s="88"/>
      <c r="AH26" s="87"/>
      <c r="AI26" s="89"/>
      <c r="AJ26" s="87"/>
      <c r="AK26" s="88"/>
      <c r="AL26" s="87"/>
      <c r="AM26" s="87"/>
      <c r="AN26" s="87"/>
      <c r="AO26" s="87"/>
      <c r="AP26" s="87"/>
      <c r="AQ26" s="89"/>
      <c r="AR26" s="87"/>
      <c r="AS26" s="88"/>
      <c r="AT26" s="87"/>
      <c r="AU26" s="88"/>
      <c r="AV26" s="87"/>
      <c r="AW26" s="86"/>
      <c r="AX26" s="87"/>
      <c r="AY26" s="89"/>
      <c r="AZ26" s="87"/>
      <c r="BA26" s="89"/>
      <c r="BB26" s="87"/>
      <c r="BC26" s="89"/>
      <c r="BD26" s="87"/>
      <c r="BE26" s="88"/>
      <c r="BF26" s="87"/>
      <c r="BG26" s="88"/>
      <c r="BH26" s="87"/>
      <c r="BI26" s="89"/>
      <c r="BJ26" s="87"/>
      <c r="BK26" s="87"/>
      <c r="BL26" s="87"/>
      <c r="BM26" s="88"/>
      <c r="BN26" s="100"/>
      <c r="BO26" s="88"/>
      <c r="BP26" s="87"/>
      <c r="BQ26" s="88"/>
      <c r="BR26" s="87"/>
      <c r="BS26" s="88"/>
      <c r="BT26" s="87"/>
      <c r="BU26" s="88"/>
      <c r="BV26" s="87"/>
      <c r="BW26" s="88"/>
      <c r="BX26" s="87"/>
      <c r="BY26" s="88"/>
      <c r="BZ26" s="87"/>
      <c r="CA26" s="88"/>
      <c r="CB26" s="87"/>
      <c r="CC26" s="89"/>
      <c r="CD26" s="91"/>
      <c r="CE26" s="88"/>
      <c r="CF26" s="88"/>
      <c r="CG26" s="88"/>
      <c r="CH26" s="87"/>
      <c r="CI26" s="89"/>
      <c r="CJ26" s="91"/>
      <c r="CK26" s="88"/>
      <c r="CL26" s="89"/>
      <c r="CM26" s="91"/>
      <c r="CN26" s="88"/>
      <c r="CO26" s="88"/>
      <c r="CP26" s="88"/>
      <c r="CQ26" s="87"/>
      <c r="CR26" s="89"/>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102"/>
      <c r="EE26" s="102"/>
      <c r="EF26" s="91"/>
      <c r="EG26" s="102"/>
      <c r="EH26" s="102"/>
      <c r="EI26" s="91"/>
      <c r="EJ26" s="102"/>
      <c r="EK26" s="102"/>
      <c r="EL26" s="91"/>
      <c r="EM26" s="102"/>
      <c r="EN26" s="102"/>
      <c r="EO26" s="91"/>
      <c r="EP26" s="102"/>
      <c r="EQ26" s="103"/>
      <c r="ER26" s="91"/>
      <c r="ES26" s="54"/>
      <c r="ET26" s="54"/>
      <c r="EU26" s="91"/>
      <c r="EV26" s="54"/>
      <c r="EW26" s="54"/>
      <c r="EX26" s="91"/>
      <c r="EY26" s="54"/>
      <c r="EZ26" s="54"/>
      <c r="FA26" s="91"/>
      <c r="FB26" s="54"/>
      <c r="FC26" s="54"/>
      <c r="FD26" s="91"/>
      <c r="FE26" s="54"/>
      <c r="FF26" s="54"/>
      <c r="FG26" s="91"/>
      <c r="FH26" s="54"/>
      <c r="FI26" s="54"/>
      <c r="FJ26" s="91"/>
      <c r="FK26" s="54"/>
      <c r="FL26" s="54"/>
      <c r="FM26" s="91"/>
      <c r="FN26" s="54"/>
      <c r="FO26" s="54"/>
      <c r="FP26" s="87"/>
      <c r="FQ26" s="54"/>
      <c r="FR26" s="54"/>
      <c r="FS26" s="91"/>
      <c r="FT26" s="54"/>
      <c r="FU26" s="54"/>
      <c r="FV26" s="91"/>
      <c r="FW26" s="54"/>
      <c r="FX26" s="54"/>
      <c r="FY26" s="91"/>
      <c r="FZ26" s="54"/>
      <c r="GA26" s="54"/>
      <c r="GB26" s="91"/>
      <c r="GC26" s="54"/>
      <c r="GD26" s="54"/>
      <c r="GE26" s="133"/>
      <c r="GF26" s="54"/>
      <c r="GG26" s="104"/>
      <c r="GH26" s="97">
        <f t="shared" si="2"/>
        <v>0</v>
      </c>
      <c r="GI26" s="105"/>
      <c r="GJ26" s="105"/>
      <c r="GK26" s="97">
        <f t="shared" si="4"/>
        <v>0</v>
      </c>
      <c r="GL26" s="105"/>
      <c r="GM26" s="105"/>
      <c r="GN26" s="97">
        <f t="shared" si="5"/>
        <v>0</v>
      </c>
      <c r="GO26" s="105"/>
      <c r="GP26" s="105"/>
      <c r="GQ26" s="97">
        <f t="shared" si="6"/>
        <v>0</v>
      </c>
      <c r="GR26" s="105"/>
      <c r="GS26" s="105"/>
    </row>
    <row r="27" spans="1:201" ht="10.5" customHeight="1" x14ac:dyDescent="0.3">
      <c r="A27" s="99">
        <f t="shared" si="3"/>
        <v>20</v>
      </c>
      <c r="B27" s="56"/>
      <c r="C27" s="86"/>
      <c r="D27" s="87"/>
      <c r="E27" s="87"/>
      <c r="F27" s="87"/>
      <c r="G27" s="88"/>
      <c r="H27" s="87"/>
      <c r="I27" s="87"/>
      <c r="J27" s="87"/>
      <c r="K27" s="87"/>
      <c r="L27" s="88"/>
      <c r="M27" s="87"/>
      <c r="N27" s="87"/>
      <c r="O27" s="87"/>
      <c r="P27" s="87"/>
      <c r="Q27" s="88"/>
      <c r="R27" s="87"/>
      <c r="S27" s="86"/>
      <c r="T27" s="87"/>
      <c r="U27" s="89"/>
      <c r="V27" s="87"/>
      <c r="W27" s="89"/>
      <c r="X27" s="87"/>
      <c r="Y27" s="89"/>
      <c r="Z27" s="87"/>
      <c r="AA27" s="88"/>
      <c r="AB27" s="87"/>
      <c r="AC27" s="89"/>
      <c r="AD27" s="87"/>
      <c r="AE27" s="88"/>
      <c r="AF27" s="87"/>
      <c r="AG27" s="88"/>
      <c r="AH27" s="87"/>
      <c r="AI27" s="89"/>
      <c r="AJ27" s="87"/>
      <c r="AK27" s="88"/>
      <c r="AL27" s="87"/>
      <c r="AM27" s="87"/>
      <c r="AN27" s="87"/>
      <c r="AO27" s="87"/>
      <c r="AP27" s="87"/>
      <c r="AQ27" s="89"/>
      <c r="AR27" s="87"/>
      <c r="AS27" s="88"/>
      <c r="AT27" s="87"/>
      <c r="AU27" s="88"/>
      <c r="AV27" s="87"/>
      <c r="AW27" s="86"/>
      <c r="AX27" s="87"/>
      <c r="AY27" s="89"/>
      <c r="AZ27" s="87"/>
      <c r="BA27" s="89"/>
      <c r="BB27" s="87"/>
      <c r="BC27" s="89"/>
      <c r="BD27" s="87"/>
      <c r="BE27" s="88"/>
      <c r="BF27" s="87"/>
      <c r="BG27" s="88"/>
      <c r="BH27" s="87"/>
      <c r="BI27" s="89"/>
      <c r="BJ27" s="87"/>
      <c r="BK27" s="87"/>
      <c r="BL27" s="87"/>
      <c r="BM27" s="88"/>
      <c r="BN27" s="100"/>
      <c r="BO27" s="88"/>
      <c r="BP27" s="87"/>
      <c r="BQ27" s="88"/>
      <c r="BR27" s="87"/>
      <c r="BS27" s="88"/>
      <c r="BT27" s="87"/>
      <c r="BU27" s="88"/>
      <c r="BV27" s="87"/>
      <c r="BW27" s="88"/>
      <c r="BX27" s="87"/>
      <c r="BY27" s="88"/>
      <c r="BZ27" s="87"/>
      <c r="CA27" s="88"/>
      <c r="CB27" s="87"/>
      <c r="CC27" s="89"/>
      <c r="CD27" s="91"/>
      <c r="CE27" s="88"/>
      <c r="CF27" s="88"/>
      <c r="CG27" s="88"/>
      <c r="CH27" s="87"/>
      <c r="CI27" s="89"/>
      <c r="CJ27" s="91"/>
      <c r="CK27" s="88"/>
      <c r="CL27" s="89"/>
      <c r="CM27" s="91"/>
      <c r="CN27" s="88"/>
      <c r="CO27" s="88"/>
      <c r="CP27" s="88"/>
      <c r="CQ27" s="87"/>
      <c r="CR27" s="89"/>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102"/>
      <c r="EE27" s="102"/>
      <c r="EF27" s="91"/>
      <c r="EG27" s="102"/>
      <c r="EH27" s="102"/>
      <c r="EI27" s="91"/>
      <c r="EJ27" s="102"/>
      <c r="EK27" s="102"/>
      <c r="EL27" s="91"/>
      <c r="EM27" s="102"/>
      <c r="EN27" s="102"/>
      <c r="EO27" s="91"/>
      <c r="EP27" s="102"/>
      <c r="EQ27" s="103"/>
      <c r="ER27" s="91"/>
      <c r="ES27" s="54"/>
      <c r="ET27" s="54"/>
      <c r="EU27" s="91"/>
      <c r="EV27" s="54"/>
      <c r="EW27" s="54"/>
      <c r="EX27" s="91"/>
      <c r="EY27" s="54"/>
      <c r="EZ27" s="54"/>
      <c r="FA27" s="91"/>
      <c r="FB27" s="54"/>
      <c r="FC27" s="54"/>
      <c r="FD27" s="91"/>
      <c r="FE27" s="54"/>
      <c r="FF27" s="54"/>
      <c r="FG27" s="91"/>
      <c r="FH27" s="54"/>
      <c r="FI27" s="54"/>
      <c r="FJ27" s="91"/>
      <c r="FK27" s="54"/>
      <c r="FL27" s="54"/>
      <c r="FM27" s="91"/>
      <c r="FN27" s="54"/>
      <c r="FO27" s="54"/>
      <c r="FP27" s="87"/>
      <c r="FQ27" s="54"/>
      <c r="FR27" s="54"/>
      <c r="FS27" s="91"/>
      <c r="FT27" s="54"/>
      <c r="FU27" s="54"/>
      <c r="FV27" s="91"/>
      <c r="FW27" s="54"/>
      <c r="FX27" s="54"/>
      <c r="FY27" s="91"/>
      <c r="FZ27" s="54"/>
      <c r="GA27" s="54"/>
      <c r="GB27" s="91"/>
      <c r="GC27" s="54"/>
      <c r="GD27" s="54"/>
      <c r="GE27" s="133"/>
      <c r="GF27" s="54"/>
      <c r="GG27" s="104"/>
      <c r="GH27" s="97">
        <f t="shared" si="2"/>
        <v>0</v>
      </c>
      <c r="GI27" s="105"/>
      <c r="GJ27" s="105"/>
      <c r="GK27" s="97"/>
      <c r="GL27" s="105"/>
      <c r="GM27" s="105"/>
      <c r="GN27" s="97"/>
      <c r="GO27" s="105"/>
      <c r="GP27" s="105"/>
      <c r="GQ27" s="97"/>
      <c r="GR27" s="105"/>
      <c r="GS27" s="105"/>
    </row>
    <row r="28" spans="1:201" ht="10.5" customHeight="1" x14ac:dyDescent="0.3">
      <c r="A28" s="99">
        <f t="shared" si="3"/>
        <v>21</v>
      </c>
      <c r="B28" s="56"/>
      <c r="C28" s="86"/>
      <c r="D28" s="87"/>
      <c r="E28" s="87"/>
      <c r="F28" s="87"/>
      <c r="G28" s="88"/>
      <c r="H28" s="87"/>
      <c r="I28" s="87"/>
      <c r="J28" s="87"/>
      <c r="K28" s="87"/>
      <c r="L28" s="88"/>
      <c r="M28" s="87"/>
      <c r="N28" s="87"/>
      <c r="O28" s="87"/>
      <c r="P28" s="87"/>
      <c r="Q28" s="88"/>
      <c r="R28" s="87"/>
      <c r="S28" s="86"/>
      <c r="T28" s="87"/>
      <c r="U28" s="89"/>
      <c r="V28" s="87"/>
      <c r="W28" s="89"/>
      <c r="X28" s="87"/>
      <c r="Y28" s="89"/>
      <c r="Z28" s="87"/>
      <c r="AA28" s="88"/>
      <c r="AB28" s="87"/>
      <c r="AC28" s="89"/>
      <c r="AD28" s="87"/>
      <c r="AE28" s="88"/>
      <c r="AF28" s="87"/>
      <c r="AG28" s="88"/>
      <c r="AH28" s="87"/>
      <c r="AI28" s="89"/>
      <c r="AJ28" s="87"/>
      <c r="AK28" s="88"/>
      <c r="AL28" s="87"/>
      <c r="AM28" s="87"/>
      <c r="AN28" s="87"/>
      <c r="AO28" s="87"/>
      <c r="AP28" s="87"/>
      <c r="AQ28" s="89"/>
      <c r="AR28" s="87"/>
      <c r="AS28" s="88"/>
      <c r="AT28" s="87"/>
      <c r="AU28" s="88"/>
      <c r="AV28" s="87"/>
      <c r="AW28" s="86"/>
      <c r="AX28" s="87"/>
      <c r="AY28" s="89"/>
      <c r="AZ28" s="87"/>
      <c r="BA28" s="89"/>
      <c r="BB28" s="87"/>
      <c r="BC28" s="89"/>
      <c r="BD28" s="87"/>
      <c r="BE28" s="88"/>
      <c r="BF28" s="87"/>
      <c r="BG28" s="88"/>
      <c r="BH28" s="87"/>
      <c r="BI28" s="89"/>
      <c r="BJ28" s="87"/>
      <c r="BK28" s="87"/>
      <c r="BL28" s="87"/>
      <c r="BM28" s="88"/>
      <c r="BN28" s="100"/>
      <c r="BO28" s="88"/>
      <c r="BP28" s="87"/>
      <c r="BQ28" s="88"/>
      <c r="BR28" s="87"/>
      <c r="BS28" s="88"/>
      <c r="BT28" s="87"/>
      <c r="BU28" s="88"/>
      <c r="BV28" s="87"/>
      <c r="BW28" s="88"/>
      <c r="BX28" s="87"/>
      <c r="BY28" s="88"/>
      <c r="BZ28" s="87"/>
      <c r="CA28" s="88"/>
      <c r="CB28" s="87"/>
      <c r="CC28" s="89"/>
      <c r="CD28" s="91"/>
      <c r="CE28" s="88"/>
      <c r="CF28" s="88"/>
      <c r="CG28" s="88"/>
      <c r="CH28" s="87"/>
      <c r="CI28" s="89"/>
      <c r="CJ28" s="91"/>
      <c r="CK28" s="88"/>
      <c r="CL28" s="89"/>
      <c r="CM28" s="91"/>
      <c r="CN28" s="88"/>
      <c r="CO28" s="88"/>
      <c r="CP28" s="88"/>
      <c r="CQ28" s="87"/>
      <c r="CR28" s="89"/>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102"/>
      <c r="EE28" s="102"/>
      <c r="EF28" s="91"/>
      <c r="EG28" s="102"/>
      <c r="EH28" s="102"/>
      <c r="EI28" s="91"/>
      <c r="EJ28" s="102"/>
      <c r="EK28" s="102"/>
      <c r="EL28" s="91"/>
      <c r="EM28" s="102"/>
      <c r="EN28" s="102"/>
      <c r="EO28" s="91"/>
      <c r="EP28" s="102"/>
      <c r="EQ28" s="103"/>
      <c r="ER28" s="91"/>
      <c r="ES28" s="54"/>
      <c r="ET28" s="54"/>
      <c r="EU28" s="91"/>
      <c r="EV28" s="54"/>
      <c r="EW28" s="54"/>
      <c r="EX28" s="91"/>
      <c r="EY28" s="54"/>
      <c r="EZ28" s="54"/>
      <c r="FA28" s="91"/>
      <c r="FB28" s="54"/>
      <c r="FC28" s="54"/>
      <c r="FD28" s="91"/>
      <c r="FE28" s="54"/>
      <c r="FF28" s="54"/>
      <c r="FG28" s="91"/>
      <c r="FH28" s="54"/>
      <c r="FI28" s="54"/>
      <c r="FJ28" s="91"/>
      <c r="FK28" s="54"/>
      <c r="FL28" s="54"/>
      <c r="FM28" s="91"/>
      <c r="FN28" s="54"/>
      <c r="FO28" s="54"/>
      <c r="FP28" s="87"/>
      <c r="FQ28" s="54"/>
      <c r="FR28" s="54"/>
      <c r="FS28" s="91"/>
      <c r="FT28" s="54"/>
      <c r="FU28" s="54"/>
      <c r="FV28" s="91"/>
      <c r="FW28" s="54"/>
      <c r="FX28" s="54"/>
      <c r="FY28" s="91"/>
      <c r="FZ28" s="54"/>
      <c r="GA28" s="54"/>
      <c r="GB28" s="91"/>
      <c r="GC28" s="54"/>
      <c r="GD28" s="54"/>
      <c r="GE28" s="133"/>
      <c r="GF28" s="54"/>
      <c r="GG28" s="104"/>
      <c r="GH28" s="97">
        <f t="shared" si="2"/>
        <v>0</v>
      </c>
      <c r="GI28" s="105"/>
      <c r="GJ28" s="105"/>
      <c r="GK28" s="97"/>
      <c r="GL28" s="105"/>
      <c r="GM28" s="105"/>
      <c r="GN28" s="97"/>
      <c r="GO28" s="105"/>
      <c r="GP28" s="105"/>
      <c r="GQ28" s="97"/>
      <c r="GR28" s="105"/>
      <c r="GS28" s="105"/>
    </row>
    <row r="29" spans="1:201" ht="10.5" customHeight="1" x14ac:dyDescent="0.3">
      <c r="A29" s="99">
        <f t="shared" si="3"/>
        <v>22</v>
      </c>
      <c r="B29" s="85" t="s">
        <v>49</v>
      </c>
      <c r="C29" s="86"/>
      <c r="D29" s="87"/>
      <c r="E29" s="87"/>
      <c r="F29" s="87"/>
      <c r="G29" s="88"/>
      <c r="H29" s="87"/>
      <c r="I29" s="87"/>
      <c r="J29" s="87"/>
      <c r="K29" s="87"/>
      <c r="L29" s="88"/>
      <c r="M29" s="87"/>
      <c r="N29" s="87"/>
      <c r="O29" s="87"/>
      <c r="P29" s="87"/>
      <c r="Q29" s="88"/>
      <c r="R29" s="87"/>
      <c r="S29" s="86"/>
      <c r="T29" s="87"/>
      <c r="U29" s="89"/>
      <c r="V29" s="87"/>
      <c r="W29" s="89"/>
      <c r="X29" s="87"/>
      <c r="Y29" s="89"/>
      <c r="Z29" s="87"/>
      <c r="AA29" s="88"/>
      <c r="AB29" s="87"/>
      <c r="AC29" s="89"/>
      <c r="AD29" s="87"/>
      <c r="AE29" s="88"/>
      <c r="AF29" s="87"/>
      <c r="AG29" s="88"/>
      <c r="AH29" s="87"/>
      <c r="AI29" s="89"/>
      <c r="AJ29" s="87"/>
      <c r="AK29" s="88"/>
      <c r="AL29" s="87"/>
      <c r="AM29" s="87"/>
      <c r="AN29" s="87"/>
      <c r="AO29" s="87"/>
      <c r="AP29" s="87"/>
      <c r="AQ29" s="89"/>
      <c r="AR29" s="87"/>
      <c r="AS29" s="88"/>
      <c r="AT29" s="87"/>
      <c r="AU29" s="88"/>
      <c r="AV29" s="87"/>
      <c r="AW29" s="86"/>
      <c r="AX29" s="87"/>
      <c r="AY29" s="89"/>
      <c r="AZ29" s="87"/>
      <c r="BA29" s="89"/>
      <c r="BB29" s="87"/>
      <c r="BC29" s="89"/>
      <c r="BD29" s="87"/>
      <c r="BE29" s="88"/>
      <c r="BF29" s="87"/>
      <c r="BG29" s="88"/>
      <c r="BH29" s="87"/>
      <c r="BI29" s="89"/>
      <c r="BJ29" s="87"/>
      <c r="BK29" s="87"/>
      <c r="BL29" s="87"/>
      <c r="BM29" s="88"/>
      <c r="BN29" s="100"/>
      <c r="BO29" s="88"/>
      <c r="BP29" s="87"/>
      <c r="BQ29" s="88"/>
      <c r="BR29" s="87"/>
      <c r="BS29" s="88"/>
      <c r="BT29" s="87"/>
      <c r="BU29" s="88"/>
      <c r="BV29" s="87"/>
      <c r="BW29" s="88"/>
      <c r="BX29" s="87"/>
      <c r="BY29" s="88"/>
      <c r="BZ29" s="87"/>
      <c r="CA29" s="88"/>
      <c r="CB29" s="87"/>
      <c r="CC29" s="89"/>
      <c r="CD29" s="91"/>
      <c r="CE29" s="88"/>
      <c r="CF29" s="88"/>
      <c r="CG29" s="88"/>
      <c r="CH29" s="87"/>
      <c r="CI29" s="89"/>
      <c r="CJ29" s="91"/>
      <c r="CK29" s="88"/>
      <c r="CL29" s="89"/>
      <c r="CM29" s="91"/>
      <c r="CN29" s="88"/>
      <c r="CO29" s="88"/>
      <c r="CP29" s="88"/>
      <c r="CQ29" s="87"/>
      <c r="CR29" s="89"/>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102"/>
      <c r="EE29" s="102"/>
      <c r="EF29" s="91"/>
      <c r="EG29" s="102"/>
      <c r="EH29" s="102"/>
      <c r="EI29" s="91"/>
      <c r="EJ29" s="102"/>
      <c r="EK29" s="102"/>
      <c r="EL29" s="91"/>
      <c r="EM29" s="102"/>
      <c r="EN29" s="102"/>
      <c r="EO29" s="91"/>
      <c r="EP29" s="102"/>
      <c r="EQ29" s="103"/>
      <c r="ER29" s="91"/>
      <c r="ES29" s="54"/>
      <c r="ET29" s="54"/>
      <c r="EU29" s="91"/>
      <c r="EV29" s="54"/>
      <c r="EW29" s="54"/>
      <c r="EX29" s="91"/>
      <c r="EY29" s="54"/>
      <c r="EZ29" s="54"/>
      <c r="FA29" s="91"/>
      <c r="FB29" s="54"/>
      <c r="FC29" s="54"/>
      <c r="FD29" s="91"/>
      <c r="FE29" s="54"/>
      <c r="FF29" s="54"/>
      <c r="FG29" s="91"/>
      <c r="FH29" s="54"/>
      <c r="FI29" s="54"/>
      <c r="FJ29" s="91"/>
      <c r="FK29" s="54"/>
      <c r="FL29" s="54"/>
      <c r="FM29" s="91"/>
      <c r="FN29" s="54"/>
      <c r="FO29" s="54"/>
      <c r="FP29" s="87"/>
      <c r="FQ29" s="54"/>
      <c r="FR29" s="54"/>
      <c r="FS29" s="91"/>
      <c r="FT29" s="54"/>
      <c r="FU29" s="54"/>
      <c r="FV29" s="91"/>
      <c r="FW29" s="54"/>
      <c r="FX29" s="54"/>
      <c r="FY29" s="91"/>
      <c r="FZ29" s="54"/>
      <c r="GA29" s="54"/>
      <c r="GB29" s="91"/>
      <c r="GC29" s="54"/>
      <c r="GD29" s="54"/>
      <c r="GE29" s="133"/>
      <c r="GF29" s="54"/>
      <c r="GG29" s="104"/>
      <c r="GH29" s="97">
        <f t="shared" si="2"/>
        <v>0</v>
      </c>
      <c r="GI29" s="105"/>
      <c r="GJ29" s="105"/>
      <c r="GK29" s="97">
        <f t="shared" si="4"/>
        <v>0</v>
      </c>
      <c r="GL29" s="105"/>
      <c r="GM29" s="105"/>
      <c r="GN29" s="97">
        <f t="shared" si="5"/>
        <v>0</v>
      </c>
      <c r="GO29" s="105"/>
      <c r="GP29" s="105"/>
      <c r="GQ29" s="97">
        <f t="shared" si="6"/>
        <v>0</v>
      </c>
      <c r="GR29" s="105"/>
      <c r="GS29" s="105"/>
    </row>
    <row r="30" spans="1:201" ht="10.5" customHeight="1" x14ac:dyDescent="0.3">
      <c r="A30" s="99">
        <f t="shared" si="3"/>
        <v>23</v>
      </c>
      <c r="B30" s="56" t="s">
        <v>24</v>
      </c>
      <c r="C30" s="86">
        <v>330</v>
      </c>
      <c r="D30" s="87">
        <v>4</v>
      </c>
      <c r="E30" s="87">
        <v>4</v>
      </c>
      <c r="F30" s="87">
        <v>4</v>
      </c>
      <c r="G30" s="88">
        <v>12</v>
      </c>
      <c r="H30" s="87">
        <v>15</v>
      </c>
      <c r="I30" s="87">
        <v>17</v>
      </c>
      <c r="J30" s="87">
        <v>19</v>
      </c>
      <c r="K30" s="87">
        <v>20</v>
      </c>
      <c r="L30" s="88">
        <v>15</v>
      </c>
      <c r="M30" s="87">
        <v>13</v>
      </c>
      <c r="N30" s="87">
        <v>12</v>
      </c>
      <c r="O30" s="87">
        <v>13</v>
      </c>
      <c r="P30" s="87">
        <v>13</v>
      </c>
      <c r="Q30" s="88">
        <v>13</v>
      </c>
      <c r="R30" s="87">
        <v>12</v>
      </c>
      <c r="S30" s="86">
        <v>12</v>
      </c>
      <c r="T30" s="87">
        <v>12</v>
      </c>
      <c r="U30" s="89">
        <v>12</v>
      </c>
      <c r="V30" s="87">
        <v>11</v>
      </c>
      <c r="W30" s="89">
        <v>10</v>
      </c>
      <c r="X30" s="87">
        <v>9</v>
      </c>
      <c r="Y30" s="89">
        <v>9</v>
      </c>
      <c r="Z30" s="87">
        <v>12</v>
      </c>
      <c r="AA30" s="88">
        <v>11</v>
      </c>
      <c r="AB30" s="87">
        <v>12</v>
      </c>
      <c r="AC30" s="89">
        <v>14</v>
      </c>
      <c r="AD30" s="87">
        <v>14</v>
      </c>
      <c r="AE30" s="88">
        <v>14</v>
      </c>
      <c r="AF30" s="87">
        <v>14</v>
      </c>
      <c r="AG30" s="88">
        <v>16</v>
      </c>
      <c r="AH30" s="87">
        <v>16</v>
      </c>
      <c r="AI30" s="89">
        <v>13</v>
      </c>
      <c r="AJ30" s="87">
        <v>14</v>
      </c>
      <c r="AK30" s="88">
        <v>16</v>
      </c>
      <c r="AL30" s="87">
        <v>20</v>
      </c>
      <c r="AM30" s="87">
        <v>26</v>
      </c>
      <c r="AN30" s="87">
        <v>29</v>
      </c>
      <c r="AO30" s="87">
        <v>27</v>
      </c>
      <c r="AP30" s="87">
        <v>28</v>
      </c>
      <c r="AQ30" s="89">
        <v>30</v>
      </c>
      <c r="AR30" s="87">
        <v>31</v>
      </c>
      <c r="AS30" s="88">
        <v>32</v>
      </c>
      <c r="AT30" s="87">
        <v>32</v>
      </c>
      <c r="AU30" s="88">
        <v>33</v>
      </c>
      <c r="AV30" s="87">
        <v>38</v>
      </c>
      <c r="AW30" s="86">
        <v>42</v>
      </c>
      <c r="AX30" s="87">
        <v>37</v>
      </c>
      <c r="AY30" s="89">
        <v>36</v>
      </c>
      <c r="AZ30" s="87">
        <v>35</v>
      </c>
      <c r="BA30" s="89">
        <v>35</v>
      </c>
      <c r="BB30" s="87">
        <v>35</v>
      </c>
      <c r="BC30" s="89">
        <v>41</v>
      </c>
      <c r="BD30" s="87">
        <v>44</v>
      </c>
      <c r="BE30" s="88">
        <v>45</v>
      </c>
      <c r="BF30" s="87">
        <v>46</v>
      </c>
      <c r="BG30" s="88">
        <v>47</v>
      </c>
      <c r="BH30" s="87">
        <v>49</v>
      </c>
      <c r="BI30" s="89">
        <v>53</v>
      </c>
      <c r="BJ30" s="87">
        <v>75</v>
      </c>
      <c r="BK30" s="87">
        <v>82</v>
      </c>
      <c r="BL30" s="87">
        <v>85</v>
      </c>
      <c r="BM30" s="88">
        <v>100</v>
      </c>
      <c r="BN30" s="100">
        <v>140</v>
      </c>
      <c r="BO30" s="88">
        <v>159</v>
      </c>
      <c r="BP30" s="87">
        <v>171</v>
      </c>
      <c r="BQ30" s="88">
        <v>172</v>
      </c>
      <c r="BR30" s="87">
        <v>173</v>
      </c>
      <c r="BS30" s="88">
        <v>178</v>
      </c>
      <c r="BT30" s="87">
        <v>191</v>
      </c>
      <c r="BU30" s="88">
        <v>208</v>
      </c>
      <c r="BV30" s="87">
        <v>210</v>
      </c>
      <c r="BW30" s="88">
        <v>182</v>
      </c>
      <c r="BX30" s="87">
        <v>184</v>
      </c>
      <c r="BY30" s="88">
        <v>181</v>
      </c>
      <c r="BZ30" s="87">
        <v>184</v>
      </c>
      <c r="CA30" s="88">
        <v>196</v>
      </c>
      <c r="CB30" s="87">
        <v>215</v>
      </c>
      <c r="CC30" s="89">
        <v>221</v>
      </c>
      <c r="CD30" s="91">
        <v>220</v>
      </c>
      <c r="CE30" s="88">
        <v>223</v>
      </c>
      <c r="CF30" s="88">
        <v>209</v>
      </c>
      <c r="CG30" s="88">
        <v>215.5</v>
      </c>
      <c r="CH30" s="87">
        <v>221</v>
      </c>
      <c r="CI30" s="89">
        <v>232</v>
      </c>
      <c r="CJ30" s="91">
        <v>229.25</v>
      </c>
      <c r="CK30" s="88">
        <v>232</v>
      </c>
      <c r="CL30" s="89">
        <v>259</v>
      </c>
      <c r="CM30" s="91">
        <v>253</v>
      </c>
      <c r="CN30" s="88">
        <v>262</v>
      </c>
      <c r="CO30" s="88">
        <v>264</v>
      </c>
      <c r="CP30" s="88">
        <v>261</v>
      </c>
      <c r="CQ30" s="87">
        <v>254</v>
      </c>
      <c r="CR30" s="89">
        <v>246</v>
      </c>
      <c r="CS30" s="91">
        <v>248</v>
      </c>
      <c r="CT30" s="91">
        <v>246</v>
      </c>
      <c r="CU30" s="91">
        <v>246</v>
      </c>
      <c r="CV30" s="91">
        <v>246</v>
      </c>
      <c r="CW30" s="91">
        <v>246</v>
      </c>
      <c r="CX30" s="91">
        <v>251</v>
      </c>
      <c r="CY30" s="91">
        <v>249.75</v>
      </c>
      <c r="CZ30" s="91">
        <v>251</v>
      </c>
      <c r="DA30" s="91">
        <v>251</v>
      </c>
      <c r="DB30" s="91">
        <v>251</v>
      </c>
      <c r="DC30" s="91">
        <v>251</v>
      </c>
      <c r="DD30" s="91">
        <v>251</v>
      </c>
      <c r="DE30" s="91">
        <v>255.25</v>
      </c>
      <c r="DF30" s="91">
        <v>268</v>
      </c>
      <c r="DG30" s="91">
        <v>268</v>
      </c>
      <c r="DH30" s="91">
        <f>(DF30+DG30*2+DI30)/4</f>
        <v>268</v>
      </c>
      <c r="DI30" s="91">
        <v>268</v>
      </c>
      <c r="DJ30" s="101">
        <v>268</v>
      </c>
      <c r="DK30" s="91">
        <f>(DI30+DJ30*2+DL30)/4</f>
        <v>268</v>
      </c>
      <c r="DL30" s="91">
        <v>268</v>
      </c>
      <c r="DM30" s="91">
        <v>270</v>
      </c>
      <c r="DN30" s="91">
        <f>(DL30+DM30*2+DO30)/4</f>
        <v>269.5</v>
      </c>
      <c r="DO30" s="91">
        <v>270</v>
      </c>
      <c r="DP30" s="91">
        <v>275</v>
      </c>
      <c r="DQ30" s="91">
        <f>(DO30+DP30*2+DR30)/4</f>
        <v>273.75</v>
      </c>
      <c r="DR30" s="91">
        <v>275</v>
      </c>
      <c r="DS30" s="91">
        <v>275</v>
      </c>
      <c r="DT30" s="91">
        <f>(DR30+DS30*2+DU30)/4</f>
        <v>275</v>
      </c>
      <c r="DU30" s="91">
        <v>275</v>
      </c>
      <c r="DV30" s="91">
        <v>275</v>
      </c>
      <c r="DW30" s="91">
        <f>(DU30+DV30*2+DX30)/4</f>
        <v>275.75</v>
      </c>
      <c r="DX30" s="91">
        <v>278</v>
      </c>
      <c r="DY30" s="91">
        <v>313</v>
      </c>
      <c r="DZ30" s="91">
        <f>(DX30+DY30*2+EA30)/4</f>
        <v>308.25</v>
      </c>
      <c r="EA30" s="101">
        <v>329</v>
      </c>
      <c r="EB30" s="91">
        <v>338</v>
      </c>
      <c r="EC30" s="91">
        <f>(EA30+EB30*2+ED30)/4</f>
        <v>338.25</v>
      </c>
      <c r="ED30" s="102">
        <v>348</v>
      </c>
      <c r="EE30" s="102">
        <v>375</v>
      </c>
      <c r="EF30" s="91">
        <f>(ED30+EE30*2+EG30)/4</f>
        <v>398</v>
      </c>
      <c r="EG30" s="102">
        <v>494</v>
      </c>
      <c r="EH30" s="102">
        <v>537.09749999999997</v>
      </c>
      <c r="EI30" s="91">
        <f>(EG30+EH30*2+EJ30)/4</f>
        <v>526.29874999999993</v>
      </c>
      <c r="EJ30" s="102">
        <v>537</v>
      </c>
      <c r="EK30" s="102">
        <v>722</v>
      </c>
      <c r="EL30" s="91">
        <f>(EJ30+EK30*2+EM30)/4</f>
        <v>675.75</v>
      </c>
      <c r="EM30" s="102">
        <v>722</v>
      </c>
      <c r="EN30" s="102">
        <v>722</v>
      </c>
      <c r="EO30" s="91">
        <f>(EM30+EN30*2+EP30)/4</f>
        <v>722</v>
      </c>
      <c r="EP30" s="102">
        <v>722</v>
      </c>
      <c r="EQ30" s="103">
        <v>722</v>
      </c>
      <c r="ER30" s="91">
        <f>(EP30+EQ30*2+ES30)/4</f>
        <v>734.25</v>
      </c>
      <c r="ES30" s="54">
        <v>771</v>
      </c>
      <c r="ET30" s="54">
        <v>771</v>
      </c>
      <c r="EU30" s="91">
        <f>(ES30+ET30*2+EV30)/4</f>
        <v>777</v>
      </c>
      <c r="EV30" s="54">
        <v>795</v>
      </c>
      <c r="EW30" s="54">
        <v>810</v>
      </c>
      <c r="EX30" s="91">
        <f>(EV30+EW30*2+EY30)/4</f>
        <v>798.25</v>
      </c>
      <c r="EY30" s="54">
        <v>778</v>
      </c>
      <c r="EZ30" s="54">
        <v>780</v>
      </c>
      <c r="FA30" s="91">
        <f>(EY30+EZ30*2+FB30)/4</f>
        <v>763.25</v>
      </c>
      <c r="FB30" s="54">
        <v>715</v>
      </c>
      <c r="FC30" s="54">
        <v>742</v>
      </c>
      <c r="FD30" s="91">
        <f>(FB30+FC30*2+FE30)/4</f>
        <v>735.25</v>
      </c>
      <c r="FE30" s="54">
        <v>742</v>
      </c>
      <c r="FF30" s="54">
        <v>742</v>
      </c>
      <c r="FG30" s="91">
        <f>(FE30+FF30*2+FH30)/4</f>
        <v>742</v>
      </c>
      <c r="FH30" s="54">
        <v>742</v>
      </c>
      <c r="FI30" s="54">
        <v>774</v>
      </c>
      <c r="FJ30" s="91">
        <f>(FH30+FI30*2+FK30)/4</f>
        <v>768.5</v>
      </c>
      <c r="FK30" s="54">
        <v>784</v>
      </c>
      <c r="FL30" s="54">
        <v>784</v>
      </c>
      <c r="FM30" s="91">
        <f>(FK30+FL30*2+FN30)/4</f>
        <v>788.25</v>
      </c>
      <c r="FN30" s="54">
        <v>801</v>
      </c>
      <c r="FO30" s="54">
        <v>820</v>
      </c>
      <c r="FP30" s="87">
        <f>(FN30+FO30*2+FQ30)/4</f>
        <v>818.25</v>
      </c>
      <c r="FQ30" s="54">
        <v>832</v>
      </c>
      <c r="FR30" s="54">
        <v>832</v>
      </c>
      <c r="FS30" s="91">
        <f>(FQ30+FR30*2+FT30)/4</f>
        <v>833</v>
      </c>
      <c r="FT30" s="54">
        <v>836</v>
      </c>
      <c r="FU30" s="54">
        <v>836</v>
      </c>
      <c r="FV30" s="91">
        <f>(FT30+FU30*2+FW30)/4</f>
        <v>836</v>
      </c>
      <c r="FW30" s="54">
        <v>836</v>
      </c>
      <c r="FX30" s="54">
        <v>990</v>
      </c>
      <c r="FY30" s="91">
        <f>(FW30+FX30*2+FZ30)/4</f>
        <v>982.25</v>
      </c>
      <c r="FZ30" s="54">
        <v>1113</v>
      </c>
      <c r="GA30" s="54">
        <v>1218</v>
      </c>
      <c r="GB30" s="91">
        <f>(FZ30+GA30*2+GC30)/4</f>
        <v>1192</v>
      </c>
      <c r="GC30" s="54">
        <v>1219</v>
      </c>
      <c r="GD30" s="54"/>
      <c r="GE30" s="133">
        <f>GC30</f>
        <v>1219</v>
      </c>
      <c r="GF30" s="54"/>
      <c r="GG30" s="104"/>
      <c r="GH30" s="97">
        <f t="shared" si="2"/>
        <v>0</v>
      </c>
      <c r="GI30" s="105"/>
      <c r="GJ30" s="105"/>
      <c r="GK30" s="97">
        <f t="shared" si="4"/>
        <v>0</v>
      </c>
      <c r="GL30" s="105"/>
      <c r="GM30" s="105"/>
      <c r="GN30" s="97">
        <f t="shared" si="5"/>
        <v>0</v>
      </c>
      <c r="GO30" s="105"/>
      <c r="GP30" s="105"/>
      <c r="GQ30" s="97">
        <f t="shared" si="6"/>
        <v>0</v>
      </c>
      <c r="GR30" s="105"/>
      <c r="GS30" s="105"/>
    </row>
    <row r="31" spans="1:201" ht="10.5" customHeight="1" x14ac:dyDescent="0.3">
      <c r="A31" s="99">
        <f t="shared" si="3"/>
        <v>24</v>
      </c>
      <c r="B31" s="56" t="s">
        <v>50</v>
      </c>
      <c r="C31" s="86">
        <v>330</v>
      </c>
      <c r="D31" s="87">
        <v>4</v>
      </c>
      <c r="E31" s="87">
        <v>4</v>
      </c>
      <c r="F31" s="87">
        <v>4</v>
      </c>
      <c r="G31" s="88">
        <v>11</v>
      </c>
      <c r="H31" s="87">
        <v>14</v>
      </c>
      <c r="I31" s="87">
        <v>16</v>
      </c>
      <c r="J31" s="87">
        <v>18</v>
      </c>
      <c r="K31" s="87">
        <v>19</v>
      </c>
      <c r="L31" s="88">
        <v>16</v>
      </c>
      <c r="M31" s="87">
        <v>13</v>
      </c>
      <c r="N31" s="87">
        <v>11</v>
      </c>
      <c r="O31" s="87">
        <v>12</v>
      </c>
      <c r="P31" s="87">
        <v>11</v>
      </c>
      <c r="Q31" s="88">
        <v>10</v>
      </c>
      <c r="R31" s="87">
        <v>11</v>
      </c>
      <c r="S31" s="86">
        <v>10</v>
      </c>
      <c r="T31" s="87">
        <v>10</v>
      </c>
      <c r="U31" s="89">
        <v>10</v>
      </c>
      <c r="V31" s="87">
        <v>10</v>
      </c>
      <c r="W31" s="89">
        <v>9</v>
      </c>
      <c r="X31" s="87">
        <v>8</v>
      </c>
      <c r="Y31" s="89">
        <v>8</v>
      </c>
      <c r="Z31" s="87">
        <v>10</v>
      </c>
      <c r="AA31" s="88">
        <v>10</v>
      </c>
      <c r="AB31" s="87">
        <v>11</v>
      </c>
      <c r="AC31" s="89">
        <v>12</v>
      </c>
      <c r="AD31" s="87">
        <v>13</v>
      </c>
      <c r="AE31" s="88">
        <v>13</v>
      </c>
      <c r="AF31" s="87">
        <v>12</v>
      </c>
      <c r="AG31" s="88">
        <v>15</v>
      </c>
      <c r="AH31" s="87">
        <v>15</v>
      </c>
      <c r="AI31" s="89">
        <v>14</v>
      </c>
      <c r="AJ31" s="87">
        <v>15</v>
      </c>
      <c r="AK31" s="88">
        <v>14</v>
      </c>
      <c r="AL31" s="87">
        <v>17</v>
      </c>
      <c r="AM31" s="87">
        <v>23</v>
      </c>
      <c r="AN31" s="87">
        <v>26</v>
      </c>
      <c r="AO31" s="87">
        <v>25</v>
      </c>
      <c r="AP31" s="87">
        <v>26</v>
      </c>
      <c r="AQ31" s="89">
        <v>28</v>
      </c>
      <c r="AR31" s="87">
        <v>29</v>
      </c>
      <c r="AS31" s="88">
        <v>31</v>
      </c>
      <c r="AT31" s="87">
        <v>31</v>
      </c>
      <c r="AU31" s="88">
        <v>33</v>
      </c>
      <c r="AV31" s="87">
        <v>35</v>
      </c>
      <c r="AW31" s="86">
        <v>38</v>
      </c>
      <c r="AX31" s="87">
        <v>38</v>
      </c>
      <c r="AY31" s="89">
        <v>38</v>
      </c>
      <c r="AZ31" s="87">
        <v>38</v>
      </c>
      <c r="BA31" s="89">
        <v>37</v>
      </c>
      <c r="BB31" s="87">
        <v>36</v>
      </c>
      <c r="BC31" s="89">
        <v>37</v>
      </c>
      <c r="BD31" s="87">
        <v>38</v>
      </c>
      <c r="BE31" s="88">
        <v>38</v>
      </c>
      <c r="BF31" s="87">
        <v>41</v>
      </c>
      <c r="BG31" s="88">
        <v>44</v>
      </c>
      <c r="BH31" s="87">
        <v>48</v>
      </c>
      <c r="BI31" s="89">
        <v>55</v>
      </c>
      <c r="BJ31" s="87">
        <v>71</v>
      </c>
      <c r="BK31" s="87">
        <v>80</v>
      </c>
      <c r="BL31" s="87">
        <v>86</v>
      </c>
      <c r="BM31" s="88">
        <v>100</v>
      </c>
      <c r="BN31" s="100">
        <v>152</v>
      </c>
      <c r="BO31" s="88">
        <v>183</v>
      </c>
      <c r="BP31" s="87">
        <v>182</v>
      </c>
      <c r="BQ31" s="88">
        <v>183</v>
      </c>
      <c r="BR31" s="87">
        <v>195</v>
      </c>
      <c r="BS31" s="88">
        <v>206</v>
      </c>
      <c r="BT31" s="87">
        <v>228</v>
      </c>
      <c r="BU31" s="88">
        <v>250</v>
      </c>
      <c r="BV31" s="87">
        <v>244</v>
      </c>
      <c r="BW31" s="88">
        <v>197</v>
      </c>
      <c r="BX31" s="87">
        <v>200</v>
      </c>
      <c r="BY31" s="88">
        <v>198</v>
      </c>
      <c r="BZ31" s="87">
        <v>207</v>
      </c>
      <c r="CA31" s="88">
        <v>219</v>
      </c>
      <c r="CB31" s="87">
        <v>252</v>
      </c>
      <c r="CC31" s="89">
        <v>261</v>
      </c>
      <c r="CD31" s="91">
        <v>260.25</v>
      </c>
      <c r="CE31" s="88">
        <v>267</v>
      </c>
      <c r="CF31" s="88">
        <v>267</v>
      </c>
      <c r="CG31" s="88">
        <v>267.5</v>
      </c>
      <c r="CH31" s="87">
        <v>269</v>
      </c>
      <c r="CI31" s="89">
        <v>281</v>
      </c>
      <c r="CJ31" s="91">
        <v>278</v>
      </c>
      <c r="CK31" s="88">
        <v>281</v>
      </c>
      <c r="CL31" s="89">
        <v>286</v>
      </c>
      <c r="CM31" s="91">
        <v>284.75</v>
      </c>
      <c r="CN31" s="88">
        <v>286</v>
      </c>
      <c r="CO31" s="88">
        <v>284</v>
      </c>
      <c r="CP31" s="88">
        <v>277</v>
      </c>
      <c r="CQ31" s="87">
        <v>254</v>
      </c>
      <c r="CR31" s="89">
        <v>249</v>
      </c>
      <c r="CS31" s="91">
        <v>248.5</v>
      </c>
      <c r="CT31" s="91">
        <v>242</v>
      </c>
      <c r="CU31" s="91">
        <v>242</v>
      </c>
      <c r="CV31" s="91">
        <v>242.25</v>
      </c>
      <c r="CW31" s="91">
        <v>243</v>
      </c>
      <c r="CX31" s="91">
        <v>250</v>
      </c>
      <c r="CY31" s="91">
        <v>252</v>
      </c>
      <c r="CZ31" s="91">
        <v>265</v>
      </c>
      <c r="DA31" s="91">
        <v>269</v>
      </c>
      <c r="DB31" s="91">
        <v>268</v>
      </c>
      <c r="DC31" s="91">
        <v>269</v>
      </c>
      <c r="DD31" s="91">
        <v>271</v>
      </c>
      <c r="DE31" s="91">
        <v>272.5</v>
      </c>
      <c r="DF31" s="91">
        <v>279</v>
      </c>
      <c r="DG31" s="91">
        <v>283</v>
      </c>
      <c r="DH31" s="91">
        <f>(DF31+DG31*2+DI31)/4</f>
        <v>282.5</v>
      </c>
      <c r="DI31" s="91">
        <v>285</v>
      </c>
      <c r="DJ31" s="101">
        <v>288</v>
      </c>
      <c r="DK31" s="91">
        <f>(DI31+DJ31*2+DL31)/4</f>
        <v>288.25</v>
      </c>
      <c r="DL31" s="91">
        <v>292</v>
      </c>
      <c r="DM31" s="91">
        <v>300</v>
      </c>
      <c r="DN31" s="91">
        <f>(DL31+DM31*2+DO31)/4</f>
        <v>299.25</v>
      </c>
      <c r="DO31" s="91">
        <v>305</v>
      </c>
      <c r="DP31" s="91">
        <v>314</v>
      </c>
      <c r="DQ31" s="91">
        <f>(DO31+DP31*2+DR31)/4</f>
        <v>340.5</v>
      </c>
      <c r="DR31" s="91">
        <v>429</v>
      </c>
      <c r="DS31" s="91">
        <v>429</v>
      </c>
      <c r="DT31" s="91">
        <f>(DR31+DS31*2+DU31)/4</f>
        <v>429</v>
      </c>
      <c r="DU31" s="91">
        <v>429</v>
      </c>
      <c r="DV31" s="91">
        <v>429</v>
      </c>
      <c r="DW31" s="91">
        <f>(DU31+DV31*2+DX31)/4</f>
        <v>431.25</v>
      </c>
      <c r="DX31" s="91">
        <v>438</v>
      </c>
      <c r="DY31" s="91">
        <v>481</v>
      </c>
      <c r="DZ31" s="91">
        <f>(DX31+DY31*2+EA31)/4</f>
        <v>481</v>
      </c>
      <c r="EA31" s="101">
        <v>524</v>
      </c>
      <c r="EB31" s="91">
        <v>524</v>
      </c>
      <c r="EC31" s="91">
        <f>(EA31+EB31*2+ED31)/4</f>
        <v>524</v>
      </c>
      <c r="ED31" s="102">
        <v>524</v>
      </c>
      <c r="EE31" s="102">
        <v>596</v>
      </c>
      <c r="EF31" s="91">
        <f>(ED31+EE31*2+EG31)/4</f>
        <v>593.25</v>
      </c>
      <c r="EG31" s="102">
        <v>657</v>
      </c>
      <c r="EH31" s="102">
        <v>656.73561310000002</v>
      </c>
      <c r="EI31" s="91">
        <f>(EG31+EH31*2+EJ31)/4</f>
        <v>662.61780655000007</v>
      </c>
      <c r="EJ31" s="102">
        <v>680</v>
      </c>
      <c r="EK31" s="102">
        <v>866</v>
      </c>
      <c r="EL31" s="91">
        <f>(EJ31+EK31*2+EM31)/4</f>
        <v>819.5</v>
      </c>
      <c r="EM31" s="102">
        <v>866</v>
      </c>
      <c r="EN31" s="102">
        <v>866</v>
      </c>
      <c r="EO31" s="91">
        <f>(EM31+EN31*2+EP31)/4</f>
        <v>866</v>
      </c>
      <c r="EP31" s="102">
        <v>866</v>
      </c>
      <c r="EQ31" s="103">
        <v>867</v>
      </c>
      <c r="ER31" s="91">
        <f>(EP31+EQ31*2+ES31)/4</f>
        <v>919.75</v>
      </c>
      <c r="ES31" s="54">
        <v>1079</v>
      </c>
      <c r="ET31" s="54">
        <v>1079</v>
      </c>
      <c r="EU31" s="91">
        <f>(ES31+ET31*2+EV31)/4</f>
        <v>1074</v>
      </c>
      <c r="EV31" s="54">
        <v>1059</v>
      </c>
      <c r="EW31" s="54">
        <v>1082</v>
      </c>
      <c r="EX31" s="91">
        <f>(EV31+EW31*2+EY31)/4</f>
        <v>1078</v>
      </c>
      <c r="EY31" s="54">
        <v>1089</v>
      </c>
      <c r="EZ31" s="54">
        <v>1099</v>
      </c>
      <c r="FA31" s="91">
        <f>(EY31+EZ31*2+FB31)/4</f>
        <v>1104.5</v>
      </c>
      <c r="FB31" s="54">
        <v>1131</v>
      </c>
      <c r="FC31" s="54">
        <v>1131</v>
      </c>
      <c r="FD31" s="91">
        <f>(FB31+FC31*2+FE31)/4</f>
        <v>1131</v>
      </c>
      <c r="FE31" s="54">
        <v>1131</v>
      </c>
      <c r="FF31" s="54">
        <v>1131</v>
      </c>
      <c r="FG31" s="91">
        <f>(FE31+FF31*2+FH31)/4</f>
        <v>1131</v>
      </c>
      <c r="FH31" s="54">
        <v>1131</v>
      </c>
      <c r="FI31" s="54">
        <v>1143</v>
      </c>
      <c r="FJ31" s="91">
        <f>(FH31+FI31*2+FK31)/4</f>
        <v>1144.5</v>
      </c>
      <c r="FK31" s="54">
        <v>1161</v>
      </c>
      <c r="FL31" s="54">
        <v>1161</v>
      </c>
      <c r="FM31" s="91">
        <f>(FK31+FL31*2+FN31)/4</f>
        <v>1166</v>
      </c>
      <c r="FN31" s="54">
        <v>1181</v>
      </c>
      <c r="FO31" s="54">
        <v>1200</v>
      </c>
      <c r="FP31" s="87">
        <f>(FN31+FO31*2+FQ31)/4</f>
        <v>1206.25</v>
      </c>
      <c r="FQ31" s="54">
        <v>1244</v>
      </c>
      <c r="FR31" s="54">
        <v>1244</v>
      </c>
      <c r="FS31" s="91">
        <f>(FQ31+FR31*2+FT31)/4</f>
        <v>1244</v>
      </c>
      <c r="FT31" s="54">
        <v>1244</v>
      </c>
      <c r="FU31" s="54">
        <v>1244</v>
      </c>
      <c r="FV31" s="91">
        <f>(FT31+FU31*2+FW31)/4</f>
        <v>1244</v>
      </c>
      <c r="FW31" s="54">
        <v>1244</v>
      </c>
      <c r="FX31" s="54">
        <v>1473</v>
      </c>
      <c r="FY31" s="91">
        <f>(FW31+FX31*2+FZ31)/4</f>
        <v>1461.5</v>
      </c>
      <c r="FZ31" s="54">
        <v>1656</v>
      </c>
      <c r="GA31" s="54">
        <v>1813</v>
      </c>
      <c r="GB31" s="91">
        <f>(FZ31+GA31*2+GC31)/4</f>
        <v>1774</v>
      </c>
      <c r="GC31" s="54">
        <v>1814</v>
      </c>
      <c r="GD31" s="54"/>
      <c r="GE31" s="133">
        <f>GC31</f>
        <v>1814</v>
      </c>
      <c r="GF31" s="54"/>
      <c r="GG31" s="104"/>
      <c r="GH31" s="97">
        <f t="shared" si="2"/>
        <v>0</v>
      </c>
      <c r="GI31" s="105"/>
      <c r="GJ31" s="105"/>
      <c r="GK31" s="97">
        <f t="shared" si="4"/>
        <v>0</v>
      </c>
      <c r="GL31" s="105"/>
      <c r="GM31" s="105"/>
      <c r="GN31" s="97">
        <f t="shared" si="5"/>
        <v>0</v>
      </c>
      <c r="GO31" s="105"/>
      <c r="GP31" s="105"/>
      <c r="GQ31" s="97">
        <f t="shared" si="6"/>
        <v>0</v>
      </c>
      <c r="GR31" s="105"/>
      <c r="GS31" s="105"/>
    </row>
    <row r="32" spans="1:201" ht="10.5" customHeight="1" x14ac:dyDescent="0.3">
      <c r="A32" s="99">
        <f t="shared" si="3"/>
        <v>25</v>
      </c>
      <c r="B32" s="56" t="s">
        <v>51</v>
      </c>
      <c r="C32" s="86">
        <v>330</v>
      </c>
      <c r="D32" s="106" t="s">
        <v>46</v>
      </c>
      <c r="E32" s="106" t="s">
        <v>46</v>
      </c>
      <c r="F32" s="106" t="s">
        <v>46</v>
      </c>
      <c r="G32" s="108" t="s">
        <v>46</v>
      </c>
      <c r="H32" s="106" t="s">
        <v>46</v>
      </c>
      <c r="I32" s="106" t="s">
        <v>46</v>
      </c>
      <c r="J32" s="106" t="s">
        <v>46</v>
      </c>
      <c r="K32" s="106" t="s">
        <v>46</v>
      </c>
      <c r="L32" s="108" t="s">
        <v>46</v>
      </c>
      <c r="M32" s="106" t="s">
        <v>46</v>
      </c>
      <c r="N32" s="106" t="s">
        <v>46</v>
      </c>
      <c r="O32" s="106" t="s">
        <v>46</v>
      </c>
      <c r="P32" s="106" t="s">
        <v>46</v>
      </c>
      <c r="Q32" s="108" t="s">
        <v>46</v>
      </c>
      <c r="R32" s="106" t="s">
        <v>46</v>
      </c>
      <c r="S32" s="109" t="s">
        <v>46</v>
      </c>
      <c r="T32" s="106" t="s">
        <v>46</v>
      </c>
      <c r="U32" s="110" t="s">
        <v>46</v>
      </c>
      <c r="V32" s="106" t="s">
        <v>46</v>
      </c>
      <c r="W32" s="110" t="s">
        <v>46</v>
      </c>
      <c r="X32" s="106" t="s">
        <v>46</v>
      </c>
      <c r="Y32" s="110" t="s">
        <v>46</v>
      </c>
      <c r="Z32" s="106" t="s">
        <v>46</v>
      </c>
      <c r="AA32" s="108" t="s">
        <v>46</v>
      </c>
      <c r="AB32" s="106" t="s">
        <v>46</v>
      </c>
      <c r="AC32" s="110" t="s">
        <v>46</v>
      </c>
      <c r="AD32" s="106" t="s">
        <v>46</v>
      </c>
      <c r="AE32" s="108" t="s">
        <v>46</v>
      </c>
      <c r="AF32" s="106" t="s">
        <v>46</v>
      </c>
      <c r="AG32" s="108" t="s">
        <v>46</v>
      </c>
      <c r="AH32" s="106" t="s">
        <v>46</v>
      </c>
      <c r="AI32" s="110" t="s">
        <v>46</v>
      </c>
      <c r="AJ32" s="106" t="s">
        <v>46</v>
      </c>
      <c r="AK32" s="108" t="s">
        <v>46</v>
      </c>
      <c r="AL32" s="106" t="s">
        <v>46</v>
      </c>
      <c r="AM32" s="106" t="s">
        <v>46</v>
      </c>
      <c r="AN32" s="106" t="s">
        <v>46</v>
      </c>
      <c r="AO32" s="106" t="s">
        <v>46</v>
      </c>
      <c r="AP32" s="106" t="s">
        <v>46</v>
      </c>
      <c r="AQ32" s="106" t="s">
        <v>46</v>
      </c>
      <c r="AR32" s="106" t="s">
        <v>46</v>
      </c>
      <c r="AS32" s="108" t="s">
        <v>46</v>
      </c>
      <c r="AT32" s="106" t="s">
        <v>46</v>
      </c>
      <c r="AU32" s="106" t="s">
        <v>46</v>
      </c>
      <c r="AV32" s="106" t="s">
        <v>46</v>
      </c>
      <c r="AW32" s="106" t="s">
        <v>46</v>
      </c>
      <c r="AX32" s="108" t="s">
        <v>46</v>
      </c>
      <c r="AY32" s="106" t="s">
        <v>46</v>
      </c>
      <c r="AZ32" s="106" t="s">
        <v>46</v>
      </c>
      <c r="BA32" s="106" t="s">
        <v>46</v>
      </c>
      <c r="BB32" s="106" t="s">
        <v>46</v>
      </c>
      <c r="BC32" s="108" t="s">
        <v>46</v>
      </c>
      <c r="BD32" s="106" t="s">
        <v>46</v>
      </c>
      <c r="BE32" s="109" t="s">
        <v>46</v>
      </c>
      <c r="BF32" s="106" t="s">
        <v>46</v>
      </c>
      <c r="BG32" s="108" t="s">
        <v>46</v>
      </c>
      <c r="BH32" s="106" t="s">
        <v>46</v>
      </c>
      <c r="BI32" s="110" t="s">
        <v>46</v>
      </c>
      <c r="BJ32" s="106" t="s">
        <v>46</v>
      </c>
      <c r="BK32" s="110" t="s">
        <v>46</v>
      </c>
      <c r="BL32" s="106" t="s">
        <v>46</v>
      </c>
      <c r="BM32" s="108" t="s">
        <v>46</v>
      </c>
      <c r="BN32" s="108" t="s">
        <v>46</v>
      </c>
      <c r="BO32" s="108" t="s">
        <v>46</v>
      </c>
      <c r="BP32" s="108" t="s">
        <v>46</v>
      </c>
      <c r="BQ32" s="108" t="s">
        <v>46</v>
      </c>
      <c r="BR32" s="108" t="s">
        <v>46</v>
      </c>
      <c r="BS32" s="108" t="s">
        <v>46</v>
      </c>
      <c r="BT32" s="108" t="s">
        <v>46</v>
      </c>
      <c r="BU32" s="108" t="s">
        <v>46</v>
      </c>
      <c r="BV32" s="108" t="s">
        <v>46</v>
      </c>
      <c r="BW32" s="108" t="s">
        <v>46</v>
      </c>
      <c r="BX32" s="108" t="s">
        <v>46</v>
      </c>
      <c r="BY32" s="108" t="s">
        <v>46</v>
      </c>
      <c r="BZ32" s="108" t="s">
        <v>46</v>
      </c>
      <c r="CA32" s="108" t="s">
        <v>46</v>
      </c>
      <c r="CB32" s="106" t="s">
        <v>46</v>
      </c>
      <c r="CC32" s="109" t="s">
        <v>46</v>
      </c>
      <c r="CD32" s="111" t="s">
        <v>46</v>
      </c>
      <c r="CE32" s="108" t="s">
        <v>46</v>
      </c>
      <c r="CF32" s="110" t="s">
        <v>46</v>
      </c>
      <c r="CG32" s="112" t="s">
        <v>46</v>
      </c>
      <c r="CH32" s="106" t="s">
        <v>46</v>
      </c>
      <c r="CI32" s="110" t="s">
        <v>46</v>
      </c>
      <c r="CJ32" s="111" t="s">
        <v>46</v>
      </c>
      <c r="CK32" s="108" t="s">
        <v>46</v>
      </c>
      <c r="CL32" s="110" t="s">
        <v>46</v>
      </c>
      <c r="CM32" s="111" t="s">
        <v>46</v>
      </c>
      <c r="CN32" s="108" t="s">
        <v>46</v>
      </c>
      <c r="CO32" s="108" t="s">
        <v>46</v>
      </c>
      <c r="CP32" s="113" t="s">
        <v>46</v>
      </c>
      <c r="CQ32" s="106" t="s">
        <v>46</v>
      </c>
      <c r="CR32" s="110" t="s">
        <v>46</v>
      </c>
      <c r="CS32" s="111" t="s">
        <v>46</v>
      </c>
      <c r="CT32" s="101" t="s">
        <v>46</v>
      </c>
      <c r="CU32" s="101" t="s">
        <v>46</v>
      </c>
      <c r="CV32" s="111" t="s">
        <v>46</v>
      </c>
      <c r="CW32" s="101" t="s">
        <v>46</v>
      </c>
      <c r="CX32" s="101" t="s">
        <v>46</v>
      </c>
      <c r="CY32" s="111" t="s">
        <v>46</v>
      </c>
      <c r="CZ32" s="101" t="s">
        <v>46</v>
      </c>
      <c r="DA32" s="101" t="s">
        <v>46</v>
      </c>
      <c r="DB32" s="111" t="s">
        <v>46</v>
      </c>
      <c r="DC32" s="101" t="s">
        <v>46</v>
      </c>
      <c r="DD32" s="101" t="s">
        <v>46</v>
      </c>
      <c r="DE32" s="111" t="s">
        <v>46</v>
      </c>
      <c r="DF32" s="101" t="s">
        <v>46</v>
      </c>
      <c r="DG32" s="101" t="s">
        <v>46</v>
      </c>
      <c r="DH32" s="111" t="s">
        <v>46</v>
      </c>
      <c r="DI32" s="101" t="s">
        <v>46</v>
      </c>
      <c r="DJ32" s="101" t="s">
        <v>46</v>
      </c>
      <c r="DK32" s="111" t="s">
        <v>46</v>
      </c>
      <c r="DL32" s="101" t="s">
        <v>46</v>
      </c>
      <c r="DM32" s="101" t="s">
        <v>46</v>
      </c>
      <c r="DN32" s="111" t="s">
        <v>46</v>
      </c>
      <c r="DO32" s="101" t="s">
        <v>46</v>
      </c>
      <c r="DP32" s="101" t="s">
        <v>46</v>
      </c>
      <c r="DQ32" s="111" t="s">
        <v>46</v>
      </c>
      <c r="DR32" s="101" t="s">
        <v>46</v>
      </c>
      <c r="DS32" s="101" t="s">
        <v>46</v>
      </c>
      <c r="DT32" s="111" t="s">
        <v>46</v>
      </c>
      <c r="DU32" s="101" t="s">
        <v>46</v>
      </c>
      <c r="DV32" s="101" t="s">
        <v>46</v>
      </c>
      <c r="DW32" s="111" t="s">
        <v>46</v>
      </c>
      <c r="DX32" s="101" t="s">
        <v>46</v>
      </c>
      <c r="DY32" s="101" t="s">
        <v>46</v>
      </c>
      <c r="DZ32" s="111" t="s">
        <v>46</v>
      </c>
      <c r="EA32" s="111" t="s">
        <v>46</v>
      </c>
      <c r="EB32" s="111" t="s">
        <v>46</v>
      </c>
      <c r="EC32" s="101"/>
      <c r="ED32" s="111" t="s">
        <v>46</v>
      </c>
      <c r="EE32" s="111" t="s">
        <v>46</v>
      </c>
      <c r="EF32" s="101"/>
      <c r="EG32" s="111" t="s">
        <v>46</v>
      </c>
      <c r="EH32" s="111" t="s">
        <v>46</v>
      </c>
      <c r="EI32" s="101"/>
      <c r="EJ32" s="111" t="s">
        <v>46</v>
      </c>
      <c r="EK32" s="111" t="s">
        <v>46</v>
      </c>
      <c r="EL32" s="101"/>
      <c r="EM32" s="111" t="s">
        <v>46</v>
      </c>
      <c r="EN32" s="111" t="s">
        <v>46</v>
      </c>
      <c r="EO32" s="101"/>
      <c r="EP32" s="111" t="s">
        <v>46</v>
      </c>
      <c r="EQ32" s="114" t="s">
        <v>46</v>
      </c>
      <c r="ER32" s="101"/>
      <c r="ES32" s="115" t="s">
        <v>46</v>
      </c>
      <c r="ET32" s="115" t="s">
        <v>46</v>
      </c>
      <c r="EU32" s="101"/>
      <c r="EV32" s="115" t="s">
        <v>46</v>
      </c>
      <c r="EW32" s="115" t="s">
        <v>46</v>
      </c>
      <c r="EX32" s="101"/>
      <c r="EY32" s="115" t="s">
        <v>46</v>
      </c>
      <c r="EZ32" s="115" t="s">
        <v>46</v>
      </c>
      <c r="FA32" s="101"/>
      <c r="FB32" s="115" t="s">
        <v>46</v>
      </c>
      <c r="FC32" s="115" t="s">
        <v>46</v>
      </c>
      <c r="FD32" s="101"/>
      <c r="FE32" s="115" t="s">
        <v>46</v>
      </c>
      <c r="FF32" s="115" t="s">
        <v>46</v>
      </c>
      <c r="FG32" s="101"/>
      <c r="FH32" s="115" t="s">
        <v>46</v>
      </c>
      <c r="FI32" s="115" t="s">
        <v>46</v>
      </c>
      <c r="FJ32" s="101"/>
      <c r="FK32" s="115" t="s">
        <v>46</v>
      </c>
      <c r="FL32" s="115" t="s">
        <v>46</v>
      </c>
      <c r="FM32" s="101"/>
      <c r="FN32" s="115" t="s">
        <v>46</v>
      </c>
      <c r="FO32" s="115" t="s">
        <v>46</v>
      </c>
      <c r="FP32" s="106"/>
      <c r="FQ32" s="115" t="s">
        <v>46</v>
      </c>
      <c r="FR32" s="115" t="s">
        <v>46</v>
      </c>
      <c r="FS32" s="101"/>
      <c r="FT32" s="115" t="s">
        <v>46</v>
      </c>
      <c r="FU32" s="115" t="s">
        <v>46</v>
      </c>
      <c r="FV32" s="101"/>
      <c r="FW32" s="115" t="s">
        <v>46</v>
      </c>
      <c r="FX32" s="115" t="s">
        <v>46</v>
      </c>
      <c r="FY32" s="101"/>
      <c r="FZ32" s="115" t="s">
        <v>46</v>
      </c>
      <c r="GA32" s="115" t="s">
        <v>46</v>
      </c>
      <c r="GB32" s="101"/>
      <c r="GC32" s="115" t="s">
        <v>46</v>
      </c>
      <c r="GD32" s="115"/>
      <c r="GE32" s="235"/>
      <c r="GF32" s="115"/>
      <c r="GG32" s="104"/>
      <c r="GH32" s="97">
        <f t="shared" si="2"/>
        <v>0</v>
      </c>
      <c r="GI32" s="105"/>
      <c r="GJ32" s="105"/>
      <c r="GK32" s="97">
        <f t="shared" si="4"/>
        <v>0</v>
      </c>
      <c r="GL32" s="105"/>
      <c r="GM32" s="105"/>
      <c r="GN32" s="97">
        <f t="shared" si="5"/>
        <v>0</v>
      </c>
      <c r="GO32" s="105"/>
      <c r="GP32" s="105"/>
      <c r="GQ32" s="97">
        <f t="shared" si="6"/>
        <v>0</v>
      </c>
      <c r="GR32" s="105"/>
      <c r="GS32" s="105"/>
    </row>
    <row r="33" spans="1:201" ht="10.5" customHeight="1" x14ac:dyDescent="0.3">
      <c r="A33" s="99">
        <f t="shared" si="3"/>
        <v>26</v>
      </c>
      <c r="B33" s="56"/>
      <c r="C33" s="86"/>
      <c r="D33" s="87"/>
      <c r="E33" s="87"/>
      <c r="F33" s="87"/>
      <c r="G33" s="88"/>
      <c r="H33" s="87"/>
      <c r="I33" s="87"/>
      <c r="J33" s="87"/>
      <c r="K33" s="87"/>
      <c r="L33" s="88"/>
      <c r="M33" s="87"/>
      <c r="N33" s="87"/>
      <c r="O33" s="87"/>
      <c r="P33" s="87"/>
      <c r="Q33" s="88"/>
      <c r="R33" s="87"/>
      <c r="S33" s="86"/>
      <c r="T33" s="87"/>
      <c r="U33" s="89"/>
      <c r="V33" s="87"/>
      <c r="W33" s="89"/>
      <c r="X33" s="87"/>
      <c r="Y33" s="89"/>
      <c r="Z33" s="87"/>
      <c r="AA33" s="88"/>
      <c r="AB33" s="87"/>
      <c r="AC33" s="89"/>
      <c r="AD33" s="87"/>
      <c r="AE33" s="88"/>
      <c r="AF33" s="87"/>
      <c r="AG33" s="88"/>
      <c r="AH33" s="87"/>
      <c r="AI33" s="89"/>
      <c r="AJ33" s="87"/>
      <c r="AK33" s="88"/>
      <c r="AL33" s="87"/>
      <c r="AM33" s="87"/>
      <c r="AN33" s="87"/>
      <c r="AO33" s="87"/>
      <c r="AP33" s="87"/>
      <c r="AQ33" s="87"/>
      <c r="AR33" s="87"/>
      <c r="AS33" s="88"/>
      <c r="AT33" s="87"/>
      <c r="AU33" s="87"/>
      <c r="AV33" s="87"/>
      <c r="AW33" s="87"/>
      <c r="AX33" s="88"/>
      <c r="AY33" s="87"/>
      <c r="AZ33" s="87"/>
      <c r="BA33" s="87"/>
      <c r="BB33" s="87"/>
      <c r="BC33" s="88"/>
      <c r="BD33" s="87"/>
      <c r="BE33" s="86"/>
      <c r="BF33" s="87"/>
      <c r="BG33" s="88"/>
      <c r="BH33" s="87"/>
      <c r="BI33" s="89"/>
      <c r="BJ33" s="87"/>
      <c r="BK33" s="89"/>
      <c r="BL33" s="87"/>
      <c r="BM33" s="88"/>
      <c r="BN33" s="100"/>
      <c r="BO33" s="88"/>
      <c r="BP33" s="87"/>
      <c r="BQ33" s="88"/>
      <c r="BR33" s="87"/>
      <c r="BS33" s="88"/>
      <c r="BT33" s="87"/>
      <c r="BU33" s="88"/>
      <c r="BV33" s="87"/>
      <c r="BW33" s="88"/>
      <c r="BX33" s="87"/>
      <c r="BY33" s="88"/>
      <c r="BZ33" s="87"/>
      <c r="CA33" s="88"/>
      <c r="CB33" s="87"/>
      <c r="CC33" s="86"/>
      <c r="CD33" s="91"/>
      <c r="CE33" s="88"/>
      <c r="CF33" s="89"/>
      <c r="CG33" s="89"/>
      <c r="CH33" s="87"/>
      <c r="CI33" s="89"/>
      <c r="CJ33" s="91"/>
      <c r="CK33" s="88"/>
      <c r="CL33" s="89"/>
      <c r="CM33" s="91"/>
      <c r="CN33" s="88"/>
      <c r="CO33" s="88"/>
      <c r="CP33" s="88"/>
      <c r="CQ33" s="87"/>
      <c r="CR33" s="89"/>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102"/>
      <c r="EB33" s="91"/>
      <c r="EC33" s="91"/>
      <c r="ED33" s="102"/>
      <c r="EE33" s="102"/>
      <c r="EF33" s="91"/>
      <c r="EG33" s="102"/>
      <c r="EH33" s="102"/>
      <c r="EI33" s="91"/>
      <c r="EJ33" s="102"/>
      <c r="EK33" s="102"/>
      <c r="EL33" s="91"/>
      <c r="EM33" s="102"/>
      <c r="EN33" s="102"/>
      <c r="EO33" s="91"/>
      <c r="EP33" s="102"/>
      <c r="EQ33" s="103"/>
      <c r="ER33" s="91"/>
      <c r="ES33" s="54"/>
      <c r="ET33" s="54"/>
      <c r="EU33" s="91"/>
      <c r="EV33" s="54"/>
      <c r="EW33" s="54"/>
      <c r="EX33" s="91"/>
      <c r="EY33" s="54"/>
      <c r="EZ33" s="54"/>
      <c r="FA33" s="91"/>
      <c r="FB33" s="54"/>
      <c r="FC33" s="54"/>
      <c r="FD33" s="91"/>
      <c r="FE33" s="54"/>
      <c r="FF33" s="54"/>
      <c r="FG33" s="91"/>
      <c r="FH33" s="54"/>
      <c r="FI33" s="54"/>
      <c r="FJ33" s="91"/>
      <c r="FK33" s="54"/>
      <c r="FL33" s="54"/>
      <c r="FM33" s="91"/>
      <c r="FN33" s="54"/>
      <c r="FO33" s="54"/>
      <c r="FP33" s="87"/>
      <c r="FQ33" s="54"/>
      <c r="FR33" s="54"/>
      <c r="FS33" s="91"/>
      <c r="FT33" s="54"/>
      <c r="FU33" s="54"/>
      <c r="FV33" s="91"/>
      <c r="FW33" s="54"/>
      <c r="FX33" s="54"/>
      <c r="FY33" s="91"/>
      <c r="FZ33" s="54"/>
      <c r="GA33" s="54"/>
      <c r="GB33" s="91"/>
      <c r="GC33" s="54"/>
      <c r="GD33" s="54"/>
      <c r="GE33" s="133"/>
      <c r="GF33" s="54"/>
      <c r="GG33" s="104"/>
      <c r="GH33" s="97">
        <f t="shared" si="2"/>
        <v>0</v>
      </c>
      <c r="GI33" s="105"/>
      <c r="GJ33" s="105"/>
      <c r="GK33" s="97"/>
      <c r="GL33" s="105"/>
      <c r="GM33" s="105"/>
      <c r="GN33" s="97"/>
      <c r="GO33" s="105"/>
      <c r="GP33" s="105"/>
      <c r="GQ33" s="97"/>
      <c r="GR33" s="105"/>
      <c r="GS33" s="105"/>
    </row>
    <row r="34" spans="1:201" ht="10.5" customHeight="1" x14ac:dyDescent="0.3">
      <c r="A34" s="99">
        <f t="shared" si="3"/>
        <v>27</v>
      </c>
      <c r="B34" s="56" t="s">
        <v>52</v>
      </c>
      <c r="C34" s="86">
        <v>331</v>
      </c>
      <c r="D34" s="106" t="str">
        <f>D36</f>
        <v>-</v>
      </c>
      <c r="E34" s="106" t="s">
        <v>46</v>
      </c>
      <c r="F34" s="106" t="s">
        <v>46</v>
      </c>
      <c r="G34" s="108" t="s">
        <v>46</v>
      </c>
      <c r="H34" s="106" t="s">
        <v>46</v>
      </c>
      <c r="I34" s="106" t="s">
        <v>46</v>
      </c>
      <c r="J34" s="106" t="s">
        <v>46</v>
      </c>
      <c r="K34" s="106" t="s">
        <v>46</v>
      </c>
      <c r="L34" s="108" t="s">
        <v>46</v>
      </c>
      <c r="M34" s="106" t="s">
        <v>46</v>
      </c>
      <c r="N34" s="106" t="s">
        <v>46</v>
      </c>
      <c r="O34" s="106" t="s">
        <v>46</v>
      </c>
      <c r="P34" s="106" t="s">
        <v>46</v>
      </c>
      <c r="Q34" s="108" t="s">
        <v>46</v>
      </c>
      <c r="R34" s="106" t="s">
        <v>46</v>
      </c>
      <c r="S34" s="109" t="s">
        <v>46</v>
      </c>
      <c r="T34" s="106" t="s">
        <v>46</v>
      </c>
      <c r="U34" s="110" t="s">
        <v>46</v>
      </c>
      <c r="V34" s="106" t="s">
        <v>46</v>
      </c>
      <c r="W34" s="110" t="s">
        <v>46</v>
      </c>
      <c r="X34" s="106" t="s">
        <v>46</v>
      </c>
      <c r="Y34" s="110" t="s">
        <v>46</v>
      </c>
      <c r="Z34" s="106" t="s">
        <v>46</v>
      </c>
      <c r="AA34" s="108" t="s">
        <v>46</v>
      </c>
      <c r="AB34" s="106" t="s">
        <v>46</v>
      </c>
      <c r="AC34" s="110" t="s">
        <v>46</v>
      </c>
      <c r="AD34" s="106" t="s">
        <v>46</v>
      </c>
      <c r="AE34" s="108" t="s">
        <v>46</v>
      </c>
      <c r="AF34" s="106" t="s">
        <v>46</v>
      </c>
      <c r="AG34" s="108" t="s">
        <v>46</v>
      </c>
      <c r="AH34" s="106" t="s">
        <v>46</v>
      </c>
      <c r="AI34" s="110" t="s">
        <v>46</v>
      </c>
      <c r="AJ34" s="106" t="s">
        <v>46</v>
      </c>
      <c r="AK34" s="108" t="s">
        <v>46</v>
      </c>
      <c r="AL34" s="106" t="s">
        <v>46</v>
      </c>
      <c r="AM34" s="106" t="s">
        <v>46</v>
      </c>
      <c r="AN34" s="106" t="s">
        <v>46</v>
      </c>
      <c r="AO34" s="106" t="s">
        <v>46</v>
      </c>
      <c r="AP34" s="106" t="s">
        <v>46</v>
      </c>
      <c r="AQ34" s="89">
        <v>42</v>
      </c>
      <c r="AR34" s="87">
        <v>43</v>
      </c>
      <c r="AS34" s="88">
        <v>45</v>
      </c>
      <c r="AT34" s="87">
        <v>47</v>
      </c>
      <c r="AU34" s="88">
        <v>50</v>
      </c>
      <c r="AV34" s="87">
        <v>52</v>
      </c>
      <c r="AW34" s="86">
        <v>56</v>
      </c>
      <c r="AX34" s="87">
        <v>57</v>
      </c>
      <c r="AY34" s="89">
        <v>61</v>
      </c>
      <c r="AZ34" s="87">
        <v>62</v>
      </c>
      <c r="BA34" s="89">
        <v>63</v>
      </c>
      <c r="BB34" s="87">
        <v>64</v>
      </c>
      <c r="BC34" s="89">
        <v>65</v>
      </c>
      <c r="BD34" s="87">
        <v>66</v>
      </c>
      <c r="BE34" s="88">
        <v>67</v>
      </c>
      <c r="BF34" s="87">
        <v>69</v>
      </c>
      <c r="BG34" s="88">
        <v>71</v>
      </c>
      <c r="BH34" s="87">
        <v>74</v>
      </c>
      <c r="BI34" s="89">
        <v>78</v>
      </c>
      <c r="BJ34" s="87">
        <v>84</v>
      </c>
      <c r="BK34" s="87">
        <v>91</v>
      </c>
      <c r="BL34" s="87">
        <v>96</v>
      </c>
      <c r="BM34" s="88">
        <v>100</v>
      </c>
      <c r="BN34" s="100">
        <v>129</v>
      </c>
      <c r="BO34" s="88">
        <v>137</v>
      </c>
      <c r="BP34" s="87">
        <v>142</v>
      </c>
      <c r="BQ34" s="88">
        <v>150</v>
      </c>
      <c r="BR34" s="87">
        <v>158</v>
      </c>
      <c r="BS34" s="88">
        <v>166</v>
      </c>
      <c r="BT34" s="87">
        <v>180</v>
      </c>
      <c r="BU34" s="88">
        <v>196</v>
      </c>
      <c r="BV34" s="87">
        <v>208</v>
      </c>
      <c r="BW34" s="88">
        <v>222</v>
      </c>
      <c r="BX34" s="87">
        <v>225</v>
      </c>
      <c r="BY34" s="88">
        <v>236</v>
      </c>
      <c r="BZ34" s="87">
        <v>235</v>
      </c>
      <c r="CA34" s="88">
        <v>242</v>
      </c>
      <c r="CB34" s="87">
        <v>245</v>
      </c>
      <c r="CC34" s="89">
        <v>253</v>
      </c>
      <c r="CD34" s="91">
        <v>252.5</v>
      </c>
      <c r="CE34" s="88">
        <v>259</v>
      </c>
      <c r="CF34" s="88">
        <v>268</v>
      </c>
      <c r="CG34" s="88">
        <v>266.25</v>
      </c>
      <c r="CH34" s="87">
        <v>270</v>
      </c>
      <c r="CI34" s="89">
        <v>273</v>
      </c>
      <c r="CJ34" s="91">
        <v>273</v>
      </c>
      <c r="CK34" s="88">
        <v>276</v>
      </c>
      <c r="CL34" s="89">
        <v>280</v>
      </c>
      <c r="CM34" s="91">
        <v>279</v>
      </c>
      <c r="CN34" s="88">
        <v>280</v>
      </c>
      <c r="CO34" s="88">
        <v>284</v>
      </c>
      <c r="CP34" s="88">
        <v>284.25</v>
      </c>
      <c r="CQ34" s="87">
        <v>289</v>
      </c>
      <c r="CR34" s="89">
        <v>296</v>
      </c>
      <c r="CS34" s="91">
        <v>295</v>
      </c>
      <c r="CT34" s="91">
        <v>299</v>
      </c>
      <c r="CU34" s="91">
        <v>306</v>
      </c>
      <c r="CV34" s="91">
        <v>305.25</v>
      </c>
      <c r="CW34" s="91">
        <v>310</v>
      </c>
      <c r="CX34" s="91">
        <v>303</v>
      </c>
      <c r="CY34" s="91">
        <v>305.25</v>
      </c>
      <c r="CZ34" s="91">
        <v>305</v>
      </c>
      <c r="DA34" s="91">
        <v>310</v>
      </c>
      <c r="DB34" s="91">
        <v>311</v>
      </c>
      <c r="DC34" s="91">
        <v>319</v>
      </c>
      <c r="DD34" s="91">
        <v>319</v>
      </c>
      <c r="DE34" s="91">
        <v>319.5</v>
      </c>
      <c r="DF34" s="91">
        <v>321</v>
      </c>
      <c r="DG34" s="91">
        <v>323</v>
      </c>
      <c r="DH34" s="91">
        <f>(DF34+DG34*2+DI34)/4</f>
        <v>322.75</v>
      </c>
      <c r="DI34" s="91">
        <v>324</v>
      </c>
      <c r="DJ34" s="101">
        <v>327</v>
      </c>
      <c r="DK34" s="91">
        <f>(DI34+DJ34*2+DL34)/4</f>
        <v>327.5</v>
      </c>
      <c r="DL34" s="91">
        <v>332</v>
      </c>
      <c r="DM34" s="91">
        <v>353</v>
      </c>
      <c r="DN34" s="91">
        <f>(DL34+DM34*2+DO34)/4</f>
        <v>348.25</v>
      </c>
      <c r="DO34" s="91">
        <v>355</v>
      </c>
      <c r="DP34" s="91">
        <v>365</v>
      </c>
      <c r="DQ34" s="91">
        <f>(DO34+DP34*2+DR34)/4</f>
        <v>363.25</v>
      </c>
      <c r="DR34" s="91">
        <v>368</v>
      </c>
      <c r="DS34" s="91">
        <v>387</v>
      </c>
      <c r="DT34" s="91">
        <f>(DR34+DS34*2+DU34)/4</f>
        <v>383</v>
      </c>
      <c r="DU34" s="91">
        <v>390</v>
      </c>
      <c r="DV34" s="91">
        <v>381</v>
      </c>
      <c r="DW34" s="91">
        <f>(DU34+DV34*2+DX34)/4</f>
        <v>384.75</v>
      </c>
      <c r="DX34" s="91">
        <v>387</v>
      </c>
      <c r="DY34" s="91">
        <v>386</v>
      </c>
      <c r="DZ34" s="91">
        <f>(DX34+DY34*2+EA34)/4</f>
        <v>392.5</v>
      </c>
      <c r="EA34" s="101">
        <v>411</v>
      </c>
      <c r="EB34" s="91">
        <v>415</v>
      </c>
      <c r="EC34" s="91">
        <f>(EA34+EB34*2+ED34)/4</f>
        <v>420.75</v>
      </c>
      <c r="ED34" s="102">
        <v>442</v>
      </c>
      <c r="EE34" s="102">
        <v>451</v>
      </c>
      <c r="EF34" s="91">
        <f>(ED34+EE34*2+EG34)/4</f>
        <v>456</v>
      </c>
      <c r="EG34" s="102">
        <v>480</v>
      </c>
      <c r="EH34" s="102">
        <v>483.89346343810598</v>
      </c>
      <c r="EI34" s="91">
        <f>(EG34+EH34*2+EJ34)/4</f>
        <v>489.44673171905299</v>
      </c>
      <c r="EJ34" s="102">
        <v>510</v>
      </c>
      <c r="EK34" s="102">
        <v>534</v>
      </c>
      <c r="EL34" s="91">
        <f>(EJ34+EK34*2+EM34)/4</f>
        <v>539</v>
      </c>
      <c r="EM34" s="102">
        <v>578</v>
      </c>
      <c r="EN34" s="102">
        <v>576</v>
      </c>
      <c r="EO34" s="91">
        <f>(EM34+EN34*2+EP34)/4</f>
        <v>582.75</v>
      </c>
      <c r="EP34" s="102">
        <v>601</v>
      </c>
      <c r="EQ34" s="103">
        <v>601</v>
      </c>
      <c r="ER34" s="91">
        <f>(EP34+EQ34*2+ES34)/4</f>
        <v>601.25</v>
      </c>
      <c r="ES34" s="54">
        <v>602</v>
      </c>
      <c r="ET34" s="54">
        <v>610</v>
      </c>
      <c r="EU34" s="91">
        <f>(ES34+ET34*2+EV34)/4</f>
        <v>614</v>
      </c>
      <c r="EV34" s="54">
        <v>634</v>
      </c>
      <c r="EW34" s="54">
        <v>669</v>
      </c>
      <c r="EX34" s="91">
        <f>(EV34+EW34*2+EY34)/4</f>
        <v>665.75</v>
      </c>
      <c r="EY34" s="54">
        <v>691</v>
      </c>
      <c r="EZ34" s="54">
        <v>684</v>
      </c>
      <c r="FA34" s="91">
        <f>(EY34+EZ34*2+FB34)/4</f>
        <v>692.75</v>
      </c>
      <c r="FB34" s="54">
        <v>712</v>
      </c>
      <c r="FC34" s="54">
        <v>743</v>
      </c>
      <c r="FD34" s="91">
        <f>(FB34+FC34*2+FE34)/4</f>
        <v>732.75</v>
      </c>
      <c r="FE34" s="54">
        <v>733</v>
      </c>
      <c r="FF34" s="54">
        <v>744</v>
      </c>
      <c r="FG34" s="91">
        <f>(FE34+FF34*2+FH34)/4</f>
        <v>743.75</v>
      </c>
      <c r="FH34" s="54">
        <v>754</v>
      </c>
      <c r="FI34" s="54">
        <v>759</v>
      </c>
      <c r="FJ34" s="91">
        <f>(FH34+FI34*2+FK34)/4</f>
        <v>766.25</v>
      </c>
      <c r="FK34" s="54">
        <v>793</v>
      </c>
      <c r="FL34" s="54">
        <v>785</v>
      </c>
      <c r="FM34" s="91">
        <f>(FK34+FL34*2+FN34)/4</f>
        <v>793.25</v>
      </c>
      <c r="FN34" s="54">
        <v>810</v>
      </c>
      <c r="FO34" s="54">
        <v>825</v>
      </c>
      <c r="FP34" s="87">
        <f>(FN34+FO34*2+FQ34)/4</f>
        <v>826</v>
      </c>
      <c r="FQ34" s="54">
        <v>844</v>
      </c>
      <c r="FR34" s="54">
        <v>858</v>
      </c>
      <c r="FS34" s="91">
        <f>(FQ34+FR34*2+FT34)/4</f>
        <v>861</v>
      </c>
      <c r="FT34" s="54">
        <v>884</v>
      </c>
      <c r="FU34" s="54">
        <v>895</v>
      </c>
      <c r="FV34" s="91">
        <f>(FT34+FU34*2+FW34)/4</f>
        <v>901.25</v>
      </c>
      <c r="FW34" s="54">
        <v>931</v>
      </c>
      <c r="FX34" s="54">
        <v>979</v>
      </c>
      <c r="FY34" s="91">
        <f>(FW34+FX34*2+FZ34)/4</f>
        <v>988.5</v>
      </c>
      <c r="FZ34" s="54">
        <v>1065</v>
      </c>
      <c r="GA34" s="54">
        <v>1132</v>
      </c>
      <c r="GB34" s="91">
        <f>(FZ34+GA34*2+GC34)/4</f>
        <v>1137.25</v>
      </c>
      <c r="GC34" s="54">
        <v>1220</v>
      </c>
      <c r="GD34" s="54"/>
      <c r="GE34" s="133">
        <f>GC34</f>
        <v>1220</v>
      </c>
      <c r="GF34" s="54"/>
      <c r="GG34" s="104"/>
      <c r="GH34" s="97">
        <f t="shared" si="2"/>
        <v>0</v>
      </c>
      <c r="GI34" s="105"/>
      <c r="GJ34" s="105"/>
      <c r="GK34" s="97"/>
      <c r="GL34" s="105"/>
      <c r="GM34" s="105"/>
      <c r="GN34" s="97"/>
      <c r="GO34" s="105"/>
      <c r="GP34" s="105"/>
      <c r="GQ34" s="97"/>
      <c r="GR34" s="105"/>
      <c r="GS34" s="105"/>
    </row>
    <row r="35" spans="1:201" ht="10.5" customHeight="1" x14ac:dyDescent="0.3">
      <c r="A35" s="99">
        <f t="shared" si="3"/>
        <v>28</v>
      </c>
      <c r="B35" s="56" t="s">
        <v>53</v>
      </c>
      <c r="C35" s="86">
        <v>331</v>
      </c>
      <c r="D35" s="106" t="s">
        <v>46</v>
      </c>
      <c r="E35" s="106" t="s">
        <v>46</v>
      </c>
      <c r="F35" s="106" t="s">
        <v>46</v>
      </c>
      <c r="G35" s="108" t="s">
        <v>46</v>
      </c>
      <c r="H35" s="106" t="s">
        <v>46</v>
      </c>
      <c r="I35" s="106" t="s">
        <v>46</v>
      </c>
      <c r="J35" s="106" t="s">
        <v>46</v>
      </c>
      <c r="K35" s="106" t="s">
        <v>46</v>
      </c>
      <c r="L35" s="108" t="s">
        <v>46</v>
      </c>
      <c r="M35" s="106" t="s">
        <v>46</v>
      </c>
      <c r="N35" s="106" t="s">
        <v>46</v>
      </c>
      <c r="O35" s="106" t="s">
        <v>46</v>
      </c>
      <c r="P35" s="106" t="s">
        <v>46</v>
      </c>
      <c r="Q35" s="108" t="s">
        <v>46</v>
      </c>
      <c r="R35" s="106" t="s">
        <v>46</v>
      </c>
      <c r="S35" s="109" t="s">
        <v>46</v>
      </c>
      <c r="T35" s="106" t="s">
        <v>46</v>
      </c>
      <c r="U35" s="110" t="s">
        <v>46</v>
      </c>
      <c r="V35" s="106" t="s">
        <v>46</v>
      </c>
      <c r="W35" s="110" t="s">
        <v>46</v>
      </c>
      <c r="X35" s="106" t="s">
        <v>46</v>
      </c>
      <c r="Y35" s="110" t="s">
        <v>46</v>
      </c>
      <c r="Z35" s="106" t="s">
        <v>46</v>
      </c>
      <c r="AA35" s="108" t="s">
        <v>46</v>
      </c>
      <c r="AB35" s="106" t="s">
        <v>46</v>
      </c>
      <c r="AC35" s="110" t="s">
        <v>46</v>
      </c>
      <c r="AD35" s="106" t="s">
        <v>46</v>
      </c>
      <c r="AE35" s="108" t="s">
        <v>46</v>
      </c>
      <c r="AF35" s="106" t="s">
        <v>46</v>
      </c>
      <c r="AG35" s="108" t="s">
        <v>46</v>
      </c>
      <c r="AH35" s="106" t="s">
        <v>46</v>
      </c>
      <c r="AI35" s="110" t="s">
        <v>46</v>
      </c>
      <c r="AJ35" s="106" t="s">
        <v>46</v>
      </c>
      <c r="AK35" s="108" t="s">
        <v>46</v>
      </c>
      <c r="AL35" s="106" t="s">
        <v>46</v>
      </c>
      <c r="AM35" s="106" t="s">
        <v>46</v>
      </c>
      <c r="AN35" s="106" t="s">
        <v>46</v>
      </c>
      <c r="AO35" s="106" t="s">
        <v>46</v>
      </c>
      <c r="AP35" s="106" t="s">
        <v>46</v>
      </c>
      <c r="AQ35" s="89">
        <v>40</v>
      </c>
      <c r="AR35" s="87">
        <v>40</v>
      </c>
      <c r="AS35" s="88">
        <v>43</v>
      </c>
      <c r="AT35" s="87">
        <v>44</v>
      </c>
      <c r="AU35" s="88">
        <v>46</v>
      </c>
      <c r="AV35" s="87">
        <v>49</v>
      </c>
      <c r="AW35" s="86">
        <v>52</v>
      </c>
      <c r="AX35" s="87">
        <v>55</v>
      </c>
      <c r="AY35" s="89">
        <v>57</v>
      </c>
      <c r="AZ35" s="87">
        <v>57</v>
      </c>
      <c r="BA35" s="89">
        <v>58</v>
      </c>
      <c r="BB35" s="87">
        <v>59</v>
      </c>
      <c r="BC35" s="89">
        <v>60</v>
      </c>
      <c r="BD35" s="87">
        <v>61</v>
      </c>
      <c r="BE35" s="88">
        <v>63</v>
      </c>
      <c r="BF35" s="87">
        <v>65</v>
      </c>
      <c r="BG35" s="88">
        <v>67</v>
      </c>
      <c r="BH35" s="87">
        <v>69</v>
      </c>
      <c r="BI35" s="89">
        <v>74</v>
      </c>
      <c r="BJ35" s="87">
        <v>80</v>
      </c>
      <c r="BK35" s="87">
        <v>88</v>
      </c>
      <c r="BL35" s="87">
        <v>96</v>
      </c>
      <c r="BM35" s="88">
        <v>100</v>
      </c>
      <c r="BN35" s="100">
        <v>113</v>
      </c>
      <c r="BO35" s="88">
        <v>125</v>
      </c>
      <c r="BP35" s="87">
        <v>133</v>
      </c>
      <c r="BQ35" s="88">
        <v>141</v>
      </c>
      <c r="BR35" s="87">
        <v>152</v>
      </c>
      <c r="BS35" s="88">
        <v>166</v>
      </c>
      <c r="BT35" s="87">
        <v>180</v>
      </c>
      <c r="BU35" s="88">
        <v>199</v>
      </c>
      <c r="BV35" s="87">
        <v>215</v>
      </c>
      <c r="BW35" s="88">
        <v>223</v>
      </c>
      <c r="BX35" s="87">
        <v>230</v>
      </c>
      <c r="BY35" s="88">
        <v>234</v>
      </c>
      <c r="BZ35" s="87">
        <v>232</v>
      </c>
      <c r="CA35" s="88">
        <v>241</v>
      </c>
      <c r="CB35" s="87">
        <v>246</v>
      </c>
      <c r="CC35" s="89">
        <v>254</v>
      </c>
      <c r="CD35" s="91">
        <v>255</v>
      </c>
      <c r="CE35" s="88">
        <v>266</v>
      </c>
      <c r="CF35" s="88">
        <v>273</v>
      </c>
      <c r="CG35" s="88">
        <v>272</v>
      </c>
      <c r="CH35" s="87">
        <v>276</v>
      </c>
      <c r="CI35" s="89">
        <v>279</v>
      </c>
      <c r="CJ35" s="91">
        <v>279.25</v>
      </c>
      <c r="CK35" s="88">
        <v>283</v>
      </c>
      <c r="CL35" s="89">
        <v>289</v>
      </c>
      <c r="CM35" s="91">
        <v>287</v>
      </c>
      <c r="CN35" s="88">
        <v>287</v>
      </c>
      <c r="CO35" s="88">
        <v>293</v>
      </c>
      <c r="CP35" s="88">
        <v>293</v>
      </c>
      <c r="CQ35" s="87">
        <v>299</v>
      </c>
      <c r="CR35" s="89">
        <v>298</v>
      </c>
      <c r="CS35" s="91">
        <v>302.25</v>
      </c>
      <c r="CT35" s="91">
        <v>314</v>
      </c>
      <c r="CU35" s="91">
        <v>314</v>
      </c>
      <c r="CV35" s="91">
        <v>316.25</v>
      </c>
      <c r="CW35" s="91">
        <v>323</v>
      </c>
      <c r="CX35" s="91">
        <v>326</v>
      </c>
      <c r="CY35" s="91">
        <v>324</v>
      </c>
      <c r="CZ35" s="91">
        <v>321</v>
      </c>
      <c r="DA35" s="91">
        <v>330</v>
      </c>
      <c r="DB35" s="91">
        <v>328.75</v>
      </c>
      <c r="DC35" s="91">
        <v>334</v>
      </c>
      <c r="DD35" s="91">
        <v>337</v>
      </c>
      <c r="DE35" s="91">
        <v>337</v>
      </c>
      <c r="DF35" s="91">
        <v>340</v>
      </c>
      <c r="DG35" s="91">
        <v>342</v>
      </c>
      <c r="DH35" s="91">
        <f>(DF35+DG35*2+DI35)/4</f>
        <v>342.25</v>
      </c>
      <c r="DI35" s="91">
        <v>345</v>
      </c>
      <c r="DJ35" s="101">
        <v>349</v>
      </c>
      <c r="DK35" s="91">
        <f>(DI35+DJ35*2+DL35)/4</f>
        <v>350.75</v>
      </c>
      <c r="DL35" s="91">
        <v>360</v>
      </c>
      <c r="DM35" s="91">
        <v>382</v>
      </c>
      <c r="DN35" s="91">
        <f>(DL35+DM35*2+DO35)/4</f>
        <v>377</v>
      </c>
      <c r="DO35" s="91">
        <v>384</v>
      </c>
      <c r="DP35" s="91">
        <v>392</v>
      </c>
      <c r="DQ35" s="91">
        <f>(DO35+DP35*2+DR35)/4</f>
        <v>390.5</v>
      </c>
      <c r="DR35" s="91">
        <v>394</v>
      </c>
      <c r="DS35" s="91">
        <v>400</v>
      </c>
      <c r="DT35" s="91">
        <f>(DR35+DS35*2+DU35)/4</f>
        <v>399.5</v>
      </c>
      <c r="DU35" s="91">
        <v>404</v>
      </c>
      <c r="DV35" s="91">
        <v>395</v>
      </c>
      <c r="DW35" s="91">
        <f>(DU35+DV35*2+DX35)/4</f>
        <v>403.75</v>
      </c>
      <c r="DX35" s="91">
        <v>421</v>
      </c>
      <c r="DY35" s="91">
        <v>437</v>
      </c>
      <c r="DZ35" s="91">
        <f>(DX35+DY35*2+EA35)/4</f>
        <v>451</v>
      </c>
      <c r="EA35" s="101">
        <v>509</v>
      </c>
      <c r="EB35" s="91">
        <v>508</v>
      </c>
      <c r="EC35" s="91">
        <f>(EA35+EB35*2+ED35)/4</f>
        <v>513.75</v>
      </c>
      <c r="ED35" s="102">
        <v>530</v>
      </c>
      <c r="EE35" s="102">
        <v>539</v>
      </c>
      <c r="EF35" s="91">
        <f>(ED35+EE35*2+EG35)/4</f>
        <v>534</v>
      </c>
      <c r="EG35" s="102">
        <v>528</v>
      </c>
      <c r="EH35" s="102">
        <v>527.37246435137399</v>
      </c>
      <c r="EI35" s="91">
        <f>(EG35+EH35*2+EJ35)/4</f>
        <v>531.436232175687</v>
      </c>
      <c r="EJ35" s="102">
        <v>543</v>
      </c>
      <c r="EK35" s="102">
        <v>606</v>
      </c>
      <c r="EL35" s="91">
        <f>(EJ35+EK35*2+EM35)/4</f>
        <v>590</v>
      </c>
      <c r="EM35" s="102">
        <v>605</v>
      </c>
      <c r="EN35" s="102">
        <v>585</v>
      </c>
      <c r="EO35" s="91">
        <f>(EM35+EN35*2+EP35)/4</f>
        <v>592</v>
      </c>
      <c r="EP35" s="102">
        <v>593</v>
      </c>
      <c r="EQ35" s="103">
        <v>609</v>
      </c>
      <c r="ER35" s="91">
        <f>(EP35+EQ35*2+ES35)/4</f>
        <v>613.75</v>
      </c>
      <c r="ES35" s="54">
        <v>644</v>
      </c>
      <c r="ET35" s="54">
        <v>658.5</v>
      </c>
      <c r="EU35" s="91">
        <f>(ES35+ET35*2+EV35)/4</f>
        <v>668</v>
      </c>
      <c r="EV35" s="54">
        <v>711</v>
      </c>
      <c r="EW35" s="54">
        <v>708</v>
      </c>
      <c r="EX35" s="91">
        <f>(EV35+EW35*2+EY35)/4</f>
        <v>712.75</v>
      </c>
      <c r="EY35" s="54">
        <v>724</v>
      </c>
      <c r="EZ35" s="54">
        <v>704</v>
      </c>
      <c r="FA35" s="91">
        <f>(EY35+EZ35*2+FB35)/4</f>
        <v>706.5</v>
      </c>
      <c r="FB35" s="54">
        <v>694</v>
      </c>
      <c r="FC35" s="54">
        <v>708</v>
      </c>
      <c r="FD35" s="91">
        <f>(FB35+FC35*2+FE35)/4</f>
        <v>705.5</v>
      </c>
      <c r="FE35" s="54">
        <v>712</v>
      </c>
      <c r="FF35" s="54">
        <v>713</v>
      </c>
      <c r="FG35" s="91">
        <f>(FE35+FF35*2+FH35)/4</f>
        <v>708.75</v>
      </c>
      <c r="FH35" s="54">
        <v>697</v>
      </c>
      <c r="FI35" s="54">
        <v>705</v>
      </c>
      <c r="FJ35" s="91">
        <f>(FH35+FI35*2+FK35)/4</f>
        <v>707.5</v>
      </c>
      <c r="FK35" s="54">
        <v>723</v>
      </c>
      <c r="FL35" s="54">
        <v>726</v>
      </c>
      <c r="FM35" s="91">
        <f>(FK35+FL35*2+FN35)/4</f>
        <v>727</v>
      </c>
      <c r="FN35" s="54">
        <v>733</v>
      </c>
      <c r="FO35" s="54">
        <v>770</v>
      </c>
      <c r="FP35" s="87">
        <f>(FN35+FO35*2+FQ35)/4</f>
        <v>766.25</v>
      </c>
      <c r="FQ35" s="54">
        <v>792</v>
      </c>
      <c r="FR35" s="54">
        <v>785</v>
      </c>
      <c r="FS35" s="91">
        <f>(FQ35+FR35*2+FT35)/4</f>
        <v>796.5</v>
      </c>
      <c r="FT35" s="54">
        <v>824</v>
      </c>
      <c r="FU35" s="54">
        <v>830</v>
      </c>
      <c r="FV35" s="91">
        <f>(FT35+FU35*2+FW35)/4</f>
        <v>832.25</v>
      </c>
      <c r="FW35" s="54">
        <v>845</v>
      </c>
      <c r="FX35" s="54">
        <v>962</v>
      </c>
      <c r="FY35" s="91">
        <f>(FW35+FX35*2+FZ35)/4</f>
        <v>953.75</v>
      </c>
      <c r="FZ35" s="54">
        <v>1046</v>
      </c>
      <c r="GA35" s="54">
        <v>1057</v>
      </c>
      <c r="GB35" s="91">
        <f>(FZ35+GA35*2+GC35)/4</f>
        <v>1107.5</v>
      </c>
      <c r="GC35" s="54">
        <v>1270</v>
      </c>
      <c r="GD35" s="54"/>
      <c r="GE35" s="133">
        <f>GC35</f>
        <v>1270</v>
      </c>
      <c r="GF35" s="54"/>
      <c r="GG35" s="104"/>
      <c r="GH35" s="97">
        <f t="shared" si="2"/>
        <v>0</v>
      </c>
      <c r="GI35" s="105"/>
      <c r="GJ35" s="105"/>
      <c r="GK35" s="97">
        <f t="shared" si="4"/>
        <v>0</v>
      </c>
      <c r="GL35" s="105"/>
      <c r="GM35" s="105"/>
      <c r="GN35" s="97">
        <f t="shared" si="5"/>
        <v>0</v>
      </c>
      <c r="GO35" s="105"/>
      <c r="GP35" s="105"/>
      <c r="GQ35" s="97">
        <f t="shared" si="6"/>
        <v>0</v>
      </c>
      <c r="GR35" s="105"/>
      <c r="GS35" s="105"/>
    </row>
    <row r="36" spans="1:201" ht="10.5" customHeight="1" x14ac:dyDescent="0.3">
      <c r="A36" s="99">
        <f t="shared" si="3"/>
        <v>29</v>
      </c>
      <c r="B36" s="56" t="s">
        <v>54</v>
      </c>
      <c r="C36" s="86">
        <v>331</v>
      </c>
      <c r="D36" s="106" t="s">
        <v>46</v>
      </c>
      <c r="E36" s="106" t="s">
        <v>46</v>
      </c>
      <c r="F36" s="106" t="s">
        <v>46</v>
      </c>
      <c r="G36" s="108" t="s">
        <v>46</v>
      </c>
      <c r="H36" s="106" t="s">
        <v>46</v>
      </c>
      <c r="I36" s="106" t="s">
        <v>46</v>
      </c>
      <c r="J36" s="106" t="s">
        <v>46</v>
      </c>
      <c r="K36" s="106" t="s">
        <v>46</v>
      </c>
      <c r="L36" s="108" t="s">
        <v>46</v>
      </c>
      <c r="M36" s="106" t="s">
        <v>46</v>
      </c>
      <c r="N36" s="106" t="s">
        <v>46</v>
      </c>
      <c r="O36" s="106" t="s">
        <v>46</v>
      </c>
      <c r="P36" s="106" t="s">
        <v>46</v>
      </c>
      <c r="Q36" s="108" t="s">
        <v>46</v>
      </c>
      <c r="R36" s="106" t="s">
        <v>46</v>
      </c>
      <c r="S36" s="109" t="s">
        <v>46</v>
      </c>
      <c r="T36" s="106" t="s">
        <v>46</v>
      </c>
      <c r="U36" s="110" t="s">
        <v>46</v>
      </c>
      <c r="V36" s="106" t="s">
        <v>46</v>
      </c>
      <c r="W36" s="110" t="s">
        <v>46</v>
      </c>
      <c r="X36" s="106" t="s">
        <v>46</v>
      </c>
      <c r="Y36" s="110" t="s">
        <v>46</v>
      </c>
      <c r="Z36" s="106" t="s">
        <v>46</v>
      </c>
      <c r="AA36" s="108" t="s">
        <v>46</v>
      </c>
      <c r="AB36" s="106" t="s">
        <v>46</v>
      </c>
      <c r="AC36" s="110" t="s">
        <v>46</v>
      </c>
      <c r="AD36" s="106" t="s">
        <v>46</v>
      </c>
      <c r="AE36" s="108" t="s">
        <v>46</v>
      </c>
      <c r="AF36" s="106" t="s">
        <v>46</v>
      </c>
      <c r="AG36" s="108" t="s">
        <v>46</v>
      </c>
      <c r="AH36" s="106" t="s">
        <v>46</v>
      </c>
      <c r="AI36" s="110" t="s">
        <v>46</v>
      </c>
      <c r="AJ36" s="106" t="s">
        <v>46</v>
      </c>
      <c r="AK36" s="108" t="s">
        <v>46</v>
      </c>
      <c r="AL36" s="106" t="s">
        <v>46</v>
      </c>
      <c r="AM36" s="106" t="s">
        <v>46</v>
      </c>
      <c r="AN36" s="106" t="s">
        <v>46</v>
      </c>
      <c r="AO36" s="106" t="s">
        <v>46</v>
      </c>
      <c r="AP36" s="106" t="s">
        <v>46</v>
      </c>
      <c r="AQ36" s="89">
        <v>44</v>
      </c>
      <c r="AR36" s="87">
        <v>45</v>
      </c>
      <c r="AS36" s="88">
        <v>47</v>
      </c>
      <c r="AT36" s="87">
        <v>48</v>
      </c>
      <c r="AU36" s="88">
        <v>50</v>
      </c>
      <c r="AV36" s="87">
        <v>52</v>
      </c>
      <c r="AW36" s="86">
        <v>54</v>
      </c>
      <c r="AX36" s="87">
        <v>56</v>
      </c>
      <c r="AY36" s="89">
        <v>59</v>
      </c>
      <c r="AZ36" s="87">
        <v>60</v>
      </c>
      <c r="BA36" s="89">
        <v>60</v>
      </c>
      <c r="BB36" s="87">
        <v>61</v>
      </c>
      <c r="BC36" s="89">
        <v>62</v>
      </c>
      <c r="BD36" s="87">
        <v>62</v>
      </c>
      <c r="BE36" s="88">
        <v>64</v>
      </c>
      <c r="BF36" s="87">
        <v>66</v>
      </c>
      <c r="BG36" s="88">
        <v>70</v>
      </c>
      <c r="BH36" s="87">
        <v>72</v>
      </c>
      <c r="BI36" s="89">
        <v>78</v>
      </c>
      <c r="BJ36" s="87">
        <v>80</v>
      </c>
      <c r="BK36" s="87">
        <v>88</v>
      </c>
      <c r="BL36" s="87">
        <v>95</v>
      </c>
      <c r="BM36" s="88">
        <v>100</v>
      </c>
      <c r="BN36" s="100">
        <v>113</v>
      </c>
      <c r="BO36" s="88">
        <v>134</v>
      </c>
      <c r="BP36" s="87">
        <v>138</v>
      </c>
      <c r="BQ36" s="88">
        <v>140</v>
      </c>
      <c r="BR36" s="87">
        <v>148</v>
      </c>
      <c r="BS36" s="88">
        <v>162</v>
      </c>
      <c r="BT36" s="87">
        <v>176</v>
      </c>
      <c r="BU36" s="88">
        <v>189</v>
      </c>
      <c r="BV36" s="87">
        <v>203</v>
      </c>
      <c r="BW36" s="88">
        <v>213</v>
      </c>
      <c r="BX36" s="87">
        <v>218</v>
      </c>
      <c r="BY36" s="88">
        <v>232</v>
      </c>
      <c r="BZ36" s="87">
        <v>239</v>
      </c>
      <c r="CA36" s="88">
        <v>243</v>
      </c>
      <c r="CB36" s="87">
        <v>253</v>
      </c>
      <c r="CC36" s="89">
        <v>257</v>
      </c>
      <c r="CD36" s="91">
        <v>257.5</v>
      </c>
      <c r="CE36" s="88">
        <v>263</v>
      </c>
      <c r="CF36" s="88">
        <v>270</v>
      </c>
      <c r="CG36" s="88">
        <v>269</v>
      </c>
      <c r="CH36" s="87">
        <v>273</v>
      </c>
      <c r="CI36" s="89">
        <v>277</v>
      </c>
      <c r="CJ36" s="91">
        <v>277</v>
      </c>
      <c r="CK36" s="88">
        <v>281</v>
      </c>
      <c r="CL36" s="89">
        <v>290</v>
      </c>
      <c r="CM36" s="91">
        <v>288</v>
      </c>
      <c r="CN36" s="88">
        <v>291</v>
      </c>
      <c r="CO36" s="88">
        <v>295</v>
      </c>
      <c r="CP36" s="88">
        <v>295.25</v>
      </c>
      <c r="CQ36" s="87">
        <v>300</v>
      </c>
      <c r="CR36" s="89">
        <v>303</v>
      </c>
      <c r="CS36" s="91">
        <v>303.25</v>
      </c>
      <c r="CT36" s="91">
        <v>307</v>
      </c>
      <c r="CU36" s="91">
        <v>311</v>
      </c>
      <c r="CV36" s="91">
        <v>310.75</v>
      </c>
      <c r="CW36" s="91">
        <v>314</v>
      </c>
      <c r="CX36" s="91">
        <v>317</v>
      </c>
      <c r="CY36" s="91">
        <v>316.75</v>
      </c>
      <c r="CZ36" s="91">
        <v>319</v>
      </c>
      <c r="DA36" s="91">
        <v>324</v>
      </c>
      <c r="DB36" s="91">
        <v>323.5</v>
      </c>
      <c r="DC36" s="91">
        <v>327</v>
      </c>
      <c r="DD36" s="91">
        <v>330</v>
      </c>
      <c r="DE36" s="91">
        <v>330.5</v>
      </c>
      <c r="DF36" s="91">
        <v>335</v>
      </c>
      <c r="DG36" s="91">
        <v>338</v>
      </c>
      <c r="DH36" s="91">
        <f>(DF36+DG36*2+DI36)/4</f>
        <v>338</v>
      </c>
      <c r="DI36" s="91">
        <v>341</v>
      </c>
      <c r="DJ36" s="101">
        <v>345</v>
      </c>
      <c r="DK36" s="91">
        <f>(DI36+DJ36*2+DL36)/4</f>
        <v>345.25</v>
      </c>
      <c r="DL36" s="91">
        <v>350</v>
      </c>
      <c r="DM36" s="91">
        <v>372</v>
      </c>
      <c r="DN36" s="91">
        <f>(DL36+DM36*2+DO36)/4</f>
        <v>372.25</v>
      </c>
      <c r="DO36" s="91">
        <v>395</v>
      </c>
      <c r="DP36" s="91">
        <v>405</v>
      </c>
      <c r="DQ36" s="91">
        <f>(DO36+DP36*2+DR36)/4</f>
        <v>403.5</v>
      </c>
      <c r="DR36" s="91">
        <v>409</v>
      </c>
      <c r="DS36" s="91">
        <v>416</v>
      </c>
      <c r="DT36" s="91">
        <f>(DR36+DS36*2+DU36)/4</f>
        <v>415.25</v>
      </c>
      <c r="DU36" s="91">
        <v>420</v>
      </c>
      <c r="DV36" s="91">
        <v>411</v>
      </c>
      <c r="DW36" s="91">
        <f>(DU36+DV36*2+DX36)/4</f>
        <v>414.75</v>
      </c>
      <c r="DX36" s="91">
        <v>417</v>
      </c>
      <c r="DY36" s="91">
        <v>423</v>
      </c>
      <c r="DZ36" s="91">
        <f>(DX36+DY36*2+EA36)/4</f>
        <v>424.75</v>
      </c>
      <c r="EA36" s="101">
        <v>436</v>
      </c>
      <c r="EB36" s="91">
        <v>440</v>
      </c>
      <c r="EC36" s="91">
        <f>(EA36+EB36*2+ED36)/4</f>
        <v>442.5</v>
      </c>
      <c r="ED36" s="102">
        <v>454</v>
      </c>
      <c r="EE36" s="102">
        <v>459</v>
      </c>
      <c r="EF36" s="91">
        <f>(ED36+EE36*2+EG36)/4</f>
        <v>458</v>
      </c>
      <c r="EG36" s="102">
        <v>460</v>
      </c>
      <c r="EH36" s="102">
        <v>461.65656250756763</v>
      </c>
      <c r="EI36" s="91">
        <f>(EG36+EH36*2+EJ36)/4</f>
        <v>462.82828125378381</v>
      </c>
      <c r="EJ36" s="102">
        <v>468</v>
      </c>
      <c r="EK36" s="102">
        <v>475</v>
      </c>
      <c r="EL36" s="91">
        <f>(EJ36+EK36*2+EM36)/4</f>
        <v>480</v>
      </c>
      <c r="EM36" s="102">
        <v>502</v>
      </c>
      <c r="EN36" s="102">
        <v>502</v>
      </c>
      <c r="EO36" s="91">
        <f>(EM36+EN36*2+EP36)/4</f>
        <v>500</v>
      </c>
      <c r="EP36" s="102">
        <v>494</v>
      </c>
      <c r="EQ36" s="103">
        <v>495</v>
      </c>
      <c r="ER36" s="91">
        <f>(EP36+EQ36*2+ES36)/4</f>
        <v>498.5</v>
      </c>
      <c r="ES36" s="54">
        <v>510</v>
      </c>
      <c r="ET36" s="54">
        <v>517</v>
      </c>
      <c r="EU36" s="91">
        <f>(ES36+ET36*2+EV36)/4</f>
        <v>516.75</v>
      </c>
      <c r="EV36" s="54">
        <v>523</v>
      </c>
      <c r="EW36" s="54">
        <v>526</v>
      </c>
      <c r="EX36" s="91">
        <f>(EV36+EW36*2+EY36)/4</f>
        <v>530.5</v>
      </c>
      <c r="EY36" s="54">
        <v>547</v>
      </c>
      <c r="EZ36" s="54">
        <v>534</v>
      </c>
      <c r="FA36" s="91">
        <f>(EY36+EZ36*2+FB36)/4</f>
        <v>537.5</v>
      </c>
      <c r="FB36" s="54">
        <v>535</v>
      </c>
      <c r="FC36" s="54">
        <v>547</v>
      </c>
      <c r="FD36" s="91">
        <f>(FB36+FC36*2+FE36)/4</f>
        <v>547.75</v>
      </c>
      <c r="FE36" s="54">
        <v>562</v>
      </c>
      <c r="FF36" s="54">
        <v>574.5</v>
      </c>
      <c r="FG36" s="91">
        <f>(FE36+FF36*2+FH36)/4</f>
        <v>575.5</v>
      </c>
      <c r="FH36" s="54">
        <v>591</v>
      </c>
      <c r="FI36" s="54">
        <v>592</v>
      </c>
      <c r="FJ36" s="91">
        <f>(FH36+FI36*2+FK36)/4</f>
        <v>594</v>
      </c>
      <c r="FK36" s="54">
        <v>601</v>
      </c>
      <c r="FL36" s="54">
        <v>592</v>
      </c>
      <c r="FM36" s="91">
        <f>(FK36+FL36*2+FN36)/4</f>
        <v>601.25</v>
      </c>
      <c r="FN36" s="54">
        <v>620</v>
      </c>
      <c r="FO36" s="54">
        <v>626</v>
      </c>
      <c r="FP36" s="87">
        <f>(FN36+FO36*2+FQ36)/4</f>
        <v>627.75</v>
      </c>
      <c r="FQ36" s="54">
        <v>639</v>
      </c>
      <c r="FR36" s="54">
        <v>641</v>
      </c>
      <c r="FS36" s="91">
        <f>(FQ36+FR36*2+FT36)/4</f>
        <v>639.75</v>
      </c>
      <c r="FT36" s="54">
        <v>638</v>
      </c>
      <c r="FU36" s="54">
        <v>653</v>
      </c>
      <c r="FV36" s="91">
        <f>(FT36+FU36*2+FW36)/4</f>
        <v>651.875</v>
      </c>
      <c r="FW36" s="54">
        <v>663.5</v>
      </c>
      <c r="FX36" s="54">
        <v>682</v>
      </c>
      <c r="FY36" s="91">
        <f>(FW36+FX36*2+FZ36)/4</f>
        <v>687.875</v>
      </c>
      <c r="FZ36" s="54">
        <v>724</v>
      </c>
      <c r="GA36" s="54">
        <v>750.5</v>
      </c>
      <c r="GB36" s="91">
        <f>(FZ36+GA36*2+GC36)/4</f>
        <v>750.25</v>
      </c>
      <c r="GC36" s="54">
        <v>776</v>
      </c>
      <c r="GD36" s="54"/>
      <c r="GE36" s="133">
        <f>GC36</f>
        <v>776</v>
      </c>
      <c r="GF36" s="54"/>
      <c r="GG36" s="104"/>
      <c r="GH36" s="97">
        <f t="shared" si="2"/>
        <v>0</v>
      </c>
      <c r="GI36" s="105"/>
      <c r="GJ36" s="105"/>
      <c r="GK36" s="97">
        <f t="shared" si="4"/>
        <v>0</v>
      </c>
      <c r="GL36" s="105"/>
      <c r="GM36" s="105"/>
      <c r="GN36" s="97">
        <f t="shared" si="5"/>
        <v>0</v>
      </c>
      <c r="GO36" s="105"/>
      <c r="GP36" s="105"/>
      <c r="GQ36" s="97">
        <f t="shared" si="6"/>
        <v>0</v>
      </c>
      <c r="GR36" s="105"/>
      <c r="GS36" s="105"/>
    </row>
    <row r="37" spans="1:201" ht="10.5" customHeight="1" x14ac:dyDescent="0.3">
      <c r="A37" s="99">
        <f t="shared" si="3"/>
        <v>30</v>
      </c>
      <c r="B37" s="56"/>
      <c r="C37" s="86"/>
      <c r="D37" s="87"/>
      <c r="E37" s="87"/>
      <c r="F37" s="87"/>
      <c r="G37" s="88"/>
      <c r="H37" s="87"/>
      <c r="I37" s="87"/>
      <c r="J37" s="87"/>
      <c r="K37" s="87"/>
      <c r="L37" s="88"/>
      <c r="M37" s="87"/>
      <c r="N37" s="87"/>
      <c r="O37" s="87"/>
      <c r="P37" s="87"/>
      <c r="Q37" s="88"/>
      <c r="R37" s="87"/>
      <c r="S37" s="86"/>
      <c r="T37" s="87"/>
      <c r="U37" s="89"/>
      <c r="V37" s="87"/>
      <c r="W37" s="89"/>
      <c r="X37" s="87"/>
      <c r="Y37" s="89"/>
      <c r="Z37" s="87"/>
      <c r="AA37" s="88"/>
      <c r="AB37" s="87"/>
      <c r="AC37" s="89"/>
      <c r="AD37" s="87"/>
      <c r="AE37" s="88"/>
      <c r="AF37" s="87"/>
      <c r="AG37" s="88"/>
      <c r="AH37" s="87"/>
      <c r="AI37" s="89"/>
      <c r="AJ37" s="87"/>
      <c r="AK37" s="88"/>
      <c r="AL37" s="87"/>
      <c r="AM37" s="87"/>
      <c r="AN37" s="87"/>
      <c r="AO37" s="87"/>
      <c r="AP37" s="87"/>
      <c r="AQ37" s="89"/>
      <c r="AR37" s="87"/>
      <c r="AS37" s="88"/>
      <c r="AT37" s="87"/>
      <c r="AU37" s="88"/>
      <c r="AV37" s="87"/>
      <c r="AW37" s="86"/>
      <c r="AX37" s="87"/>
      <c r="AY37" s="89"/>
      <c r="AZ37" s="87"/>
      <c r="BA37" s="89"/>
      <c r="BB37" s="87"/>
      <c r="BC37" s="89"/>
      <c r="BD37" s="87"/>
      <c r="BE37" s="88"/>
      <c r="BF37" s="87"/>
      <c r="BG37" s="88"/>
      <c r="BH37" s="87"/>
      <c r="BI37" s="89"/>
      <c r="BJ37" s="87"/>
      <c r="BK37" s="87"/>
      <c r="BL37" s="87"/>
      <c r="BM37" s="88"/>
      <c r="BN37" s="100"/>
      <c r="BO37" s="88"/>
      <c r="BP37" s="87"/>
      <c r="BQ37" s="88"/>
      <c r="BR37" s="87"/>
      <c r="BS37" s="88"/>
      <c r="BT37" s="87"/>
      <c r="BU37" s="88"/>
      <c r="BV37" s="87"/>
      <c r="BW37" s="88"/>
      <c r="BX37" s="87"/>
      <c r="BY37" s="88"/>
      <c r="BZ37" s="87"/>
      <c r="CA37" s="88"/>
      <c r="CB37" s="87"/>
      <c r="CC37" s="89"/>
      <c r="CD37" s="91"/>
      <c r="CE37" s="88"/>
      <c r="CF37" s="88"/>
      <c r="CG37" s="88"/>
      <c r="CH37" s="87"/>
      <c r="CI37" s="89"/>
      <c r="CJ37" s="91"/>
      <c r="CK37" s="88"/>
      <c r="CL37" s="89"/>
      <c r="CM37" s="91"/>
      <c r="CN37" s="88"/>
      <c r="CO37" s="88"/>
      <c r="CP37" s="88"/>
      <c r="CQ37" s="87"/>
      <c r="CR37" s="89"/>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102"/>
      <c r="EE37" s="102"/>
      <c r="EF37" s="91"/>
      <c r="EG37" s="102"/>
      <c r="EH37" s="102"/>
      <c r="EI37" s="91"/>
      <c r="EJ37" s="102"/>
      <c r="EK37" s="102"/>
      <c r="EL37" s="91"/>
      <c r="EM37" s="102"/>
      <c r="EN37" s="102"/>
      <c r="EO37" s="91"/>
      <c r="EP37" s="102"/>
      <c r="EQ37" s="103"/>
      <c r="ER37" s="91"/>
      <c r="ES37" s="54"/>
      <c r="ET37" s="54"/>
      <c r="EU37" s="91"/>
      <c r="EV37" s="54"/>
      <c r="EW37" s="54"/>
      <c r="EX37" s="91"/>
      <c r="EY37" s="54"/>
      <c r="EZ37" s="54"/>
      <c r="FA37" s="91"/>
      <c r="FB37" s="54"/>
      <c r="FC37" s="54"/>
      <c r="FD37" s="91"/>
      <c r="FE37" s="54"/>
      <c r="FF37" s="54"/>
      <c r="FG37" s="91"/>
      <c r="FH37" s="54"/>
      <c r="FI37" s="54"/>
      <c r="FJ37" s="91"/>
      <c r="FK37" s="54"/>
      <c r="FL37" s="54"/>
      <c r="FM37" s="91"/>
      <c r="FN37" s="54"/>
      <c r="FO37" s="54"/>
      <c r="FP37" s="87"/>
      <c r="FQ37" s="54"/>
      <c r="FR37" s="54"/>
      <c r="FS37" s="91"/>
      <c r="FT37" s="54"/>
      <c r="FU37" s="54"/>
      <c r="FV37" s="91"/>
      <c r="FW37" s="54"/>
      <c r="FX37" s="54"/>
      <c r="FY37" s="91"/>
      <c r="FZ37" s="54"/>
      <c r="GA37" s="54"/>
      <c r="GB37" s="91"/>
      <c r="GC37" s="54"/>
      <c r="GD37" s="54"/>
      <c r="GE37" s="133"/>
      <c r="GF37" s="54"/>
      <c r="GG37" s="104"/>
      <c r="GH37" s="97">
        <f t="shared" si="2"/>
        <v>0</v>
      </c>
      <c r="GI37" s="105"/>
      <c r="GJ37" s="105"/>
      <c r="GK37" s="97">
        <f t="shared" si="4"/>
        <v>0</v>
      </c>
      <c r="GL37" s="105"/>
      <c r="GM37" s="105"/>
      <c r="GN37" s="97">
        <f t="shared" si="5"/>
        <v>0</v>
      </c>
      <c r="GO37" s="105"/>
      <c r="GP37" s="105"/>
      <c r="GQ37" s="97">
        <f t="shared" si="6"/>
        <v>0</v>
      </c>
      <c r="GR37" s="105"/>
      <c r="GS37" s="105"/>
    </row>
    <row r="38" spans="1:201" ht="10.5" customHeight="1" x14ac:dyDescent="0.3">
      <c r="A38" s="99">
        <f t="shared" si="3"/>
        <v>31</v>
      </c>
      <c r="B38" s="56"/>
      <c r="C38" s="86"/>
      <c r="D38" s="87"/>
      <c r="E38" s="87"/>
      <c r="F38" s="87"/>
      <c r="G38" s="88"/>
      <c r="H38" s="87"/>
      <c r="I38" s="87"/>
      <c r="J38" s="87"/>
      <c r="K38" s="87"/>
      <c r="L38" s="88"/>
      <c r="M38" s="87"/>
      <c r="N38" s="87"/>
      <c r="O38" s="87"/>
      <c r="P38" s="87"/>
      <c r="Q38" s="88"/>
      <c r="R38" s="87"/>
      <c r="S38" s="86"/>
      <c r="T38" s="87"/>
      <c r="U38" s="89"/>
      <c r="V38" s="87"/>
      <c r="W38" s="89"/>
      <c r="X38" s="87"/>
      <c r="Y38" s="89"/>
      <c r="Z38" s="87"/>
      <c r="AA38" s="88"/>
      <c r="AB38" s="87"/>
      <c r="AC38" s="89"/>
      <c r="AD38" s="87"/>
      <c r="AE38" s="88"/>
      <c r="AF38" s="87"/>
      <c r="AG38" s="88"/>
      <c r="AH38" s="87"/>
      <c r="AI38" s="89"/>
      <c r="AJ38" s="87"/>
      <c r="AK38" s="88"/>
      <c r="AL38" s="87"/>
      <c r="AM38" s="87"/>
      <c r="AN38" s="87"/>
      <c r="AO38" s="87"/>
      <c r="AP38" s="87"/>
      <c r="AQ38" s="89"/>
      <c r="AR38" s="87"/>
      <c r="AS38" s="88"/>
      <c r="AT38" s="87"/>
      <c r="AU38" s="88"/>
      <c r="AV38" s="87"/>
      <c r="AW38" s="86"/>
      <c r="AX38" s="87"/>
      <c r="AY38" s="89"/>
      <c r="AZ38" s="87"/>
      <c r="BA38" s="89"/>
      <c r="BB38" s="87"/>
      <c r="BC38" s="89"/>
      <c r="BD38" s="87"/>
      <c r="BE38" s="88"/>
      <c r="BF38" s="87"/>
      <c r="BG38" s="88"/>
      <c r="BH38" s="87"/>
      <c r="BI38" s="89"/>
      <c r="BJ38" s="87"/>
      <c r="BK38" s="87"/>
      <c r="BL38" s="87"/>
      <c r="BM38" s="88"/>
      <c r="BN38" s="100"/>
      <c r="BO38" s="88"/>
      <c r="BP38" s="87"/>
      <c r="BQ38" s="88"/>
      <c r="BR38" s="87"/>
      <c r="BS38" s="88"/>
      <c r="BT38" s="87"/>
      <c r="BU38" s="88"/>
      <c r="BV38" s="87"/>
      <c r="BW38" s="88"/>
      <c r="BX38" s="87"/>
      <c r="BY38" s="88"/>
      <c r="BZ38" s="87"/>
      <c r="CA38" s="88"/>
      <c r="CB38" s="87"/>
      <c r="CC38" s="89"/>
      <c r="CD38" s="91"/>
      <c r="CE38" s="88"/>
      <c r="CF38" s="88"/>
      <c r="CG38" s="88"/>
      <c r="CH38" s="87"/>
      <c r="CI38" s="89"/>
      <c r="CJ38" s="91"/>
      <c r="CK38" s="88"/>
      <c r="CL38" s="89"/>
      <c r="CM38" s="91"/>
      <c r="CN38" s="88"/>
      <c r="CO38" s="88"/>
      <c r="CP38" s="88"/>
      <c r="CQ38" s="87"/>
      <c r="CR38" s="89"/>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102"/>
      <c r="EE38" s="102"/>
      <c r="EF38" s="91"/>
      <c r="EG38" s="102"/>
      <c r="EH38" s="102"/>
      <c r="EI38" s="91"/>
      <c r="EJ38" s="102"/>
      <c r="EK38" s="102"/>
      <c r="EL38" s="91"/>
      <c r="EM38" s="102"/>
      <c r="EN38" s="102"/>
      <c r="EO38" s="91"/>
      <c r="EP38" s="102"/>
      <c r="EQ38" s="103"/>
      <c r="ER38" s="91"/>
      <c r="ES38" s="54"/>
      <c r="ET38" s="54"/>
      <c r="EU38" s="91"/>
      <c r="EV38" s="54"/>
      <c r="EW38" s="54"/>
      <c r="EX38" s="91"/>
      <c r="EY38" s="54"/>
      <c r="EZ38" s="54"/>
      <c r="FA38" s="91"/>
      <c r="FB38" s="54"/>
      <c r="FC38" s="54"/>
      <c r="FD38" s="91"/>
      <c r="FE38" s="54"/>
      <c r="FF38" s="54"/>
      <c r="FG38" s="91"/>
      <c r="FH38" s="54"/>
      <c r="FI38" s="54"/>
      <c r="FJ38" s="91"/>
      <c r="FK38" s="54"/>
      <c r="FL38" s="54"/>
      <c r="FM38" s="91"/>
      <c r="FN38" s="54"/>
      <c r="FO38" s="54"/>
      <c r="FP38" s="87"/>
      <c r="FQ38" s="54"/>
      <c r="FR38" s="54"/>
      <c r="FS38" s="91"/>
      <c r="FT38" s="54"/>
      <c r="FU38" s="54"/>
      <c r="FV38" s="91"/>
      <c r="FW38" s="54"/>
      <c r="FX38" s="54"/>
      <c r="FY38" s="91"/>
      <c r="FZ38" s="54"/>
      <c r="GA38" s="54"/>
      <c r="GB38" s="91"/>
      <c r="GC38" s="54"/>
      <c r="GD38" s="54"/>
      <c r="GE38" s="133"/>
      <c r="GF38" s="54"/>
      <c r="GG38" s="104"/>
      <c r="GH38" s="97">
        <f t="shared" si="2"/>
        <v>0</v>
      </c>
      <c r="GI38" s="105"/>
      <c r="GJ38" s="105"/>
      <c r="GK38" s="97"/>
      <c r="GL38" s="105"/>
      <c r="GM38" s="105"/>
      <c r="GN38" s="97"/>
      <c r="GO38" s="105"/>
      <c r="GP38" s="105"/>
      <c r="GQ38" s="97"/>
      <c r="GR38" s="105"/>
      <c r="GS38" s="105"/>
    </row>
    <row r="39" spans="1:201" ht="10.5" customHeight="1" x14ac:dyDescent="0.3">
      <c r="A39" s="99">
        <f t="shared" si="3"/>
        <v>32</v>
      </c>
      <c r="B39" s="56"/>
      <c r="C39" s="86"/>
      <c r="D39" s="87"/>
      <c r="E39" s="87"/>
      <c r="F39" s="87"/>
      <c r="G39" s="88"/>
      <c r="H39" s="87"/>
      <c r="I39" s="87"/>
      <c r="J39" s="87"/>
      <c r="K39" s="87"/>
      <c r="L39" s="88"/>
      <c r="M39" s="87"/>
      <c r="N39" s="87"/>
      <c r="O39" s="87"/>
      <c r="P39" s="87"/>
      <c r="Q39" s="88"/>
      <c r="R39" s="87"/>
      <c r="S39" s="86"/>
      <c r="T39" s="87"/>
      <c r="U39" s="89"/>
      <c r="V39" s="87"/>
      <c r="W39" s="89"/>
      <c r="X39" s="87"/>
      <c r="Y39" s="89"/>
      <c r="Z39" s="87"/>
      <c r="AA39" s="88"/>
      <c r="AB39" s="87"/>
      <c r="AC39" s="89"/>
      <c r="AD39" s="87"/>
      <c r="AE39" s="88"/>
      <c r="AF39" s="87"/>
      <c r="AG39" s="88"/>
      <c r="AH39" s="87"/>
      <c r="AI39" s="89"/>
      <c r="AJ39" s="87"/>
      <c r="AK39" s="88"/>
      <c r="AL39" s="87"/>
      <c r="AM39" s="87"/>
      <c r="AN39" s="87"/>
      <c r="AO39" s="87"/>
      <c r="AP39" s="87"/>
      <c r="AQ39" s="89"/>
      <c r="AR39" s="87"/>
      <c r="AS39" s="88"/>
      <c r="AT39" s="87"/>
      <c r="AU39" s="88"/>
      <c r="AV39" s="87"/>
      <c r="AW39" s="86"/>
      <c r="AX39" s="87"/>
      <c r="AY39" s="89"/>
      <c r="AZ39" s="87"/>
      <c r="BA39" s="89"/>
      <c r="BB39" s="87"/>
      <c r="BC39" s="89"/>
      <c r="BD39" s="87"/>
      <c r="BE39" s="88"/>
      <c r="BF39" s="87"/>
      <c r="BG39" s="88"/>
      <c r="BH39" s="87"/>
      <c r="BI39" s="89"/>
      <c r="BJ39" s="87"/>
      <c r="BK39" s="87"/>
      <c r="BL39" s="87"/>
      <c r="BM39" s="88"/>
      <c r="BN39" s="100"/>
      <c r="BO39" s="88"/>
      <c r="BP39" s="87"/>
      <c r="BQ39" s="88"/>
      <c r="BR39" s="87"/>
      <c r="BS39" s="88"/>
      <c r="BT39" s="87"/>
      <c r="BU39" s="88"/>
      <c r="BV39" s="87"/>
      <c r="BW39" s="88"/>
      <c r="BX39" s="87"/>
      <c r="BY39" s="88"/>
      <c r="BZ39" s="87"/>
      <c r="CA39" s="88"/>
      <c r="CB39" s="87"/>
      <c r="CC39" s="89"/>
      <c r="CD39" s="91"/>
      <c r="CE39" s="88"/>
      <c r="CF39" s="88"/>
      <c r="CG39" s="88"/>
      <c r="CH39" s="87"/>
      <c r="CI39" s="89"/>
      <c r="CJ39" s="91"/>
      <c r="CK39" s="88"/>
      <c r="CL39" s="89"/>
      <c r="CM39" s="91"/>
      <c r="CN39" s="88"/>
      <c r="CO39" s="88"/>
      <c r="CP39" s="88"/>
      <c r="CQ39" s="87"/>
      <c r="CR39" s="89"/>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102"/>
      <c r="EE39" s="102"/>
      <c r="EF39" s="91"/>
      <c r="EG39" s="102"/>
      <c r="EH39" s="102"/>
      <c r="EI39" s="91"/>
      <c r="EJ39" s="102"/>
      <c r="EK39" s="102"/>
      <c r="EL39" s="91"/>
      <c r="EM39" s="102"/>
      <c r="EN39" s="102"/>
      <c r="EO39" s="91"/>
      <c r="EP39" s="102"/>
      <c r="EQ39" s="103"/>
      <c r="ER39" s="91"/>
      <c r="ES39" s="54"/>
      <c r="ET39" s="54"/>
      <c r="EU39" s="91"/>
      <c r="EV39" s="54"/>
      <c r="EW39" s="54"/>
      <c r="EX39" s="91"/>
      <c r="EY39" s="54"/>
      <c r="EZ39" s="54"/>
      <c r="FA39" s="91"/>
      <c r="FB39" s="54"/>
      <c r="FC39" s="54"/>
      <c r="FD39" s="91"/>
      <c r="FE39" s="54"/>
      <c r="FF39" s="54"/>
      <c r="FG39" s="91"/>
      <c r="FH39" s="54"/>
      <c r="FI39" s="54"/>
      <c r="FJ39" s="91"/>
      <c r="FK39" s="54"/>
      <c r="FL39" s="54"/>
      <c r="FM39" s="91"/>
      <c r="FN39" s="54"/>
      <c r="FO39" s="54"/>
      <c r="FP39" s="87"/>
      <c r="FQ39" s="54"/>
      <c r="FR39" s="54"/>
      <c r="FS39" s="91"/>
      <c r="FT39" s="54"/>
      <c r="FU39" s="54"/>
      <c r="FV39" s="91"/>
      <c r="FW39" s="54"/>
      <c r="FX39" s="54"/>
      <c r="FY39" s="91"/>
      <c r="FZ39" s="54"/>
      <c r="GA39" s="54"/>
      <c r="GB39" s="91"/>
      <c r="GC39" s="54"/>
      <c r="GD39" s="54"/>
      <c r="GE39" s="133"/>
      <c r="GF39" s="54"/>
      <c r="GG39" s="104"/>
      <c r="GH39" s="97">
        <f t="shared" si="2"/>
        <v>0</v>
      </c>
      <c r="GI39" s="105"/>
      <c r="GJ39" s="105"/>
      <c r="GK39" s="97"/>
      <c r="GL39" s="105"/>
      <c r="GM39" s="105"/>
      <c r="GN39" s="97"/>
      <c r="GO39" s="105"/>
      <c r="GP39" s="105"/>
      <c r="GQ39" s="97"/>
      <c r="GR39" s="105"/>
      <c r="GS39" s="105"/>
    </row>
    <row r="40" spans="1:201" ht="10.5" customHeight="1" x14ac:dyDescent="0.3">
      <c r="A40" s="99">
        <f t="shared" si="3"/>
        <v>33</v>
      </c>
      <c r="B40" s="85" t="s">
        <v>55</v>
      </c>
      <c r="C40" s="86"/>
      <c r="D40" s="87"/>
      <c r="E40" s="87"/>
      <c r="F40" s="87"/>
      <c r="G40" s="88"/>
      <c r="H40" s="87"/>
      <c r="I40" s="87"/>
      <c r="J40" s="87"/>
      <c r="K40" s="87"/>
      <c r="L40" s="88"/>
      <c r="M40" s="87"/>
      <c r="N40" s="87"/>
      <c r="O40" s="87"/>
      <c r="P40" s="87"/>
      <c r="Q40" s="88"/>
      <c r="R40" s="87"/>
      <c r="S40" s="86"/>
      <c r="T40" s="87"/>
      <c r="U40" s="89"/>
      <c r="V40" s="87"/>
      <c r="W40" s="89"/>
      <c r="X40" s="87"/>
      <c r="Y40" s="89"/>
      <c r="Z40" s="87"/>
      <c r="AA40" s="88"/>
      <c r="AB40" s="87"/>
      <c r="AC40" s="89"/>
      <c r="AD40" s="87"/>
      <c r="AE40" s="88"/>
      <c r="AF40" s="87"/>
      <c r="AG40" s="88"/>
      <c r="AH40" s="87"/>
      <c r="AI40" s="89"/>
      <c r="AJ40" s="87"/>
      <c r="AK40" s="88"/>
      <c r="AL40" s="87"/>
      <c r="AM40" s="87"/>
      <c r="AN40" s="87"/>
      <c r="AO40" s="87"/>
      <c r="AP40" s="87"/>
      <c r="AQ40" s="89"/>
      <c r="AR40" s="87"/>
      <c r="AS40" s="88"/>
      <c r="AT40" s="87"/>
      <c r="AU40" s="88"/>
      <c r="AV40" s="87"/>
      <c r="AW40" s="86"/>
      <c r="AX40" s="87"/>
      <c r="AY40" s="89"/>
      <c r="AZ40" s="87"/>
      <c r="BA40" s="89"/>
      <c r="BB40" s="87"/>
      <c r="BC40" s="89"/>
      <c r="BD40" s="87"/>
      <c r="BE40" s="88"/>
      <c r="BF40" s="87"/>
      <c r="BG40" s="88"/>
      <c r="BH40" s="87"/>
      <c r="BI40" s="89"/>
      <c r="BJ40" s="87"/>
      <c r="BK40" s="87"/>
      <c r="BL40" s="87"/>
      <c r="BM40" s="88"/>
      <c r="BN40" s="100"/>
      <c r="BO40" s="88"/>
      <c r="BP40" s="87"/>
      <c r="BQ40" s="88"/>
      <c r="BR40" s="87"/>
      <c r="BS40" s="88"/>
      <c r="BT40" s="87"/>
      <c r="BU40" s="88"/>
      <c r="BV40" s="87"/>
      <c r="BW40" s="88"/>
      <c r="BX40" s="87"/>
      <c r="BY40" s="88"/>
      <c r="BZ40" s="87"/>
      <c r="CA40" s="88"/>
      <c r="CB40" s="87"/>
      <c r="CC40" s="89"/>
      <c r="CD40" s="91"/>
      <c r="CE40" s="88"/>
      <c r="CF40" s="88"/>
      <c r="CG40" s="88"/>
      <c r="CH40" s="87"/>
      <c r="CI40" s="89"/>
      <c r="CJ40" s="91"/>
      <c r="CK40" s="88"/>
      <c r="CL40" s="89"/>
      <c r="CM40" s="91"/>
      <c r="CN40" s="88"/>
      <c r="CO40" s="88"/>
      <c r="CP40" s="88"/>
      <c r="CQ40" s="87"/>
      <c r="CR40" s="89"/>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102"/>
      <c r="EE40" s="102"/>
      <c r="EF40" s="91"/>
      <c r="EG40" s="102"/>
      <c r="EH40" s="102"/>
      <c r="EI40" s="91"/>
      <c r="EJ40" s="102"/>
      <c r="EK40" s="102"/>
      <c r="EL40" s="91"/>
      <c r="EM40" s="102"/>
      <c r="EN40" s="102"/>
      <c r="EO40" s="91"/>
      <c r="EP40" s="102"/>
      <c r="EQ40" s="103"/>
      <c r="ER40" s="91"/>
      <c r="ES40" s="54"/>
      <c r="ET40" s="54"/>
      <c r="EU40" s="91"/>
      <c r="EV40" s="54"/>
      <c r="EW40" s="54"/>
      <c r="EX40" s="91"/>
      <c r="EY40" s="54"/>
      <c r="EZ40" s="54"/>
      <c r="FA40" s="91"/>
      <c r="FB40" s="54"/>
      <c r="FC40" s="54"/>
      <c r="FD40" s="91"/>
      <c r="FE40" s="54"/>
      <c r="FF40" s="54"/>
      <c r="FG40" s="91"/>
      <c r="FH40" s="54"/>
      <c r="FI40" s="54"/>
      <c r="FJ40" s="91"/>
      <c r="FK40" s="54"/>
      <c r="FL40" s="54"/>
      <c r="FM40" s="91"/>
      <c r="FN40" s="54"/>
      <c r="FO40" s="54"/>
      <c r="FP40" s="87"/>
      <c r="FQ40" s="54"/>
      <c r="FR40" s="54"/>
      <c r="FS40" s="91"/>
      <c r="FT40" s="54"/>
      <c r="FU40" s="54"/>
      <c r="FV40" s="91"/>
      <c r="FW40" s="54"/>
      <c r="FX40" s="54"/>
      <c r="FY40" s="91"/>
      <c r="FZ40" s="54"/>
      <c r="GA40" s="54"/>
      <c r="GB40" s="91"/>
      <c r="GC40" s="54"/>
      <c r="GD40" s="54"/>
      <c r="GE40" s="133"/>
      <c r="GF40" s="54"/>
      <c r="GG40" s="104"/>
      <c r="GH40" s="97">
        <f t="shared" si="2"/>
        <v>0</v>
      </c>
      <c r="GI40" s="105"/>
      <c r="GJ40" s="105"/>
      <c r="GK40" s="97">
        <f t="shared" si="4"/>
        <v>0</v>
      </c>
      <c r="GL40" s="105"/>
      <c r="GM40" s="105"/>
      <c r="GN40" s="97">
        <f t="shared" si="5"/>
        <v>0</v>
      </c>
      <c r="GO40" s="105"/>
      <c r="GP40" s="105"/>
      <c r="GQ40" s="97">
        <f t="shared" si="6"/>
        <v>0</v>
      </c>
      <c r="GR40" s="105"/>
      <c r="GS40" s="105"/>
    </row>
    <row r="41" spans="1:201" ht="10.5" customHeight="1" x14ac:dyDescent="0.3">
      <c r="A41" s="99">
        <f t="shared" si="3"/>
        <v>34</v>
      </c>
      <c r="B41" s="56" t="s">
        <v>29</v>
      </c>
      <c r="C41" s="86">
        <v>331</v>
      </c>
      <c r="D41" s="87">
        <v>9</v>
      </c>
      <c r="E41" s="87">
        <v>10</v>
      </c>
      <c r="F41" s="87">
        <v>8</v>
      </c>
      <c r="G41" s="88">
        <v>9</v>
      </c>
      <c r="H41" s="87">
        <v>11</v>
      </c>
      <c r="I41" s="87">
        <v>16</v>
      </c>
      <c r="J41" s="87">
        <v>19</v>
      </c>
      <c r="K41" s="87">
        <v>20</v>
      </c>
      <c r="L41" s="88">
        <v>22</v>
      </c>
      <c r="M41" s="87">
        <v>22</v>
      </c>
      <c r="N41" s="87">
        <v>20</v>
      </c>
      <c r="O41" s="87">
        <v>21</v>
      </c>
      <c r="P41" s="87">
        <v>22</v>
      </c>
      <c r="Q41" s="88">
        <v>21</v>
      </c>
      <c r="R41" s="87">
        <v>21</v>
      </c>
      <c r="S41" s="86">
        <v>21</v>
      </c>
      <c r="T41" s="87">
        <v>20</v>
      </c>
      <c r="U41" s="89">
        <v>20</v>
      </c>
      <c r="V41" s="87">
        <v>20</v>
      </c>
      <c r="W41" s="89">
        <v>20</v>
      </c>
      <c r="X41" s="87">
        <v>18</v>
      </c>
      <c r="Y41" s="89">
        <v>18</v>
      </c>
      <c r="Z41" s="87">
        <v>19</v>
      </c>
      <c r="AA41" s="88">
        <v>19</v>
      </c>
      <c r="AB41" s="87">
        <v>20</v>
      </c>
      <c r="AC41" s="89">
        <v>21</v>
      </c>
      <c r="AD41" s="87">
        <v>22</v>
      </c>
      <c r="AE41" s="88">
        <v>22</v>
      </c>
      <c r="AF41" s="87">
        <v>23</v>
      </c>
      <c r="AG41" s="88">
        <v>23</v>
      </c>
      <c r="AH41" s="87">
        <v>24</v>
      </c>
      <c r="AI41" s="89">
        <v>25</v>
      </c>
      <c r="AJ41" s="87">
        <v>25</v>
      </c>
      <c r="AK41" s="88">
        <v>26</v>
      </c>
      <c r="AL41" s="87">
        <v>29</v>
      </c>
      <c r="AM41" s="87">
        <v>35</v>
      </c>
      <c r="AN41" s="87">
        <v>41</v>
      </c>
      <c r="AO41" s="87">
        <v>42</v>
      </c>
      <c r="AP41" s="87">
        <v>43</v>
      </c>
      <c r="AQ41" s="89">
        <v>45</v>
      </c>
      <c r="AR41" s="87">
        <v>47</v>
      </c>
      <c r="AS41" s="88">
        <v>48</v>
      </c>
      <c r="AT41" s="87">
        <v>51</v>
      </c>
      <c r="AU41" s="88">
        <v>53</v>
      </c>
      <c r="AV41" s="87">
        <v>57</v>
      </c>
      <c r="AW41" s="86">
        <v>60</v>
      </c>
      <c r="AX41" s="87">
        <v>63</v>
      </c>
      <c r="AY41" s="89">
        <v>65</v>
      </c>
      <c r="AZ41" s="87">
        <v>68</v>
      </c>
      <c r="BA41" s="89">
        <v>69</v>
      </c>
      <c r="BB41" s="87">
        <v>71</v>
      </c>
      <c r="BC41" s="89">
        <v>72</v>
      </c>
      <c r="BD41" s="87">
        <v>73</v>
      </c>
      <c r="BE41" s="88">
        <v>74</v>
      </c>
      <c r="BF41" s="87">
        <v>75</v>
      </c>
      <c r="BG41" s="88">
        <v>76</v>
      </c>
      <c r="BH41" s="87">
        <v>77</v>
      </c>
      <c r="BI41" s="89">
        <v>80</v>
      </c>
      <c r="BJ41" s="87">
        <v>84</v>
      </c>
      <c r="BK41" s="87">
        <v>94</v>
      </c>
      <c r="BL41" s="87">
        <v>98</v>
      </c>
      <c r="BM41" s="88">
        <v>100</v>
      </c>
      <c r="BN41" s="100">
        <v>110</v>
      </c>
      <c r="BO41" s="88">
        <v>146</v>
      </c>
      <c r="BP41" s="87">
        <v>154</v>
      </c>
      <c r="BQ41" s="88">
        <v>162</v>
      </c>
      <c r="BR41" s="87">
        <v>173</v>
      </c>
      <c r="BS41" s="88">
        <v>185</v>
      </c>
      <c r="BT41" s="87">
        <v>202</v>
      </c>
      <c r="BU41" s="88">
        <v>219</v>
      </c>
      <c r="BV41" s="87">
        <v>231</v>
      </c>
      <c r="BW41" s="88">
        <v>239</v>
      </c>
      <c r="BX41" s="87">
        <v>244</v>
      </c>
      <c r="BY41" s="88">
        <v>254</v>
      </c>
      <c r="BZ41" s="87">
        <v>255</v>
      </c>
      <c r="CA41" s="88">
        <v>263</v>
      </c>
      <c r="CB41" s="87">
        <v>270</v>
      </c>
      <c r="CC41" s="89">
        <v>280</v>
      </c>
      <c r="CD41" s="91">
        <v>280.25</v>
      </c>
      <c r="CE41" s="88">
        <v>291</v>
      </c>
      <c r="CF41" s="88">
        <v>296</v>
      </c>
      <c r="CG41" s="88">
        <v>294.75</v>
      </c>
      <c r="CH41" s="87">
        <v>296</v>
      </c>
      <c r="CI41" s="89">
        <v>301</v>
      </c>
      <c r="CJ41" s="91">
        <v>300.5</v>
      </c>
      <c r="CK41" s="88">
        <v>304</v>
      </c>
      <c r="CL41" s="89">
        <v>310</v>
      </c>
      <c r="CM41" s="91">
        <v>307.25</v>
      </c>
      <c r="CN41" s="88">
        <v>305</v>
      </c>
      <c r="CO41" s="88">
        <v>311</v>
      </c>
      <c r="CP41" s="88">
        <v>310.75</v>
      </c>
      <c r="CQ41" s="87">
        <v>316</v>
      </c>
      <c r="CR41" s="89">
        <v>322</v>
      </c>
      <c r="CS41" s="91">
        <v>320.75</v>
      </c>
      <c r="CT41" s="91">
        <v>323</v>
      </c>
      <c r="CU41" s="91">
        <v>327</v>
      </c>
      <c r="CV41" s="91">
        <v>327</v>
      </c>
      <c r="CW41" s="91">
        <v>331</v>
      </c>
      <c r="CX41" s="91">
        <v>332</v>
      </c>
      <c r="CY41" s="91">
        <v>332</v>
      </c>
      <c r="CZ41" s="91">
        <v>333</v>
      </c>
      <c r="DA41" s="91">
        <v>339</v>
      </c>
      <c r="DB41" s="91">
        <v>338.75</v>
      </c>
      <c r="DC41" s="91">
        <v>344</v>
      </c>
      <c r="DD41" s="91">
        <v>347</v>
      </c>
      <c r="DE41" s="91">
        <v>347</v>
      </c>
      <c r="DF41" s="91">
        <v>350</v>
      </c>
      <c r="DG41" s="91">
        <v>353</v>
      </c>
      <c r="DH41" s="91">
        <f t="shared" ref="DH41:DH49" si="7">(DF41+DG41*2+DI41)/4</f>
        <v>355</v>
      </c>
      <c r="DI41" s="91">
        <v>364</v>
      </c>
      <c r="DJ41" s="101">
        <v>358</v>
      </c>
      <c r="DK41" s="91">
        <f t="shared" ref="DK41:DK49" si="8">(DI41+DJ41*2+DL41)/4</f>
        <v>360.75</v>
      </c>
      <c r="DL41" s="91">
        <v>363</v>
      </c>
      <c r="DM41" s="91">
        <v>380</v>
      </c>
      <c r="DN41" s="91">
        <f t="shared" ref="DN41:DN49" si="9">(DL41+DM41*2+DO41)/4</f>
        <v>376.5</v>
      </c>
      <c r="DO41" s="91">
        <v>383</v>
      </c>
      <c r="DP41" s="91">
        <v>392</v>
      </c>
      <c r="DQ41" s="91">
        <f t="shared" ref="DQ41:DQ49" si="10">(DO41+DP41*2+DR41)/4</f>
        <v>390.5</v>
      </c>
      <c r="DR41" s="91">
        <v>395</v>
      </c>
      <c r="DS41" s="91">
        <v>406</v>
      </c>
      <c r="DT41" s="91">
        <f t="shared" ref="DT41:DT49" si="11">(DR41+DS41*2+DU41)/4</f>
        <v>403.5</v>
      </c>
      <c r="DU41" s="91">
        <v>407</v>
      </c>
      <c r="DV41" s="91">
        <v>403</v>
      </c>
      <c r="DW41" s="91">
        <f t="shared" ref="DW41:DW49" si="12">(DU41+DV41*2+DX41)/4</f>
        <v>407</v>
      </c>
      <c r="DX41" s="91">
        <v>415</v>
      </c>
      <c r="DY41" s="91">
        <v>426</v>
      </c>
      <c r="DZ41" s="91">
        <f t="shared" ref="DZ41:DZ49" si="13">(DX41+DY41*2+EA41)/4</f>
        <v>432.25</v>
      </c>
      <c r="EA41" s="101">
        <v>462</v>
      </c>
      <c r="EB41" s="91">
        <v>464</v>
      </c>
      <c r="EC41" s="91">
        <f t="shared" ref="EC41:EC49" si="14">(EA41+EB41*2+ED41)/4</f>
        <v>468.75</v>
      </c>
      <c r="ED41" s="102">
        <v>485</v>
      </c>
      <c r="EE41" s="102">
        <v>494</v>
      </c>
      <c r="EF41" s="91">
        <f t="shared" ref="EF41:EF49" si="15">(ED41+EE41*2+EG41)/4</f>
        <v>499.25</v>
      </c>
      <c r="EG41" s="102">
        <v>524</v>
      </c>
      <c r="EH41" s="102">
        <v>522.75724644289403</v>
      </c>
      <c r="EI41" s="91">
        <f t="shared" ref="EI41:EI49" si="16">(EG41+EH41*2+EJ41)/4</f>
        <v>529.87862322144701</v>
      </c>
      <c r="EJ41" s="102">
        <v>550</v>
      </c>
      <c r="EK41" s="102">
        <v>588</v>
      </c>
      <c r="EL41" s="91">
        <f t="shared" ref="EL41:EL49" si="17">(EJ41+EK41*2+EM41)/4</f>
        <v>587.5</v>
      </c>
      <c r="EM41" s="102">
        <v>624</v>
      </c>
      <c r="EN41" s="102">
        <v>608</v>
      </c>
      <c r="EO41" s="91">
        <f t="shared" ref="EO41:EO49" si="18">(EM41+EN41*2+EP41)/4</f>
        <v>614.25</v>
      </c>
      <c r="EP41" s="102">
        <v>617</v>
      </c>
      <c r="EQ41" s="103">
        <v>623</v>
      </c>
      <c r="ER41" s="91">
        <f t="shared" ref="ER41:ER49" si="19">(EP41+EQ41*2+ES41)/4</f>
        <v>624</v>
      </c>
      <c r="ES41" s="54">
        <v>633</v>
      </c>
      <c r="ET41" s="54">
        <v>644</v>
      </c>
      <c r="EU41" s="91">
        <f t="shared" ref="EU41:EU49" si="20">(ES41+ET41*2+EV41)/4</f>
        <v>647.5</v>
      </c>
      <c r="EV41" s="54">
        <v>669</v>
      </c>
      <c r="EW41" s="54">
        <v>690</v>
      </c>
      <c r="EX41" s="91">
        <f t="shared" ref="EX41:EX49" si="21">(EV41+EW41*2+EY41)/4</f>
        <v>686.75</v>
      </c>
      <c r="EY41" s="54">
        <v>698</v>
      </c>
      <c r="EZ41" s="54">
        <v>693</v>
      </c>
      <c r="FA41" s="91">
        <f t="shared" ref="FA41:FA49" si="22">(EY41+EZ41*2+FB41)/4</f>
        <v>701</v>
      </c>
      <c r="FB41" s="54">
        <v>720</v>
      </c>
      <c r="FC41" s="54">
        <v>733</v>
      </c>
      <c r="FD41" s="91">
        <f t="shared" ref="FD41:FD49" si="23">(FB41+FC41*2+FE41)/4</f>
        <v>730.5</v>
      </c>
      <c r="FE41" s="54">
        <v>736</v>
      </c>
      <c r="FF41" s="54">
        <v>738</v>
      </c>
      <c r="FG41" s="91">
        <f t="shared" ref="FG41:FG49" si="24">(FE41+FF41*2+FH41)/4</f>
        <v>739.75</v>
      </c>
      <c r="FH41" s="54">
        <v>747</v>
      </c>
      <c r="FI41" s="54">
        <v>750</v>
      </c>
      <c r="FJ41" s="91">
        <f t="shared" ref="FJ41:FJ49" si="25">(FH41+FI41*2+FK41)/4</f>
        <v>755.25</v>
      </c>
      <c r="FK41" s="54">
        <v>774</v>
      </c>
      <c r="FL41" s="54">
        <v>772</v>
      </c>
      <c r="FM41" s="91">
        <f t="shared" ref="FM41:FM49" si="26">(FK41+FL41*2+FN41)/4</f>
        <v>777</v>
      </c>
      <c r="FN41" s="54">
        <v>790</v>
      </c>
      <c r="FO41" s="54">
        <v>801</v>
      </c>
      <c r="FP41" s="87">
        <f t="shared" ref="FP41:FP49" si="27">(FN41+FO41*2+FQ41)/4</f>
        <v>802.75</v>
      </c>
      <c r="FQ41" s="54">
        <v>819</v>
      </c>
      <c r="FR41" s="54">
        <v>826</v>
      </c>
      <c r="FS41" s="91">
        <f t="shared" ref="FS41:FS49" si="28">(FQ41+FR41*2+FT41)/4</f>
        <v>829.5</v>
      </c>
      <c r="FT41" s="54">
        <v>847</v>
      </c>
      <c r="FU41" s="54">
        <v>850</v>
      </c>
      <c r="FV41" s="91">
        <f t="shared" ref="FV41:FV49" si="29">(FT41+FU41*2+FW41)/4</f>
        <v>857.5</v>
      </c>
      <c r="FW41" s="54">
        <v>883</v>
      </c>
      <c r="FX41" s="54">
        <v>911</v>
      </c>
      <c r="FY41" s="91">
        <f t="shared" ref="FY41:FY49" si="30">(FW41+FX41*2+FZ41)/4</f>
        <v>922.25</v>
      </c>
      <c r="FZ41" s="54">
        <v>984</v>
      </c>
      <c r="GA41" s="54">
        <v>1021</v>
      </c>
      <c r="GB41" s="91">
        <f t="shared" ref="GB41:GB55" si="31">(FZ41+GA41*2+GC41)/4</f>
        <v>1026.5</v>
      </c>
      <c r="GC41" s="54">
        <v>1080</v>
      </c>
      <c r="GD41" s="54"/>
      <c r="GE41" s="133">
        <f>GC41</f>
        <v>1080</v>
      </c>
      <c r="GF41" s="54"/>
      <c r="GG41" s="104"/>
      <c r="GH41" s="97">
        <f t="shared" si="2"/>
        <v>0</v>
      </c>
      <c r="GI41" s="105"/>
      <c r="GJ41" s="105"/>
      <c r="GK41" s="97">
        <f t="shared" si="4"/>
        <v>0</v>
      </c>
      <c r="GL41" s="105"/>
      <c r="GM41" s="105"/>
      <c r="GN41" s="97">
        <f t="shared" si="5"/>
        <v>0</v>
      </c>
      <c r="GO41" s="105"/>
      <c r="GP41" s="105"/>
      <c r="GQ41" s="97">
        <f t="shared" si="6"/>
        <v>0</v>
      </c>
      <c r="GR41" s="105"/>
      <c r="GS41" s="105"/>
    </row>
    <row r="42" spans="1:201" ht="10.5" customHeight="1" x14ac:dyDescent="0.3">
      <c r="A42" s="99">
        <f t="shared" si="3"/>
        <v>35</v>
      </c>
      <c r="B42" s="56" t="s">
        <v>52</v>
      </c>
      <c r="C42" s="86">
        <v>331</v>
      </c>
      <c r="D42" s="87">
        <v>9</v>
      </c>
      <c r="E42" s="87">
        <v>10</v>
      </c>
      <c r="F42" s="87">
        <v>9</v>
      </c>
      <c r="G42" s="88">
        <v>9</v>
      </c>
      <c r="H42" s="87">
        <v>12</v>
      </c>
      <c r="I42" s="87">
        <v>18</v>
      </c>
      <c r="J42" s="87">
        <v>20</v>
      </c>
      <c r="K42" s="87">
        <v>22</v>
      </c>
      <c r="L42" s="88">
        <v>25</v>
      </c>
      <c r="M42" s="87">
        <v>24</v>
      </c>
      <c r="N42" s="87">
        <v>22</v>
      </c>
      <c r="O42" s="87">
        <v>23</v>
      </c>
      <c r="P42" s="87">
        <v>24</v>
      </c>
      <c r="Q42" s="88">
        <v>23</v>
      </c>
      <c r="R42" s="87">
        <v>23</v>
      </c>
      <c r="S42" s="86">
        <v>21</v>
      </c>
      <c r="T42" s="87">
        <v>20</v>
      </c>
      <c r="U42" s="89">
        <v>21</v>
      </c>
      <c r="V42" s="87">
        <v>21</v>
      </c>
      <c r="W42" s="89">
        <v>20</v>
      </c>
      <c r="X42" s="87">
        <v>18</v>
      </c>
      <c r="Y42" s="89">
        <v>18</v>
      </c>
      <c r="Z42" s="87">
        <v>20</v>
      </c>
      <c r="AA42" s="88">
        <v>20</v>
      </c>
      <c r="AB42" s="87">
        <v>21</v>
      </c>
      <c r="AC42" s="89">
        <v>23</v>
      </c>
      <c r="AD42" s="87">
        <v>24</v>
      </c>
      <c r="AE42" s="88">
        <v>24</v>
      </c>
      <c r="AF42" s="87">
        <v>24</v>
      </c>
      <c r="AG42" s="88">
        <v>25</v>
      </c>
      <c r="AH42" s="87">
        <v>27</v>
      </c>
      <c r="AI42" s="89">
        <v>27</v>
      </c>
      <c r="AJ42" s="87">
        <v>28</v>
      </c>
      <c r="AK42" s="88">
        <v>28</v>
      </c>
      <c r="AL42" s="87">
        <v>32</v>
      </c>
      <c r="AM42" s="87">
        <v>39</v>
      </c>
      <c r="AN42" s="87">
        <v>46</v>
      </c>
      <c r="AO42" s="87">
        <v>46</v>
      </c>
      <c r="AP42" s="87">
        <v>48</v>
      </c>
      <c r="AQ42" s="89">
        <v>50</v>
      </c>
      <c r="AR42" s="87">
        <v>51</v>
      </c>
      <c r="AS42" s="88">
        <v>53</v>
      </c>
      <c r="AT42" s="87">
        <v>56</v>
      </c>
      <c r="AU42" s="88">
        <v>59</v>
      </c>
      <c r="AV42" s="87">
        <v>62</v>
      </c>
      <c r="AW42" s="86">
        <v>66</v>
      </c>
      <c r="AX42" s="87">
        <v>68</v>
      </c>
      <c r="AY42" s="89">
        <v>72</v>
      </c>
      <c r="AZ42" s="87">
        <v>73</v>
      </c>
      <c r="BA42" s="89">
        <v>75</v>
      </c>
      <c r="BB42" s="87">
        <v>77</v>
      </c>
      <c r="BC42" s="89">
        <v>79</v>
      </c>
      <c r="BD42" s="87">
        <v>79</v>
      </c>
      <c r="BE42" s="88">
        <v>80</v>
      </c>
      <c r="BF42" s="87">
        <v>80</v>
      </c>
      <c r="BG42" s="88">
        <v>81</v>
      </c>
      <c r="BH42" s="87">
        <v>82</v>
      </c>
      <c r="BI42" s="89">
        <v>83</v>
      </c>
      <c r="BJ42" s="87">
        <v>88</v>
      </c>
      <c r="BK42" s="87">
        <v>97</v>
      </c>
      <c r="BL42" s="87">
        <v>99</v>
      </c>
      <c r="BM42" s="88">
        <v>100</v>
      </c>
      <c r="BN42" s="100">
        <v>143</v>
      </c>
      <c r="BO42" s="88">
        <v>158</v>
      </c>
      <c r="BP42" s="87">
        <v>163</v>
      </c>
      <c r="BQ42" s="88">
        <v>167</v>
      </c>
      <c r="BR42" s="87">
        <v>178</v>
      </c>
      <c r="BS42" s="88">
        <v>185</v>
      </c>
      <c r="BT42" s="87">
        <v>202</v>
      </c>
      <c r="BU42" s="88">
        <v>218</v>
      </c>
      <c r="BV42" s="87">
        <v>223</v>
      </c>
      <c r="BW42" s="88">
        <v>245</v>
      </c>
      <c r="BX42" s="87">
        <v>253</v>
      </c>
      <c r="BY42" s="88">
        <v>264</v>
      </c>
      <c r="BZ42" s="87">
        <v>263</v>
      </c>
      <c r="CA42" s="88">
        <v>269</v>
      </c>
      <c r="CB42" s="87">
        <v>273</v>
      </c>
      <c r="CC42" s="89">
        <v>282</v>
      </c>
      <c r="CD42" s="91">
        <v>281.5</v>
      </c>
      <c r="CE42" s="88">
        <v>289</v>
      </c>
      <c r="CF42" s="88">
        <v>298</v>
      </c>
      <c r="CG42" s="88">
        <v>296</v>
      </c>
      <c r="CH42" s="87">
        <v>299</v>
      </c>
      <c r="CI42" s="89">
        <v>304</v>
      </c>
      <c r="CJ42" s="91">
        <v>303.75</v>
      </c>
      <c r="CK42" s="88">
        <v>308</v>
      </c>
      <c r="CL42" s="89">
        <v>314</v>
      </c>
      <c r="CM42" s="91">
        <v>312.75</v>
      </c>
      <c r="CN42" s="88">
        <v>315</v>
      </c>
      <c r="CO42" s="88">
        <v>320</v>
      </c>
      <c r="CP42" s="88">
        <v>319.75</v>
      </c>
      <c r="CQ42" s="87">
        <v>324</v>
      </c>
      <c r="CR42" s="89">
        <v>330</v>
      </c>
      <c r="CS42" s="91">
        <v>329.25</v>
      </c>
      <c r="CT42" s="91">
        <v>333</v>
      </c>
      <c r="CU42" s="91">
        <v>340</v>
      </c>
      <c r="CV42" s="91">
        <v>339.25</v>
      </c>
      <c r="CW42" s="91">
        <v>344</v>
      </c>
      <c r="CX42" s="91">
        <v>339</v>
      </c>
      <c r="CY42" s="91">
        <v>340.75</v>
      </c>
      <c r="CZ42" s="91">
        <v>341</v>
      </c>
      <c r="DA42" s="91">
        <v>347</v>
      </c>
      <c r="DB42" s="91">
        <v>347.5</v>
      </c>
      <c r="DC42" s="91">
        <v>355</v>
      </c>
      <c r="DD42" s="91">
        <v>357</v>
      </c>
      <c r="DE42" s="91">
        <v>357.5</v>
      </c>
      <c r="DF42" s="91">
        <v>361</v>
      </c>
      <c r="DG42" s="91">
        <v>364</v>
      </c>
      <c r="DH42" s="91">
        <f t="shared" si="7"/>
        <v>364</v>
      </c>
      <c r="DI42" s="91">
        <v>367</v>
      </c>
      <c r="DJ42" s="101">
        <v>369</v>
      </c>
      <c r="DK42" s="91">
        <f t="shared" si="8"/>
        <v>370</v>
      </c>
      <c r="DL42" s="91">
        <v>375</v>
      </c>
      <c r="DM42" s="91">
        <v>394</v>
      </c>
      <c r="DN42" s="91">
        <f t="shared" si="9"/>
        <v>389.75</v>
      </c>
      <c r="DO42" s="91">
        <v>396</v>
      </c>
      <c r="DP42" s="91">
        <v>406</v>
      </c>
      <c r="DQ42" s="91">
        <f t="shared" si="10"/>
        <v>404.25</v>
      </c>
      <c r="DR42" s="91">
        <v>409</v>
      </c>
      <c r="DS42" s="91">
        <v>424</v>
      </c>
      <c r="DT42" s="91">
        <f t="shared" si="11"/>
        <v>420.75</v>
      </c>
      <c r="DU42" s="91">
        <v>426</v>
      </c>
      <c r="DV42" s="91">
        <v>422</v>
      </c>
      <c r="DW42" s="91">
        <f t="shared" si="12"/>
        <v>425</v>
      </c>
      <c r="DX42" s="91">
        <v>430</v>
      </c>
      <c r="DY42" s="91">
        <v>428</v>
      </c>
      <c r="DZ42" s="91">
        <f t="shared" si="13"/>
        <v>435.75</v>
      </c>
      <c r="EA42" s="101">
        <v>457</v>
      </c>
      <c r="EB42" s="91">
        <v>460</v>
      </c>
      <c r="EC42" s="91">
        <f t="shared" si="14"/>
        <v>465</v>
      </c>
      <c r="ED42" s="102">
        <v>483</v>
      </c>
      <c r="EE42" s="102">
        <v>492</v>
      </c>
      <c r="EF42" s="91">
        <f t="shared" si="15"/>
        <v>498</v>
      </c>
      <c r="EG42" s="102">
        <v>525</v>
      </c>
      <c r="EH42" s="102">
        <v>528.40390843782427</v>
      </c>
      <c r="EI42" s="91">
        <f t="shared" si="16"/>
        <v>534.45195421891208</v>
      </c>
      <c r="EJ42" s="102">
        <v>556</v>
      </c>
      <c r="EK42" s="102">
        <v>579</v>
      </c>
      <c r="EL42" s="91">
        <f t="shared" si="17"/>
        <v>584.75</v>
      </c>
      <c r="EM42" s="102">
        <v>625</v>
      </c>
      <c r="EN42" s="102">
        <v>624</v>
      </c>
      <c r="EO42" s="91">
        <f t="shared" si="18"/>
        <v>630</v>
      </c>
      <c r="EP42" s="102">
        <v>647</v>
      </c>
      <c r="EQ42" s="103">
        <v>648</v>
      </c>
      <c r="ER42" s="91">
        <f t="shared" si="19"/>
        <v>649.25</v>
      </c>
      <c r="ES42" s="54">
        <v>654</v>
      </c>
      <c r="ET42" s="54">
        <v>660</v>
      </c>
      <c r="EU42" s="91">
        <f t="shared" si="20"/>
        <v>663.75</v>
      </c>
      <c r="EV42" s="54">
        <v>681</v>
      </c>
      <c r="EW42" s="54">
        <v>716</v>
      </c>
      <c r="EX42" s="91">
        <f t="shared" si="21"/>
        <v>711.5</v>
      </c>
      <c r="EY42" s="54">
        <v>733</v>
      </c>
      <c r="EZ42" s="54">
        <v>730</v>
      </c>
      <c r="FA42" s="91">
        <f t="shared" si="22"/>
        <v>738</v>
      </c>
      <c r="FB42" s="54">
        <v>759</v>
      </c>
      <c r="FC42" s="54">
        <v>781</v>
      </c>
      <c r="FD42" s="91">
        <f t="shared" si="23"/>
        <v>775.25</v>
      </c>
      <c r="FE42" s="54">
        <v>780</v>
      </c>
      <c r="FF42" s="54">
        <v>785</v>
      </c>
      <c r="FG42" s="91">
        <f t="shared" si="24"/>
        <v>786.25</v>
      </c>
      <c r="FH42" s="54">
        <v>795</v>
      </c>
      <c r="FI42" s="54">
        <v>797</v>
      </c>
      <c r="FJ42" s="91">
        <f t="shared" si="25"/>
        <v>805.25</v>
      </c>
      <c r="FK42" s="54">
        <v>832</v>
      </c>
      <c r="FL42" s="54">
        <v>826</v>
      </c>
      <c r="FM42" s="91">
        <f t="shared" si="26"/>
        <v>834.75</v>
      </c>
      <c r="FN42" s="54">
        <v>855</v>
      </c>
      <c r="FO42" s="54">
        <v>864</v>
      </c>
      <c r="FP42" s="87">
        <f t="shared" si="27"/>
        <v>866.5</v>
      </c>
      <c r="FQ42" s="54">
        <v>883</v>
      </c>
      <c r="FR42" s="54">
        <v>894</v>
      </c>
      <c r="FS42" s="91">
        <f t="shared" si="28"/>
        <v>897.75</v>
      </c>
      <c r="FT42" s="54">
        <v>920</v>
      </c>
      <c r="FU42" s="54">
        <v>924</v>
      </c>
      <c r="FV42" s="91">
        <f t="shared" si="29"/>
        <v>930</v>
      </c>
      <c r="FW42" s="54">
        <v>952</v>
      </c>
      <c r="FX42" s="54">
        <v>977</v>
      </c>
      <c r="FY42" s="91">
        <f t="shared" si="30"/>
        <v>988.5</v>
      </c>
      <c r="FZ42" s="54">
        <v>1048</v>
      </c>
      <c r="GA42" s="54">
        <v>1101</v>
      </c>
      <c r="GB42" s="91">
        <f t="shared" si="31"/>
        <v>1105</v>
      </c>
      <c r="GC42" s="54">
        <v>1170</v>
      </c>
      <c r="GD42" s="54"/>
      <c r="GE42" s="133">
        <f t="shared" ref="GE42:GE49" si="32">GC42</f>
        <v>1170</v>
      </c>
      <c r="GF42" s="54"/>
      <c r="GG42" s="104"/>
      <c r="GH42" s="97">
        <f t="shared" si="2"/>
        <v>0</v>
      </c>
      <c r="GI42" s="105"/>
      <c r="GJ42" s="105"/>
      <c r="GK42" s="97">
        <f t="shared" si="4"/>
        <v>0</v>
      </c>
      <c r="GL42" s="105"/>
      <c r="GM42" s="105"/>
      <c r="GN42" s="97">
        <f t="shared" si="5"/>
        <v>0</v>
      </c>
      <c r="GO42" s="105"/>
      <c r="GP42" s="105"/>
      <c r="GQ42" s="97">
        <f t="shared" si="6"/>
        <v>0</v>
      </c>
      <c r="GR42" s="105"/>
      <c r="GS42" s="105"/>
    </row>
    <row r="43" spans="1:201" ht="10.5" customHeight="1" x14ac:dyDescent="0.3">
      <c r="A43" s="99">
        <f t="shared" si="3"/>
        <v>36</v>
      </c>
      <c r="B43" s="56" t="s">
        <v>56</v>
      </c>
      <c r="C43" s="86">
        <v>331</v>
      </c>
      <c r="D43" s="106" t="s">
        <v>46</v>
      </c>
      <c r="E43" s="106" t="s">
        <v>46</v>
      </c>
      <c r="F43" s="106" t="s">
        <v>46</v>
      </c>
      <c r="G43" s="108" t="s">
        <v>46</v>
      </c>
      <c r="H43" s="106" t="s">
        <v>46</v>
      </c>
      <c r="I43" s="106" t="s">
        <v>46</v>
      </c>
      <c r="J43" s="106" t="s">
        <v>46</v>
      </c>
      <c r="K43" s="106" t="s">
        <v>46</v>
      </c>
      <c r="L43" s="108" t="s">
        <v>46</v>
      </c>
      <c r="M43" s="106" t="s">
        <v>46</v>
      </c>
      <c r="N43" s="106" t="s">
        <v>46</v>
      </c>
      <c r="O43" s="106" t="s">
        <v>46</v>
      </c>
      <c r="P43" s="106" t="s">
        <v>46</v>
      </c>
      <c r="Q43" s="108" t="s">
        <v>46</v>
      </c>
      <c r="R43" s="106" t="s">
        <v>46</v>
      </c>
      <c r="S43" s="109" t="s">
        <v>46</v>
      </c>
      <c r="T43" s="106" t="s">
        <v>46</v>
      </c>
      <c r="U43" s="110" t="s">
        <v>46</v>
      </c>
      <c r="V43" s="106" t="s">
        <v>46</v>
      </c>
      <c r="W43" s="110" t="s">
        <v>46</v>
      </c>
      <c r="X43" s="106" t="s">
        <v>46</v>
      </c>
      <c r="Y43" s="110" t="s">
        <v>46</v>
      </c>
      <c r="Z43" s="106" t="s">
        <v>46</v>
      </c>
      <c r="AA43" s="108" t="s">
        <v>46</v>
      </c>
      <c r="AB43" s="87">
        <v>31</v>
      </c>
      <c r="AC43" s="89">
        <v>32</v>
      </c>
      <c r="AD43" s="87">
        <v>32</v>
      </c>
      <c r="AE43" s="88">
        <v>33</v>
      </c>
      <c r="AF43" s="87">
        <v>33</v>
      </c>
      <c r="AG43" s="88">
        <v>34</v>
      </c>
      <c r="AH43" s="87">
        <v>36</v>
      </c>
      <c r="AI43" s="89">
        <v>36</v>
      </c>
      <c r="AJ43" s="87">
        <v>37</v>
      </c>
      <c r="AK43" s="88">
        <v>37</v>
      </c>
      <c r="AL43" s="87">
        <v>44</v>
      </c>
      <c r="AM43" s="87">
        <v>49</v>
      </c>
      <c r="AN43" s="87">
        <v>59</v>
      </c>
      <c r="AO43" s="87">
        <v>61</v>
      </c>
      <c r="AP43" s="87">
        <v>62</v>
      </c>
      <c r="AQ43" s="89">
        <v>64</v>
      </c>
      <c r="AR43" s="87">
        <v>65</v>
      </c>
      <c r="AS43" s="88">
        <v>67</v>
      </c>
      <c r="AT43" s="87">
        <v>68</v>
      </c>
      <c r="AU43" s="88">
        <v>70</v>
      </c>
      <c r="AV43" s="87">
        <v>75</v>
      </c>
      <c r="AW43" s="86">
        <v>78</v>
      </c>
      <c r="AX43" s="87">
        <v>81</v>
      </c>
      <c r="AY43" s="89">
        <v>84</v>
      </c>
      <c r="AZ43" s="87">
        <v>86</v>
      </c>
      <c r="BA43" s="89">
        <v>86</v>
      </c>
      <c r="BB43" s="87">
        <v>87</v>
      </c>
      <c r="BC43" s="89">
        <v>89</v>
      </c>
      <c r="BD43" s="87">
        <v>88</v>
      </c>
      <c r="BE43" s="88">
        <v>81</v>
      </c>
      <c r="BF43" s="87">
        <v>82</v>
      </c>
      <c r="BG43" s="88">
        <v>82</v>
      </c>
      <c r="BH43" s="87">
        <v>82</v>
      </c>
      <c r="BI43" s="89">
        <v>85</v>
      </c>
      <c r="BJ43" s="87">
        <v>88</v>
      </c>
      <c r="BK43" s="87">
        <v>97</v>
      </c>
      <c r="BL43" s="87">
        <v>98</v>
      </c>
      <c r="BM43" s="88">
        <v>100</v>
      </c>
      <c r="BN43" s="100">
        <v>127</v>
      </c>
      <c r="BO43" s="88">
        <v>148</v>
      </c>
      <c r="BP43" s="87">
        <v>159</v>
      </c>
      <c r="BQ43" s="88">
        <v>167</v>
      </c>
      <c r="BR43" s="87">
        <v>176</v>
      </c>
      <c r="BS43" s="88">
        <v>202</v>
      </c>
      <c r="BT43" s="87">
        <v>212</v>
      </c>
      <c r="BU43" s="88">
        <v>234</v>
      </c>
      <c r="BV43" s="87">
        <v>253</v>
      </c>
      <c r="BW43" s="88">
        <v>244</v>
      </c>
      <c r="BX43" s="87">
        <v>249</v>
      </c>
      <c r="BY43" s="88">
        <v>255</v>
      </c>
      <c r="BZ43" s="87">
        <v>259</v>
      </c>
      <c r="CA43" s="88">
        <v>275</v>
      </c>
      <c r="CB43" s="87">
        <v>300</v>
      </c>
      <c r="CC43" s="89">
        <v>310</v>
      </c>
      <c r="CD43" s="91">
        <v>315.25</v>
      </c>
      <c r="CE43" s="88">
        <v>341</v>
      </c>
      <c r="CF43" s="88">
        <v>340</v>
      </c>
      <c r="CG43" s="88">
        <v>339.75</v>
      </c>
      <c r="CH43" s="87">
        <v>338</v>
      </c>
      <c r="CI43" s="89">
        <v>339</v>
      </c>
      <c r="CJ43" s="91">
        <v>338</v>
      </c>
      <c r="CK43" s="88">
        <v>336</v>
      </c>
      <c r="CL43" s="89">
        <v>339</v>
      </c>
      <c r="CM43" s="91">
        <v>332</v>
      </c>
      <c r="CN43" s="88">
        <v>314</v>
      </c>
      <c r="CO43" s="88">
        <v>319</v>
      </c>
      <c r="CP43" s="88">
        <v>319.25</v>
      </c>
      <c r="CQ43" s="87">
        <v>325</v>
      </c>
      <c r="CR43" s="89">
        <v>340</v>
      </c>
      <c r="CS43" s="91">
        <v>335</v>
      </c>
      <c r="CT43" s="91">
        <v>335</v>
      </c>
      <c r="CU43" s="91">
        <v>335</v>
      </c>
      <c r="CV43" s="91">
        <v>338.25</v>
      </c>
      <c r="CW43" s="91">
        <v>348</v>
      </c>
      <c r="CX43" s="91">
        <v>354</v>
      </c>
      <c r="CY43" s="91">
        <v>353.75</v>
      </c>
      <c r="CZ43" s="91">
        <v>359</v>
      </c>
      <c r="DA43" s="91">
        <v>363</v>
      </c>
      <c r="DB43" s="91">
        <v>363.5</v>
      </c>
      <c r="DC43" s="91">
        <v>369</v>
      </c>
      <c r="DD43" s="91">
        <v>373</v>
      </c>
      <c r="DE43" s="91">
        <v>372</v>
      </c>
      <c r="DF43" s="91">
        <v>373</v>
      </c>
      <c r="DG43" s="91">
        <v>376</v>
      </c>
      <c r="DH43" s="91">
        <f t="shared" si="7"/>
        <v>375.25</v>
      </c>
      <c r="DI43" s="91">
        <v>376</v>
      </c>
      <c r="DJ43" s="101">
        <v>380</v>
      </c>
      <c r="DK43" s="91">
        <f t="shared" si="8"/>
        <v>381.5</v>
      </c>
      <c r="DL43" s="91">
        <v>390</v>
      </c>
      <c r="DM43" s="91">
        <v>405</v>
      </c>
      <c r="DN43" s="91">
        <f t="shared" si="9"/>
        <v>404.5</v>
      </c>
      <c r="DO43" s="91">
        <v>418</v>
      </c>
      <c r="DP43" s="91">
        <v>423</v>
      </c>
      <c r="DQ43" s="91">
        <f t="shared" si="10"/>
        <v>423.25</v>
      </c>
      <c r="DR43" s="91">
        <v>429</v>
      </c>
      <c r="DS43" s="91">
        <v>448</v>
      </c>
      <c r="DT43" s="91">
        <f t="shared" si="11"/>
        <v>443.75</v>
      </c>
      <c r="DU43" s="91">
        <v>450</v>
      </c>
      <c r="DV43" s="91">
        <v>441</v>
      </c>
      <c r="DW43" s="91">
        <f t="shared" si="12"/>
        <v>445.5</v>
      </c>
      <c r="DX43" s="91">
        <v>450</v>
      </c>
      <c r="DY43" s="91">
        <v>454</v>
      </c>
      <c r="DZ43" s="91">
        <f t="shared" si="13"/>
        <v>459.5</v>
      </c>
      <c r="EA43" s="101">
        <v>480</v>
      </c>
      <c r="EB43" s="91">
        <v>483</v>
      </c>
      <c r="EC43" s="91">
        <f t="shared" si="14"/>
        <v>496</v>
      </c>
      <c r="ED43" s="102">
        <v>538</v>
      </c>
      <c r="EE43" s="102">
        <v>546</v>
      </c>
      <c r="EF43" s="91">
        <f t="shared" si="15"/>
        <v>557.25</v>
      </c>
      <c r="EG43" s="102">
        <v>599</v>
      </c>
      <c r="EH43" s="102">
        <v>596.71044023655259</v>
      </c>
      <c r="EI43" s="91">
        <f t="shared" si="16"/>
        <v>603.35522011827629</v>
      </c>
      <c r="EJ43" s="102">
        <v>621</v>
      </c>
      <c r="EK43" s="102">
        <v>632</v>
      </c>
      <c r="EL43" s="91">
        <f t="shared" si="17"/>
        <v>644</v>
      </c>
      <c r="EM43" s="102">
        <v>691</v>
      </c>
      <c r="EN43" s="102">
        <v>678</v>
      </c>
      <c r="EO43" s="91">
        <f t="shared" si="18"/>
        <v>671.25</v>
      </c>
      <c r="EP43" s="102">
        <v>638</v>
      </c>
      <c r="EQ43" s="103">
        <v>649</v>
      </c>
      <c r="ER43" s="91">
        <f t="shared" si="19"/>
        <v>648.5</v>
      </c>
      <c r="ES43" s="54">
        <v>658</v>
      </c>
      <c r="ET43" s="54">
        <v>683</v>
      </c>
      <c r="EU43" s="91">
        <f t="shared" si="20"/>
        <v>685</v>
      </c>
      <c r="EV43" s="54">
        <v>716</v>
      </c>
      <c r="EW43" s="54">
        <v>721</v>
      </c>
      <c r="EX43" s="91">
        <f t="shared" si="21"/>
        <v>717.5</v>
      </c>
      <c r="EY43" s="54">
        <v>712</v>
      </c>
      <c r="EZ43" s="54">
        <v>707</v>
      </c>
      <c r="FA43" s="91">
        <f t="shared" si="22"/>
        <v>707.5</v>
      </c>
      <c r="FB43" s="54">
        <v>704</v>
      </c>
      <c r="FC43" s="54">
        <v>721</v>
      </c>
      <c r="FD43" s="91">
        <f t="shared" si="23"/>
        <v>717.5</v>
      </c>
      <c r="FE43" s="54">
        <v>724</v>
      </c>
      <c r="FF43" s="54">
        <v>731</v>
      </c>
      <c r="FG43" s="91">
        <f t="shared" si="24"/>
        <v>731.75</v>
      </c>
      <c r="FH43" s="54">
        <v>741</v>
      </c>
      <c r="FI43" s="54">
        <v>743</v>
      </c>
      <c r="FJ43" s="91">
        <f t="shared" si="25"/>
        <v>744.5</v>
      </c>
      <c r="FK43" s="54">
        <v>751</v>
      </c>
      <c r="FL43" s="54">
        <v>746</v>
      </c>
      <c r="FM43" s="91">
        <f t="shared" si="26"/>
        <v>751.5</v>
      </c>
      <c r="FN43" s="54">
        <v>763</v>
      </c>
      <c r="FO43" s="54">
        <v>770</v>
      </c>
      <c r="FP43" s="87">
        <f t="shared" si="27"/>
        <v>771.75</v>
      </c>
      <c r="FQ43" s="54">
        <v>784</v>
      </c>
      <c r="FR43" s="54">
        <v>793</v>
      </c>
      <c r="FS43" s="91">
        <f t="shared" si="28"/>
        <v>797.375</v>
      </c>
      <c r="FT43" s="54">
        <v>819.5</v>
      </c>
      <c r="FU43" s="54">
        <v>831</v>
      </c>
      <c r="FV43" s="91">
        <f t="shared" si="29"/>
        <v>845.375</v>
      </c>
      <c r="FW43" s="54">
        <v>900</v>
      </c>
      <c r="FX43" s="54">
        <v>931</v>
      </c>
      <c r="FY43" s="91">
        <f t="shared" si="30"/>
        <v>942.125</v>
      </c>
      <c r="FZ43" s="54">
        <v>1006.5</v>
      </c>
      <c r="GA43" s="54">
        <v>1036</v>
      </c>
      <c r="GB43" s="91">
        <f t="shared" si="31"/>
        <v>1061.375</v>
      </c>
      <c r="GC43" s="54">
        <v>1167</v>
      </c>
      <c r="GD43" s="54"/>
      <c r="GE43" s="133">
        <f t="shared" si="32"/>
        <v>1167</v>
      </c>
      <c r="GF43" s="54"/>
      <c r="GG43" s="104"/>
      <c r="GH43" s="97">
        <f t="shared" si="2"/>
        <v>0</v>
      </c>
      <c r="GI43" s="105"/>
      <c r="GJ43" s="105"/>
      <c r="GK43" s="97">
        <f t="shared" si="4"/>
        <v>0</v>
      </c>
      <c r="GL43" s="105"/>
      <c r="GM43" s="105"/>
      <c r="GN43" s="97">
        <f t="shared" si="5"/>
        <v>0</v>
      </c>
      <c r="GO43" s="105"/>
      <c r="GP43" s="105"/>
      <c r="GQ43" s="97">
        <f t="shared" si="6"/>
        <v>0</v>
      </c>
      <c r="GR43" s="105"/>
      <c r="GS43" s="105"/>
    </row>
    <row r="44" spans="1:201" ht="10.5" customHeight="1" x14ac:dyDescent="0.3">
      <c r="A44" s="99">
        <f t="shared" si="3"/>
        <v>37</v>
      </c>
      <c r="B44" s="56" t="s">
        <v>53</v>
      </c>
      <c r="C44" s="86">
        <v>331</v>
      </c>
      <c r="D44" s="87">
        <v>6</v>
      </c>
      <c r="E44" s="87">
        <v>7</v>
      </c>
      <c r="F44" s="87">
        <v>6</v>
      </c>
      <c r="G44" s="88">
        <v>7</v>
      </c>
      <c r="H44" s="87">
        <v>8</v>
      </c>
      <c r="I44" s="87">
        <v>11</v>
      </c>
      <c r="J44" s="87">
        <v>13</v>
      </c>
      <c r="K44" s="87">
        <v>13</v>
      </c>
      <c r="L44" s="88">
        <v>14</v>
      </c>
      <c r="M44" s="87">
        <v>15</v>
      </c>
      <c r="N44" s="87">
        <v>14</v>
      </c>
      <c r="O44" s="87">
        <v>14</v>
      </c>
      <c r="P44" s="87">
        <v>14</v>
      </c>
      <c r="Q44" s="88">
        <v>15</v>
      </c>
      <c r="R44" s="87">
        <v>15</v>
      </c>
      <c r="S44" s="86">
        <v>15</v>
      </c>
      <c r="T44" s="87">
        <v>15</v>
      </c>
      <c r="U44" s="89">
        <v>16</v>
      </c>
      <c r="V44" s="87">
        <v>16</v>
      </c>
      <c r="W44" s="89">
        <v>16</v>
      </c>
      <c r="X44" s="87">
        <v>14</v>
      </c>
      <c r="Y44" s="89">
        <v>13</v>
      </c>
      <c r="Z44" s="87">
        <v>14</v>
      </c>
      <c r="AA44" s="88">
        <v>14</v>
      </c>
      <c r="AB44" s="87">
        <v>14</v>
      </c>
      <c r="AC44" s="89">
        <v>16</v>
      </c>
      <c r="AD44" s="87">
        <v>16</v>
      </c>
      <c r="AE44" s="88">
        <v>16</v>
      </c>
      <c r="AF44" s="87">
        <v>16</v>
      </c>
      <c r="AG44" s="88">
        <v>17</v>
      </c>
      <c r="AH44" s="87">
        <v>18</v>
      </c>
      <c r="AI44" s="89">
        <v>18</v>
      </c>
      <c r="AJ44" s="87">
        <v>18</v>
      </c>
      <c r="AK44" s="88">
        <v>19</v>
      </c>
      <c r="AL44" s="87">
        <v>21</v>
      </c>
      <c r="AM44" s="87">
        <v>24</v>
      </c>
      <c r="AN44" s="87">
        <v>28</v>
      </c>
      <c r="AO44" s="87">
        <v>29</v>
      </c>
      <c r="AP44" s="87">
        <v>31</v>
      </c>
      <c r="AQ44" s="89">
        <v>32</v>
      </c>
      <c r="AR44" s="87">
        <v>34</v>
      </c>
      <c r="AS44" s="88">
        <v>36</v>
      </c>
      <c r="AT44" s="87">
        <v>38</v>
      </c>
      <c r="AU44" s="88">
        <v>40</v>
      </c>
      <c r="AV44" s="87">
        <v>43</v>
      </c>
      <c r="AW44" s="86">
        <v>46</v>
      </c>
      <c r="AX44" s="87">
        <v>48</v>
      </c>
      <c r="AY44" s="89">
        <v>51</v>
      </c>
      <c r="AZ44" s="87">
        <v>53</v>
      </c>
      <c r="BA44" s="89">
        <v>55</v>
      </c>
      <c r="BB44" s="87">
        <v>56</v>
      </c>
      <c r="BC44" s="89">
        <v>58</v>
      </c>
      <c r="BD44" s="87">
        <v>60</v>
      </c>
      <c r="BE44" s="88">
        <v>63</v>
      </c>
      <c r="BF44" s="87">
        <v>65</v>
      </c>
      <c r="BG44" s="88">
        <v>66</v>
      </c>
      <c r="BH44" s="87">
        <v>68</v>
      </c>
      <c r="BI44" s="89">
        <v>72</v>
      </c>
      <c r="BJ44" s="87">
        <v>78</v>
      </c>
      <c r="BK44" s="87">
        <v>88</v>
      </c>
      <c r="BL44" s="87">
        <v>97</v>
      </c>
      <c r="BM44" s="88">
        <v>100</v>
      </c>
      <c r="BN44" s="100">
        <v>115</v>
      </c>
      <c r="BO44" s="88">
        <v>128</v>
      </c>
      <c r="BP44" s="87">
        <v>139</v>
      </c>
      <c r="BQ44" s="88">
        <v>151</v>
      </c>
      <c r="BR44" s="87">
        <v>164</v>
      </c>
      <c r="BS44" s="88">
        <v>179</v>
      </c>
      <c r="BT44" s="87">
        <v>197</v>
      </c>
      <c r="BU44" s="88">
        <v>212</v>
      </c>
      <c r="BV44" s="87">
        <v>233</v>
      </c>
      <c r="BW44" s="88">
        <v>228</v>
      </c>
      <c r="BX44" s="87">
        <v>231</v>
      </c>
      <c r="BY44" s="88">
        <v>237</v>
      </c>
      <c r="BZ44" s="87">
        <v>242</v>
      </c>
      <c r="CA44" s="88">
        <v>248</v>
      </c>
      <c r="CB44" s="87">
        <v>254</v>
      </c>
      <c r="CC44" s="89">
        <v>264</v>
      </c>
      <c r="CD44" s="91">
        <v>264.5</v>
      </c>
      <c r="CE44" s="88">
        <v>276</v>
      </c>
      <c r="CF44" s="88">
        <v>277</v>
      </c>
      <c r="CG44" s="88">
        <v>276.5</v>
      </c>
      <c r="CH44" s="87">
        <v>276</v>
      </c>
      <c r="CI44" s="89">
        <v>281</v>
      </c>
      <c r="CJ44" s="91">
        <v>280.75</v>
      </c>
      <c r="CK44" s="88">
        <v>285</v>
      </c>
      <c r="CL44" s="89">
        <v>291</v>
      </c>
      <c r="CM44" s="91">
        <v>288.25</v>
      </c>
      <c r="CN44" s="88">
        <v>286</v>
      </c>
      <c r="CO44" s="88">
        <v>296</v>
      </c>
      <c r="CP44" s="88">
        <v>294.5</v>
      </c>
      <c r="CQ44" s="87">
        <v>300</v>
      </c>
      <c r="CR44" s="89">
        <v>302</v>
      </c>
      <c r="CS44" s="91">
        <v>301.75</v>
      </c>
      <c r="CT44" s="91">
        <v>303</v>
      </c>
      <c r="CU44" s="91">
        <v>304</v>
      </c>
      <c r="CV44" s="91">
        <v>304.25</v>
      </c>
      <c r="CW44" s="91">
        <v>306</v>
      </c>
      <c r="CX44" s="91">
        <v>313</v>
      </c>
      <c r="CY44" s="91">
        <v>311</v>
      </c>
      <c r="CZ44" s="91">
        <v>312</v>
      </c>
      <c r="DA44" s="91">
        <v>316</v>
      </c>
      <c r="DB44" s="91">
        <v>315.75</v>
      </c>
      <c r="DC44" s="91">
        <v>319</v>
      </c>
      <c r="DD44" s="91">
        <v>321</v>
      </c>
      <c r="DE44" s="91">
        <v>321.5</v>
      </c>
      <c r="DF44" s="91">
        <v>325</v>
      </c>
      <c r="DG44" s="91">
        <v>328</v>
      </c>
      <c r="DH44" s="91">
        <f t="shared" si="7"/>
        <v>333.5</v>
      </c>
      <c r="DI44" s="91">
        <v>353</v>
      </c>
      <c r="DJ44" s="101">
        <v>334</v>
      </c>
      <c r="DK44" s="91">
        <f t="shared" si="8"/>
        <v>338.75</v>
      </c>
      <c r="DL44" s="91">
        <v>334</v>
      </c>
      <c r="DM44" s="91">
        <v>349</v>
      </c>
      <c r="DN44" s="91">
        <f t="shared" si="9"/>
        <v>346</v>
      </c>
      <c r="DO44" s="91">
        <v>352</v>
      </c>
      <c r="DP44" s="91">
        <v>359</v>
      </c>
      <c r="DQ44" s="91">
        <f t="shared" si="10"/>
        <v>357.75</v>
      </c>
      <c r="DR44" s="91">
        <v>361</v>
      </c>
      <c r="DS44" s="91">
        <v>363</v>
      </c>
      <c r="DT44" s="91">
        <f t="shared" si="11"/>
        <v>362.75</v>
      </c>
      <c r="DU44" s="91">
        <v>364</v>
      </c>
      <c r="DV44" s="91">
        <v>363</v>
      </c>
      <c r="DW44" s="91">
        <f t="shared" si="12"/>
        <v>367</v>
      </c>
      <c r="DX44" s="91">
        <v>378</v>
      </c>
      <c r="DY44" s="91">
        <v>413</v>
      </c>
      <c r="DZ44" s="91">
        <f t="shared" si="13"/>
        <v>415.75</v>
      </c>
      <c r="EA44" s="101">
        <v>459</v>
      </c>
      <c r="EB44" s="91">
        <v>460</v>
      </c>
      <c r="EC44" s="91">
        <f t="shared" si="14"/>
        <v>461.5</v>
      </c>
      <c r="ED44" s="102">
        <v>467</v>
      </c>
      <c r="EE44" s="102">
        <v>477</v>
      </c>
      <c r="EF44" s="91">
        <f t="shared" si="15"/>
        <v>478.75</v>
      </c>
      <c r="EG44" s="102">
        <v>494</v>
      </c>
      <c r="EH44" s="102">
        <v>487.15669265167901</v>
      </c>
      <c r="EI44" s="91">
        <f t="shared" si="16"/>
        <v>495.5783463258395</v>
      </c>
      <c r="EJ44" s="102">
        <v>514</v>
      </c>
      <c r="EK44" s="102">
        <v>582</v>
      </c>
      <c r="EL44" s="91">
        <f t="shared" si="17"/>
        <v>568.25</v>
      </c>
      <c r="EM44" s="102">
        <v>595</v>
      </c>
      <c r="EN44" s="102">
        <v>559</v>
      </c>
      <c r="EO44" s="91">
        <f t="shared" si="18"/>
        <v>569.5</v>
      </c>
      <c r="EP44" s="102">
        <v>565</v>
      </c>
      <c r="EQ44" s="103">
        <v>575</v>
      </c>
      <c r="ER44" s="91">
        <f t="shared" si="19"/>
        <v>577</v>
      </c>
      <c r="ES44" s="54">
        <v>593</v>
      </c>
      <c r="ET44" s="54">
        <v>606</v>
      </c>
      <c r="EU44" s="91">
        <f t="shared" si="20"/>
        <v>609.5</v>
      </c>
      <c r="EV44" s="54">
        <v>633</v>
      </c>
      <c r="EW44" s="54">
        <v>637</v>
      </c>
      <c r="EX44" s="91">
        <f t="shared" si="21"/>
        <v>636.25</v>
      </c>
      <c r="EY44" s="54">
        <v>638</v>
      </c>
      <c r="EZ44" s="54">
        <v>631</v>
      </c>
      <c r="FA44" s="91">
        <f t="shared" si="22"/>
        <v>641.25</v>
      </c>
      <c r="FB44" s="54">
        <v>665</v>
      </c>
      <c r="FC44" s="54">
        <v>665</v>
      </c>
      <c r="FD44" s="91">
        <f t="shared" si="23"/>
        <v>667</v>
      </c>
      <c r="FE44" s="54">
        <v>673</v>
      </c>
      <c r="FF44" s="54">
        <v>670</v>
      </c>
      <c r="FG44" s="91">
        <f t="shared" si="24"/>
        <v>672.75</v>
      </c>
      <c r="FH44" s="54">
        <v>678</v>
      </c>
      <c r="FI44" s="54">
        <v>681</v>
      </c>
      <c r="FJ44" s="91">
        <f t="shared" si="25"/>
        <v>684.25</v>
      </c>
      <c r="FK44" s="54">
        <v>697</v>
      </c>
      <c r="FL44" s="54">
        <v>701</v>
      </c>
      <c r="FM44" s="91">
        <f t="shared" si="26"/>
        <v>700.75</v>
      </c>
      <c r="FN44" s="54">
        <v>704</v>
      </c>
      <c r="FO44" s="54">
        <v>717</v>
      </c>
      <c r="FP44" s="87">
        <f t="shared" si="27"/>
        <v>718</v>
      </c>
      <c r="FQ44" s="54">
        <v>734</v>
      </c>
      <c r="FR44" s="54">
        <v>736</v>
      </c>
      <c r="FS44" s="91">
        <f t="shared" si="28"/>
        <v>738.5</v>
      </c>
      <c r="FT44" s="54">
        <v>748</v>
      </c>
      <c r="FU44" s="54">
        <v>748</v>
      </c>
      <c r="FV44" s="91">
        <f t="shared" si="29"/>
        <v>754.75</v>
      </c>
      <c r="FW44" s="54">
        <v>775</v>
      </c>
      <c r="FX44" s="54">
        <v>805</v>
      </c>
      <c r="FY44" s="91">
        <f t="shared" si="30"/>
        <v>816.5</v>
      </c>
      <c r="FZ44" s="54">
        <v>881</v>
      </c>
      <c r="GA44" s="54">
        <v>898</v>
      </c>
      <c r="GB44" s="91">
        <f t="shared" si="31"/>
        <v>898.75</v>
      </c>
      <c r="GC44" s="54">
        <v>918</v>
      </c>
      <c r="GD44" s="54"/>
      <c r="GE44" s="133">
        <f t="shared" si="32"/>
        <v>918</v>
      </c>
      <c r="GF44" s="54"/>
      <c r="GG44" s="104"/>
      <c r="GH44" s="97">
        <f t="shared" si="2"/>
        <v>0</v>
      </c>
      <c r="GI44" s="105"/>
      <c r="GJ44" s="105"/>
      <c r="GK44" s="97">
        <f t="shared" si="4"/>
        <v>0</v>
      </c>
      <c r="GL44" s="105"/>
      <c r="GM44" s="105"/>
      <c r="GN44" s="97">
        <f t="shared" si="5"/>
        <v>0</v>
      </c>
      <c r="GO44" s="105"/>
      <c r="GP44" s="105"/>
      <c r="GQ44" s="97">
        <f t="shared" si="6"/>
        <v>0</v>
      </c>
      <c r="GR44" s="105"/>
      <c r="GS44" s="105"/>
    </row>
    <row r="45" spans="1:201" ht="10.5" customHeight="1" x14ac:dyDescent="0.3">
      <c r="A45" s="99">
        <f t="shared" si="3"/>
        <v>38</v>
      </c>
      <c r="B45" s="56" t="s">
        <v>25</v>
      </c>
      <c r="C45" s="86">
        <v>331</v>
      </c>
      <c r="D45" s="106" t="s">
        <v>46</v>
      </c>
      <c r="E45" s="106" t="s">
        <v>46</v>
      </c>
      <c r="F45" s="106" t="s">
        <v>46</v>
      </c>
      <c r="G45" s="108" t="s">
        <v>46</v>
      </c>
      <c r="H45" s="106" t="s">
        <v>46</v>
      </c>
      <c r="I45" s="106" t="s">
        <v>46</v>
      </c>
      <c r="J45" s="106" t="s">
        <v>46</v>
      </c>
      <c r="K45" s="106" t="s">
        <v>46</v>
      </c>
      <c r="L45" s="108" t="s">
        <v>46</v>
      </c>
      <c r="M45" s="106" t="s">
        <v>46</v>
      </c>
      <c r="N45" s="106" t="s">
        <v>46</v>
      </c>
      <c r="O45" s="106" t="s">
        <v>46</v>
      </c>
      <c r="P45" s="106" t="s">
        <v>46</v>
      </c>
      <c r="Q45" s="108" t="s">
        <v>46</v>
      </c>
      <c r="R45" s="106" t="s">
        <v>46</v>
      </c>
      <c r="S45" s="109" t="s">
        <v>46</v>
      </c>
      <c r="T45" s="106" t="s">
        <v>46</v>
      </c>
      <c r="U45" s="110" t="s">
        <v>46</v>
      </c>
      <c r="V45" s="106" t="s">
        <v>46</v>
      </c>
      <c r="W45" s="110" t="s">
        <v>46</v>
      </c>
      <c r="X45" s="106" t="s">
        <v>46</v>
      </c>
      <c r="Y45" s="110" t="s">
        <v>46</v>
      </c>
      <c r="Z45" s="106" t="s">
        <v>46</v>
      </c>
      <c r="AA45" s="108" t="s">
        <v>46</v>
      </c>
      <c r="AB45" s="106" t="s">
        <v>46</v>
      </c>
      <c r="AC45" s="110" t="s">
        <v>46</v>
      </c>
      <c r="AD45" s="106" t="s">
        <v>46</v>
      </c>
      <c r="AE45" s="108" t="s">
        <v>46</v>
      </c>
      <c r="AF45" s="106" t="s">
        <v>46</v>
      </c>
      <c r="AG45" s="108" t="s">
        <v>46</v>
      </c>
      <c r="AH45" s="106" t="s">
        <v>46</v>
      </c>
      <c r="AI45" s="110" t="s">
        <v>46</v>
      </c>
      <c r="AJ45" s="106" t="s">
        <v>46</v>
      </c>
      <c r="AK45" s="108" t="s">
        <v>46</v>
      </c>
      <c r="AL45" s="106" t="s">
        <v>46</v>
      </c>
      <c r="AM45" s="106" t="s">
        <v>46</v>
      </c>
      <c r="AN45" s="106" t="s">
        <v>46</v>
      </c>
      <c r="AO45" s="106" t="s">
        <v>46</v>
      </c>
      <c r="AP45" s="106" t="s">
        <v>46</v>
      </c>
      <c r="AQ45" s="110" t="s">
        <v>46</v>
      </c>
      <c r="AR45" s="106" t="s">
        <v>46</v>
      </c>
      <c r="AS45" s="108" t="s">
        <v>46</v>
      </c>
      <c r="AT45" s="106" t="s">
        <v>46</v>
      </c>
      <c r="AU45" s="108" t="s">
        <v>46</v>
      </c>
      <c r="AV45" s="106" t="s">
        <v>46</v>
      </c>
      <c r="AW45" s="109" t="s">
        <v>46</v>
      </c>
      <c r="AX45" s="106" t="s">
        <v>46</v>
      </c>
      <c r="AY45" s="110" t="s">
        <v>46</v>
      </c>
      <c r="AZ45" s="106" t="s">
        <v>46</v>
      </c>
      <c r="BA45" s="110" t="s">
        <v>46</v>
      </c>
      <c r="BB45" s="106" t="s">
        <v>46</v>
      </c>
      <c r="BC45" s="110" t="s">
        <v>46</v>
      </c>
      <c r="BD45" s="106" t="s">
        <v>46</v>
      </c>
      <c r="BE45" s="108" t="s">
        <v>46</v>
      </c>
      <c r="BF45" s="106" t="s">
        <v>46</v>
      </c>
      <c r="BG45" s="108" t="s">
        <v>46</v>
      </c>
      <c r="BH45" s="106" t="s">
        <v>46</v>
      </c>
      <c r="BI45" s="110" t="s">
        <v>46</v>
      </c>
      <c r="BJ45" s="106" t="s">
        <v>46</v>
      </c>
      <c r="BK45" s="106" t="s">
        <v>46</v>
      </c>
      <c r="BL45" s="106" t="s">
        <v>46</v>
      </c>
      <c r="BM45" s="108" t="s">
        <v>46</v>
      </c>
      <c r="BN45" s="100">
        <v>25</v>
      </c>
      <c r="BO45" s="88">
        <v>100</v>
      </c>
      <c r="BP45" s="87">
        <v>104</v>
      </c>
      <c r="BQ45" s="88">
        <v>108</v>
      </c>
      <c r="BR45" s="87">
        <v>113</v>
      </c>
      <c r="BS45" s="88">
        <v>122</v>
      </c>
      <c r="BT45" s="87">
        <v>132</v>
      </c>
      <c r="BU45" s="88">
        <v>138</v>
      </c>
      <c r="BV45" s="87">
        <v>137</v>
      </c>
      <c r="BW45" s="88">
        <v>151</v>
      </c>
      <c r="BX45" s="87">
        <v>149</v>
      </c>
      <c r="BY45" s="88">
        <v>151</v>
      </c>
      <c r="BZ45" s="87">
        <v>150</v>
      </c>
      <c r="CA45" s="88">
        <v>160</v>
      </c>
      <c r="CB45" s="87">
        <v>183</v>
      </c>
      <c r="CC45" s="89">
        <v>192</v>
      </c>
      <c r="CD45" s="91">
        <v>197.25</v>
      </c>
      <c r="CE45" s="88">
        <v>222</v>
      </c>
      <c r="CF45" s="88">
        <v>217</v>
      </c>
      <c r="CG45" s="88">
        <v>217.25</v>
      </c>
      <c r="CH45" s="87">
        <v>213</v>
      </c>
      <c r="CI45" s="89">
        <v>212</v>
      </c>
      <c r="CJ45" s="91">
        <v>210.75</v>
      </c>
      <c r="CK45" s="88">
        <v>206</v>
      </c>
      <c r="CL45" s="89">
        <v>206</v>
      </c>
      <c r="CM45" s="91">
        <v>199.5</v>
      </c>
      <c r="CN45" s="88">
        <v>180</v>
      </c>
      <c r="CO45" s="88">
        <v>182</v>
      </c>
      <c r="CP45" s="88">
        <v>182.5</v>
      </c>
      <c r="CQ45" s="87">
        <v>186</v>
      </c>
      <c r="CR45" s="89">
        <v>198</v>
      </c>
      <c r="CS45" s="91">
        <v>193</v>
      </c>
      <c r="CT45" s="91">
        <v>190</v>
      </c>
      <c r="CU45" s="91">
        <v>187</v>
      </c>
      <c r="CV45" s="91">
        <v>190.75</v>
      </c>
      <c r="CW45" s="91">
        <v>199</v>
      </c>
      <c r="CX45" s="91">
        <v>204</v>
      </c>
      <c r="CY45" s="91">
        <v>204.25</v>
      </c>
      <c r="CZ45" s="91">
        <v>210</v>
      </c>
      <c r="DA45" s="91">
        <v>211</v>
      </c>
      <c r="DB45" s="91">
        <v>211.25</v>
      </c>
      <c r="DC45" s="91">
        <v>213</v>
      </c>
      <c r="DD45" s="91">
        <v>217</v>
      </c>
      <c r="DE45" s="91">
        <v>215.5</v>
      </c>
      <c r="DF45" s="91">
        <v>215</v>
      </c>
      <c r="DG45" s="91">
        <v>216</v>
      </c>
      <c r="DH45" s="91">
        <f t="shared" si="7"/>
        <v>215.5</v>
      </c>
      <c r="DI45" s="91">
        <v>215</v>
      </c>
      <c r="DJ45" s="101">
        <v>217</v>
      </c>
      <c r="DK45" s="91">
        <f t="shared" si="8"/>
        <v>218.75</v>
      </c>
      <c r="DL45" s="91">
        <v>226</v>
      </c>
      <c r="DM45" s="91">
        <v>228</v>
      </c>
      <c r="DN45" s="91">
        <f t="shared" si="9"/>
        <v>230.75</v>
      </c>
      <c r="DO45" s="91">
        <v>241</v>
      </c>
      <c r="DP45" s="91">
        <v>241</v>
      </c>
      <c r="DQ45" s="91">
        <f t="shared" si="10"/>
        <v>242.25</v>
      </c>
      <c r="DR45" s="91">
        <v>246</v>
      </c>
      <c r="DS45" s="91">
        <v>254</v>
      </c>
      <c r="DT45" s="91">
        <f t="shared" si="11"/>
        <v>252.5</v>
      </c>
      <c r="DU45" s="91">
        <v>256</v>
      </c>
      <c r="DV45" s="91">
        <v>250</v>
      </c>
      <c r="DW45" s="91">
        <f t="shared" si="12"/>
        <v>253.5</v>
      </c>
      <c r="DX45" s="91">
        <v>258</v>
      </c>
      <c r="DY45" s="91">
        <v>259</v>
      </c>
      <c r="DZ45" s="91">
        <f t="shared" si="13"/>
        <v>263.25</v>
      </c>
      <c r="EA45" s="101">
        <v>277</v>
      </c>
      <c r="EB45" s="91">
        <v>278</v>
      </c>
      <c r="EC45" s="91">
        <f t="shared" si="14"/>
        <v>288.5</v>
      </c>
      <c r="ED45" s="102">
        <v>321</v>
      </c>
      <c r="EE45" s="102">
        <v>321</v>
      </c>
      <c r="EF45" s="91">
        <f t="shared" si="15"/>
        <v>332</v>
      </c>
      <c r="EG45" s="102">
        <v>365</v>
      </c>
      <c r="EH45" s="102">
        <v>360.6012382639621</v>
      </c>
      <c r="EI45" s="91">
        <f t="shared" si="16"/>
        <v>364.55061913198108</v>
      </c>
      <c r="EJ45" s="102">
        <v>372</v>
      </c>
      <c r="EK45" s="102">
        <v>374</v>
      </c>
      <c r="EL45" s="91">
        <f t="shared" si="17"/>
        <v>384.75</v>
      </c>
      <c r="EM45" s="102">
        <v>419</v>
      </c>
      <c r="EN45" s="102">
        <v>408</v>
      </c>
      <c r="EO45" s="91">
        <f t="shared" si="18"/>
        <v>397</v>
      </c>
      <c r="EP45" s="102">
        <v>353</v>
      </c>
      <c r="EQ45" s="103">
        <v>363</v>
      </c>
      <c r="ER45" s="91">
        <f t="shared" si="19"/>
        <v>362</v>
      </c>
      <c r="ES45" s="54">
        <v>369</v>
      </c>
      <c r="ET45" s="54">
        <v>389</v>
      </c>
      <c r="EU45" s="91">
        <f t="shared" si="20"/>
        <v>389.75</v>
      </c>
      <c r="EV45" s="54">
        <v>412</v>
      </c>
      <c r="EW45" s="54">
        <v>412</v>
      </c>
      <c r="EX45" s="91">
        <f t="shared" si="21"/>
        <v>406.75</v>
      </c>
      <c r="EY45" s="54">
        <v>391</v>
      </c>
      <c r="EZ45" s="54">
        <v>392</v>
      </c>
      <c r="FA45" s="91">
        <f t="shared" si="22"/>
        <v>389.5</v>
      </c>
      <c r="FB45" s="54">
        <v>383</v>
      </c>
      <c r="FC45" s="54">
        <v>383</v>
      </c>
      <c r="FD45" s="91">
        <f t="shared" si="23"/>
        <v>384</v>
      </c>
      <c r="FE45" s="54">
        <v>387</v>
      </c>
      <c r="FF45" s="54">
        <v>387</v>
      </c>
      <c r="FG45" s="91">
        <f t="shared" si="24"/>
        <v>387.25</v>
      </c>
      <c r="FH45" s="54">
        <v>388</v>
      </c>
      <c r="FI45" s="54">
        <v>388</v>
      </c>
      <c r="FJ45" s="91">
        <f t="shared" si="25"/>
        <v>387.75</v>
      </c>
      <c r="FK45" s="54">
        <v>387</v>
      </c>
      <c r="FL45" s="54">
        <v>387</v>
      </c>
      <c r="FM45" s="91">
        <f t="shared" si="26"/>
        <v>389.5</v>
      </c>
      <c r="FN45" s="54">
        <v>397</v>
      </c>
      <c r="FO45" s="54">
        <v>397</v>
      </c>
      <c r="FP45" s="87">
        <f t="shared" si="27"/>
        <v>398</v>
      </c>
      <c r="FQ45" s="54">
        <v>401</v>
      </c>
      <c r="FR45" s="54">
        <v>401</v>
      </c>
      <c r="FS45" s="91">
        <f t="shared" si="28"/>
        <v>405</v>
      </c>
      <c r="FT45" s="54">
        <v>417</v>
      </c>
      <c r="FU45" s="54">
        <v>418</v>
      </c>
      <c r="FV45" s="91">
        <f t="shared" si="29"/>
        <v>431</v>
      </c>
      <c r="FW45" s="54">
        <v>471</v>
      </c>
      <c r="FX45" s="54">
        <v>472</v>
      </c>
      <c r="FY45" s="91">
        <f t="shared" si="30"/>
        <v>479.5</v>
      </c>
      <c r="FZ45" s="54">
        <v>503</v>
      </c>
      <c r="GA45" s="54">
        <v>505</v>
      </c>
      <c r="GB45" s="91">
        <f t="shared" si="31"/>
        <v>526.75</v>
      </c>
      <c r="GC45" s="54">
        <v>594</v>
      </c>
      <c r="GD45" s="54"/>
      <c r="GE45" s="133">
        <f t="shared" si="32"/>
        <v>594</v>
      </c>
      <c r="GF45" s="54"/>
      <c r="GG45" s="104"/>
      <c r="GH45" s="97">
        <f t="shared" si="2"/>
        <v>0</v>
      </c>
      <c r="GI45" s="105"/>
      <c r="GJ45" s="105"/>
      <c r="GK45" s="97">
        <f t="shared" si="4"/>
        <v>0</v>
      </c>
      <c r="GL45" s="105"/>
      <c r="GM45" s="105"/>
      <c r="GN45" s="97">
        <f t="shared" si="5"/>
        <v>0</v>
      </c>
      <c r="GO45" s="105"/>
      <c r="GP45" s="105"/>
      <c r="GQ45" s="97">
        <f t="shared" si="6"/>
        <v>0</v>
      </c>
      <c r="GR45" s="105"/>
      <c r="GS45" s="105"/>
    </row>
    <row r="46" spans="1:201" ht="10.5" customHeight="1" x14ac:dyDescent="0.3">
      <c r="A46" s="99">
        <f t="shared" si="3"/>
        <v>39</v>
      </c>
      <c r="B46" s="56" t="s">
        <v>57</v>
      </c>
      <c r="C46" s="86">
        <v>333</v>
      </c>
      <c r="D46" s="87">
        <v>6</v>
      </c>
      <c r="E46" s="87">
        <v>6</v>
      </c>
      <c r="F46" s="87">
        <v>5</v>
      </c>
      <c r="G46" s="88">
        <v>6</v>
      </c>
      <c r="H46" s="87">
        <v>6</v>
      </c>
      <c r="I46" s="87">
        <v>9</v>
      </c>
      <c r="J46" s="87">
        <v>10</v>
      </c>
      <c r="K46" s="87">
        <v>11</v>
      </c>
      <c r="L46" s="88">
        <v>12</v>
      </c>
      <c r="M46" s="87">
        <v>13</v>
      </c>
      <c r="N46" s="87">
        <v>12</v>
      </c>
      <c r="O46" s="87">
        <v>12</v>
      </c>
      <c r="P46" s="87">
        <v>13</v>
      </c>
      <c r="Q46" s="88">
        <v>13</v>
      </c>
      <c r="R46" s="87">
        <v>13</v>
      </c>
      <c r="S46" s="86">
        <v>13</v>
      </c>
      <c r="T46" s="87">
        <v>13</v>
      </c>
      <c r="U46" s="89">
        <v>14</v>
      </c>
      <c r="V46" s="87">
        <v>14</v>
      </c>
      <c r="W46" s="89">
        <v>14</v>
      </c>
      <c r="X46" s="87">
        <v>13</v>
      </c>
      <c r="Y46" s="89">
        <v>11</v>
      </c>
      <c r="Z46" s="87">
        <v>12</v>
      </c>
      <c r="AA46" s="88">
        <v>13</v>
      </c>
      <c r="AB46" s="87">
        <v>13</v>
      </c>
      <c r="AC46" s="89">
        <v>14</v>
      </c>
      <c r="AD46" s="87">
        <v>14</v>
      </c>
      <c r="AE46" s="88">
        <v>14</v>
      </c>
      <c r="AF46" s="87">
        <v>14</v>
      </c>
      <c r="AG46" s="88">
        <v>15</v>
      </c>
      <c r="AH46" s="87">
        <v>16</v>
      </c>
      <c r="AI46" s="89">
        <v>16</v>
      </c>
      <c r="AJ46" s="87">
        <v>17</v>
      </c>
      <c r="AK46" s="88">
        <v>17</v>
      </c>
      <c r="AL46" s="87">
        <v>19</v>
      </c>
      <c r="AM46" s="87">
        <v>22</v>
      </c>
      <c r="AN46" s="87">
        <v>25</v>
      </c>
      <c r="AO46" s="87">
        <v>27</v>
      </c>
      <c r="AP46" s="87">
        <v>28</v>
      </c>
      <c r="AQ46" s="89">
        <v>29</v>
      </c>
      <c r="AR46" s="87">
        <v>31</v>
      </c>
      <c r="AS46" s="88">
        <v>33</v>
      </c>
      <c r="AT46" s="87">
        <v>35</v>
      </c>
      <c r="AU46" s="88">
        <v>36</v>
      </c>
      <c r="AV46" s="87">
        <v>39</v>
      </c>
      <c r="AW46" s="86">
        <v>41</v>
      </c>
      <c r="AX46" s="87">
        <v>44</v>
      </c>
      <c r="AY46" s="89">
        <v>46</v>
      </c>
      <c r="AZ46" s="87">
        <v>48</v>
      </c>
      <c r="BA46" s="89">
        <v>50</v>
      </c>
      <c r="BB46" s="87">
        <v>51</v>
      </c>
      <c r="BC46" s="89">
        <v>53</v>
      </c>
      <c r="BD46" s="87">
        <v>55</v>
      </c>
      <c r="BE46" s="88">
        <v>58</v>
      </c>
      <c r="BF46" s="87">
        <v>60</v>
      </c>
      <c r="BG46" s="88">
        <v>63</v>
      </c>
      <c r="BH46" s="87">
        <v>66</v>
      </c>
      <c r="BI46" s="89">
        <v>72</v>
      </c>
      <c r="BJ46" s="87">
        <v>79</v>
      </c>
      <c r="BK46" s="87">
        <v>89</v>
      </c>
      <c r="BL46" s="87">
        <v>96</v>
      </c>
      <c r="BM46" s="88">
        <v>100</v>
      </c>
      <c r="BN46" s="100">
        <v>115</v>
      </c>
      <c r="BO46" s="88">
        <v>123</v>
      </c>
      <c r="BP46" s="87">
        <v>130</v>
      </c>
      <c r="BQ46" s="88">
        <v>139</v>
      </c>
      <c r="BR46" s="87">
        <v>145</v>
      </c>
      <c r="BS46" s="88">
        <v>160</v>
      </c>
      <c r="BT46" s="87">
        <v>175</v>
      </c>
      <c r="BU46" s="88">
        <v>184</v>
      </c>
      <c r="BV46" s="87">
        <v>198</v>
      </c>
      <c r="BW46" s="88">
        <v>207</v>
      </c>
      <c r="BX46" s="87">
        <v>215</v>
      </c>
      <c r="BY46" s="88">
        <v>221</v>
      </c>
      <c r="BZ46" s="87">
        <v>226</v>
      </c>
      <c r="CA46" s="88">
        <v>230</v>
      </c>
      <c r="CB46" s="87">
        <v>237</v>
      </c>
      <c r="CC46" s="89">
        <v>244</v>
      </c>
      <c r="CD46" s="91">
        <v>244.75</v>
      </c>
      <c r="CE46" s="88">
        <v>254</v>
      </c>
      <c r="CF46" s="88">
        <v>259</v>
      </c>
      <c r="CG46" s="88">
        <v>257.75</v>
      </c>
      <c r="CH46" s="87">
        <v>259</v>
      </c>
      <c r="CI46" s="89">
        <v>262</v>
      </c>
      <c r="CJ46" s="91">
        <v>262.25</v>
      </c>
      <c r="CK46" s="88">
        <v>266</v>
      </c>
      <c r="CL46" s="89">
        <v>273</v>
      </c>
      <c r="CM46" s="91">
        <v>272.25</v>
      </c>
      <c r="CN46" s="88">
        <v>277</v>
      </c>
      <c r="CO46" s="88">
        <v>284</v>
      </c>
      <c r="CP46" s="88">
        <v>283.25</v>
      </c>
      <c r="CQ46" s="87">
        <v>288</v>
      </c>
      <c r="CR46" s="89">
        <v>291</v>
      </c>
      <c r="CS46" s="91">
        <v>291.5</v>
      </c>
      <c r="CT46" s="91">
        <v>296</v>
      </c>
      <c r="CU46" s="91">
        <v>302</v>
      </c>
      <c r="CV46" s="91">
        <v>300.25</v>
      </c>
      <c r="CW46" s="91">
        <v>301</v>
      </c>
      <c r="CX46" s="91">
        <v>308</v>
      </c>
      <c r="CY46" s="91">
        <v>307.25</v>
      </c>
      <c r="CZ46" s="91">
        <v>312</v>
      </c>
      <c r="DA46" s="91">
        <v>325</v>
      </c>
      <c r="DB46" s="91">
        <v>320.75</v>
      </c>
      <c r="DC46" s="91">
        <v>321</v>
      </c>
      <c r="DD46" s="91">
        <v>322</v>
      </c>
      <c r="DE46" s="91">
        <v>322.5</v>
      </c>
      <c r="DF46" s="91">
        <v>325</v>
      </c>
      <c r="DG46" s="91">
        <v>332</v>
      </c>
      <c r="DH46" s="91">
        <f t="shared" si="7"/>
        <v>330</v>
      </c>
      <c r="DI46" s="91">
        <v>331</v>
      </c>
      <c r="DJ46" s="101">
        <v>332</v>
      </c>
      <c r="DK46" s="91">
        <f t="shared" si="8"/>
        <v>334.25</v>
      </c>
      <c r="DL46" s="91">
        <v>342</v>
      </c>
      <c r="DM46" s="91">
        <v>349</v>
      </c>
      <c r="DN46" s="91">
        <f t="shared" si="9"/>
        <v>348</v>
      </c>
      <c r="DO46" s="91">
        <v>352</v>
      </c>
      <c r="DP46" s="91">
        <v>355</v>
      </c>
      <c r="DQ46" s="91">
        <f t="shared" si="10"/>
        <v>354</v>
      </c>
      <c r="DR46" s="91">
        <v>354</v>
      </c>
      <c r="DS46" s="91">
        <v>361</v>
      </c>
      <c r="DT46" s="91">
        <f t="shared" si="11"/>
        <v>359.75</v>
      </c>
      <c r="DU46" s="91">
        <v>363</v>
      </c>
      <c r="DV46" s="91">
        <v>365</v>
      </c>
      <c r="DW46" s="91">
        <f t="shared" si="12"/>
        <v>367.5</v>
      </c>
      <c r="DX46" s="91">
        <v>377</v>
      </c>
      <c r="DY46" s="91">
        <v>386</v>
      </c>
      <c r="DZ46" s="91">
        <f t="shared" si="13"/>
        <v>388.25</v>
      </c>
      <c r="EA46" s="101">
        <v>404</v>
      </c>
      <c r="EB46" s="91">
        <v>407</v>
      </c>
      <c r="EC46" s="91">
        <f t="shared" si="14"/>
        <v>409.75</v>
      </c>
      <c r="ED46" s="102">
        <v>421</v>
      </c>
      <c r="EE46" s="102">
        <v>459</v>
      </c>
      <c r="EF46" s="91">
        <f t="shared" si="15"/>
        <v>454.25</v>
      </c>
      <c r="EG46" s="102">
        <v>478</v>
      </c>
      <c r="EH46" s="102">
        <v>481.14766256961133</v>
      </c>
      <c r="EI46" s="91">
        <f t="shared" si="16"/>
        <v>485.32383128480569</v>
      </c>
      <c r="EJ46" s="102">
        <v>501</v>
      </c>
      <c r="EK46" s="102">
        <v>511</v>
      </c>
      <c r="EL46" s="91">
        <f t="shared" si="17"/>
        <v>514.25</v>
      </c>
      <c r="EM46" s="102">
        <v>534</v>
      </c>
      <c r="EN46" s="102">
        <v>534</v>
      </c>
      <c r="EO46" s="91">
        <f t="shared" si="18"/>
        <v>536.75</v>
      </c>
      <c r="EP46" s="102">
        <v>545</v>
      </c>
      <c r="EQ46" s="103">
        <v>554</v>
      </c>
      <c r="ER46" s="91">
        <f t="shared" si="19"/>
        <v>555.25</v>
      </c>
      <c r="ES46" s="54">
        <v>568</v>
      </c>
      <c r="ET46" s="54">
        <v>574</v>
      </c>
      <c r="EU46" s="91">
        <f t="shared" si="20"/>
        <v>576.25</v>
      </c>
      <c r="EV46" s="54">
        <v>589</v>
      </c>
      <c r="EW46" s="54">
        <v>600</v>
      </c>
      <c r="EX46" s="91">
        <f t="shared" si="21"/>
        <v>597.75</v>
      </c>
      <c r="EY46" s="54">
        <v>602</v>
      </c>
      <c r="EZ46" s="54">
        <v>602</v>
      </c>
      <c r="FA46" s="91">
        <f t="shared" si="22"/>
        <v>602.25</v>
      </c>
      <c r="FB46" s="54">
        <v>603</v>
      </c>
      <c r="FC46" s="54">
        <v>605</v>
      </c>
      <c r="FD46" s="91">
        <f t="shared" si="23"/>
        <v>607.5</v>
      </c>
      <c r="FE46" s="54">
        <v>617</v>
      </c>
      <c r="FF46" s="54">
        <v>616</v>
      </c>
      <c r="FG46" s="91">
        <f t="shared" si="24"/>
        <v>617.75</v>
      </c>
      <c r="FH46" s="54">
        <v>622</v>
      </c>
      <c r="FI46" s="54">
        <v>617</v>
      </c>
      <c r="FJ46" s="91">
        <f t="shared" si="25"/>
        <v>623.5</v>
      </c>
      <c r="FK46" s="54">
        <v>638</v>
      </c>
      <c r="FL46" s="54">
        <v>651</v>
      </c>
      <c r="FM46" s="91">
        <f t="shared" si="26"/>
        <v>650.25</v>
      </c>
      <c r="FN46" s="54">
        <v>661</v>
      </c>
      <c r="FO46" s="54">
        <v>667</v>
      </c>
      <c r="FP46" s="87">
        <f t="shared" si="27"/>
        <v>668</v>
      </c>
      <c r="FQ46" s="54">
        <v>677</v>
      </c>
      <c r="FR46" s="54">
        <v>684</v>
      </c>
      <c r="FS46" s="91">
        <f t="shared" si="28"/>
        <v>687.75</v>
      </c>
      <c r="FT46" s="54">
        <v>706</v>
      </c>
      <c r="FU46" s="54">
        <v>701</v>
      </c>
      <c r="FV46" s="91">
        <f t="shared" si="29"/>
        <v>705</v>
      </c>
      <c r="FW46" s="54">
        <v>712</v>
      </c>
      <c r="FX46" s="54">
        <v>739</v>
      </c>
      <c r="FY46" s="91">
        <f t="shared" si="30"/>
        <v>743</v>
      </c>
      <c r="FZ46" s="54">
        <v>782</v>
      </c>
      <c r="GA46" s="54">
        <v>797</v>
      </c>
      <c r="GB46" s="91">
        <f t="shared" si="31"/>
        <v>804</v>
      </c>
      <c r="GC46" s="54">
        <v>840</v>
      </c>
      <c r="GD46" s="54"/>
      <c r="GE46" s="133">
        <f t="shared" si="32"/>
        <v>840</v>
      </c>
      <c r="GF46" s="54"/>
      <c r="GG46" s="104"/>
      <c r="GH46" s="97">
        <f t="shared" si="2"/>
        <v>0</v>
      </c>
      <c r="GI46" s="105"/>
      <c r="GJ46" s="105"/>
      <c r="GK46" s="97">
        <f t="shared" si="4"/>
        <v>0</v>
      </c>
      <c r="GL46" s="105"/>
      <c r="GM46" s="105"/>
      <c r="GN46" s="97">
        <f t="shared" si="5"/>
        <v>0</v>
      </c>
      <c r="GO46" s="105"/>
      <c r="GP46" s="105"/>
      <c r="GQ46" s="97">
        <f t="shared" si="6"/>
        <v>0</v>
      </c>
      <c r="GR46" s="105"/>
      <c r="GS46" s="105"/>
    </row>
    <row r="47" spans="1:201" ht="10.5" customHeight="1" x14ac:dyDescent="0.3">
      <c r="A47" s="99">
        <f t="shared" si="3"/>
        <v>40</v>
      </c>
      <c r="B47" s="56" t="s">
        <v>26</v>
      </c>
      <c r="C47" s="86">
        <v>334</v>
      </c>
      <c r="D47" s="87">
        <v>23</v>
      </c>
      <c r="E47" s="87">
        <v>23</v>
      </c>
      <c r="F47" s="87">
        <v>23</v>
      </c>
      <c r="G47" s="88">
        <v>23</v>
      </c>
      <c r="H47" s="87">
        <v>26</v>
      </c>
      <c r="I47" s="87">
        <v>29</v>
      </c>
      <c r="J47" s="87">
        <v>35</v>
      </c>
      <c r="K47" s="87">
        <v>37</v>
      </c>
      <c r="L47" s="88">
        <v>37</v>
      </c>
      <c r="M47" s="87">
        <v>37</v>
      </c>
      <c r="N47" s="87">
        <v>37</v>
      </c>
      <c r="O47" s="87">
        <v>37</v>
      </c>
      <c r="P47" s="87">
        <v>37</v>
      </c>
      <c r="Q47" s="88">
        <v>37</v>
      </c>
      <c r="R47" s="87">
        <v>37</v>
      </c>
      <c r="S47" s="86">
        <v>37</v>
      </c>
      <c r="T47" s="87">
        <v>37</v>
      </c>
      <c r="U47" s="89">
        <v>37</v>
      </c>
      <c r="V47" s="87">
        <v>37</v>
      </c>
      <c r="W47" s="89">
        <v>37</v>
      </c>
      <c r="X47" s="87">
        <v>37</v>
      </c>
      <c r="Y47" s="89">
        <v>35</v>
      </c>
      <c r="Z47" s="87">
        <v>26</v>
      </c>
      <c r="AA47" s="88">
        <v>26</v>
      </c>
      <c r="AB47" s="87">
        <v>26</v>
      </c>
      <c r="AC47" s="89">
        <v>31</v>
      </c>
      <c r="AD47" s="87">
        <v>32</v>
      </c>
      <c r="AE47" s="88">
        <v>32</v>
      </c>
      <c r="AF47" s="87">
        <v>33</v>
      </c>
      <c r="AG47" s="88">
        <v>35</v>
      </c>
      <c r="AH47" s="87">
        <v>37</v>
      </c>
      <c r="AI47" s="89">
        <v>37</v>
      </c>
      <c r="AJ47" s="87">
        <v>37</v>
      </c>
      <c r="AK47" s="88">
        <v>37</v>
      </c>
      <c r="AL47" s="87">
        <v>40</v>
      </c>
      <c r="AM47" s="87">
        <v>42</v>
      </c>
      <c r="AN47" s="87">
        <v>48</v>
      </c>
      <c r="AO47" s="87">
        <v>52</v>
      </c>
      <c r="AP47" s="87">
        <v>59</v>
      </c>
      <c r="AQ47" s="89">
        <v>61</v>
      </c>
      <c r="AR47" s="87">
        <v>61</v>
      </c>
      <c r="AS47" s="88">
        <v>65</v>
      </c>
      <c r="AT47" s="87">
        <v>67</v>
      </c>
      <c r="AU47" s="88">
        <v>70</v>
      </c>
      <c r="AV47" s="87">
        <v>77</v>
      </c>
      <c r="AW47" s="86">
        <v>78</v>
      </c>
      <c r="AX47" s="87">
        <v>78</v>
      </c>
      <c r="AY47" s="89">
        <v>78</v>
      </c>
      <c r="AZ47" s="87">
        <v>78</v>
      </c>
      <c r="BA47" s="89">
        <v>78</v>
      </c>
      <c r="BB47" s="87">
        <v>84</v>
      </c>
      <c r="BC47" s="89">
        <v>87</v>
      </c>
      <c r="BD47" s="87">
        <v>87</v>
      </c>
      <c r="BE47" s="88">
        <v>93</v>
      </c>
      <c r="BF47" s="87">
        <v>101</v>
      </c>
      <c r="BG47" s="88">
        <v>101</v>
      </c>
      <c r="BH47" s="87">
        <v>101</v>
      </c>
      <c r="BI47" s="89">
        <v>106</v>
      </c>
      <c r="BJ47" s="87">
        <v>108</v>
      </c>
      <c r="BK47" s="87">
        <v>108</v>
      </c>
      <c r="BL47" s="87">
        <v>106</v>
      </c>
      <c r="BM47" s="88">
        <v>100</v>
      </c>
      <c r="BN47" s="100">
        <v>93</v>
      </c>
      <c r="BO47" s="88">
        <v>93</v>
      </c>
      <c r="BP47" s="87">
        <v>98</v>
      </c>
      <c r="BQ47" s="88">
        <v>101</v>
      </c>
      <c r="BR47" s="87">
        <v>105</v>
      </c>
      <c r="BS47" s="88">
        <v>108</v>
      </c>
      <c r="BT47" s="87">
        <v>122</v>
      </c>
      <c r="BU47" s="88">
        <v>127</v>
      </c>
      <c r="BV47" s="87">
        <v>128</v>
      </c>
      <c r="BW47" s="88">
        <v>141</v>
      </c>
      <c r="BX47" s="87">
        <v>148</v>
      </c>
      <c r="BY47" s="88">
        <v>135</v>
      </c>
      <c r="BZ47" s="87">
        <v>135</v>
      </c>
      <c r="CA47" s="88">
        <v>137</v>
      </c>
      <c r="CB47" s="87">
        <v>142</v>
      </c>
      <c r="CC47" s="89">
        <v>142</v>
      </c>
      <c r="CD47" s="91">
        <v>140.25</v>
      </c>
      <c r="CE47" s="88">
        <v>135</v>
      </c>
      <c r="CF47" s="88">
        <v>143</v>
      </c>
      <c r="CG47" s="88">
        <v>149.75</v>
      </c>
      <c r="CH47" s="87">
        <v>178</v>
      </c>
      <c r="CI47" s="89">
        <v>150</v>
      </c>
      <c r="CJ47" s="91">
        <v>158.5</v>
      </c>
      <c r="CK47" s="88">
        <v>156</v>
      </c>
      <c r="CL47" s="89">
        <v>164</v>
      </c>
      <c r="CM47" s="91">
        <v>162</v>
      </c>
      <c r="CN47" s="88">
        <v>164</v>
      </c>
      <c r="CO47" s="88">
        <v>207</v>
      </c>
      <c r="CP47" s="88">
        <v>196.25</v>
      </c>
      <c r="CQ47" s="87">
        <v>207</v>
      </c>
      <c r="CR47" s="89">
        <v>201</v>
      </c>
      <c r="CS47" s="91">
        <v>195</v>
      </c>
      <c r="CT47" s="91">
        <v>171</v>
      </c>
      <c r="CU47" s="91">
        <v>171</v>
      </c>
      <c r="CV47" s="91">
        <v>175.25</v>
      </c>
      <c r="CW47" s="91">
        <v>188</v>
      </c>
      <c r="CX47" s="91">
        <v>201</v>
      </c>
      <c r="CY47" s="91">
        <v>200</v>
      </c>
      <c r="CZ47" s="91">
        <v>210</v>
      </c>
      <c r="DA47" s="91">
        <v>210</v>
      </c>
      <c r="DB47" s="91">
        <v>206.75</v>
      </c>
      <c r="DC47" s="91">
        <v>197</v>
      </c>
      <c r="DD47" s="91">
        <v>197</v>
      </c>
      <c r="DE47" s="91">
        <v>197</v>
      </c>
      <c r="DF47" s="91">
        <v>197</v>
      </c>
      <c r="DG47" s="91">
        <v>197</v>
      </c>
      <c r="DH47" s="91">
        <f t="shared" si="7"/>
        <v>197</v>
      </c>
      <c r="DI47" s="91">
        <v>197</v>
      </c>
      <c r="DJ47" s="101">
        <v>197</v>
      </c>
      <c r="DK47" s="91">
        <f t="shared" si="8"/>
        <v>197.75</v>
      </c>
      <c r="DL47" s="91">
        <v>200</v>
      </c>
      <c r="DM47" s="91">
        <v>206</v>
      </c>
      <c r="DN47" s="91">
        <f t="shared" si="9"/>
        <v>204.5</v>
      </c>
      <c r="DO47" s="91">
        <v>206</v>
      </c>
      <c r="DP47" s="91">
        <v>206</v>
      </c>
      <c r="DQ47" s="91">
        <f t="shared" si="10"/>
        <v>206.25</v>
      </c>
      <c r="DR47" s="91">
        <v>207</v>
      </c>
      <c r="DS47" s="91">
        <v>207</v>
      </c>
      <c r="DT47" s="91">
        <f t="shared" si="11"/>
        <v>207</v>
      </c>
      <c r="DU47" s="91">
        <v>207</v>
      </c>
      <c r="DV47" s="91">
        <v>207</v>
      </c>
      <c r="DW47" s="91">
        <f t="shared" si="12"/>
        <v>207</v>
      </c>
      <c r="DX47" s="91">
        <v>207</v>
      </c>
      <c r="DY47" s="91">
        <v>207</v>
      </c>
      <c r="DZ47" s="91">
        <f t="shared" si="13"/>
        <v>207</v>
      </c>
      <c r="EA47" s="101">
        <v>207</v>
      </c>
      <c r="EB47" s="91">
        <v>207</v>
      </c>
      <c r="EC47" s="91">
        <f t="shared" si="14"/>
        <v>214</v>
      </c>
      <c r="ED47" s="102">
        <v>235</v>
      </c>
      <c r="EE47" s="102">
        <v>248</v>
      </c>
      <c r="EF47" s="91">
        <f t="shared" si="15"/>
        <v>247.75</v>
      </c>
      <c r="EG47" s="102">
        <v>260</v>
      </c>
      <c r="EH47" s="102">
        <v>262.14906999999999</v>
      </c>
      <c r="EI47" s="91">
        <f t="shared" si="16"/>
        <v>289.32453499999997</v>
      </c>
      <c r="EJ47" s="102">
        <v>373</v>
      </c>
      <c r="EK47" s="102">
        <v>373</v>
      </c>
      <c r="EL47" s="91">
        <f t="shared" si="17"/>
        <v>373</v>
      </c>
      <c r="EM47" s="102">
        <v>373</v>
      </c>
      <c r="EN47" s="102">
        <v>373</v>
      </c>
      <c r="EO47" s="91">
        <f t="shared" si="18"/>
        <v>373.25</v>
      </c>
      <c r="EP47" s="102">
        <v>374</v>
      </c>
      <c r="EQ47" s="103">
        <v>376</v>
      </c>
      <c r="ER47" s="91">
        <f t="shared" si="19"/>
        <v>376.25</v>
      </c>
      <c r="ES47" s="54">
        <v>379</v>
      </c>
      <c r="ET47" s="54">
        <v>379</v>
      </c>
      <c r="EU47" s="91">
        <f t="shared" si="20"/>
        <v>379</v>
      </c>
      <c r="EV47" s="54">
        <v>379</v>
      </c>
      <c r="EW47" s="54">
        <v>379</v>
      </c>
      <c r="EX47" s="91">
        <f t="shared" si="21"/>
        <v>379.25</v>
      </c>
      <c r="EY47" s="54">
        <v>380</v>
      </c>
      <c r="EZ47" s="54">
        <v>380.5</v>
      </c>
      <c r="FA47" s="91">
        <f t="shared" si="22"/>
        <v>380.5</v>
      </c>
      <c r="FB47" s="54">
        <v>381</v>
      </c>
      <c r="FC47" s="54">
        <v>381</v>
      </c>
      <c r="FD47" s="91">
        <f t="shared" si="23"/>
        <v>385.75</v>
      </c>
      <c r="FE47" s="54">
        <v>400</v>
      </c>
      <c r="FF47" s="54">
        <v>400</v>
      </c>
      <c r="FG47" s="91">
        <f t="shared" si="24"/>
        <v>400.75</v>
      </c>
      <c r="FH47" s="54">
        <v>403</v>
      </c>
      <c r="FI47" s="54">
        <v>403</v>
      </c>
      <c r="FJ47" s="91">
        <f t="shared" si="25"/>
        <v>403.25</v>
      </c>
      <c r="FK47" s="54">
        <v>404</v>
      </c>
      <c r="FL47" s="54">
        <v>418</v>
      </c>
      <c r="FM47" s="91">
        <f t="shared" si="26"/>
        <v>418.5</v>
      </c>
      <c r="FN47" s="54">
        <v>434</v>
      </c>
      <c r="FO47" s="54">
        <v>434</v>
      </c>
      <c r="FP47" s="87">
        <f t="shared" si="27"/>
        <v>436.25</v>
      </c>
      <c r="FQ47" s="54">
        <v>443</v>
      </c>
      <c r="FR47" s="54">
        <v>443</v>
      </c>
      <c r="FS47" s="91">
        <f t="shared" si="28"/>
        <v>447</v>
      </c>
      <c r="FT47" s="54">
        <v>459</v>
      </c>
      <c r="FU47" s="54">
        <v>459</v>
      </c>
      <c r="FV47" s="91">
        <f t="shared" si="29"/>
        <v>465.5</v>
      </c>
      <c r="FW47" s="54">
        <v>485</v>
      </c>
      <c r="FX47" s="54">
        <v>485</v>
      </c>
      <c r="FY47" s="91">
        <f t="shared" si="30"/>
        <v>564.5</v>
      </c>
      <c r="FZ47" s="54">
        <v>803</v>
      </c>
      <c r="GA47" s="54">
        <v>826</v>
      </c>
      <c r="GB47" s="91">
        <f t="shared" si="31"/>
        <v>857</v>
      </c>
      <c r="GC47" s="54">
        <v>973</v>
      </c>
      <c r="GD47" s="54"/>
      <c r="GE47" s="133">
        <f t="shared" si="32"/>
        <v>973</v>
      </c>
      <c r="GF47" s="54"/>
      <c r="GG47" s="104"/>
      <c r="GH47" s="97">
        <f t="shared" si="2"/>
        <v>0</v>
      </c>
      <c r="GI47" s="105"/>
      <c r="GJ47" s="105"/>
      <c r="GK47" s="97"/>
      <c r="GL47" s="105"/>
      <c r="GM47" s="105"/>
      <c r="GN47" s="97"/>
      <c r="GO47" s="105"/>
      <c r="GP47" s="105"/>
      <c r="GQ47" s="97"/>
      <c r="GR47" s="105"/>
      <c r="GS47" s="105"/>
    </row>
    <row r="48" spans="1:201" ht="10.5" customHeight="1" x14ac:dyDescent="0.3">
      <c r="A48" s="99">
        <f t="shared" si="3"/>
        <v>41</v>
      </c>
      <c r="B48" s="56" t="s">
        <v>58</v>
      </c>
      <c r="C48" s="86">
        <v>334</v>
      </c>
      <c r="D48" s="106" t="s">
        <v>46</v>
      </c>
      <c r="E48" s="106" t="s">
        <v>46</v>
      </c>
      <c r="F48" s="106" t="s">
        <v>46</v>
      </c>
      <c r="G48" s="108" t="s">
        <v>46</v>
      </c>
      <c r="H48" s="106" t="s">
        <v>46</v>
      </c>
      <c r="I48" s="106" t="s">
        <v>46</v>
      </c>
      <c r="J48" s="106" t="s">
        <v>46</v>
      </c>
      <c r="K48" s="106" t="s">
        <v>46</v>
      </c>
      <c r="L48" s="108" t="s">
        <v>46</v>
      </c>
      <c r="M48" s="106" t="s">
        <v>46</v>
      </c>
      <c r="N48" s="106" t="s">
        <v>46</v>
      </c>
      <c r="O48" s="106" t="s">
        <v>46</v>
      </c>
      <c r="P48" s="106" t="s">
        <v>46</v>
      </c>
      <c r="Q48" s="108" t="s">
        <v>46</v>
      </c>
      <c r="R48" s="106" t="s">
        <v>46</v>
      </c>
      <c r="S48" s="109" t="s">
        <v>46</v>
      </c>
      <c r="T48" s="106" t="s">
        <v>46</v>
      </c>
      <c r="U48" s="110" t="s">
        <v>46</v>
      </c>
      <c r="V48" s="106" t="s">
        <v>46</v>
      </c>
      <c r="W48" s="110" t="s">
        <v>46</v>
      </c>
      <c r="X48" s="106" t="s">
        <v>46</v>
      </c>
      <c r="Y48" s="110" t="s">
        <v>46</v>
      </c>
      <c r="Z48" s="106" t="s">
        <v>46</v>
      </c>
      <c r="AA48" s="108" t="s">
        <v>46</v>
      </c>
      <c r="AB48" s="106" t="s">
        <v>46</v>
      </c>
      <c r="AC48" s="110" t="s">
        <v>46</v>
      </c>
      <c r="AD48" s="106" t="s">
        <v>46</v>
      </c>
      <c r="AE48" s="108" t="s">
        <v>46</v>
      </c>
      <c r="AF48" s="106" t="s">
        <v>46</v>
      </c>
      <c r="AG48" s="108" t="s">
        <v>46</v>
      </c>
      <c r="AH48" s="106" t="s">
        <v>46</v>
      </c>
      <c r="AI48" s="110" t="s">
        <v>46</v>
      </c>
      <c r="AJ48" s="106" t="s">
        <v>46</v>
      </c>
      <c r="AK48" s="108" t="s">
        <v>46</v>
      </c>
      <c r="AL48" s="106" t="s">
        <v>46</v>
      </c>
      <c r="AM48" s="106" t="s">
        <v>46</v>
      </c>
      <c r="AN48" s="106" t="s">
        <v>46</v>
      </c>
      <c r="AO48" s="87">
        <v>29</v>
      </c>
      <c r="AP48" s="87">
        <v>31</v>
      </c>
      <c r="AQ48" s="89">
        <v>34</v>
      </c>
      <c r="AR48" s="87">
        <v>35</v>
      </c>
      <c r="AS48" s="88">
        <v>36</v>
      </c>
      <c r="AT48" s="87">
        <v>38</v>
      </c>
      <c r="AU48" s="88">
        <v>40</v>
      </c>
      <c r="AV48" s="87">
        <v>44</v>
      </c>
      <c r="AW48" s="86">
        <v>45</v>
      </c>
      <c r="AX48" s="87">
        <v>46</v>
      </c>
      <c r="AY48" s="89">
        <v>48</v>
      </c>
      <c r="AZ48" s="87">
        <v>51</v>
      </c>
      <c r="BA48" s="89">
        <v>52</v>
      </c>
      <c r="BB48" s="87">
        <v>54</v>
      </c>
      <c r="BC48" s="89">
        <v>55</v>
      </c>
      <c r="BD48" s="87">
        <v>57</v>
      </c>
      <c r="BE48" s="88">
        <v>59</v>
      </c>
      <c r="BF48" s="87">
        <v>62</v>
      </c>
      <c r="BG48" s="88">
        <v>65</v>
      </c>
      <c r="BH48" s="87">
        <v>68</v>
      </c>
      <c r="BI48" s="89">
        <v>73</v>
      </c>
      <c r="BJ48" s="87">
        <v>79</v>
      </c>
      <c r="BK48" s="87">
        <v>89</v>
      </c>
      <c r="BL48" s="87">
        <v>97</v>
      </c>
      <c r="BM48" s="88">
        <v>100</v>
      </c>
      <c r="BN48" s="100">
        <v>113</v>
      </c>
      <c r="BO48" s="88">
        <v>120</v>
      </c>
      <c r="BP48" s="87">
        <v>131</v>
      </c>
      <c r="BQ48" s="88">
        <v>147</v>
      </c>
      <c r="BR48" s="87">
        <v>152</v>
      </c>
      <c r="BS48" s="88">
        <v>162</v>
      </c>
      <c r="BT48" s="87">
        <v>177</v>
      </c>
      <c r="BU48" s="88">
        <v>189</v>
      </c>
      <c r="BV48" s="87">
        <v>207</v>
      </c>
      <c r="BW48" s="88">
        <v>230</v>
      </c>
      <c r="BX48" s="87">
        <v>239</v>
      </c>
      <c r="BY48" s="88">
        <v>247</v>
      </c>
      <c r="BZ48" s="87">
        <v>255</v>
      </c>
      <c r="CA48" s="88">
        <v>259</v>
      </c>
      <c r="CB48" s="87">
        <v>262</v>
      </c>
      <c r="CC48" s="89">
        <v>270</v>
      </c>
      <c r="CD48" s="91">
        <v>269</v>
      </c>
      <c r="CE48" s="88">
        <v>274</v>
      </c>
      <c r="CF48" s="88">
        <v>284</v>
      </c>
      <c r="CG48" s="88">
        <v>282</v>
      </c>
      <c r="CH48" s="87">
        <v>286</v>
      </c>
      <c r="CI48" s="89">
        <v>293</v>
      </c>
      <c r="CJ48" s="91">
        <v>293.5</v>
      </c>
      <c r="CK48" s="88">
        <v>302</v>
      </c>
      <c r="CL48" s="89">
        <v>312</v>
      </c>
      <c r="CM48" s="91">
        <v>310</v>
      </c>
      <c r="CN48" s="88">
        <v>314</v>
      </c>
      <c r="CO48" s="88">
        <v>319</v>
      </c>
      <c r="CP48" s="88">
        <v>320.25</v>
      </c>
      <c r="CQ48" s="87">
        <v>329</v>
      </c>
      <c r="CR48" s="89">
        <v>338</v>
      </c>
      <c r="CS48" s="91">
        <v>336.5</v>
      </c>
      <c r="CT48" s="91">
        <v>341</v>
      </c>
      <c r="CU48" s="91">
        <v>347</v>
      </c>
      <c r="CV48" s="91">
        <v>347</v>
      </c>
      <c r="CW48" s="91">
        <v>353</v>
      </c>
      <c r="CX48" s="91">
        <v>355</v>
      </c>
      <c r="CY48" s="91">
        <v>358.25</v>
      </c>
      <c r="CZ48" s="91">
        <v>370</v>
      </c>
      <c r="DA48" s="91">
        <v>376</v>
      </c>
      <c r="DB48" s="91">
        <v>375.25</v>
      </c>
      <c r="DC48" s="91">
        <v>379</v>
      </c>
      <c r="DD48" s="91">
        <v>380</v>
      </c>
      <c r="DE48" s="91">
        <v>380.75</v>
      </c>
      <c r="DF48" s="91">
        <v>384</v>
      </c>
      <c r="DG48" s="91">
        <v>388</v>
      </c>
      <c r="DH48" s="91">
        <f t="shared" si="7"/>
        <v>387.25</v>
      </c>
      <c r="DI48" s="91">
        <v>389</v>
      </c>
      <c r="DJ48" s="101">
        <v>390</v>
      </c>
      <c r="DK48" s="91">
        <f t="shared" si="8"/>
        <v>391.75</v>
      </c>
      <c r="DL48" s="91">
        <v>398</v>
      </c>
      <c r="DM48" s="91">
        <v>407</v>
      </c>
      <c r="DN48" s="91">
        <f t="shared" si="9"/>
        <v>406</v>
      </c>
      <c r="DO48" s="91">
        <v>412</v>
      </c>
      <c r="DP48" s="91">
        <v>418</v>
      </c>
      <c r="DQ48" s="91">
        <f t="shared" si="10"/>
        <v>417.25</v>
      </c>
      <c r="DR48" s="91">
        <v>421</v>
      </c>
      <c r="DS48" s="91">
        <v>428</v>
      </c>
      <c r="DT48" s="91">
        <f t="shared" si="11"/>
        <v>428.25</v>
      </c>
      <c r="DU48" s="91">
        <v>436</v>
      </c>
      <c r="DV48" s="91">
        <v>437</v>
      </c>
      <c r="DW48" s="91">
        <f t="shared" si="12"/>
        <v>439.75</v>
      </c>
      <c r="DX48" s="91">
        <v>449</v>
      </c>
      <c r="DY48" s="91">
        <v>455</v>
      </c>
      <c r="DZ48" s="91">
        <f t="shared" si="13"/>
        <v>456.25</v>
      </c>
      <c r="EA48" s="101">
        <v>466</v>
      </c>
      <c r="EB48" s="91">
        <v>467</v>
      </c>
      <c r="EC48" s="91">
        <f t="shared" si="14"/>
        <v>470.5</v>
      </c>
      <c r="ED48" s="102">
        <v>482</v>
      </c>
      <c r="EE48" s="102">
        <v>530</v>
      </c>
      <c r="EF48" s="91">
        <f t="shared" si="15"/>
        <v>522.75</v>
      </c>
      <c r="EG48" s="102">
        <v>549</v>
      </c>
      <c r="EH48" s="102">
        <v>551.67541033181715</v>
      </c>
      <c r="EI48" s="91">
        <f t="shared" si="16"/>
        <v>556.08770516590857</v>
      </c>
      <c r="EJ48" s="102">
        <v>572</v>
      </c>
      <c r="EK48" s="102">
        <v>573</v>
      </c>
      <c r="EL48" s="91">
        <f t="shared" si="17"/>
        <v>578.75</v>
      </c>
      <c r="EM48" s="102">
        <v>597</v>
      </c>
      <c r="EN48" s="102">
        <v>598</v>
      </c>
      <c r="EO48" s="91">
        <f t="shared" si="18"/>
        <v>601.25</v>
      </c>
      <c r="EP48" s="102">
        <v>612</v>
      </c>
      <c r="EQ48" s="103">
        <v>623</v>
      </c>
      <c r="ER48" s="91">
        <f t="shared" si="19"/>
        <v>623.25</v>
      </c>
      <c r="ES48" s="54">
        <v>635</v>
      </c>
      <c r="ET48" s="54">
        <v>635</v>
      </c>
      <c r="EU48" s="91">
        <f t="shared" si="20"/>
        <v>637.75</v>
      </c>
      <c r="EV48" s="54">
        <v>646</v>
      </c>
      <c r="EW48" s="54">
        <v>673</v>
      </c>
      <c r="EX48" s="91">
        <f t="shared" si="21"/>
        <v>667.25</v>
      </c>
      <c r="EY48" s="54">
        <v>677</v>
      </c>
      <c r="EZ48" s="54">
        <v>677</v>
      </c>
      <c r="FA48" s="91">
        <f t="shared" si="22"/>
        <v>679.75</v>
      </c>
      <c r="FB48" s="54">
        <v>688</v>
      </c>
      <c r="FC48" s="54">
        <v>688</v>
      </c>
      <c r="FD48" s="91">
        <f t="shared" si="23"/>
        <v>691.5</v>
      </c>
      <c r="FE48" s="54">
        <v>702</v>
      </c>
      <c r="FF48" s="54">
        <v>702</v>
      </c>
      <c r="FG48" s="91">
        <f t="shared" si="24"/>
        <v>703.75</v>
      </c>
      <c r="FH48" s="54">
        <v>709</v>
      </c>
      <c r="FI48" s="54">
        <v>708.5</v>
      </c>
      <c r="FJ48" s="91">
        <f t="shared" si="25"/>
        <v>712</v>
      </c>
      <c r="FK48" s="54">
        <v>722</v>
      </c>
      <c r="FL48" s="54">
        <v>733</v>
      </c>
      <c r="FM48" s="91">
        <f t="shared" si="26"/>
        <v>734.5</v>
      </c>
      <c r="FN48" s="54">
        <v>750</v>
      </c>
      <c r="FO48" s="54">
        <v>750</v>
      </c>
      <c r="FP48" s="87">
        <f t="shared" si="27"/>
        <v>753.75</v>
      </c>
      <c r="FQ48" s="54">
        <v>765</v>
      </c>
      <c r="FR48" s="54">
        <v>772</v>
      </c>
      <c r="FS48" s="91">
        <f t="shared" si="28"/>
        <v>774.75</v>
      </c>
      <c r="FT48" s="54">
        <v>790</v>
      </c>
      <c r="FU48" s="54">
        <v>797</v>
      </c>
      <c r="FV48" s="91">
        <f t="shared" si="29"/>
        <v>799.75</v>
      </c>
      <c r="FW48" s="54">
        <v>815</v>
      </c>
      <c r="FX48" s="54">
        <v>838</v>
      </c>
      <c r="FY48" s="91">
        <f t="shared" si="30"/>
        <v>846.5</v>
      </c>
      <c r="FZ48" s="54">
        <v>895</v>
      </c>
      <c r="GA48" s="54">
        <v>898</v>
      </c>
      <c r="GB48" s="91">
        <f t="shared" si="31"/>
        <v>908.5</v>
      </c>
      <c r="GC48" s="54">
        <v>943</v>
      </c>
      <c r="GD48" s="54"/>
      <c r="GE48" s="133">
        <f t="shared" si="32"/>
        <v>943</v>
      </c>
      <c r="GF48" s="54"/>
      <c r="GG48" s="104"/>
      <c r="GH48" s="97">
        <f t="shared" si="2"/>
        <v>0</v>
      </c>
      <c r="GI48" s="105"/>
      <c r="GJ48" s="105"/>
      <c r="GK48" s="97"/>
      <c r="GL48" s="105"/>
      <c r="GM48" s="105"/>
      <c r="GN48" s="97"/>
      <c r="GO48" s="105"/>
      <c r="GP48" s="105"/>
      <c r="GQ48" s="97"/>
      <c r="GR48" s="105"/>
      <c r="GS48" s="105"/>
    </row>
    <row r="49" spans="1:201" ht="10.5" customHeight="1" x14ac:dyDescent="0.3">
      <c r="A49" s="99">
        <f t="shared" si="3"/>
        <v>42</v>
      </c>
      <c r="B49" s="56" t="s">
        <v>27</v>
      </c>
      <c r="C49" s="86">
        <v>335</v>
      </c>
      <c r="D49" s="106" t="s">
        <v>46</v>
      </c>
      <c r="E49" s="106" t="s">
        <v>46</v>
      </c>
      <c r="F49" s="106" t="s">
        <v>46</v>
      </c>
      <c r="G49" s="108" t="s">
        <v>46</v>
      </c>
      <c r="H49" s="106" t="s">
        <v>46</v>
      </c>
      <c r="I49" s="106" t="s">
        <v>46</v>
      </c>
      <c r="J49" s="106" t="s">
        <v>46</v>
      </c>
      <c r="K49" s="106" t="s">
        <v>46</v>
      </c>
      <c r="L49" s="108" t="s">
        <v>46</v>
      </c>
      <c r="M49" s="106" t="s">
        <v>46</v>
      </c>
      <c r="N49" s="106" t="s">
        <v>46</v>
      </c>
      <c r="O49" s="106" t="s">
        <v>46</v>
      </c>
      <c r="P49" s="106" t="s">
        <v>46</v>
      </c>
      <c r="Q49" s="108" t="s">
        <v>46</v>
      </c>
      <c r="R49" s="106" t="s">
        <v>46</v>
      </c>
      <c r="S49" s="109" t="s">
        <v>46</v>
      </c>
      <c r="T49" s="106" t="s">
        <v>46</v>
      </c>
      <c r="U49" s="110" t="s">
        <v>46</v>
      </c>
      <c r="V49" s="106" t="s">
        <v>46</v>
      </c>
      <c r="W49" s="110" t="s">
        <v>46</v>
      </c>
      <c r="X49" s="106" t="s">
        <v>46</v>
      </c>
      <c r="Y49" s="110" t="s">
        <v>46</v>
      </c>
      <c r="Z49" s="106" t="s">
        <v>46</v>
      </c>
      <c r="AA49" s="108" t="s">
        <v>46</v>
      </c>
      <c r="AB49" s="106" t="s">
        <v>46</v>
      </c>
      <c r="AC49" s="110" t="s">
        <v>46</v>
      </c>
      <c r="AD49" s="106" t="s">
        <v>46</v>
      </c>
      <c r="AE49" s="108" t="s">
        <v>46</v>
      </c>
      <c r="AF49" s="106" t="s">
        <v>46</v>
      </c>
      <c r="AG49" s="108" t="s">
        <v>46</v>
      </c>
      <c r="AH49" s="106" t="s">
        <v>46</v>
      </c>
      <c r="AI49" s="110" t="s">
        <v>46</v>
      </c>
      <c r="AJ49" s="106" t="s">
        <v>46</v>
      </c>
      <c r="AK49" s="108" t="s">
        <v>46</v>
      </c>
      <c r="AL49" s="106" t="s">
        <v>46</v>
      </c>
      <c r="AM49" s="106" t="s">
        <v>46</v>
      </c>
      <c r="AN49" s="106" t="s">
        <v>46</v>
      </c>
      <c r="AO49" s="87">
        <v>35</v>
      </c>
      <c r="AP49" s="87">
        <v>37</v>
      </c>
      <c r="AQ49" s="89">
        <v>41</v>
      </c>
      <c r="AR49" s="87">
        <v>41</v>
      </c>
      <c r="AS49" s="88">
        <v>43</v>
      </c>
      <c r="AT49" s="87">
        <v>44</v>
      </c>
      <c r="AU49" s="88">
        <v>44</v>
      </c>
      <c r="AV49" s="87">
        <v>48</v>
      </c>
      <c r="AW49" s="86">
        <v>50</v>
      </c>
      <c r="AX49" s="87">
        <v>51</v>
      </c>
      <c r="AY49" s="89">
        <v>53</v>
      </c>
      <c r="AZ49" s="87">
        <v>54</v>
      </c>
      <c r="BA49" s="89">
        <v>55</v>
      </c>
      <c r="BB49" s="87">
        <v>56</v>
      </c>
      <c r="BC49" s="89">
        <v>57</v>
      </c>
      <c r="BD49" s="87">
        <v>58</v>
      </c>
      <c r="BE49" s="88">
        <v>58</v>
      </c>
      <c r="BF49" s="87">
        <v>61</v>
      </c>
      <c r="BG49" s="88">
        <v>64</v>
      </c>
      <c r="BH49" s="87">
        <v>68</v>
      </c>
      <c r="BI49" s="89">
        <v>72</v>
      </c>
      <c r="BJ49" s="87">
        <v>80</v>
      </c>
      <c r="BK49" s="87">
        <v>90</v>
      </c>
      <c r="BL49" s="87">
        <v>96</v>
      </c>
      <c r="BM49" s="88">
        <v>100</v>
      </c>
      <c r="BN49" s="100">
        <v>123</v>
      </c>
      <c r="BO49" s="88">
        <v>143</v>
      </c>
      <c r="BP49" s="87">
        <v>157</v>
      </c>
      <c r="BQ49" s="88">
        <v>167</v>
      </c>
      <c r="BR49" s="87">
        <v>182</v>
      </c>
      <c r="BS49" s="88">
        <v>194</v>
      </c>
      <c r="BT49" s="87">
        <v>207</v>
      </c>
      <c r="BU49" s="88">
        <v>222</v>
      </c>
      <c r="BV49" s="87">
        <v>245</v>
      </c>
      <c r="BW49" s="88">
        <v>264</v>
      </c>
      <c r="BX49" s="87">
        <v>270</v>
      </c>
      <c r="BY49" s="88">
        <v>285</v>
      </c>
      <c r="BZ49" s="87">
        <v>296</v>
      </c>
      <c r="CA49" s="88">
        <v>307</v>
      </c>
      <c r="CB49" s="87">
        <v>314</v>
      </c>
      <c r="CC49" s="89">
        <v>318</v>
      </c>
      <c r="CD49" s="91">
        <v>320</v>
      </c>
      <c r="CE49" s="88">
        <v>329</v>
      </c>
      <c r="CF49" s="88">
        <v>344</v>
      </c>
      <c r="CG49" s="88">
        <v>343</v>
      </c>
      <c r="CH49" s="87">
        <v>354</v>
      </c>
      <c r="CI49" s="89">
        <v>364</v>
      </c>
      <c r="CJ49" s="91">
        <v>363</v>
      </c>
      <c r="CK49" s="88">
        <v>368</v>
      </c>
      <c r="CL49" s="89">
        <v>373</v>
      </c>
      <c r="CM49" s="91">
        <v>372</v>
      </c>
      <c r="CN49" s="88">
        <v>374</v>
      </c>
      <c r="CO49" s="88">
        <v>378</v>
      </c>
      <c r="CP49" s="88">
        <v>378</v>
      </c>
      <c r="CQ49" s="87">
        <v>382</v>
      </c>
      <c r="CR49" s="89">
        <v>386</v>
      </c>
      <c r="CS49" s="91">
        <v>385</v>
      </c>
      <c r="CT49" s="91">
        <v>387</v>
      </c>
      <c r="CU49" s="91">
        <v>390</v>
      </c>
      <c r="CV49" s="91">
        <v>391</v>
      </c>
      <c r="CW49" s="91">
        <v>396</v>
      </c>
      <c r="CX49" s="91">
        <v>398</v>
      </c>
      <c r="CY49" s="91">
        <v>398</v>
      </c>
      <c r="CZ49" s="91">
        <v>400</v>
      </c>
      <c r="DA49" s="91">
        <v>404</v>
      </c>
      <c r="DB49" s="91">
        <v>418</v>
      </c>
      <c r="DC49" s="91">
        <v>464</v>
      </c>
      <c r="DD49" s="91">
        <v>474</v>
      </c>
      <c r="DE49" s="91">
        <v>475</v>
      </c>
      <c r="DF49" s="91">
        <v>488</v>
      </c>
      <c r="DG49" s="91">
        <v>491</v>
      </c>
      <c r="DH49" s="91">
        <f t="shared" si="7"/>
        <v>493.25</v>
      </c>
      <c r="DI49" s="91">
        <v>503</v>
      </c>
      <c r="DJ49" s="101">
        <v>504</v>
      </c>
      <c r="DK49" s="91">
        <f t="shared" si="8"/>
        <v>507.5</v>
      </c>
      <c r="DL49" s="91">
        <v>519</v>
      </c>
      <c r="DM49" s="91">
        <v>524</v>
      </c>
      <c r="DN49" s="91">
        <f t="shared" si="9"/>
        <v>526.25</v>
      </c>
      <c r="DO49" s="91">
        <v>538</v>
      </c>
      <c r="DP49" s="91">
        <v>554</v>
      </c>
      <c r="DQ49" s="91">
        <f t="shared" si="10"/>
        <v>550.75</v>
      </c>
      <c r="DR49" s="91">
        <v>557</v>
      </c>
      <c r="DS49" s="91">
        <v>566</v>
      </c>
      <c r="DT49" s="91">
        <f t="shared" si="11"/>
        <v>564.5</v>
      </c>
      <c r="DU49" s="91">
        <v>569</v>
      </c>
      <c r="DV49" s="91">
        <v>568</v>
      </c>
      <c r="DW49" s="91">
        <f t="shared" si="12"/>
        <v>570.25</v>
      </c>
      <c r="DX49" s="91">
        <v>576</v>
      </c>
      <c r="DY49" s="91">
        <v>583</v>
      </c>
      <c r="DZ49" s="91">
        <f t="shared" si="13"/>
        <v>584.75</v>
      </c>
      <c r="EA49" s="101">
        <v>597</v>
      </c>
      <c r="EB49" s="91">
        <v>597</v>
      </c>
      <c r="EC49" s="91">
        <f t="shared" si="14"/>
        <v>601</v>
      </c>
      <c r="ED49" s="102">
        <v>613</v>
      </c>
      <c r="EE49" s="102">
        <v>647</v>
      </c>
      <c r="EF49" s="91">
        <f t="shared" si="15"/>
        <v>642.5</v>
      </c>
      <c r="EG49" s="102">
        <v>663</v>
      </c>
      <c r="EH49" s="102">
        <v>668.56881476631952</v>
      </c>
      <c r="EI49" s="91">
        <f t="shared" si="16"/>
        <v>673.28440738315976</v>
      </c>
      <c r="EJ49" s="102">
        <v>693</v>
      </c>
      <c r="EK49" s="102">
        <v>699</v>
      </c>
      <c r="EL49" s="91">
        <f t="shared" si="17"/>
        <v>705.75</v>
      </c>
      <c r="EM49" s="102">
        <v>732</v>
      </c>
      <c r="EN49" s="102">
        <v>731</v>
      </c>
      <c r="EO49" s="91">
        <f t="shared" si="18"/>
        <v>733.5</v>
      </c>
      <c r="EP49" s="102">
        <v>740</v>
      </c>
      <c r="EQ49" s="103">
        <v>721</v>
      </c>
      <c r="ER49" s="91">
        <f t="shared" si="19"/>
        <v>728</v>
      </c>
      <c r="ES49" s="54">
        <v>730</v>
      </c>
      <c r="ET49" s="54">
        <v>731</v>
      </c>
      <c r="EU49" s="91">
        <f t="shared" si="20"/>
        <v>737.25</v>
      </c>
      <c r="EV49" s="54">
        <v>757</v>
      </c>
      <c r="EW49" s="54">
        <v>758</v>
      </c>
      <c r="EX49" s="91">
        <f t="shared" si="21"/>
        <v>761.75</v>
      </c>
      <c r="EY49" s="54">
        <v>774</v>
      </c>
      <c r="EZ49" s="54">
        <v>784</v>
      </c>
      <c r="FA49" s="91">
        <f t="shared" si="22"/>
        <v>787.25</v>
      </c>
      <c r="FB49" s="54">
        <v>807</v>
      </c>
      <c r="FC49" s="54">
        <v>849</v>
      </c>
      <c r="FD49" s="91">
        <f t="shared" si="23"/>
        <v>845.5</v>
      </c>
      <c r="FE49" s="54">
        <v>877</v>
      </c>
      <c r="FF49" s="54">
        <v>930</v>
      </c>
      <c r="FG49" s="91">
        <f t="shared" si="24"/>
        <v>927</v>
      </c>
      <c r="FH49" s="54">
        <v>971</v>
      </c>
      <c r="FI49" s="54">
        <v>972</v>
      </c>
      <c r="FJ49" s="91">
        <f t="shared" si="25"/>
        <v>973.75</v>
      </c>
      <c r="FK49" s="54">
        <v>980</v>
      </c>
      <c r="FL49" s="54">
        <v>981</v>
      </c>
      <c r="FM49" s="91">
        <f t="shared" si="26"/>
        <v>988.5</v>
      </c>
      <c r="FN49" s="54">
        <v>1012</v>
      </c>
      <c r="FO49" s="54">
        <v>1024</v>
      </c>
      <c r="FP49" s="87">
        <f t="shared" si="27"/>
        <v>1027.25</v>
      </c>
      <c r="FQ49" s="54">
        <v>1049</v>
      </c>
      <c r="FR49" s="54">
        <v>1063</v>
      </c>
      <c r="FS49" s="91">
        <f t="shared" si="28"/>
        <v>1069</v>
      </c>
      <c r="FT49" s="54">
        <v>1101</v>
      </c>
      <c r="FU49" s="54">
        <v>1104</v>
      </c>
      <c r="FV49" s="91">
        <f t="shared" si="29"/>
        <v>1123.25</v>
      </c>
      <c r="FW49" s="54">
        <v>1184</v>
      </c>
      <c r="FX49" s="54">
        <v>1220</v>
      </c>
      <c r="FY49" s="91">
        <f t="shared" si="30"/>
        <v>1226.75</v>
      </c>
      <c r="FZ49" s="54">
        <v>1283</v>
      </c>
      <c r="GA49" s="54">
        <v>1373</v>
      </c>
      <c r="GB49" s="91">
        <f t="shared" si="31"/>
        <v>1364.5</v>
      </c>
      <c r="GC49" s="54">
        <v>1429</v>
      </c>
      <c r="GD49" s="54"/>
      <c r="GE49" s="133">
        <f t="shared" si="32"/>
        <v>1429</v>
      </c>
      <c r="GF49" s="54"/>
      <c r="GG49" s="104"/>
      <c r="GH49" s="97">
        <f t="shared" si="2"/>
        <v>0</v>
      </c>
      <c r="GI49" s="105"/>
      <c r="GJ49" s="105"/>
      <c r="GK49" s="97">
        <f t="shared" si="4"/>
        <v>0</v>
      </c>
      <c r="GL49" s="105"/>
      <c r="GM49" s="105"/>
      <c r="GN49" s="97">
        <f t="shared" si="5"/>
        <v>0</v>
      </c>
      <c r="GO49" s="105"/>
      <c r="GP49" s="105"/>
      <c r="GQ49" s="97">
        <f t="shared" si="6"/>
        <v>0</v>
      </c>
      <c r="GR49" s="105"/>
      <c r="GS49" s="105"/>
    </row>
    <row r="50" spans="1:201" ht="10.5" customHeight="1" x14ac:dyDescent="0.3">
      <c r="A50" s="99">
        <f t="shared" si="3"/>
        <v>43</v>
      </c>
      <c r="B50" s="56"/>
      <c r="C50" s="86"/>
      <c r="D50" s="87"/>
      <c r="E50" s="87"/>
      <c r="F50" s="87"/>
      <c r="G50" s="88"/>
      <c r="H50" s="87"/>
      <c r="I50" s="87"/>
      <c r="J50" s="87"/>
      <c r="K50" s="87"/>
      <c r="L50" s="88"/>
      <c r="M50" s="87"/>
      <c r="N50" s="87"/>
      <c r="O50" s="87"/>
      <c r="P50" s="87"/>
      <c r="Q50" s="88"/>
      <c r="R50" s="87"/>
      <c r="S50" s="86"/>
      <c r="T50" s="87"/>
      <c r="U50" s="89"/>
      <c r="V50" s="87"/>
      <c r="W50" s="89"/>
      <c r="X50" s="87"/>
      <c r="Y50" s="89"/>
      <c r="Z50" s="87"/>
      <c r="AA50" s="88"/>
      <c r="AB50" s="87"/>
      <c r="AC50" s="89"/>
      <c r="AD50" s="87"/>
      <c r="AE50" s="88"/>
      <c r="AF50" s="87"/>
      <c r="AG50" s="88"/>
      <c r="AH50" s="87"/>
      <c r="AI50" s="89"/>
      <c r="AJ50" s="87"/>
      <c r="AK50" s="88"/>
      <c r="AL50" s="87"/>
      <c r="AM50" s="87"/>
      <c r="AN50" s="87"/>
      <c r="AO50" s="87"/>
      <c r="AP50" s="87"/>
      <c r="AQ50" s="89"/>
      <c r="AR50" s="87"/>
      <c r="AS50" s="88"/>
      <c r="AT50" s="87"/>
      <c r="AU50" s="88"/>
      <c r="AV50" s="87"/>
      <c r="AW50" s="86"/>
      <c r="AX50" s="87"/>
      <c r="AY50" s="89"/>
      <c r="AZ50" s="87"/>
      <c r="BA50" s="89"/>
      <c r="BB50" s="87"/>
      <c r="BC50" s="89"/>
      <c r="BD50" s="87"/>
      <c r="BE50" s="88"/>
      <c r="BF50" s="87"/>
      <c r="BG50" s="88"/>
      <c r="BH50" s="87"/>
      <c r="BI50" s="89"/>
      <c r="BJ50" s="87"/>
      <c r="BK50" s="87"/>
      <c r="BL50" s="87"/>
      <c r="BM50" s="88"/>
      <c r="BN50" s="100"/>
      <c r="BO50" s="88"/>
      <c r="BP50" s="87"/>
      <c r="BQ50" s="88"/>
      <c r="BR50" s="87"/>
      <c r="BS50" s="88"/>
      <c r="BT50" s="87"/>
      <c r="BU50" s="88"/>
      <c r="BV50" s="87"/>
      <c r="BW50" s="88"/>
      <c r="BX50" s="87"/>
      <c r="BY50" s="88"/>
      <c r="BZ50" s="87"/>
      <c r="CA50" s="88"/>
      <c r="CB50" s="87"/>
      <c r="CC50" s="89"/>
      <c r="CD50" s="91"/>
      <c r="CE50" s="88"/>
      <c r="CF50" s="88"/>
      <c r="CG50" s="88"/>
      <c r="CH50" s="87"/>
      <c r="CI50" s="89"/>
      <c r="CJ50" s="91"/>
      <c r="CK50" s="88"/>
      <c r="CL50" s="89"/>
      <c r="CM50" s="91"/>
      <c r="CN50" s="88"/>
      <c r="CO50" s="88"/>
      <c r="CP50" s="88"/>
      <c r="CQ50" s="87"/>
      <c r="CR50" s="89"/>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102"/>
      <c r="EE50" s="102"/>
      <c r="EF50" s="91"/>
      <c r="EG50" s="102"/>
      <c r="EH50" s="102"/>
      <c r="EI50" s="91"/>
      <c r="EJ50" s="102"/>
      <c r="EK50" s="102"/>
      <c r="EL50" s="91"/>
      <c r="EM50" s="102"/>
      <c r="EN50" s="102"/>
      <c r="EO50" s="91"/>
      <c r="EP50" s="102"/>
      <c r="EQ50" s="103"/>
      <c r="ER50" s="91"/>
      <c r="ES50" s="54"/>
      <c r="ET50" s="54"/>
      <c r="EU50" s="91"/>
      <c r="EV50" s="54"/>
      <c r="EW50" s="54"/>
      <c r="EX50" s="91"/>
      <c r="EY50" s="54"/>
      <c r="EZ50" s="54"/>
      <c r="FA50" s="91"/>
      <c r="FB50" s="54"/>
      <c r="FC50" s="54"/>
      <c r="FD50" s="91"/>
      <c r="FE50" s="54"/>
      <c r="FF50" s="54"/>
      <c r="FG50" s="91"/>
      <c r="FH50" s="54"/>
      <c r="FI50" s="54"/>
      <c r="FJ50" s="91"/>
      <c r="FK50" s="54"/>
      <c r="FL50" s="54"/>
      <c r="FM50" s="91"/>
      <c r="FN50" s="54"/>
      <c r="FO50" s="54"/>
      <c r="FP50" s="87"/>
      <c r="FQ50" s="54"/>
      <c r="FR50" s="54"/>
      <c r="FS50" s="91"/>
      <c r="FT50" s="54"/>
      <c r="FU50" s="54"/>
      <c r="FV50" s="91"/>
      <c r="FW50" s="54"/>
      <c r="FX50" s="54"/>
      <c r="FY50" s="91"/>
      <c r="FZ50" s="54"/>
      <c r="GA50" s="54"/>
      <c r="GB50" s="91"/>
      <c r="GC50" s="54"/>
      <c r="GD50" s="54"/>
      <c r="GE50" s="133"/>
      <c r="GF50" s="54"/>
      <c r="GG50" s="104"/>
      <c r="GH50" s="97">
        <f t="shared" si="2"/>
        <v>0</v>
      </c>
      <c r="GI50" s="105"/>
      <c r="GJ50" s="105"/>
      <c r="GK50" s="97">
        <f t="shared" si="4"/>
        <v>0</v>
      </c>
      <c r="GL50" s="105"/>
      <c r="GM50" s="105"/>
      <c r="GN50" s="97">
        <f t="shared" si="5"/>
        <v>0</v>
      </c>
      <c r="GO50" s="105"/>
      <c r="GP50" s="105"/>
      <c r="GQ50" s="97">
        <f t="shared" si="6"/>
        <v>0</v>
      </c>
      <c r="GR50" s="105"/>
      <c r="GS50" s="105"/>
    </row>
    <row r="51" spans="1:201" ht="10.5" customHeight="1" x14ac:dyDescent="0.3">
      <c r="A51" s="99">
        <f t="shared" si="3"/>
        <v>44</v>
      </c>
      <c r="B51" s="56"/>
      <c r="C51" s="86"/>
      <c r="D51" s="87"/>
      <c r="E51" s="87"/>
      <c r="F51" s="87"/>
      <c r="G51" s="88"/>
      <c r="H51" s="87"/>
      <c r="I51" s="87"/>
      <c r="J51" s="87"/>
      <c r="K51" s="87"/>
      <c r="L51" s="88"/>
      <c r="M51" s="87"/>
      <c r="N51" s="87"/>
      <c r="O51" s="87"/>
      <c r="P51" s="87"/>
      <c r="Q51" s="88"/>
      <c r="R51" s="87"/>
      <c r="S51" s="86"/>
      <c r="T51" s="87"/>
      <c r="U51" s="89"/>
      <c r="V51" s="87"/>
      <c r="W51" s="89"/>
      <c r="X51" s="87"/>
      <c r="Y51" s="89"/>
      <c r="Z51" s="87"/>
      <c r="AA51" s="88"/>
      <c r="AB51" s="87"/>
      <c r="AC51" s="89"/>
      <c r="AD51" s="87"/>
      <c r="AE51" s="88"/>
      <c r="AF51" s="87"/>
      <c r="AG51" s="88"/>
      <c r="AH51" s="87"/>
      <c r="AI51" s="89"/>
      <c r="AJ51" s="87"/>
      <c r="AK51" s="88"/>
      <c r="AL51" s="87"/>
      <c r="AM51" s="87"/>
      <c r="AN51" s="87"/>
      <c r="AO51" s="87"/>
      <c r="AP51" s="87"/>
      <c r="AQ51" s="89"/>
      <c r="AR51" s="87"/>
      <c r="AS51" s="88"/>
      <c r="AT51" s="87"/>
      <c r="AU51" s="88"/>
      <c r="AV51" s="87"/>
      <c r="AW51" s="86"/>
      <c r="AX51" s="87"/>
      <c r="AY51" s="89"/>
      <c r="AZ51" s="87"/>
      <c r="BA51" s="89"/>
      <c r="BB51" s="87"/>
      <c r="BC51" s="89"/>
      <c r="BD51" s="87"/>
      <c r="BE51" s="88"/>
      <c r="BF51" s="87"/>
      <c r="BG51" s="88"/>
      <c r="BH51" s="87"/>
      <c r="BI51" s="89"/>
      <c r="BJ51" s="87"/>
      <c r="BK51" s="87"/>
      <c r="BL51" s="87"/>
      <c r="BM51" s="88"/>
      <c r="BN51" s="100"/>
      <c r="BO51" s="88"/>
      <c r="BP51" s="87"/>
      <c r="BQ51" s="88"/>
      <c r="BR51" s="87"/>
      <c r="BS51" s="88"/>
      <c r="BT51" s="87"/>
      <c r="BU51" s="88"/>
      <c r="BV51" s="87"/>
      <c r="BW51" s="88"/>
      <c r="BX51" s="87"/>
      <c r="BY51" s="88"/>
      <c r="BZ51" s="87"/>
      <c r="CA51" s="88"/>
      <c r="CB51" s="87"/>
      <c r="CC51" s="89"/>
      <c r="CD51" s="91"/>
      <c r="CE51" s="88"/>
      <c r="CF51" s="88"/>
      <c r="CG51" s="88"/>
      <c r="CH51" s="87"/>
      <c r="CI51" s="89"/>
      <c r="CJ51" s="91"/>
      <c r="CK51" s="88"/>
      <c r="CL51" s="89"/>
      <c r="CM51" s="91"/>
      <c r="CN51" s="88"/>
      <c r="CO51" s="88"/>
      <c r="CP51" s="88"/>
      <c r="CQ51" s="87"/>
      <c r="CR51" s="89"/>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102"/>
      <c r="EE51" s="102"/>
      <c r="EF51" s="91"/>
      <c r="EG51" s="102"/>
      <c r="EH51" s="102"/>
      <c r="EI51" s="91"/>
      <c r="EJ51" s="102"/>
      <c r="EK51" s="102"/>
      <c r="EL51" s="91"/>
      <c r="EM51" s="102"/>
      <c r="EN51" s="102"/>
      <c r="EO51" s="91"/>
      <c r="EP51" s="102"/>
      <c r="EQ51" s="103"/>
      <c r="ER51" s="91"/>
      <c r="ES51" s="54"/>
      <c r="ET51" s="54"/>
      <c r="EU51" s="91"/>
      <c r="EV51" s="54"/>
      <c r="EW51" s="54"/>
      <c r="EX51" s="91"/>
      <c r="EY51" s="54"/>
      <c r="EZ51" s="54"/>
      <c r="FA51" s="91"/>
      <c r="FB51" s="54"/>
      <c r="FC51" s="54"/>
      <c r="FD51" s="91"/>
      <c r="FE51" s="54"/>
      <c r="FF51" s="54"/>
      <c r="FG51" s="91"/>
      <c r="FH51" s="54"/>
      <c r="FI51" s="54"/>
      <c r="FJ51" s="91"/>
      <c r="FK51" s="54"/>
      <c r="FL51" s="54"/>
      <c r="FM51" s="91"/>
      <c r="FN51" s="54"/>
      <c r="FO51" s="54"/>
      <c r="FP51" s="87"/>
      <c r="FQ51" s="54"/>
      <c r="FR51" s="54"/>
      <c r="FS51" s="91"/>
      <c r="FT51" s="54"/>
      <c r="FU51" s="54"/>
      <c r="FV51" s="91"/>
      <c r="FW51" s="54"/>
      <c r="FX51" s="54"/>
      <c r="FY51" s="91"/>
      <c r="FZ51" s="54"/>
      <c r="GA51" s="54"/>
      <c r="GB51" s="91"/>
      <c r="GC51" s="54"/>
      <c r="GD51" s="54"/>
      <c r="GE51" s="133"/>
      <c r="GF51" s="54"/>
      <c r="GG51" s="104"/>
      <c r="GH51" s="97">
        <f t="shared" si="2"/>
        <v>0</v>
      </c>
      <c r="GI51" s="105"/>
      <c r="GJ51" s="105"/>
      <c r="GK51" s="97">
        <f t="shared" si="4"/>
        <v>0</v>
      </c>
      <c r="GL51" s="105"/>
      <c r="GM51" s="105"/>
      <c r="GN51" s="97">
        <f t="shared" si="5"/>
        <v>0</v>
      </c>
      <c r="GO51" s="105"/>
      <c r="GP51" s="105"/>
      <c r="GQ51" s="97">
        <f t="shared" si="6"/>
        <v>0</v>
      </c>
      <c r="GR51" s="105"/>
      <c r="GS51" s="105"/>
    </row>
    <row r="52" spans="1:201" ht="10.5" customHeight="1" x14ac:dyDescent="0.3">
      <c r="A52" s="99">
        <f t="shared" si="3"/>
        <v>45</v>
      </c>
      <c r="B52" s="85" t="s">
        <v>59</v>
      </c>
      <c r="C52" s="86"/>
      <c r="D52" s="87"/>
      <c r="E52" s="87"/>
      <c r="F52" s="87"/>
      <c r="G52" s="88"/>
      <c r="H52" s="87"/>
      <c r="I52" s="87"/>
      <c r="J52" s="87"/>
      <c r="K52" s="87"/>
      <c r="L52" s="88"/>
      <c r="M52" s="87"/>
      <c r="N52" s="87"/>
      <c r="O52" s="87"/>
      <c r="P52" s="87"/>
      <c r="Q52" s="88"/>
      <c r="R52" s="87"/>
      <c r="S52" s="86"/>
      <c r="T52" s="87"/>
      <c r="U52" s="89"/>
      <c r="V52" s="87"/>
      <c r="W52" s="89"/>
      <c r="X52" s="87"/>
      <c r="Y52" s="89"/>
      <c r="Z52" s="87"/>
      <c r="AA52" s="88"/>
      <c r="AB52" s="87"/>
      <c r="AC52" s="89"/>
      <c r="AD52" s="87"/>
      <c r="AE52" s="88"/>
      <c r="AF52" s="87"/>
      <c r="AG52" s="88"/>
      <c r="AH52" s="87"/>
      <c r="AI52" s="89"/>
      <c r="AJ52" s="87"/>
      <c r="AK52" s="88"/>
      <c r="AL52" s="87"/>
      <c r="AM52" s="87"/>
      <c r="AN52" s="87"/>
      <c r="AO52" s="87"/>
      <c r="AP52" s="87"/>
      <c r="AQ52" s="89"/>
      <c r="AR52" s="87"/>
      <c r="AS52" s="88"/>
      <c r="AT52" s="87"/>
      <c r="AU52" s="88"/>
      <c r="AV52" s="87"/>
      <c r="AW52" s="86"/>
      <c r="AX52" s="87"/>
      <c r="AY52" s="89"/>
      <c r="AZ52" s="87"/>
      <c r="BA52" s="89"/>
      <c r="BB52" s="87"/>
      <c r="BC52" s="89"/>
      <c r="BD52" s="87"/>
      <c r="BE52" s="88"/>
      <c r="BF52" s="87"/>
      <c r="BG52" s="88"/>
      <c r="BH52" s="87"/>
      <c r="BI52" s="89"/>
      <c r="BJ52" s="87"/>
      <c r="BK52" s="87"/>
      <c r="BL52" s="87"/>
      <c r="BM52" s="88"/>
      <c r="BN52" s="100"/>
      <c r="BO52" s="88"/>
      <c r="BP52" s="87"/>
      <c r="BQ52" s="88"/>
      <c r="BR52" s="87"/>
      <c r="BS52" s="88"/>
      <c r="BT52" s="87"/>
      <c r="BU52" s="88"/>
      <c r="BV52" s="87"/>
      <c r="BW52" s="88"/>
      <c r="BX52" s="87"/>
      <c r="BY52" s="88"/>
      <c r="BZ52" s="87"/>
      <c r="CA52" s="88"/>
      <c r="CB52" s="87"/>
      <c r="CC52" s="89"/>
      <c r="CD52" s="91"/>
      <c r="CE52" s="88"/>
      <c r="CF52" s="88"/>
      <c r="CG52" s="88"/>
      <c r="CH52" s="87"/>
      <c r="CI52" s="89"/>
      <c r="CJ52" s="91"/>
      <c r="CK52" s="88"/>
      <c r="CL52" s="89"/>
      <c r="CM52" s="91"/>
      <c r="CN52" s="88"/>
      <c r="CO52" s="88"/>
      <c r="CP52" s="88"/>
      <c r="CQ52" s="87"/>
      <c r="CR52" s="89"/>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102"/>
      <c r="EE52" s="102"/>
      <c r="EF52" s="91"/>
      <c r="EG52" s="102"/>
      <c r="EH52" s="102"/>
      <c r="EI52" s="91"/>
      <c r="EJ52" s="102"/>
      <c r="EK52" s="102"/>
      <c r="EL52" s="91"/>
      <c r="EM52" s="102"/>
      <c r="EN52" s="102"/>
      <c r="EO52" s="91"/>
      <c r="EP52" s="102"/>
      <c r="EQ52" s="103"/>
      <c r="ER52" s="91"/>
      <c r="ES52" s="54"/>
      <c r="ET52" s="54"/>
      <c r="EU52" s="91"/>
      <c r="EV52" s="54"/>
      <c r="EW52" s="54"/>
      <c r="EX52" s="91"/>
      <c r="EY52" s="54"/>
      <c r="EZ52" s="54"/>
      <c r="FA52" s="91"/>
      <c r="FB52" s="54"/>
      <c r="FC52" s="54"/>
      <c r="FD52" s="91"/>
      <c r="FE52" s="54"/>
      <c r="FF52" s="54"/>
      <c r="FG52" s="91"/>
      <c r="FH52" s="54"/>
      <c r="FI52" s="54"/>
      <c r="FJ52" s="91"/>
      <c r="FK52" s="54"/>
      <c r="FL52" s="54"/>
      <c r="FM52" s="91"/>
      <c r="FN52" s="54"/>
      <c r="FO52" s="54"/>
      <c r="FP52" s="87"/>
      <c r="FQ52" s="54"/>
      <c r="FR52" s="54"/>
      <c r="FS52" s="91"/>
      <c r="FT52" s="54"/>
      <c r="FU52" s="54"/>
      <c r="FV52" s="91"/>
      <c r="FW52" s="54"/>
      <c r="FX52" s="54"/>
      <c r="FY52" s="91"/>
      <c r="FZ52" s="54"/>
      <c r="GA52" s="54"/>
      <c r="GB52" s="91"/>
      <c r="GC52" s="54"/>
      <c r="GD52" s="54"/>
      <c r="GE52" s="133"/>
      <c r="GF52" s="54"/>
      <c r="GG52" s="104"/>
      <c r="GH52" s="97">
        <f t="shared" si="2"/>
        <v>0</v>
      </c>
      <c r="GI52" s="105"/>
      <c r="GJ52" s="105"/>
      <c r="GK52" s="97">
        <f t="shared" si="4"/>
        <v>0</v>
      </c>
      <c r="GL52" s="105"/>
      <c r="GM52" s="105"/>
      <c r="GN52" s="97">
        <f t="shared" si="5"/>
        <v>0</v>
      </c>
      <c r="GO52" s="105"/>
      <c r="GP52" s="105"/>
      <c r="GQ52" s="97">
        <f t="shared" si="6"/>
        <v>0</v>
      </c>
      <c r="GR52" s="105"/>
      <c r="GS52" s="105"/>
    </row>
    <row r="53" spans="1:201" ht="10.5" customHeight="1" x14ac:dyDescent="0.3">
      <c r="A53" s="99">
        <f t="shared" si="3"/>
        <v>46</v>
      </c>
      <c r="B53" s="56" t="s">
        <v>60</v>
      </c>
      <c r="C53" s="86"/>
      <c r="D53" s="87">
        <v>14</v>
      </c>
      <c r="E53" s="87">
        <v>16</v>
      </c>
      <c r="F53" s="87">
        <v>13</v>
      </c>
      <c r="G53" s="88">
        <v>14</v>
      </c>
      <c r="H53" s="87">
        <v>26</v>
      </c>
      <c r="I53" s="87">
        <v>38</v>
      </c>
      <c r="J53" s="87">
        <v>31</v>
      </c>
      <c r="K53" s="87">
        <v>29</v>
      </c>
      <c r="L53" s="88">
        <v>29</v>
      </c>
      <c r="M53" s="87">
        <v>24</v>
      </c>
      <c r="N53" s="87">
        <v>25</v>
      </c>
      <c r="O53" s="87">
        <v>26</v>
      </c>
      <c r="P53" s="87">
        <v>24</v>
      </c>
      <c r="Q53" s="88">
        <v>23</v>
      </c>
      <c r="R53" s="87">
        <v>23</v>
      </c>
      <c r="S53" s="86">
        <v>22</v>
      </c>
      <c r="T53" s="87">
        <v>22</v>
      </c>
      <c r="U53" s="89">
        <v>22</v>
      </c>
      <c r="V53" s="87">
        <v>21</v>
      </c>
      <c r="W53" s="89">
        <v>20</v>
      </c>
      <c r="X53" s="87">
        <v>20</v>
      </c>
      <c r="Y53" s="89">
        <v>20</v>
      </c>
      <c r="Z53" s="87">
        <v>21</v>
      </c>
      <c r="AA53" s="88">
        <v>21</v>
      </c>
      <c r="AB53" s="87">
        <v>23</v>
      </c>
      <c r="AC53" s="89">
        <v>26</v>
      </c>
      <c r="AD53" s="87">
        <v>25</v>
      </c>
      <c r="AE53" s="88">
        <v>25</v>
      </c>
      <c r="AF53" s="87">
        <v>25</v>
      </c>
      <c r="AG53" s="88">
        <v>27</v>
      </c>
      <c r="AH53" s="87">
        <v>28</v>
      </c>
      <c r="AI53" s="89">
        <v>28</v>
      </c>
      <c r="AJ53" s="87">
        <v>28</v>
      </c>
      <c r="AK53" s="88">
        <v>30</v>
      </c>
      <c r="AL53" s="87">
        <v>33</v>
      </c>
      <c r="AM53" s="87">
        <v>38</v>
      </c>
      <c r="AN53" s="87">
        <v>44</v>
      </c>
      <c r="AO53" s="87">
        <v>45</v>
      </c>
      <c r="AP53" s="87">
        <v>45</v>
      </c>
      <c r="AQ53" s="89">
        <v>49</v>
      </c>
      <c r="AR53" s="87">
        <v>49</v>
      </c>
      <c r="AS53" s="88">
        <v>50</v>
      </c>
      <c r="AT53" s="87">
        <v>52</v>
      </c>
      <c r="AU53" s="88">
        <v>53</v>
      </c>
      <c r="AV53" s="87">
        <v>57</v>
      </c>
      <c r="AW53" s="86">
        <v>58</v>
      </c>
      <c r="AX53" s="87">
        <v>58</v>
      </c>
      <c r="AY53" s="89">
        <v>59</v>
      </c>
      <c r="AZ53" s="87">
        <v>60</v>
      </c>
      <c r="BA53" s="89">
        <v>61</v>
      </c>
      <c r="BB53" s="87">
        <v>61</v>
      </c>
      <c r="BC53" s="89">
        <v>62</v>
      </c>
      <c r="BD53" s="87">
        <v>65</v>
      </c>
      <c r="BE53" s="88">
        <v>66</v>
      </c>
      <c r="BF53" s="87">
        <v>67</v>
      </c>
      <c r="BG53" s="88">
        <v>68</v>
      </c>
      <c r="BH53" s="87">
        <v>69</v>
      </c>
      <c r="BI53" s="89">
        <v>74</v>
      </c>
      <c r="BJ53" s="87">
        <v>82</v>
      </c>
      <c r="BK53" s="87">
        <v>93</v>
      </c>
      <c r="BL53" s="87">
        <v>98</v>
      </c>
      <c r="BM53" s="88">
        <v>100</v>
      </c>
      <c r="BN53" s="100">
        <v>139</v>
      </c>
      <c r="BO53" s="88">
        <v>174</v>
      </c>
      <c r="BP53" s="87">
        <v>195</v>
      </c>
      <c r="BQ53" s="88">
        <v>218</v>
      </c>
      <c r="BR53" s="87">
        <v>246</v>
      </c>
      <c r="BS53" s="88">
        <v>290</v>
      </c>
      <c r="BT53" s="87">
        <v>350</v>
      </c>
      <c r="BU53" s="88">
        <v>406</v>
      </c>
      <c r="BV53" s="87">
        <v>458</v>
      </c>
      <c r="BW53" s="88">
        <v>496</v>
      </c>
      <c r="BX53" s="87">
        <v>506</v>
      </c>
      <c r="BY53" s="88">
        <v>540</v>
      </c>
      <c r="BZ53" s="87">
        <v>560</v>
      </c>
      <c r="CA53" s="88">
        <v>575</v>
      </c>
      <c r="CB53" s="87">
        <v>577</v>
      </c>
      <c r="CC53" s="89">
        <v>579</v>
      </c>
      <c r="CD53" s="91">
        <v>578.75</v>
      </c>
      <c r="CE53" s="88">
        <v>580</v>
      </c>
      <c r="CF53" s="88">
        <v>583</v>
      </c>
      <c r="CG53" s="88">
        <v>580</v>
      </c>
      <c r="CH53" s="87">
        <v>574</v>
      </c>
      <c r="CI53" s="89">
        <v>577</v>
      </c>
      <c r="CJ53" s="91">
        <v>565</v>
      </c>
      <c r="CK53" s="88">
        <v>532</v>
      </c>
      <c r="CL53" s="89">
        <v>526</v>
      </c>
      <c r="CM53" s="91">
        <v>527.75</v>
      </c>
      <c r="CN53" s="88">
        <v>527</v>
      </c>
      <c r="CO53" s="88">
        <v>543</v>
      </c>
      <c r="CP53" s="88">
        <v>539.25</v>
      </c>
      <c r="CQ53" s="87">
        <v>544</v>
      </c>
      <c r="CR53" s="89">
        <v>558</v>
      </c>
      <c r="CS53" s="91">
        <v>555</v>
      </c>
      <c r="CT53" s="91">
        <v>560</v>
      </c>
      <c r="CU53" s="91">
        <v>563</v>
      </c>
      <c r="CV53" s="91">
        <v>562.25</v>
      </c>
      <c r="CW53" s="91">
        <v>563</v>
      </c>
      <c r="CX53" s="91">
        <v>564</v>
      </c>
      <c r="CY53" s="91">
        <v>566.25</v>
      </c>
      <c r="CZ53" s="91">
        <v>574</v>
      </c>
      <c r="DA53" s="91">
        <v>580</v>
      </c>
      <c r="DB53" s="91">
        <v>579.25</v>
      </c>
      <c r="DC53" s="91">
        <v>583</v>
      </c>
      <c r="DD53" s="91">
        <v>607</v>
      </c>
      <c r="DE53" s="91">
        <v>603</v>
      </c>
      <c r="DF53" s="91">
        <v>615</v>
      </c>
      <c r="DG53" s="91">
        <v>617</v>
      </c>
      <c r="DH53" s="91">
        <f>(DF53+DG53*2+DI53)/4</f>
        <v>622.25</v>
      </c>
      <c r="DI53" s="91">
        <v>640</v>
      </c>
      <c r="DJ53" s="101">
        <v>641</v>
      </c>
      <c r="DK53" s="91">
        <f>(DI53+DJ53*2+DL53)/4</f>
        <v>641.75</v>
      </c>
      <c r="DL53" s="91">
        <v>645</v>
      </c>
      <c r="DM53" s="91">
        <v>648</v>
      </c>
      <c r="DN53" s="91">
        <f>(DL53+DM53*2+DO53)/4</f>
        <v>652</v>
      </c>
      <c r="DO53" s="91">
        <v>667</v>
      </c>
      <c r="DP53" s="91">
        <v>670</v>
      </c>
      <c r="DQ53" s="91">
        <f>(DO53+DP53*2+DR53)/4</f>
        <v>670.75</v>
      </c>
      <c r="DR53" s="91">
        <v>676</v>
      </c>
      <c r="DS53" s="91">
        <v>685</v>
      </c>
      <c r="DT53" s="91">
        <f>(DR53+DS53*2+DU53)/4</f>
        <v>683.25</v>
      </c>
      <c r="DU53" s="91">
        <v>687</v>
      </c>
      <c r="DV53" s="91">
        <v>688</v>
      </c>
      <c r="DW53" s="91">
        <f>(DU53+DV53*2+DX53)/4</f>
        <v>696.75</v>
      </c>
      <c r="DX53" s="91">
        <v>724</v>
      </c>
      <c r="DY53" s="91">
        <v>754</v>
      </c>
      <c r="DZ53" s="91">
        <f>(DX53+DY53*2+EA53)/4</f>
        <v>758.25</v>
      </c>
      <c r="EA53" s="101">
        <v>801</v>
      </c>
      <c r="EB53" s="91">
        <v>801</v>
      </c>
      <c r="EC53" s="91">
        <f>(EA53+EB53*2+ED53)/4</f>
        <v>813.75</v>
      </c>
      <c r="ED53" s="102">
        <v>852</v>
      </c>
      <c r="EE53" s="102">
        <v>852</v>
      </c>
      <c r="EF53" s="91">
        <f>(ED53+EE53*2+EG53)/4</f>
        <v>856.25</v>
      </c>
      <c r="EG53" s="102">
        <v>869</v>
      </c>
      <c r="EH53" s="102">
        <v>983.38198245023818</v>
      </c>
      <c r="EI53" s="91">
        <f>(EG53+EH53*2+EJ53)/4</f>
        <v>1005.6909912251191</v>
      </c>
      <c r="EJ53" s="102">
        <v>1187</v>
      </c>
      <c r="EK53" s="102">
        <v>1373</v>
      </c>
      <c r="EL53" s="91">
        <f>(EJ53+EK53*2+EM53)/4</f>
        <v>1394.5</v>
      </c>
      <c r="EM53" s="102">
        <v>1645</v>
      </c>
      <c r="EN53" s="102">
        <v>1645</v>
      </c>
      <c r="EO53" s="91">
        <f>(EM53+EN53*2+EP53)/4</f>
        <v>1658.5</v>
      </c>
      <c r="EP53" s="102">
        <v>1699</v>
      </c>
      <c r="EQ53" s="103">
        <v>1744</v>
      </c>
      <c r="ER53" s="91">
        <f>(EP53+EQ53*2+ES53)/4</f>
        <v>1752.5</v>
      </c>
      <c r="ES53" s="54">
        <v>1823</v>
      </c>
      <c r="ET53" s="54">
        <v>1848</v>
      </c>
      <c r="EU53" s="91">
        <f>(ES53+ET53*2+EV53)/4</f>
        <v>1855.75</v>
      </c>
      <c r="EV53" s="54">
        <v>1904</v>
      </c>
      <c r="EW53" s="54">
        <v>1973</v>
      </c>
      <c r="EX53" s="91">
        <f>(EV53+EW53*2+EY53)/4</f>
        <v>1957</v>
      </c>
      <c r="EY53" s="54">
        <v>1978</v>
      </c>
      <c r="EZ53" s="54">
        <v>2015</v>
      </c>
      <c r="FA53" s="91">
        <f>(EY53+EZ53*2+FB53)/4</f>
        <v>2012.25</v>
      </c>
      <c r="FB53" s="54">
        <v>2041</v>
      </c>
      <c r="FC53" s="54">
        <v>2078</v>
      </c>
      <c r="FD53" s="91">
        <f>(FB53+FC53*2+FE53)/4</f>
        <v>2091</v>
      </c>
      <c r="FE53" s="54">
        <v>2167</v>
      </c>
      <c r="FF53" s="54">
        <v>2177</v>
      </c>
      <c r="FG53" s="91">
        <f>(FE53+FF53*2+FH53)/4</f>
        <v>2178.25</v>
      </c>
      <c r="FH53" s="54">
        <v>2192</v>
      </c>
      <c r="FI53" s="54">
        <v>2192</v>
      </c>
      <c r="FJ53" s="91">
        <f>(FH53+FI53*2+FK53)/4</f>
        <v>2193.5</v>
      </c>
      <c r="FK53" s="54">
        <v>2198</v>
      </c>
      <c r="FL53" s="54">
        <v>2213</v>
      </c>
      <c r="FM53" s="91">
        <f>(FK53+FL53*2+FN53)/4</f>
        <v>2211.75</v>
      </c>
      <c r="FN53" s="54">
        <v>2223</v>
      </c>
      <c r="FO53" s="54">
        <v>2264</v>
      </c>
      <c r="FP53" s="87">
        <f>(FN53+FO53*2+FQ53)/4</f>
        <v>2277.75</v>
      </c>
      <c r="FQ53" s="54">
        <v>2360</v>
      </c>
      <c r="FR53" s="54">
        <v>2360</v>
      </c>
      <c r="FS53" s="91">
        <f>(FQ53+FR53*2+FT53)/4</f>
        <v>2387.5</v>
      </c>
      <c r="FT53" s="54">
        <v>2470</v>
      </c>
      <c r="FU53" s="54">
        <v>2481</v>
      </c>
      <c r="FV53" s="91">
        <f>(FT53+FU53*2+FW53)/4</f>
        <v>2499.75</v>
      </c>
      <c r="FW53" s="54">
        <v>2567</v>
      </c>
      <c r="FX53" s="54">
        <v>2617</v>
      </c>
      <c r="FY53" s="91">
        <f>(FW53+FX53*2+FZ53)/4</f>
        <v>2662.75</v>
      </c>
      <c r="FZ53" s="54">
        <v>2850</v>
      </c>
      <c r="GA53" s="54">
        <v>3009</v>
      </c>
      <c r="GB53" s="91">
        <f t="shared" si="31"/>
        <v>3009.75</v>
      </c>
      <c r="GC53" s="54">
        <v>3171</v>
      </c>
      <c r="GD53" s="54"/>
      <c r="GE53" s="133">
        <f>GC53</f>
        <v>3171</v>
      </c>
      <c r="GF53" s="54"/>
      <c r="GG53" s="104"/>
      <c r="GH53" s="97">
        <f t="shared" si="2"/>
        <v>0</v>
      </c>
      <c r="GI53" s="105"/>
      <c r="GJ53" s="105"/>
      <c r="GK53" s="97">
        <f t="shared" si="4"/>
        <v>0</v>
      </c>
      <c r="GL53" s="105"/>
      <c r="GM53" s="105"/>
      <c r="GN53" s="97">
        <f t="shared" si="5"/>
        <v>0</v>
      </c>
      <c r="GO53" s="105"/>
      <c r="GP53" s="105"/>
      <c r="GQ53" s="97">
        <f t="shared" si="6"/>
        <v>0</v>
      </c>
      <c r="GR53" s="105"/>
      <c r="GS53" s="105"/>
    </row>
    <row r="54" spans="1:201" ht="10.5" customHeight="1" x14ac:dyDescent="0.3">
      <c r="A54" s="99">
        <f t="shared" si="3"/>
        <v>47</v>
      </c>
      <c r="B54" s="56" t="s">
        <v>61</v>
      </c>
      <c r="C54" s="86"/>
      <c r="D54" s="106" t="s">
        <v>46</v>
      </c>
      <c r="E54" s="106" t="s">
        <v>46</v>
      </c>
      <c r="F54" s="106" t="s">
        <v>46</v>
      </c>
      <c r="G54" s="108" t="s">
        <v>46</v>
      </c>
      <c r="H54" s="106" t="s">
        <v>46</v>
      </c>
      <c r="I54" s="106" t="s">
        <v>46</v>
      </c>
      <c r="J54" s="106" t="s">
        <v>46</v>
      </c>
      <c r="K54" s="106" t="s">
        <v>46</v>
      </c>
      <c r="L54" s="108" t="s">
        <v>46</v>
      </c>
      <c r="M54" s="106" t="s">
        <v>46</v>
      </c>
      <c r="N54" s="106" t="s">
        <v>46</v>
      </c>
      <c r="O54" s="106" t="s">
        <v>46</v>
      </c>
      <c r="P54" s="106" t="s">
        <v>46</v>
      </c>
      <c r="Q54" s="108" t="s">
        <v>46</v>
      </c>
      <c r="R54" s="106" t="s">
        <v>46</v>
      </c>
      <c r="S54" s="109" t="s">
        <v>46</v>
      </c>
      <c r="T54" s="106" t="s">
        <v>46</v>
      </c>
      <c r="U54" s="110" t="s">
        <v>46</v>
      </c>
      <c r="V54" s="106" t="s">
        <v>46</v>
      </c>
      <c r="W54" s="110" t="s">
        <v>46</v>
      </c>
      <c r="X54" s="106" t="s">
        <v>46</v>
      </c>
      <c r="Y54" s="110" t="s">
        <v>46</v>
      </c>
      <c r="Z54" s="106" t="s">
        <v>46</v>
      </c>
      <c r="AA54" s="108" t="s">
        <v>46</v>
      </c>
      <c r="AB54" s="106" t="s">
        <v>46</v>
      </c>
      <c r="AC54" s="89">
        <v>17</v>
      </c>
      <c r="AD54" s="87">
        <v>23</v>
      </c>
      <c r="AE54" s="88">
        <v>24</v>
      </c>
      <c r="AF54" s="87">
        <v>25</v>
      </c>
      <c r="AG54" s="88">
        <v>26</v>
      </c>
      <c r="AH54" s="87">
        <v>27</v>
      </c>
      <c r="AI54" s="89">
        <v>27</v>
      </c>
      <c r="AJ54" s="87">
        <v>27</v>
      </c>
      <c r="AK54" s="88">
        <v>29</v>
      </c>
      <c r="AL54" s="87">
        <v>32</v>
      </c>
      <c r="AM54" s="87">
        <v>37</v>
      </c>
      <c r="AN54" s="87">
        <v>43</v>
      </c>
      <c r="AO54" s="87">
        <v>43</v>
      </c>
      <c r="AP54" s="87">
        <v>44</v>
      </c>
      <c r="AQ54" s="89">
        <v>46</v>
      </c>
      <c r="AR54" s="87">
        <v>46</v>
      </c>
      <c r="AS54" s="88">
        <v>49</v>
      </c>
      <c r="AT54" s="87">
        <v>50</v>
      </c>
      <c r="AU54" s="88">
        <v>49</v>
      </c>
      <c r="AV54" s="87">
        <v>53</v>
      </c>
      <c r="AW54" s="86">
        <v>55</v>
      </c>
      <c r="AX54" s="87">
        <v>57</v>
      </c>
      <c r="AY54" s="89">
        <v>58</v>
      </c>
      <c r="AZ54" s="87">
        <v>58</v>
      </c>
      <c r="BA54" s="89">
        <v>59</v>
      </c>
      <c r="BB54" s="87">
        <v>60</v>
      </c>
      <c r="BC54" s="89">
        <v>60</v>
      </c>
      <c r="BD54" s="87">
        <v>63</v>
      </c>
      <c r="BE54" s="88">
        <v>65</v>
      </c>
      <c r="BF54" s="87">
        <v>66</v>
      </c>
      <c r="BG54" s="88">
        <v>67</v>
      </c>
      <c r="BH54" s="87">
        <v>68</v>
      </c>
      <c r="BI54" s="89">
        <v>72</v>
      </c>
      <c r="BJ54" s="87">
        <v>82</v>
      </c>
      <c r="BK54" s="87">
        <v>93</v>
      </c>
      <c r="BL54" s="87">
        <v>98</v>
      </c>
      <c r="BM54" s="88">
        <v>100</v>
      </c>
      <c r="BN54" s="100">
        <v>140</v>
      </c>
      <c r="BO54" s="88">
        <v>167</v>
      </c>
      <c r="BP54" s="87">
        <v>181</v>
      </c>
      <c r="BQ54" s="88">
        <v>199</v>
      </c>
      <c r="BR54" s="87">
        <v>210</v>
      </c>
      <c r="BS54" s="88">
        <v>232</v>
      </c>
      <c r="BT54" s="87">
        <v>272</v>
      </c>
      <c r="BU54" s="88">
        <v>310</v>
      </c>
      <c r="BV54" s="87">
        <v>356</v>
      </c>
      <c r="BW54" s="88">
        <v>389</v>
      </c>
      <c r="BX54" s="87">
        <v>398</v>
      </c>
      <c r="BY54" s="88">
        <v>431</v>
      </c>
      <c r="BZ54" s="87">
        <v>442</v>
      </c>
      <c r="CA54" s="88">
        <v>446</v>
      </c>
      <c r="CB54" s="87">
        <v>449</v>
      </c>
      <c r="CC54" s="89">
        <v>451</v>
      </c>
      <c r="CD54" s="91">
        <v>451</v>
      </c>
      <c r="CE54" s="88">
        <v>453</v>
      </c>
      <c r="CF54" s="88">
        <v>456</v>
      </c>
      <c r="CG54" s="88">
        <v>455.25</v>
      </c>
      <c r="CH54" s="87">
        <v>456</v>
      </c>
      <c r="CI54" s="89">
        <v>445</v>
      </c>
      <c r="CJ54" s="91">
        <v>441.75</v>
      </c>
      <c r="CK54" s="88">
        <v>421</v>
      </c>
      <c r="CL54" s="89">
        <v>414</v>
      </c>
      <c r="CM54" s="91">
        <v>415.75</v>
      </c>
      <c r="CN54" s="88">
        <v>414</v>
      </c>
      <c r="CO54" s="88">
        <v>441</v>
      </c>
      <c r="CP54" s="88">
        <v>434.5</v>
      </c>
      <c r="CQ54" s="87">
        <v>442</v>
      </c>
      <c r="CR54" s="89">
        <v>462</v>
      </c>
      <c r="CS54" s="91">
        <v>457.75</v>
      </c>
      <c r="CT54" s="91">
        <v>465</v>
      </c>
      <c r="CU54" s="91">
        <v>499</v>
      </c>
      <c r="CV54" s="91">
        <v>492.25</v>
      </c>
      <c r="CW54" s="91">
        <v>506</v>
      </c>
      <c r="CX54" s="91">
        <v>508</v>
      </c>
      <c r="CY54" s="91">
        <v>514.25</v>
      </c>
      <c r="CZ54" s="91">
        <v>535</v>
      </c>
      <c r="DA54" s="91">
        <v>541</v>
      </c>
      <c r="DB54" s="91">
        <v>540</v>
      </c>
      <c r="DC54" s="91">
        <v>543</v>
      </c>
      <c r="DD54" s="91">
        <v>568</v>
      </c>
      <c r="DE54" s="91">
        <v>562.25</v>
      </c>
      <c r="DF54" s="91">
        <v>570</v>
      </c>
      <c r="DG54" s="91">
        <v>571</v>
      </c>
      <c r="DH54" s="91">
        <f>(DF54+DG54*2+DI54)/4</f>
        <v>571.75</v>
      </c>
      <c r="DI54" s="91">
        <v>575</v>
      </c>
      <c r="DJ54" s="101">
        <v>576</v>
      </c>
      <c r="DK54" s="91">
        <f>(DI54+DJ54*2+DL54)/4</f>
        <v>578.5</v>
      </c>
      <c r="DL54" s="91">
        <v>587</v>
      </c>
      <c r="DM54" s="91">
        <v>592</v>
      </c>
      <c r="DN54" s="91">
        <f>(DL54+DM54*2+DO54)/4</f>
        <v>592.5</v>
      </c>
      <c r="DO54" s="91">
        <v>599</v>
      </c>
      <c r="DP54" s="91">
        <v>602</v>
      </c>
      <c r="DQ54" s="91">
        <f>(DO54+DP54*2+DR54)/4</f>
        <v>603</v>
      </c>
      <c r="DR54" s="91">
        <v>609</v>
      </c>
      <c r="DS54" s="91">
        <v>617</v>
      </c>
      <c r="DT54" s="91">
        <f>(DR54+DS54*2+DU54)/4</f>
        <v>616.5</v>
      </c>
      <c r="DU54" s="91">
        <v>623</v>
      </c>
      <c r="DV54" s="91">
        <v>625</v>
      </c>
      <c r="DW54" s="91">
        <f>(DU54+DV54*2+DX54)/4</f>
        <v>629.75</v>
      </c>
      <c r="DX54" s="91">
        <v>646</v>
      </c>
      <c r="DY54" s="91">
        <v>649</v>
      </c>
      <c r="DZ54" s="91">
        <f>(DX54+DY54*2+EA54)/4</f>
        <v>663.25</v>
      </c>
      <c r="EA54" s="101">
        <v>709</v>
      </c>
      <c r="EB54" s="91">
        <v>709</v>
      </c>
      <c r="EC54" s="91">
        <f>(EA54+EB54*2+ED54)/4</f>
        <v>714</v>
      </c>
      <c r="ED54" s="102">
        <v>729</v>
      </c>
      <c r="EE54" s="102">
        <v>729</v>
      </c>
      <c r="EF54" s="91">
        <f>(ED54+EE54*2+EG54)/4</f>
        <v>736.75</v>
      </c>
      <c r="EG54" s="102">
        <v>760</v>
      </c>
      <c r="EH54" s="102">
        <v>891.90771080659476</v>
      </c>
      <c r="EI54" s="91">
        <f>(EG54+EH54*2+EJ54)/4</f>
        <v>865.95385540329744</v>
      </c>
      <c r="EJ54" s="102">
        <v>920</v>
      </c>
      <c r="EK54" s="102">
        <v>944</v>
      </c>
      <c r="EL54" s="91">
        <f>(EJ54+EK54*2+EM54)/4</f>
        <v>951.25</v>
      </c>
      <c r="EM54" s="102">
        <v>997</v>
      </c>
      <c r="EN54" s="102">
        <v>997</v>
      </c>
      <c r="EO54" s="91">
        <f>(EM54+EN54*2+EP54)/4</f>
        <v>995.5</v>
      </c>
      <c r="EP54" s="102">
        <v>991</v>
      </c>
      <c r="EQ54" s="103">
        <v>1001</v>
      </c>
      <c r="ER54" s="91">
        <f>(EP54+EQ54*2+ES54)/4</f>
        <v>1012.25</v>
      </c>
      <c r="ES54" s="54">
        <v>1056</v>
      </c>
      <c r="ET54" s="54">
        <v>1060</v>
      </c>
      <c r="EU54" s="91">
        <f>(ES54+ET54*2+EV54)/4</f>
        <v>1063.25</v>
      </c>
      <c r="EV54" s="54">
        <v>1077</v>
      </c>
      <c r="EW54" s="54">
        <v>1102</v>
      </c>
      <c r="EX54" s="91">
        <f>(EV54+EW54*2+EY54)/4</f>
        <v>1096.5</v>
      </c>
      <c r="EY54" s="54">
        <v>1105</v>
      </c>
      <c r="EZ54" s="54">
        <v>1136</v>
      </c>
      <c r="FA54" s="91">
        <f>(EY54+EZ54*2+FB54)/4</f>
        <v>1132.75</v>
      </c>
      <c r="FB54" s="54">
        <v>1154</v>
      </c>
      <c r="FC54" s="54">
        <v>1162</v>
      </c>
      <c r="FD54" s="91">
        <f>(FB54+FC54*2+FE54)/4</f>
        <v>1165.5</v>
      </c>
      <c r="FE54" s="54">
        <v>1184</v>
      </c>
      <c r="FF54" s="54">
        <v>1188</v>
      </c>
      <c r="FG54" s="91">
        <f>(FE54+FF54*2+FH54)/4</f>
        <v>1197.25</v>
      </c>
      <c r="FH54" s="54">
        <v>1229</v>
      </c>
      <c r="FI54" s="54">
        <v>1272</v>
      </c>
      <c r="FJ54" s="91">
        <f>(FH54+FI54*2+FK54)/4</f>
        <v>1271</v>
      </c>
      <c r="FK54" s="54">
        <v>1311</v>
      </c>
      <c r="FL54" s="54">
        <v>1315</v>
      </c>
      <c r="FM54" s="91">
        <f>(FK54+FL54*2+FN54)/4</f>
        <v>1327.5</v>
      </c>
      <c r="FN54" s="54">
        <v>1369</v>
      </c>
      <c r="FO54" s="54">
        <v>1401</v>
      </c>
      <c r="FP54" s="87">
        <f>(FN54+FO54*2+FQ54)/4</f>
        <v>1408.25</v>
      </c>
      <c r="FQ54" s="54">
        <v>1462</v>
      </c>
      <c r="FR54" s="54">
        <v>1462</v>
      </c>
      <c r="FS54" s="91">
        <f>(FQ54+FR54*2+FT54)/4</f>
        <v>1477.25</v>
      </c>
      <c r="FT54" s="54">
        <v>1523</v>
      </c>
      <c r="FU54" s="54">
        <v>1557</v>
      </c>
      <c r="FV54" s="91">
        <f>(FT54+FU54*2+FW54)/4</f>
        <v>1574.75</v>
      </c>
      <c r="FW54" s="54">
        <v>1662</v>
      </c>
      <c r="FX54" s="54">
        <v>1718</v>
      </c>
      <c r="FY54" s="91">
        <f>(FW54+FX54*2+FZ54)/4</f>
        <v>1739.5</v>
      </c>
      <c r="FZ54" s="54">
        <v>1860</v>
      </c>
      <c r="GA54" s="54">
        <v>1999</v>
      </c>
      <c r="GB54" s="91">
        <f t="shared" si="31"/>
        <v>2005.5</v>
      </c>
      <c r="GC54" s="54">
        <v>2164</v>
      </c>
      <c r="GD54" s="54"/>
      <c r="GE54" s="133">
        <f>GC54</f>
        <v>2164</v>
      </c>
      <c r="GF54" s="54"/>
      <c r="GG54" s="104"/>
      <c r="GH54" s="97">
        <f t="shared" si="2"/>
        <v>0</v>
      </c>
      <c r="GI54" s="105"/>
      <c r="GJ54" s="105"/>
      <c r="GK54" s="97">
        <f t="shared" si="4"/>
        <v>0</v>
      </c>
      <c r="GL54" s="105"/>
      <c r="GM54" s="105"/>
      <c r="GN54" s="97">
        <f t="shared" si="5"/>
        <v>0</v>
      </c>
      <c r="GO54" s="105"/>
      <c r="GP54" s="105"/>
      <c r="GQ54" s="97">
        <f t="shared" si="6"/>
        <v>0</v>
      </c>
      <c r="GR54" s="105"/>
      <c r="GS54" s="105"/>
    </row>
    <row r="55" spans="1:201" ht="10.5" customHeight="1" x14ac:dyDescent="0.3">
      <c r="A55" s="99">
        <f t="shared" si="3"/>
        <v>48</v>
      </c>
      <c r="B55" s="56" t="s">
        <v>62</v>
      </c>
      <c r="C55" s="86"/>
      <c r="D55" s="87">
        <v>8</v>
      </c>
      <c r="E55" s="87">
        <v>8</v>
      </c>
      <c r="F55" s="87">
        <v>8</v>
      </c>
      <c r="G55" s="88">
        <v>8</v>
      </c>
      <c r="H55" s="87">
        <v>10</v>
      </c>
      <c r="I55" s="87">
        <v>14</v>
      </c>
      <c r="J55" s="87">
        <v>16</v>
      </c>
      <c r="K55" s="87">
        <v>18</v>
      </c>
      <c r="L55" s="88">
        <v>20</v>
      </c>
      <c r="M55" s="87">
        <v>18</v>
      </c>
      <c r="N55" s="87">
        <v>17</v>
      </c>
      <c r="O55" s="87">
        <v>18</v>
      </c>
      <c r="P55" s="87">
        <v>19</v>
      </c>
      <c r="Q55" s="88">
        <v>19</v>
      </c>
      <c r="R55" s="87">
        <v>19</v>
      </c>
      <c r="S55" s="86">
        <v>18</v>
      </c>
      <c r="T55" s="87">
        <v>18</v>
      </c>
      <c r="U55" s="89">
        <v>18</v>
      </c>
      <c r="V55" s="87">
        <v>18</v>
      </c>
      <c r="W55" s="89">
        <v>18</v>
      </c>
      <c r="X55" s="87">
        <v>15</v>
      </c>
      <c r="Y55" s="89">
        <v>16</v>
      </c>
      <c r="Z55" s="87">
        <v>18</v>
      </c>
      <c r="AA55" s="88">
        <v>18</v>
      </c>
      <c r="AB55" s="87">
        <v>18</v>
      </c>
      <c r="AC55" s="89">
        <v>19</v>
      </c>
      <c r="AD55" s="87">
        <v>20</v>
      </c>
      <c r="AE55" s="88">
        <v>20</v>
      </c>
      <c r="AF55" s="87">
        <v>21</v>
      </c>
      <c r="AG55" s="88">
        <v>21</v>
      </c>
      <c r="AH55" s="87">
        <v>22</v>
      </c>
      <c r="AI55" s="89">
        <v>22</v>
      </c>
      <c r="AJ55" s="87">
        <v>22</v>
      </c>
      <c r="AK55" s="88">
        <v>23</v>
      </c>
      <c r="AL55" s="87">
        <v>25</v>
      </c>
      <c r="AM55" s="87">
        <v>30</v>
      </c>
      <c r="AN55" s="87">
        <v>35</v>
      </c>
      <c r="AO55" s="87">
        <v>37</v>
      </c>
      <c r="AP55" s="87">
        <v>37</v>
      </c>
      <c r="AQ55" s="89">
        <v>39</v>
      </c>
      <c r="AR55" s="87">
        <v>40</v>
      </c>
      <c r="AS55" s="88">
        <v>41</v>
      </c>
      <c r="AT55" s="87">
        <v>44</v>
      </c>
      <c r="AU55" s="88">
        <v>46</v>
      </c>
      <c r="AV55" s="87">
        <v>48</v>
      </c>
      <c r="AW55" s="86">
        <v>50</v>
      </c>
      <c r="AX55" s="87">
        <v>53</v>
      </c>
      <c r="AY55" s="89">
        <v>54</v>
      </c>
      <c r="AZ55" s="87">
        <v>56</v>
      </c>
      <c r="BA55" s="89">
        <v>57</v>
      </c>
      <c r="BB55" s="87">
        <v>58</v>
      </c>
      <c r="BC55" s="89">
        <v>59</v>
      </c>
      <c r="BD55" s="87">
        <v>60</v>
      </c>
      <c r="BE55" s="88">
        <v>61</v>
      </c>
      <c r="BF55" s="87">
        <v>63</v>
      </c>
      <c r="BG55" s="88">
        <v>65</v>
      </c>
      <c r="BH55" s="87">
        <v>68</v>
      </c>
      <c r="BI55" s="89">
        <v>72</v>
      </c>
      <c r="BJ55" s="87">
        <v>78</v>
      </c>
      <c r="BK55" s="87">
        <v>90</v>
      </c>
      <c r="BL55" s="87">
        <v>97</v>
      </c>
      <c r="BM55" s="88">
        <v>100</v>
      </c>
      <c r="BN55" s="100">
        <v>119</v>
      </c>
      <c r="BO55" s="88">
        <v>130</v>
      </c>
      <c r="BP55" s="87">
        <v>136</v>
      </c>
      <c r="BQ55" s="88">
        <v>144</v>
      </c>
      <c r="BR55" s="87">
        <v>151</v>
      </c>
      <c r="BS55" s="88">
        <v>158</v>
      </c>
      <c r="BT55" s="87">
        <v>171</v>
      </c>
      <c r="BU55" s="88">
        <v>185</v>
      </c>
      <c r="BV55" s="87">
        <v>201</v>
      </c>
      <c r="BW55" s="88">
        <v>217</v>
      </c>
      <c r="BX55" s="87">
        <v>223</v>
      </c>
      <c r="BY55" s="88">
        <v>234</v>
      </c>
      <c r="BZ55" s="87">
        <v>237</v>
      </c>
      <c r="CA55" s="88">
        <v>243</v>
      </c>
      <c r="CB55" s="87">
        <v>245</v>
      </c>
      <c r="CC55" s="89">
        <v>252</v>
      </c>
      <c r="CD55" s="91">
        <v>250.75</v>
      </c>
      <c r="CE55" s="88">
        <v>254</v>
      </c>
      <c r="CF55" s="88">
        <v>269</v>
      </c>
      <c r="CG55" s="88">
        <v>265.5</v>
      </c>
      <c r="CH55" s="87">
        <v>270</v>
      </c>
      <c r="CI55" s="89">
        <v>281</v>
      </c>
      <c r="CJ55" s="91">
        <v>278.75</v>
      </c>
      <c r="CK55" s="88">
        <v>283</v>
      </c>
      <c r="CL55" s="89">
        <v>291</v>
      </c>
      <c r="CM55" s="91">
        <v>289.25</v>
      </c>
      <c r="CN55" s="88">
        <v>292</v>
      </c>
      <c r="CO55" s="88">
        <v>297</v>
      </c>
      <c r="CP55" s="88">
        <v>297.25</v>
      </c>
      <c r="CQ55" s="87">
        <v>303</v>
      </c>
      <c r="CR55" s="89">
        <v>310</v>
      </c>
      <c r="CS55" s="91">
        <v>309</v>
      </c>
      <c r="CT55" s="91">
        <v>313</v>
      </c>
      <c r="CU55" s="91">
        <v>320</v>
      </c>
      <c r="CV55" s="91">
        <v>319</v>
      </c>
      <c r="CW55" s="91">
        <v>323</v>
      </c>
      <c r="CX55" s="91">
        <v>319</v>
      </c>
      <c r="CY55" s="91">
        <v>321</v>
      </c>
      <c r="CZ55" s="91">
        <v>323</v>
      </c>
      <c r="DA55" s="91">
        <v>327</v>
      </c>
      <c r="DB55" s="91">
        <v>328</v>
      </c>
      <c r="DC55" s="91">
        <v>335</v>
      </c>
      <c r="DD55" s="91">
        <v>336</v>
      </c>
      <c r="DE55" s="91">
        <v>337</v>
      </c>
      <c r="DF55" s="91">
        <v>341</v>
      </c>
      <c r="DG55" s="91">
        <v>344</v>
      </c>
      <c r="DH55" s="91">
        <f>(DF55+DG55*2+DI55)/4</f>
        <v>343.75</v>
      </c>
      <c r="DI55" s="91">
        <v>346</v>
      </c>
      <c r="DJ55" s="101">
        <v>347</v>
      </c>
      <c r="DK55" s="91">
        <f>(DI55+DJ55*2+DL55)/4</f>
        <v>349</v>
      </c>
      <c r="DL55" s="91">
        <v>356</v>
      </c>
      <c r="DM55" s="91">
        <v>363</v>
      </c>
      <c r="DN55" s="91">
        <f>(DL55+DM55*2+DO55)/4</f>
        <v>362.75</v>
      </c>
      <c r="DO55" s="91">
        <v>369</v>
      </c>
      <c r="DP55" s="91">
        <v>379</v>
      </c>
      <c r="DQ55" s="91">
        <f>(DO55+DP55*2+DR55)/4</f>
        <v>377.75</v>
      </c>
      <c r="DR55" s="91">
        <v>384</v>
      </c>
      <c r="DS55" s="91">
        <v>400</v>
      </c>
      <c r="DT55" s="91">
        <f>(DR55+DS55*2+DU55)/4</f>
        <v>397.5</v>
      </c>
      <c r="DU55" s="91">
        <v>406</v>
      </c>
      <c r="DV55" s="91">
        <v>404</v>
      </c>
      <c r="DW55" s="91">
        <f>(DU55+DV55*2+DX55)/4</f>
        <v>407.75</v>
      </c>
      <c r="DX55" s="91">
        <v>417</v>
      </c>
      <c r="DY55" s="91">
        <v>415</v>
      </c>
      <c r="DZ55" s="91">
        <f>(DX55+DY55*2+EA55)/4</f>
        <v>421.25</v>
      </c>
      <c r="EA55" s="101">
        <v>438</v>
      </c>
      <c r="EB55" s="91">
        <v>438</v>
      </c>
      <c r="EC55" s="91">
        <f>(EA55+EB55*2+ED55)/4</f>
        <v>445.5</v>
      </c>
      <c r="ED55" s="102">
        <v>468</v>
      </c>
      <c r="EE55" s="102">
        <v>470</v>
      </c>
      <c r="EF55" s="91">
        <f>(ED55+EE55*2+EG55)/4</f>
        <v>477</v>
      </c>
      <c r="EG55" s="102">
        <v>500</v>
      </c>
      <c r="EH55" s="102">
        <v>501.05671986579421</v>
      </c>
      <c r="EI55" s="91">
        <f>(EG55+EH55*2+EJ55)/4</f>
        <v>508.0283599328971</v>
      </c>
      <c r="EJ55" s="102">
        <v>530</v>
      </c>
      <c r="EK55" s="102">
        <v>543</v>
      </c>
      <c r="EL55" s="91">
        <f>(EJ55+EK55*2+EM55)/4</f>
        <v>551.25</v>
      </c>
      <c r="EM55" s="102">
        <v>589</v>
      </c>
      <c r="EN55" s="102">
        <v>590</v>
      </c>
      <c r="EO55" s="91">
        <f>(EM55+EN55*2+EP55)/4</f>
        <v>595.5</v>
      </c>
      <c r="EP55" s="102">
        <v>613</v>
      </c>
      <c r="EQ55" s="103">
        <v>614</v>
      </c>
      <c r="ER55" s="91">
        <f>(EP55+EQ55*2+ES55)/4</f>
        <v>615.25</v>
      </c>
      <c r="ES55" s="54">
        <v>620</v>
      </c>
      <c r="ET55" s="54">
        <v>620</v>
      </c>
      <c r="EU55" s="91">
        <f>(ES55+ET55*2+EV55)/4</f>
        <v>625.25</v>
      </c>
      <c r="EV55" s="54">
        <v>641</v>
      </c>
      <c r="EW55" s="54">
        <v>666</v>
      </c>
      <c r="EX55" s="91">
        <f>(EV55+EW55*2+EY55)/4</f>
        <v>662.5</v>
      </c>
      <c r="EY55" s="54">
        <v>677</v>
      </c>
      <c r="EZ55" s="54">
        <v>680</v>
      </c>
      <c r="FA55" s="91">
        <f>(EY55+EZ55*2+FB55)/4</f>
        <v>687.5</v>
      </c>
      <c r="FB55" s="54">
        <v>713</v>
      </c>
      <c r="FC55" s="54">
        <v>728</v>
      </c>
      <c r="FD55" s="91">
        <f>(FB55+FC55*2+FE55)/4</f>
        <v>724</v>
      </c>
      <c r="FE55" s="54">
        <v>727</v>
      </c>
      <c r="FF55" s="54">
        <v>728</v>
      </c>
      <c r="FG55" s="91">
        <f>(FE55+FF55*2+FH55)/4</f>
        <v>729.5</v>
      </c>
      <c r="FH55" s="54">
        <v>735</v>
      </c>
      <c r="FI55" s="54">
        <v>738</v>
      </c>
      <c r="FJ55" s="91">
        <f>(FH55+FI55*2+FK55)/4</f>
        <v>745.75</v>
      </c>
      <c r="FK55" s="54">
        <v>772</v>
      </c>
      <c r="FL55" s="54">
        <v>772</v>
      </c>
      <c r="FM55" s="91">
        <f>(FK55+FL55*2+FN55)/4</f>
        <v>779.25</v>
      </c>
      <c r="FN55" s="54">
        <v>801</v>
      </c>
      <c r="FO55" s="54">
        <v>808</v>
      </c>
      <c r="FP55" s="87">
        <f>(FN55+FO55*2+FQ55)/4</f>
        <v>810.5</v>
      </c>
      <c r="FQ55" s="54">
        <v>825</v>
      </c>
      <c r="FR55" s="54">
        <v>834</v>
      </c>
      <c r="FS55" s="91">
        <f>(FQ55+FR55*2+FT55)/4</f>
        <v>840.25</v>
      </c>
      <c r="FT55" s="54">
        <v>868</v>
      </c>
      <c r="FU55" s="54">
        <v>866</v>
      </c>
      <c r="FV55" s="91">
        <f>(FT55+FU55*2+FW55)/4</f>
        <v>875</v>
      </c>
      <c r="FW55" s="54">
        <v>900</v>
      </c>
      <c r="FX55" s="54">
        <v>920</v>
      </c>
      <c r="FY55" s="91">
        <f>(FW55+FX55*2+FZ55)/4</f>
        <v>932</v>
      </c>
      <c r="FZ55" s="54">
        <v>988</v>
      </c>
      <c r="GA55" s="54">
        <v>1023</v>
      </c>
      <c r="GB55" s="91">
        <f t="shared" si="31"/>
        <v>1031</v>
      </c>
      <c r="GC55" s="54">
        <v>1090</v>
      </c>
      <c r="GD55" s="54"/>
      <c r="GE55" s="133">
        <f>GC55</f>
        <v>1090</v>
      </c>
      <c r="GF55" s="54"/>
      <c r="GG55" s="104"/>
      <c r="GH55" s="97">
        <f t="shared" si="2"/>
        <v>0</v>
      </c>
      <c r="GI55" s="105"/>
      <c r="GJ55" s="105"/>
      <c r="GK55" s="97">
        <f t="shared" si="4"/>
        <v>0</v>
      </c>
      <c r="GL55" s="105"/>
      <c r="GM55" s="105"/>
      <c r="GN55" s="97">
        <f t="shared" si="5"/>
        <v>0</v>
      </c>
      <c r="GO55" s="105"/>
      <c r="GP55" s="105"/>
      <c r="GQ55" s="97">
        <f t="shared" si="6"/>
        <v>0</v>
      </c>
      <c r="GR55" s="105"/>
      <c r="GS55" s="105"/>
    </row>
    <row r="56" spans="1:201" ht="10.5" customHeight="1" x14ac:dyDescent="0.3">
      <c r="A56" s="99">
        <f t="shared" si="3"/>
        <v>49</v>
      </c>
      <c r="B56" s="56"/>
      <c r="C56" s="86"/>
      <c r="D56" s="87"/>
      <c r="E56" s="87"/>
      <c r="F56" s="87"/>
      <c r="G56" s="88"/>
      <c r="H56" s="87"/>
      <c r="I56" s="87"/>
      <c r="J56" s="87"/>
      <c r="K56" s="87"/>
      <c r="L56" s="88"/>
      <c r="M56" s="87"/>
      <c r="N56" s="87"/>
      <c r="O56" s="87"/>
      <c r="P56" s="87"/>
      <c r="Q56" s="88"/>
      <c r="R56" s="87"/>
      <c r="S56" s="86"/>
      <c r="T56" s="87"/>
      <c r="U56" s="89"/>
      <c r="V56" s="87"/>
      <c r="W56" s="89"/>
      <c r="X56" s="87"/>
      <c r="Y56" s="89"/>
      <c r="Z56" s="87"/>
      <c r="AA56" s="88"/>
      <c r="AB56" s="87"/>
      <c r="AC56" s="89"/>
      <c r="AD56" s="87"/>
      <c r="AE56" s="88"/>
      <c r="AF56" s="87"/>
      <c r="AG56" s="88"/>
      <c r="AH56" s="87"/>
      <c r="AI56" s="89"/>
      <c r="AJ56" s="87"/>
      <c r="AK56" s="88"/>
      <c r="AL56" s="87"/>
      <c r="AM56" s="87"/>
      <c r="AN56" s="87"/>
      <c r="AO56" s="87"/>
      <c r="AP56" s="87"/>
      <c r="AQ56" s="89"/>
      <c r="AR56" s="87"/>
      <c r="AS56" s="88"/>
      <c r="AT56" s="87"/>
      <c r="AU56" s="88"/>
      <c r="AV56" s="87"/>
      <c r="AW56" s="86"/>
      <c r="AX56" s="87"/>
      <c r="AY56" s="89"/>
      <c r="AZ56" s="87"/>
      <c r="BA56" s="89"/>
      <c r="BB56" s="87"/>
      <c r="BC56" s="89"/>
      <c r="BD56" s="87"/>
      <c r="BE56" s="88"/>
      <c r="BF56" s="87"/>
      <c r="BG56" s="88"/>
      <c r="BH56" s="87"/>
      <c r="BI56" s="89"/>
      <c r="BJ56" s="87"/>
      <c r="BK56" s="87"/>
      <c r="BL56" s="87"/>
      <c r="BM56" s="88"/>
      <c r="BN56" s="87"/>
      <c r="BO56" s="88"/>
      <c r="BP56" s="87"/>
      <c r="BQ56" s="88"/>
      <c r="BR56" s="87"/>
      <c r="BS56" s="88"/>
      <c r="BT56" s="87"/>
      <c r="BU56" s="88"/>
      <c r="BV56" s="87"/>
      <c r="BW56" s="88"/>
      <c r="BX56" s="87"/>
      <c r="BY56" s="88"/>
      <c r="BZ56" s="87"/>
      <c r="CA56" s="88"/>
      <c r="CB56" s="87"/>
      <c r="CC56" s="89"/>
      <c r="CD56" s="91"/>
      <c r="CE56" s="88"/>
      <c r="CF56" s="88"/>
      <c r="CG56" s="88"/>
      <c r="CH56" s="87"/>
      <c r="CI56" s="89"/>
      <c r="CJ56" s="91"/>
      <c r="CK56" s="88"/>
      <c r="CL56" s="89"/>
      <c r="CM56" s="91"/>
      <c r="CN56" s="88"/>
      <c r="CO56" s="88"/>
      <c r="CP56" s="88"/>
      <c r="CQ56" s="87"/>
      <c r="CR56" s="89"/>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102"/>
      <c r="EE56" s="102"/>
      <c r="EF56" s="91"/>
      <c r="EG56" s="102"/>
      <c r="EH56" s="102"/>
      <c r="EI56" s="91"/>
      <c r="EJ56" s="102"/>
      <c r="EK56" s="102"/>
      <c r="EL56" s="91"/>
      <c r="EM56" s="102"/>
      <c r="EN56" s="102"/>
      <c r="EO56" s="91"/>
      <c r="EP56" s="102"/>
      <c r="EQ56" s="103"/>
      <c r="ER56" s="91"/>
      <c r="ES56" s="54"/>
      <c r="ET56" s="54"/>
      <c r="EU56" s="91"/>
      <c r="EV56" s="54"/>
      <c r="EW56" s="54"/>
      <c r="EX56" s="91"/>
      <c r="EY56" s="54"/>
      <c r="EZ56" s="54"/>
      <c r="FA56" s="91"/>
      <c r="FB56" s="54"/>
      <c r="FC56" s="54"/>
      <c r="FD56" s="91"/>
      <c r="FE56" s="54"/>
      <c r="FF56" s="54"/>
      <c r="FG56" s="91"/>
      <c r="FH56" s="54"/>
      <c r="FI56" s="54"/>
      <c r="FJ56" s="91"/>
      <c r="FK56" s="54"/>
      <c r="FL56" s="54"/>
      <c r="FM56" s="91"/>
      <c r="FN56" s="54"/>
      <c r="FO56" s="54"/>
      <c r="FP56" s="87"/>
      <c r="FQ56" s="54"/>
      <c r="FR56" s="54"/>
      <c r="FS56" s="91"/>
      <c r="FT56" s="54"/>
      <c r="FU56" s="54"/>
      <c r="FV56" s="91"/>
      <c r="FW56" s="54"/>
      <c r="FX56" s="54"/>
      <c r="FY56" s="91"/>
      <c r="FZ56" s="54"/>
      <c r="GA56" s="54"/>
      <c r="GB56" s="91"/>
      <c r="GC56" s="54"/>
      <c r="GD56" s="54"/>
      <c r="GE56" s="91"/>
      <c r="GF56" s="54"/>
      <c r="GG56" s="104"/>
      <c r="GH56" s="97">
        <f t="shared" si="2"/>
        <v>0</v>
      </c>
      <c r="GI56" s="105"/>
      <c r="GJ56" s="105"/>
      <c r="GK56" s="97">
        <f t="shared" si="4"/>
        <v>0</v>
      </c>
      <c r="GL56" s="105"/>
      <c r="GM56" s="105"/>
      <c r="GN56" s="97">
        <f t="shared" si="5"/>
        <v>0</v>
      </c>
      <c r="GO56" s="105"/>
      <c r="GP56" s="105"/>
      <c r="GQ56" s="97">
        <f t="shared" si="6"/>
        <v>0</v>
      </c>
      <c r="GR56" s="105"/>
      <c r="GS56" s="105"/>
    </row>
    <row r="57" spans="1:201" ht="10.5" customHeight="1" x14ac:dyDescent="0.3">
      <c r="A57" s="99">
        <f t="shared" si="3"/>
        <v>50</v>
      </c>
      <c r="B57" s="56"/>
      <c r="C57" s="86"/>
      <c r="D57" s="87"/>
      <c r="E57" s="87"/>
      <c r="F57" s="87"/>
      <c r="G57" s="88"/>
      <c r="H57" s="87"/>
      <c r="I57" s="87"/>
      <c r="J57" s="87"/>
      <c r="K57" s="87"/>
      <c r="L57" s="88"/>
      <c r="M57" s="87"/>
      <c r="N57" s="87"/>
      <c r="O57" s="87"/>
      <c r="P57" s="87"/>
      <c r="Q57" s="88"/>
      <c r="R57" s="87"/>
      <c r="S57" s="86"/>
      <c r="T57" s="87"/>
      <c r="U57" s="89"/>
      <c r="V57" s="87"/>
      <c r="W57" s="89"/>
      <c r="X57" s="87"/>
      <c r="Y57" s="89"/>
      <c r="Z57" s="87"/>
      <c r="AA57" s="88"/>
      <c r="AB57" s="87"/>
      <c r="AC57" s="89"/>
      <c r="AD57" s="87"/>
      <c r="AE57" s="88"/>
      <c r="AF57" s="87"/>
      <c r="AG57" s="88"/>
      <c r="AH57" s="87"/>
      <c r="AI57" s="89"/>
      <c r="AJ57" s="87"/>
      <c r="AK57" s="88"/>
      <c r="AL57" s="87"/>
      <c r="AM57" s="87"/>
      <c r="AN57" s="87"/>
      <c r="AO57" s="87"/>
      <c r="AP57" s="87"/>
      <c r="AQ57" s="89"/>
      <c r="AR57" s="87"/>
      <c r="AS57" s="88"/>
      <c r="AT57" s="87"/>
      <c r="AU57" s="88"/>
      <c r="AV57" s="87"/>
      <c r="AW57" s="86"/>
      <c r="AX57" s="87"/>
      <c r="AY57" s="89"/>
      <c r="AZ57" s="87"/>
      <c r="BA57" s="89"/>
      <c r="BB57" s="87"/>
      <c r="BC57" s="89"/>
      <c r="BD57" s="87"/>
      <c r="BE57" s="88"/>
      <c r="BF57" s="87"/>
      <c r="BG57" s="88"/>
      <c r="BH57" s="87"/>
      <c r="BI57" s="89"/>
      <c r="BJ57" s="87"/>
      <c r="BK57" s="87"/>
      <c r="BL57" s="87"/>
      <c r="BM57" s="88"/>
      <c r="BN57" s="87"/>
      <c r="BO57" s="88"/>
      <c r="BP57" s="87"/>
      <c r="BQ57" s="88"/>
      <c r="BR57" s="87"/>
      <c r="BS57" s="88"/>
      <c r="BT57" s="87"/>
      <c r="BU57" s="88"/>
      <c r="BV57" s="87"/>
      <c r="BW57" s="88"/>
      <c r="BX57" s="87"/>
      <c r="BY57" s="88"/>
      <c r="BZ57" s="87"/>
      <c r="CA57" s="88"/>
      <c r="CB57" s="87"/>
      <c r="CC57" s="89"/>
      <c r="CD57" s="91"/>
      <c r="CE57" s="88"/>
      <c r="CF57" s="88"/>
      <c r="CG57" s="88"/>
      <c r="CH57" s="87"/>
      <c r="CI57" s="89"/>
      <c r="CJ57" s="91"/>
      <c r="CK57" s="88"/>
      <c r="CL57" s="89"/>
      <c r="CM57" s="91"/>
      <c r="CN57" s="88"/>
      <c r="CO57" s="88"/>
      <c r="CP57" s="88"/>
      <c r="CQ57" s="87"/>
      <c r="CR57" s="89"/>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102"/>
      <c r="EE57" s="102"/>
      <c r="EF57" s="91"/>
      <c r="EG57" s="102"/>
      <c r="EH57" s="102"/>
      <c r="EI57" s="91"/>
      <c r="EJ57" s="102"/>
      <c r="EK57" s="102"/>
      <c r="EL57" s="91"/>
      <c r="EM57" s="102"/>
      <c r="EN57" s="102"/>
      <c r="EO57" s="91"/>
      <c r="EP57" s="102"/>
      <c r="EQ57" s="103"/>
      <c r="ER57" s="91"/>
      <c r="ES57" s="54"/>
      <c r="ET57" s="54"/>
      <c r="EU57" s="91"/>
      <c r="EV57" s="54"/>
      <c r="EW57" s="54"/>
      <c r="EX57" s="91"/>
      <c r="EY57" s="54"/>
      <c r="EZ57" s="54"/>
      <c r="FA57" s="91"/>
      <c r="FB57" s="54"/>
      <c r="FC57" s="54"/>
      <c r="FD57" s="91"/>
      <c r="FE57" s="54"/>
      <c r="FF57" s="54"/>
      <c r="FG57" s="91"/>
      <c r="FH57" s="54"/>
      <c r="FI57" s="54"/>
      <c r="FJ57" s="91"/>
      <c r="FK57" s="54"/>
      <c r="FL57" s="54"/>
      <c r="FM57" s="91"/>
      <c r="FN57" s="54"/>
      <c r="FO57" s="54"/>
      <c r="FP57" s="87"/>
      <c r="FQ57" s="54"/>
      <c r="FR57" s="54"/>
      <c r="FS57" s="91"/>
      <c r="FT57" s="54"/>
      <c r="FU57" s="54"/>
      <c r="FV57" s="91"/>
      <c r="FW57" s="54"/>
      <c r="FX57" s="54"/>
      <c r="FY57" s="91"/>
      <c r="FZ57" s="54"/>
      <c r="GA57" s="54"/>
      <c r="GB57" s="91"/>
      <c r="GC57" s="54"/>
      <c r="GD57" s="54"/>
      <c r="GE57" s="91"/>
      <c r="GF57" s="54"/>
      <c r="GG57" s="104"/>
      <c r="GH57" s="97">
        <f t="shared" si="2"/>
        <v>0</v>
      </c>
      <c r="GI57" s="105"/>
      <c r="GJ57" s="105"/>
      <c r="GK57" s="97">
        <f t="shared" si="4"/>
        <v>0</v>
      </c>
      <c r="GL57" s="105"/>
      <c r="GM57" s="105"/>
      <c r="GN57" s="97">
        <f t="shared" si="5"/>
        <v>0</v>
      </c>
      <c r="GO57" s="105"/>
      <c r="GP57" s="105"/>
      <c r="GQ57" s="97">
        <f t="shared" si="6"/>
        <v>0</v>
      </c>
      <c r="GR57" s="105"/>
      <c r="GS57" s="105"/>
    </row>
    <row r="58" spans="1:201" ht="10.5" customHeight="1" x14ac:dyDescent="0.3">
      <c r="A58" s="99">
        <f t="shared" si="3"/>
        <v>51</v>
      </c>
      <c r="B58" s="139" t="s">
        <v>701</v>
      </c>
      <c r="C58" s="86"/>
      <c r="D58" s="87" t="str">
        <f>IFERROR(VLOOKUP(D$7,'WP PPI-Electrical'!$F$13:$G$32,2,FALSE),"-")</f>
        <v>-</v>
      </c>
      <c r="E58" s="87" t="str">
        <f>IFERROR(VLOOKUP(E$7,'WP PPI-Electrical'!$F$13:$G$32,2,FALSE),"-")</f>
        <v>-</v>
      </c>
      <c r="F58" s="87" t="str">
        <f>IFERROR(VLOOKUP(F$7,'WP PPI-Electrical'!$F$13:$G$32,2,FALSE),"-")</f>
        <v>-</v>
      </c>
      <c r="G58" s="87" t="str">
        <f>IFERROR(VLOOKUP(G$7,'WP PPI-Electrical'!$F$13:$G$32,2,FALSE),"-")</f>
        <v>-</v>
      </c>
      <c r="H58" s="87" t="str">
        <f>IFERROR(VLOOKUP(H$7,'WP PPI-Electrical'!$F$13:$G$32,2,FALSE),"-")</f>
        <v>-</v>
      </c>
      <c r="I58" s="87" t="str">
        <f>IFERROR(VLOOKUP(I$7,'WP PPI-Electrical'!$F$13:$G$32,2,FALSE),"-")</f>
        <v>-</v>
      </c>
      <c r="J58" s="87" t="str">
        <f>IFERROR(VLOOKUP(J$7,'WP PPI-Electrical'!$F$13:$G$32,2,FALSE),"-")</f>
        <v>-</v>
      </c>
      <c r="K58" s="87" t="str">
        <f>IFERROR(VLOOKUP(K$7,'WP PPI-Electrical'!$F$13:$G$32,2,FALSE),"-")</f>
        <v>-</v>
      </c>
      <c r="L58" s="87" t="str">
        <f>IFERROR(VLOOKUP(L$7,'WP PPI-Electrical'!$F$13:$G$32,2,FALSE),"-")</f>
        <v>-</v>
      </c>
      <c r="M58" s="87" t="str">
        <f>IFERROR(VLOOKUP(M$7,'WP PPI-Electrical'!$F$13:$G$32,2,FALSE),"-")</f>
        <v>-</v>
      </c>
      <c r="N58" s="87" t="str">
        <f>IFERROR(VLOOKUP(N$7,'WP PPI-Electrical'!$F$13:$G$32,2,FALSE),"-")</f>
        <v>-</v>
      </c>
      <c r="O58" s="87" t="str">
        <f>IFERROR(VLOOKUP(O$7,'WP PPI-Electrical'!$F$13:$G$32,2,FALSE),"-")</f>
        <v>-</v>
      </c>
      <c r="P58" s="87" t="str">
        <f>IFERROR(VLOOKUP(P$7,'WP PPI-Electrical'!$F$13:$G$32,2,FALSE),"-")</f>
        <v>-</v>
      </c>
      <c r="Q58" s="87" t="str">
        <f>IFERROR(VLOOKUP(Q$7,'WP PPI-Electrical'!$F$13:$G$32,2,FALSE),"-")</f>
        <v>-</v>
      </c>
      <c r="R58" s="87" t="str">
        <f>IFERROR(VLOOKUP(R$7,'WP PPI-Electrical'!$F$13:$G$32,2,FALSE),"-")</f>
        <v>-</v>
      </c>
      <c r="S58" s="87" t="str">
        <f>IFERROR(VLOOKUP(S$7,'WP PPI-Electrical'!$F$13:$G$32,2,FALSE),"-")</f>
        <v>-</v>
      </c>
      <c r="T58" s="87" t="str">
        <f>IFERROR(VLOOKUP(T$7,'WP PPI-Electrical'!$F$13:$G$32,2,FALSE),"-")</f>
        <v>-</v>
      </c>
      <c r="U58" s="87" t="str">
        <f>IFERROR(VLOOKUP(U$7,'WP PPI-Electrical'!$F$13:$G$32,2,FALSE),"-")</f>
        <v>-</v>
      </c>
      <c r="V58" s="87" t="str">
        <f>IFERROR(VLOOKUP(V$7,'WP PPI-Electrical'!$F$13:$G$32,2,FALSE),"-")</f>
        <v>-</v>
      </c>
      <c r="W58" s="87" t="str">
        <f>IFERROR(VLOOKUP(W$7,'WP PPI-Electrical'!$F$13:$G$32,2,FALSE),"-")</f>
        <v>-</v>
      </c>
      <c r="X58" s="87" t="str">
        <f>IFERROR(VLOOKUP(X$7,'WP PPI-Electrical'!$F$13:$G$32,2,FALSE),"-")</f>
        <v>-</v>
      </c>
      <c r="Y58" s="87" t="str">
        <f>IFERROR(VLOOKUP(Y$7,'WP PPI-Electrical'!$F$13:$G$32,2,FALSE),"-")</f>
        <v>-</v>
      </c>
      <c r="Z58" s="87" t="str">
        <f>IFERROR(VLOOKUP(Z$7,'WP PPI-Electrical'!$F$13:$G$32,2,FALSE),"-")</f>
        <v>-</v>
      </c>
      <c r="AA58" s="87" t="str">
        <f>IFERROR(VLOOKUP(AA$7,'WP PPI-Electrical'!$F$13:$G$32,2,FALSE),"-")</f>
        <v>-</v>
      </c>
      <c r="AB58" s="87" t="str">
        <f>IFERROR(VLOOKUP(AB$7,'WP PPI-Electrical'!$F$13:$G$32,2,FALSE),"-")</f>
        <v>-</v>
      </c>
      <c r="AC58" s="87" t="str">
        <f>IFERROR(VLOOKUP(AC$7,'WP PPI-Electrical'!$F$13:$G$32,2,FALSE),"-")</f>
        <v>-</v>
      </c>
      <c r="AD58" s="87" t="str">
        <f>IFERROR(VLOOKUP(AD$7,'WP PPI-Electrical'!$F$13:$G$32,2,FALSE),"-")</f>
        <v>-</v>
      </c>
      <c r="AE58" s="87" t="str">
        <f>IFERROR(VLOOKUP(AE$7,'WP PPI-Electrical'!$F$13:$G$32,2,FALSE),"-")</f>
        <v>-</v>
      </c>
      <c r="AF58" s="87" t="str">
        <f>IFERROR(VLOOKUP(AF$7,'WP PPI-Electrical'!$F$13:$G$32,2,FALSE),"-")</f>
        <v>-</v>
      </c>
      <c r="AG58" s="87" t="str">
        <f>IFERROR(VLOOKUP(AG$7,'WP PPI-Electrical'!$F$13:$G$32,2,FALSE),"-")</f>
        <v>-</v>
      </c>
      <c r="AH58" s="87" t="str">
        <f>IFERROR(VLOOKUP(AH$7,'WP PPI-Electrical'!$F$13:$G$32,2,FALSE),"-")</f>
        <v>-</v>
      </c>
      <c r="AI58" s="87" t="str">
        <f>IFERROR(VLOOKUP(AI$7,'WP PPI-Electrical'!$F$13:$G$32,2,FALSE),"-")</f>
        <v>-</v>
      </c>
      <c r="AJ58" s="87" t="str">
        <f>IFERROR(VLOOKUP(AJ$7,'WP PPI-Electrical'!$F$13:$G$32,2,FALSE),"-")</f>
        <v>-</v>
      </c>
      <c r="AK58" s="87" t="str">
        <f>IFERROR(VLOOKUP(AK$7,'WP PPI-Electrical'!$F$13:$G$32,2,FALSE),"-")</f>
        <v>-</v>
      </c>
      <c r="AL58" s="87" t="str">
        <f>IFERROR(VLOOKUP(AL$7,'WP PPI-Electrical'!$F$13:$G$32,2,FALSE),"-")</f>
        <v>-</v>
      </c>
      <c r="AM58" s="87" t="str">
        <f>IFERROR(VLOOKUP(AM$7,'WP PPI-Electrical'!$F$13:$G$32,2,FALSE),"-")</f>
        <v>-</v>
      </c>
      <c r="AN58" s="87" t="str">
        <f>IFERROR(VLOOKUP(AN$7,'WP PPI-Electrical'!$F$13:$G$32,2,FALSE),"-")</f>
        <v>-</v>
      </c>
      <c r="AO58" s="87" t="str">
        <f>IFERROR(VLOOKUP(AO$7,'WP PPI-Electrical'!$F$13:$G$32,2,FALSE),"-")</f>
        <v>-</v>
      </c>
      <c r="AP58" s="87" t="str">
        <f>IFERROR(VLOOKUP(AP$7,'WP PPI-Electrical'!$F$13:$G$32,2,FALSE),"-")</f>
        <v>-</v>
      </c>
      <c r="AQ58" s="87" t="str">
        <f>IFERROR(VLOOKUP(AQ$7,'WP PPI-Electrical'!$F$13:$G$32,2,FALSE),"-")</f>
        <v>-</v>
      </c>
      <c r="AR58" s="87" t="str">
        <f>IFERROR(VLOOKUP(AR$7,'WP PPI-Electrical'!$F$13:$G$32,2,FALSE),"-")</f>
        <v>-</v>
      </c>
      <c r="AS58" s="87" t="str">
        <f>IFERROR(VLOOKUP(AS$7,'WP PPI-Electrical'!$F$13:$G$32,2,FALSE),"-")</f>
        <v>-</v>
      </c>
      <c r="AT58" s="87" t="str">
        <f>IFERROR(VLOOKUP(AT$7,'WP PPI-Electrical'!$F$13:$G$32,2,FALSE),"-")</f>
        <v>-</v>
      </c>
      <c r="AU58" s="87" t="str">
        <f>IFERROR(VLOOKUP(AU$7,'WP PPI-Electrical'!$F$13:$G$32,2,FALSE),"-")</f>
        <v>-</v>
      </c>
      <c r="AV58" s="87" t="str">
        <f>IFERROR(VLOOKUP(AV$7,'WP PPI-Electrical'!$F$13:$G$32,2,FALSE),"-")</f>
        <v>-</v>
      </c>
      <c r="AW58" s="87" t="str">
        <f>IFERROR(VLOOKUP(AW$7,'WP PPI-Electrical'!$F$13:$G$32,2,FALSE),"-")</f>
        <v>-</v>
      </c>
      <c r="AX58" s="87" t="str">
        <f>IFERROR(VLOOKUP(AX$7,'WP PPI-Electrical'!$F$13:$G$32,2,FALSE),"-")</f>
        <v>-</v>
      </c>
      <c r="AY58" s="87" t="str">
        <f>IFERROR(VLOOKUP(AY$7,'WP PPI-Electrical'!$F$13:$G$32,2,FALSE),"-")</f>
        <v>-</v>
      </c>
      <c r="AZ58" s="87" t="str">
        <f>IFERROR(VLOOKUP(AZ$7,'WP PPI-Electrical'!$F$13:$G$32,2,FALSE),"-")</f>
        <v>-</v>
      </c>
      <c r="BA58" s="87" t="str">
        <f>IFERROR(VLOOKUP(BA$7,'WP PPI-Electrical'!$F$13:$G$32,2,FALSE),"-")</f>
        <v>-</v>
      </c>
      <c r="BB58" s="87" t="str">
        <f>IFERROR(VLOOKUP(BB$7,'WP PPI-Electrical'!$F$13:$G$32,2,FALSE),"-")</f>
        <v>-</v>
      </c>
      <c r="BC58" s="87" t="str">
        <f>IFERROR(VLOOKUP(BC$7,'WP PPI-Electrical'!$F$13:$G$32,2,FALSE),"-")</f>
        <v>-</v>
      </c>
      <c r="BD58" s="87" t="str">
        <f>IFERROR(VLOOKUP(BD$7,'WP PPI-Electrical'!$F$13:$G$32,2,FALSE),"-")</f>
        <v>-</v>
      </c>
      <c r="BE58" s="87" t="str">
        <f>IFERROR(VLOOKUP(BE$7,'WP PPI-Electrical'!$F$13:$G$32,2,FALSE),"-")</f>
        <v>-</v>
      </c>
      <c r="BF58" s="87" t="str">
        <f>IFERROR(VLOOKUP(BF$7,'WP PPI-Electrical'!$F$13:$G$32,2,FALSE),"-")</f>
        <v>-</v>
      </c>
      <c r="BG58" s="87" t="str">
        <f>IFERROR(VLOOKUP(BG$7,'WP PPI-Electrical'!$F$13:$G$32,2,FALSE),"-")</f>
        <v>-</v>
      </c>
      <c r="BH58" s="87" t="str">
        <f>IFERROR(VLOOKUP(BH$7,'WP PPI-Electrical'!$F$13:$G$32,2,FALSE),"-")</f>
        <v>-</v>
      </c>
      <c r="BI58" s="87" t="str">
        <f>IFERROR(VLOOKUP(BI$7,'WP PPI-Electrical'!$F$13:$G$32,2,FALSE),"-")</f>
        <v>-</v>
      </c>
      <c r="BJ58" s="87" t="str">
        <f>IFERROR(VLOOKUP(BJ$7,'WP PPI-Electrical'!$F$13:$G$32,2,FALSE),"-")</f>
        <v>-</v>
      </c>
      <c r="BK58" s="87" t="str">
        <f>IFERROR(VLOOKUP(BK$7,'WP PPI-Electrical'!$F$13:$G$32,2,FALSE),"-")</f>
        <v>-</v>
      </c>
      <c r="BL58" s="87" t="str">
        <f>IFERROR(VLOOKUP(BL$7,'WP PPI-Electrical'!$F$13:$G$32,2,FALSE),"-")</f>
        <v>-</v>
      </c>
      <c r="BM58" s="87" t="str">
        <f>IFERROR(VLOOKUP(BM$7,'WP PPI-Electrical'!$F$13:$G$32,2,FALSE),"-")</f>
        <v>-</v>
      </c>
      <c r="BN58" s="87" t="str">
        <f>IFERROR(VLOOKUP(BN$7,'WP PPI-Electrical'!$F$13:$G$32,2,FALSE),"-")</f>
        <v>-</v>
      </c>
      <c r="BO58" s="87" t="str">
        <f>IFERROR(VLOOKUP(BO$7,'WP PPI-Electrical'!$F$13:$G$32,2,FALSE),"-")</f>
        <v>-</v>
      </c>
      <c r="BP58" s="87" t="str">
        <f>IFERROR(VLOOKUP(BP$7,'WP PPI-Electrical'!$F$13:$G$32,2,FALSE),"-")</f>
        <v>-</v>
      </c>
      <c r="BQ58" s="87" t="str">
        <f>IFERROR(VLOOKUP(BQ$7,'WP PPI-Electrical'!$F$13:$G$32,2,FALSE),"-")</f>
        <v>-</v>
      </c>
      <c r="BR58" s="87" t="str">
        <f>IFERROR(VLOOKUP(BR$7,'WP PPI-Electrical'!$F$13:$G$32,2,FALSE),"-")</f>
        <v>-</v>
      </c>
      <c r="BS58" s="87" t="str">
        <f>IFERROR(VLOOKUP(BS$7,'WP PPI-Electrical'!$F$13:$G$32,2,FALSE),"-")</f>
        <v>-</v>
      </c>
      <c r="BT58" s="87" t="str">
        <f>IFERROR(VLOOKUP(BT$7,'WP PPI-Electrical'!$F$13:$G$32,2,FALSE),"-")</f>
        <v>-</v>
      </c>
      <c r="BU58" s="87" t="str">
        <f>IFERROR(VLOOKUP(BU$7,'WP PPI-Electrical'!$F$13:$G$32,2,FALSE),"-")</f>
        <v>-</v>
      </c>
      <c r="BV58" s="87" t="str">
        <f>IFERROR(VLOOKUP(BV$7,'WP PPI-Electrical'!$F$13:$G$32,2,FALSE),"-")</f>
        <v>-</v>
      </c>
      <c r="BW58" s="87" t="str">
        <f>IFERROR(VLOOKUP(BW$7,'WP PPI-Electrical'!$F$13:$G$32,2,FALSE),"-")</f>
        <v>-</v>
      </c>
      <c r="BX58" s="87" t="str">
        <f>IFERROR(VLOOKUP(BX$7,'WP PPI-Electrical'!$F$13:$G$32,2,FALSE),"-")</f>
        <v>-</v>
      </c>
      <c r="BY58" s="87" t="str">
        <f>IFERROR(VLOOKUP(BY$7,'WP PPI-Electrical'!$F$13:$G$32,2,FALSE),"-")</f>
        <v>-</v>
      </c>
      <c r="BZ58" s="87" t="str">
        <f>IFERROR(VLOOKUP(BZ$7,'WP PPI-Electrical'!$F$13:$G$32,2,FALSE),"-")</f>
        <v>-</v>
      </c>
      <c r="CA58" s="87" t="str">
        <f>IFERROR(VLOOKUP(CA$7,'WP PPI-Electrical'!$F$13:$G$32,2,FALSE),"-")</f>
        <v>-</v>
      </c>
      <c r="CB58" s="87" t="str">
        <f>IFERROR(VLOOKUP(CB$7,'WP PPI-Electrical'!$F$13:$G$32,2,FALSE),"-")</f>
        <v>-</v>
      </c>
      <c r="CC58" s="87" t="str">
        <f>IFERROR(VLOOKUP(CC$7,'WP PPI-Electrical'!$F$13:$G$32,2,FALSE),"-")</f>
        <v>-</v>
      </c>
      <c r="CD58" s="87" t="str">
        <f>IFERROR(VLOOKUP(CD$7,'WP PPI-Electrical'!$F$13:$G$32,2,FALSE),"-")</f>
        <v>-</v>
      </c>
      <c r="CE58" s="87" t="str">
        <f>IFERROR(VLOOKUP(CE$7,'WP PPI-Electrical'!$F$13:$G$32,2,FALSE),"-")</f>
        <v>-</v>
      </c>
      <c r="CF58" s="87" t="str">
        <f>IFERROR(VLOOKUP(CF$7,'WP PPI-Electrical'!$F$13:$G$32,2,FALSE),"-")</f>
        <v>-</v>
      </c>
      <c r="CG58" s="87" t="str">
        <f>IFERROR(VLOOKUP(CG$7,'WP PPI-Electrical'!$F$13:$G$32,2,FALSE),"-")</f>
        <v>-</v>
      </c>
      <c r="CH58" s="87" t="str">
        <f>IFERROR(VLOOKUP(CH$7,'WP PPI-Electrical'!$F$13:$G$32,2,FALSE),"-")</f>
        <v>-</v>
      </c>
      <c r="CI58" s="87" t="str">
        <f>IFERROR(VLOOKUP(CI$7,'WP PPI-Electrical'!$F$13:$G$32,2,FALSE),"-")</f>
        <v>-</v>
      </c>
      <c r="CJ58" s="87" t="str">
        <f>IFERROR(VLOOKUP(CJ$7,'WP PPI-Electrical'!$F$13:$G$32,2,FALSE),"-")</f>
        <v>-</v>
      </c>
      <c r="CK58" s="87" t="str">
        <f>IFERROR(VLOOKUP(CK$7,'WP PPI-Electrical'!$F$13:$G$32,2,FALSE),"-")</f>
        <v>-</v>
      </c>
      <c r="CL58" s="87" t="str">
        <f>IFERROR(VLOOKUP(CL$7,'WP PPI-Electrical'!$F$13:$G$32,2,FALSE),"-")</f>
        <v>-</v>
      </c>
      <c r="CM58" s="87" t="str">
        <f>IFERROR(VLOOKUP(CM$7,'WP PPI-Electrical'!$F$13:$G$32,2,FALSE),"-")</f>
        <v>-</v>
      </c>
      <c r="CN58" s="87" t="str">
        <f>IFERROR(VLOOKUP(CN$7,'WP PPI-Electrical'!$F$13:$G$32,2,FALSE),"-")</f>
        <v>-</v>
      </c>
      <c r="CO58" s="87" t="str">
        <f>IFERROR(VLOOKUP(CO$7,'WP PPI-Electrical'!$F$13:$G$32,2,FALSE),"-")</f>
        <v>-</v>
      </c>
      <c r="CP58" s="87" t="str">
        <f>IFERROR(VLOOKUP(CP$7,'WP PPI-Electrical'!$F$13:$G$32,2,FALSE),"-")</f>
        <v>-</v>
      </c>
      <c r="CQ58" s="87" t="str">
        <f>IFERROR(VLOOKUP(CQ$7,'WP PPI-Electrical'!$F$13:$G$32,2,FALSE),"-")</f>
        <v>-</v>
      </c>
      <c r="CR58" s="87" t="str">
        <f>IFERROR(VLOOKUP(CR$7,'WP PPI-Electrical'!$F$13:$G$32,2,FALSE),"-")</f>
        <v>-</v>
      </c>
      <c r="CS58" s="87" t="str">
        <f>IFERROR(VLOOKUP(CS$7,'WP PPI-Electrical'!$F$13:$G$32,2,FALSE),"-")</f>
        <v>-</v>
      </c>
      <c r="CT58" s="87" t="str">
        <f>IFERROR(VLOOKUP(CT$7,'WP PPI-Electrical'!$F$13:$G$32,2,FALSE),"-")</f>
        <v>-</v>
      </c>
      <c r="CU58" s="87" t="str">
        <f>IFERROR(VLOOKUP(CU$7,'WP PPI-Electrical'!$F$13:$G$32,2,FALSE),"-")</f>
        <v>-</v>
      </c>
      <c r="CV58" s="87" t="str">
        <f>IFERROR(VLOOKUP(CV$7,'WP PPI-Electrical'!$F$13:$G$32,2,FALSE),"-")</f>
        <v>-</v>
      </c>
      <c r="CW58" s="87" t="str">
        <f>IFERROR(VLOOKUP(CW$7,'WP PPI-Electrical'!$F$13:$G$32,2,FALSE),"-")</f>
        <v>-</v>
      </c>
      <c r="CX58" s="87" t="str">
        <f>IFERROR(VLOOKUP(CX$7,'WP PPI-Electrical'!$F$13:$G$32,2,FALSE),"-")</f>
        <v>-</v>
      </c>
      <c r="CY58" s="87" t="str">
        <f>IFERROR(VLOOKUP(CY$7,'WP PPI-Electrical'!$F$13:$G$32,2,FALSE),"-")</f>
        <v>-</v>
      </c>
      <c r="CZ58" s="87" t="str">
        <f>IFERROR(VLOOKUP(CZ$7,'WP PPI-Electrical'!$F$13:$G$32,2,FALSE),"-")</f>
        <v>-</v>
      </c>
      <c r="DA58" s="87" t="str">
        <f>IFERROR(VLOOKUP(DA$7,'WP PPI-Electrical'!$F$13:$G$32,2,FALSE),"-")</f>
        <v>-</v>
      </c>
      <c r="DB58" s="87" t="str">
        <f>IFERROR(VLOOKUP(DB$7,'WP PPI-Electrical'!$F$13:$G$32,2,FALSE),"-")</f>
        <v>-</v>
      </c>
      <c r="DC58" s="87" t="str">
        <f>IFERROR(VLOOKUP(DC$7,'WP PPI-Electrical'!$F$13:$G$32,2,FALSE),"-")</f>
        <v>-</v>
      </c>
      <c r="DD58" s="87" t="str">
        <f>IFERROR(VLOOKUP(DD$7,'WP PPI-Electrical'!$F$13:$G$32,2,FALSE),"-")</f>
        <v>-</v>
      </c>
      <c r="DE58" s="87" t="str">
        <f>IFERROR(VLOOKUP(DE$7,'WP PPI-Electrical'!$F$13:$G$32,2,FALSE),"-")</f>
        <v>-</v>
      </c>
      <c r="DF58" s="87" t="str">
        <f>IFERROR(VLOOKUP(DF$7,'WP PPI-Electrical'!$F$13:$G$32,2,FALSE),"-")</f>
        <v>-</v>
      </c>
      <c r="DG58" s="87" t="str">
        <f>IFERROR(VLOOKUP(DG$7,'WP PPI-Electrical'!$F$13:$G$32,2,FALSE),"-")</f>
        <v>-</v>
      </c>
      <c r="DH58" s="87" t="str">
        <f>IFERROR(VLOOKUP(DH$7,'WP PPI-Electrical'!$F$13:$G$32,2,FALSE),"-")</f>
        <v>-</v>
      </c>
      <c r="DI58" s="87" t="str">
        <f>IFERROR(VLOOKUP(DI$7,'WP PPI-Electrical'!$F$13:$G$32,2,FALSE),"-")</f>
        <v>-</v>
      </c>
      <c r="DJ58" s="87" t="str">
        <f>IFERROR(VLOOKUP(DJ$7,'WP PPI-Electrical'!$F$13:$G$32,2,FALSE),"-")</f>
        <v>-</v>
      </c>
      <c r="DK58" s="87" t="str">
        <f>IFERROR(VLOOKUP(DK$7,'WP PPI-Electrical'!$F$13:$G$32,2,FALSE),"-")</f>
        <v>-</v>
      </c>
      <c r="DL58" s="87" t="str">
        <f>IFERROR(VLOOKUP(DL$7,'WP PPI-Electrical'!$F$13:$G$32,2,FALSE),"-")</f>
        <v>-</v>
      </c>
      <c r="DM58" s="87" t="str">
        <f>IFERROR(VLOOKUP(DM$7,'WP PPI-Electrical'!$F$13:$G$32,2,FALSE),"-")</f>
        <v>-</v>
      </c>
      <c r="DN58" s="87" t="str">
        <f>IFERROR(VLOOKUP(DN$7,'WP PPI-Electrical'!$F$13:$G$32,2,FALSE),"-")</f>
        <v>-</v>
      </c>
      <c r="DO58" s="87" t="str">
        <f>IFERROR(VLOOKUP(DO$7,'WP PPI-Electrical'!$F$13:$G$32,2,FALSE),"-")</f>
        <v>-</v>
      </c>
      <c r="DP58" s="87" t="str">
        <f>IFERROR(VLOOKUP(DP$7,'WP PPI-Electrical'!$F$13:$G$32,2,FALSE),"-")</f>
        <v>-</v>
      </c>
      <c r="DQ58" s="87" t="str">
        <f>IFERROR(VLOOKUP(DQ$7,'WP PPI-Electrical'!$F$13:$G$32,2,FALSE),"-")</f>
        <v>-</v>
      </c>
      <c r="DR58" s="87" t="str">
        <f>IFERROR(VLOOKUP(DR$7,'WP PPI-Electrical'!$F$13:$G$32,2,FALSE),"-")</f>
        <v>-</v>
      </c>
      <c r="DS58" s="87" t="str">
        <f>IFERROR(VLOOKUP(DS$7,'WP PPI-Electrical'!$F$13:$G$32,2,FALSE),"-")</f>
        <v>-</v>
      </c>
      <c r="DT58" s="87" t="str">
        <f>IFERROR(VLOOKUP(DT$7,'WP PPI-Electrical'!$F$13:$G$32,2,FALSE),"-")</f>
        <v>-</v>
      </c>
      <c r="DU58" s="87" t="str">
        <f>IFERROR(VLOOKUP(DU$7,'WP PPI-Electrical'!$F$13:$G$32,2,FALSE),"-")</f>
        <v>-</v>
      </c>
      <c r="DV58" s="87" t="str">
        <f>IFERROR(VLOOKUP(DV$7,'WP PPI-Electrical'!$F$13:$G$32,2,FALSE),"-")</f>
        <v>-</v>
      </c>
      <c r="DW58" s="87" t="str">
        <f>IFERROR(VLOOKUP(DW$7,'WP PPI-Electrical'!$F$13:$G$32,2,FALSE),"-")</f>
        <v>-</v>
      </c>
      <c r="DX58" s="87" t="str">
        <f>IFERROR(VLOOKUP(DX$7,'WP PPI-Electrical'!$F$13:$G$32,2,FALSE),"-")</f>
        <v>-</v>
      </c>
      <c r="DY58" s="87" t="str">
        <f>IFERROR(VLOOKUP(DY$7,'WP PPI-Electrical'!$F$13:$G$32,2,FALSE),"-")</f>
        <v>-</v>
      </c>
      <c r="DZ58" s="87">
        <f>IFERROR(VLOOKUP(DZ$7,'WP PPI-Electrical'!$F$13:$G$32,2,FALSE),"-")</f>
        <v>101.86666666666667</v>
      </c>
      <c r="EA58" s="87" t="str">
        <f>IFERROR(VLOOKUP(EA$7,'WP PPI-Electrical'!$F$13:$G$32,2,FALSE),"-")</f>
        <v>-</v>
      </c>
      <c r="EB58" s="87" t="str">
        <f>IFERROR(VLOOKUP(EB$7,'WP PPI-Electrical'!$F$13:$G$32,2,FALSE),"-")</f>
        <v>-</v>
      </c>
      <c r="EC58" s="87">
        <f>IFERROR(VLOOKUP(EC$7,'WP PPI-Electrical'!$F$13:$G$32,2,FALSE),"-")</f>
        <v>107.21666666666665</v>
      </c>
      <c r="ED58" s="87" t="str">
        <f>IFERROR(VLOOKUP(ED$7,'WP PPI-Electrical'!$F$13:$G$32,2,FALSE),"-")</f>
        <v>-</v>
      </c>
      <c r="EE58" s="87" t="str">
        <f>IFERROR(VLOOKUP(EE$7,'WP PPI-Electrical'!$F$13:$G$32,2,FALSE),"-")</f>
        <v>-</v>
      </c>
      <c r="EF58" s="87">
        <f>IFERROR(VLOOKUP(EF$7,'WP PPI-Electrical'!$F$13:$G$32,2,FALSE),"-")</f>
        <v>113.68333333333334</v>
      </c>
      <c r="EG58" s="87" t="str">
        <f>IFERROR(VLOOKUP(EG$7,'WP PPI-Electrical'!$F$13:$G$32,2,FALSE),"-")</f>
        <v>-</v>
      </c>
      <c r="EH58" s="87" t="str">
        <f>IFERROR(VLOOKUP(EH$7,'WP PPI-Electrical'!$F$13:$G$32,2,FALSE),"-")</f>
        <v>-</v>
      </c>
      <c r="EI58" s="87">
        <f>IFERROR(VLOOKUP(EI$7,'WP PPI-Electrical'!$F$13:$G$32,2,FALSE),"-")</f>
        <v>120.625</v>
      </c>
      <c r="EJ58" s="87" t="str">
        <f>IFERROR(VLOOKUP(EJ$7,'WP PPI-Electrical'!$F$13:$G$32,2,FALSE),"-")</f>
        <v>-</v>
      </c>
      <c r="EK58" s="87" t="str">
        <f>IFERROR(VLOOKUP(EK$7,'WP PPI-Electrical'!$F$13:$G$32,2,FALSE),"-")</f>
        <v>-</v>
      </c>
      <c r="EL58" s="87">
        <f>IFERROR(VLOOKUP(EL$7,'WP PPI-Electrical'!$F$13:$G$32,2,FALSE),"-")</f>
        <v>127.35000000000002</v>
      </c>
      <c r="EM58" s="87" t="str">
        <f>IFERROR(VLOOKUP(EM$7,'WP PPI-Electrical'!$F$13:$G$32,2,FALSE),"-")</f>
        <v>-</v>
      </c>
      <c r="EN58" s="87" t="str">
        <f>IFERROR(VLOOKUP(EN$7,'WP PPI-Electrical'!$F$13:$G$32,2,FALSE),"-")</f>
        <v>-</v>
      </c>
      <c r="EO58" s="87">
        <f>IFERROR(VLOOKUP(EO$7,'WP PPI-Electrical'!$F$13:$G$32,2,FALSE),"-")</f>
        <v>129.46666666666667</v>
      </c>
      <c r="EP58" s="87" t="str">
        <f>IFERROR(VLOOKUP(EP$7,'WP PPI-Electrical'!$F$13:$G$32,2,FALSE),"-")</f>
        <v>-</v>
      </c>
      <c r="EQ58" s="87" t="str">
        <f>IFERROR(VLOOKUP(EQ$7,'WP PPI-Electrical'!$F$13:$G$32,2,FALSE),"-")</f>
        <v>-</v>
      </c>
      <c r="ER58" s="87">
        <f>IFERROR(VLOOKUP(ER$7,'WP PPI-Electrical'!$F$13:$G$32,2,FALSE),"-")</f>
        <v>133.13333333333333</v>
      </c>
      <c r="ES58" s="87" t="str">
        <f>IFERROR(VLOOKUP(ES$7,'WP PPI-Electrical'!$F$13:$G$32,2,FALSE),"-")</f>
        <v>-</v>
      </c>
      <c r="ET58" s="87" t="str">
        <f>IFERROR(VLOOKUP(ET$7,'WP PPI-Electrical'!$F$13:$G$32,2,FALSE),"-")</f>
        <v>-</v>
      </c>
      <c r="EU58" s="87">
        <f>IFERROR(VLOOKUP(EU$7,'WP PPI-Electrical'!$F$13:$G$32,2,FALSE),"-")</f>
        <v>137.53333333333333</v>
      </c>
      <c r="EV58" s="87" t="str">
        <f>IFERROR(VLOOKUP(EV$7,'WP PPI-Electrical'!$F$13:$G$32,2,FALSE),"-")</f>
        <v>-</v>
      </c>
      <c r="EW58" s="87" t="str">
        <f>IFERROR(VLOOKUP(EW$7,'WP PPI-Electrical'!$F$13:$G$32,2,FALSE),"-")</f>
        <v>-</v>
      </c>
      <c r="EX58" s="87">
        <f>IFERROR(VLOOKUP(EX$7,'WP PPI-Electrical'!$F$13:$G$32,2,FALSE),"-")</f>
        <v>138.82499999999996</v>
      </c>
      <c r="EY58" s="87" t="str">
        <f>IFERROR(VLOOKUP(EY$7,'WP PPI-Electrical'!$F$13:$G$32,2,FALSE),"-")</f>
        <v>-</v>
      </c>
      <c r="EZ58" s="87" t="str">
        <f>IFERROR(VLOOKUP(EZ$7,'WP PPI-Electrical'!$F$13:$G$32,2,FALSE),"-")</f>
        <v>-</v>
      </c>
      <c r="FA58" s="87">
        <f>IFERROR(VLOOKUP(FA$7,'WP PPI-Electrical'!$F$13:$G$32,2,FALSE),"-")</f>
        <v>140.12500000000003</v>
      </c>
      <c r="FB58" s="87" t="str">
        <f>IFERROR(VLOOKUP(FB$7,'WP PPI-Electrical'!$F$13:$G$32,2,FALSE),"-")</f>
        <v>-</v>
      </c>
      <c r="FC58" s="87" t="str">
        <f>IFERROR(VLOOKUP(FC$7,'WP PPI-Electrical'!$F$13:$G$32,2,FALSE),"-")</f>
        <v>-</v>
      </c>
      <c r="FD58" s="87">
        <f>IFERROR(VLOOKUP(FD$7,'WP PPI-Electrical'!$F$13:$G$32,2,FALSE),"-")</f>
        <v>141.06666666666666</v>
      </c>
      <c r="FE58" s="87" t="str">
        <f>IFERROR(VLOOKUP(FE$7,'WP PPI-Electrical'!$F$13:$G$32,2,FALSE),"-")</f>
        <v>-</v>
      </c>
      <c r="FF58" s="87" t="str">
        <f>IFERROR(VLOOKUP(FF$7,'WP PPI-Electrical'!$F$13:$G$32,2,FALSE),"-")</f>
        <v>-</v>
      </c>
      <c r="FG58" s="87">
        <f>IFERROR(VLOOKUP(FG$7,'WP PPI-Electrical'!$F$13:$G$32,2,FALSE),"-")</f>
        <v>140.34166666666667</v>
      </c>
      <c r="FH58" s="87" t="str">
        <f>IFERROR(VLOOKUP(FH$7,'WP PPI-Electrical'!$F$13:$G$32,2,FALSE),"-")</f>
        <v>-</v>
      </c>
      <c r="FI58" s="87" t="str">
        <f>IFERROR(VLOOKUP(FI$7,'WP PPI-Electrical'!$F$13:$G$32,2,FALSE),"-")</f>
        <v>-</v>
      </c>
      <c r="FJ58" s="87">
        <f>IFERROR(VLOOKUP(FJ$7,'WP PPI-Electrical'!$F$13:$G$32,2,FALSE),"-")</f>
        <v>139.97499999999999</v>
      </c>
      <c r="FK58" s="87" t="str">
        <f>IFERROR(VLOOKUP(FK$7,'WP PPI-Electrical'!$F$13:$G$32,2,FALSE),"-")</f>
        <v>-</v>
      </c>
      <c r="FL58" s="87" t="str">
        <f>IFERROR(VLOOKUP(FL$7,'WP PPI-Electrical'!$F$13:$G$32,2,FALSE),"-")</f>
        <v>-</v>
      </c>
      <c r="FM58" s="87">
        <f>IFERROR(VLOOKUP(FM$7,'WP PPI-Electrical'!$F$13:$G$32,2,FALSE),"-")</f>
        <v>141.80833333333334</v>
      </c>
      <c r="FN58" s="87" t="str">
        <f>IFERROR(VLOOKUP(FN$7,'WP PPI-Electrical'!$F$13:$G$32,2,FALSE),"-")</f>
        <v>-</v>
      </c>
      <c r="FO58" s="87" t="str">
        <f>IFERROR(VLOOKUP(FO$7,'WP PPI-Electrical'!$F$13:$G$32,2,FALSE),"-")</f>
        <v>-</v>
      </c>
      <c r="FP58" s="87">
        <f>IFERROR(VLOOKUP(FP$7,'WP PPI-Electrical'!$F$13:$G$32,2,FALSE),"-")</f>
        <v>145.15</v>
      </c>
      <c r="FQ58" s="87" t="str">
        <f>IFERROR(VLOOKUP(FQ$7,'WP PPI-Electrical'!$F$13:$G$32,2,FALSE),"-")</f>
        <v>-</v>
      </c>
      <c r="FR58" s="87" t="str">
        <f>IFERROR(VLOOKUP(FR$7,'WP PPI-Electrical'!$F$13:$G$32,2,FALSE),"-")</f>
        <v>-</v>
      </c>
      <c r="FS58" s="87">
        <f>IFERROR(VLOOKUP(FS$7,'WP PPI-Electrical'!$F$13:$G$32,2,FALSE),"-")</f>
        <v>148.44166666666666</v>
      </c>
      <c r="FT58" s="87" t="str">
        <f>IFERROR(VLOOKUP(FT$7,'WP PPI-Electrical'!$F$13:$G$32,2,FALSE),"-")</f>
        <v>-</v>
      </c>
      <c r="FU58" s="87" t="str">
        <f>IFERROR(VLOOKUP(FU$7,'WP PPI-Electrical'!$F$13:$G$32,2,FALSE),"-")</f>
        <v>-</v>
      </c>
      <c r="FV58" s="87">
        <f>IFERROR(VLOOKUP(FV$7,'WP PPI-Electrical'!$F$13:$G$32,2,FALSE),"-")</f>
        <v>150.98333333333332</v>
      </c>
      <c r="FW58" s="87" t="str">
        <f>IFERROR(VLOOKUP(FW$7,'WP PPI-Electrical'!$F$13:$G$32,2,FALSE),"-")</f>
        <v>-</v>
      </c>
      <c r="FX58" s="87" t="str">
        <f>IFERROR(VLOOKUP(FX$7,'WP PPI-Electrical'!$F$13:$G$32,2,FALSE),"-")</f>
        <v>-</v>
      </c>
      <c r="FY58" s="87">
        <f>IFERROR(VLOOKUP(FY$7,'WP PPI-Electrical'!$F$13:$G$32,2,FALSE),"-")</f>
        <v>160.21991666666668</v>
      </c>
      <c r="FZ58" s="87" t="str">
        <f>IFERROR(VLOOKUP(FZ$7,'WP PPI-Electrical'!$F$13:$G$32,2,FALSE),"-")</f>
        <v>-</v>
      </c>
      <c r="GA58" s="87" t="str">
        <f>IFERROR(VLOOKUP(GA$7,'WP PPI-Electrical'!$F$13:$G$32,2,FALSE),"-")</f>
        <v>-</v>
      </c>
      <c r="GB58" s="87">
        <f>IFERROR(VLOOKUP(GB$7,'WP PPI-Electrical'!$F$13:$G$32,2,FALSE),"-")</f>
        <v>190.50141666666664</v>
      </c>
      <c r="GC58" s="87" t="str">
        <f>IFERROR(VLOOKUP(GC$7,'WP PPI-Electrical'!$F$13:$G$32,2,FALSE),"-")</f>
        <v>-</v>
      </c>
      <c r="GD58" s="87" t="str">
        <f>IFERROR(VLOOKUP(GD$7,'WP PPI-Electrical'!$F$13:$G$32,2,FALSE),"-")</f>
        <v>-</v>
      </c>
      <c r="GE58" s="140">
        <f>IFERROR(VLOOKUP(GE$7,'WP PPI-Electrical'!$F$13:$G$32,2,FALSE),"-")</f>
        <v>201.67675</v>
      </c>
      <c r="GF58" s="54"/>
      <c r="GG58" s="104"/>
      <c r="GH58" s="97">
        <f t="shared" si="2"/>
        <v>0</v>
      </c>
      <c r="GI58" s="105"/>
      <c r="GJ58" s="105"/>
      <c r="GK58" s="97">
        <f t="shared" si="4"/>
        <v>0</v>
      </c>
      <c r="GL58" s="105"/>
      <c r="GM58" s="105"/>
      <c r="GN58" s="97">
        <f t="shared" si="5"/>
        <v>0</v>
      </c>
      <c r="GO58" s="105"/>
      <c r="GP58" s="105"/>
      <c r="GQ58" s="97">
        <f t="shared" si="6"/>
        <v>0</v>
      </c>
      <c r="GR58" s="105"/>
      <c r="GS58" s="105"/>
    </row>
    <row r="59" spans="1:201" ht="10.5" customHeight="1" x14ac:dyDescent="0.3">
      <c r="A59" s="99">
        <f t="shared" si="3"/>
        <v>52</v>
      </c>
      <c r="B59" s="139" t="s">
        <v>702</v>
      </c>
      <c r="C59" s="86"/>
      <c r="D59" s="87" t="str">
        <f>IFERROR(VLOOKUP(D$7,'WP PPI-Vehicles'!$F$13:$G$61,2,FALSE),"-")</f>
        <v>-</v>
      </c>
      <c r="E59" s="87" t="str">
        <f>IFERROR(VLOOKUP(E$7,'WP PPI-Vehicles'!$F$13:$G$61,2,FALSE),"-")</f>
        <v>-</v>
      </c>
      <c r="F59" s="87" t="str">
        <f>IFERROR(VLOOKUP(F$7,'WP PPI-Vehicles'!$F$13:$G$61,2,FALSE),"-")</f>
        <v>-</v>
      </c>
      <c r="G59" s="87" t="str">
        <f>IFERROR(VLOOKUP(G$7,'WP PPI-Vehicles'!$F$13:$G$61,2,FALSE),"-")</f>
        <v>-</v>
      </c>
      <c r="H59" s="87" t="str">
        <f>IFERROR(VLOOKUP(H$7,'WP PPI-Vehicles'!$F$13:$G$61,2,FALSE),"-")</f>
        <v>-</v>
      </c>
      <c r="I59" s="87" t="str">
        <f>IFERROR(VLOOKUP(I$7,'WP PPI-Vehicles'!$F$13:$G$61,2,FALSE),"-")</f>
        <v>-</v>
      </c>
      <c r="J59" s="87" t="str">
        <f>IFERROR(VLOOKUP(J$7,'WP PPI-Vehicles'!$F$13:$G$61,2,FALSE),"-")</f>
        <v>-</v>
      </c>
      <c r="K59" s="87" t="str">
        <f>IFERROR(VLOOKUP(K$7,'WP PPI-Vehicles'!$F$13:$G$61,2,FALSE),"-")</f>
        <v>-</v>
      </c>
      <c r="L59" s="87" t="str">
        <f>IFERROR(VLOOKUP(L$7,'WP PPI-Vehicles'!$F$13:$G$61,2,FALSE),"-")</f>
        <v>-</v>
      </c>
      <c r="M59" s="87" t="str">
        <f>IFERROR(VLOOKUP(M$7,'WP PPI-Vehicles'!$F$13:$G$61,2,FALSE),"-")</f>
        <v>-</v>
      </c>
      <c r="N59" s="87" t="str">
        <f>IFERROR(VLOOKUP(N$7,'WP PPI-Vehicles'!$F$13:$G$61,2,FALSE),"-")</f>
        <v>-</v>
      </c>
      <c r="O59" s="87" t="str">
        <f>IFERROR(VLOOKUP(O$7,'WP PPI-Vehicles'!$F$13:$G$61,2,FALSE),"-")</f>
        <v>-</v>
      </c>
      <c r="P59" s="87" t="str">
        <f>IFERROR(VLOOKUP(P$7,'WP PPI-Vehicles'!$F$13:$G$61,2,FALSE),"-")</f>
        <v>-</v>
      </c>
      <c r="Q59" s="87" t="str">
        <f>IFERROR(VLOOKUP(Q$7,'WP PPI-Vehicles'!$F$13:$G$61,2,FALSE),"-")</f>
        <v>-</v>
      </c>
      <c r="R59" s="87" t="str">
        <f>IFERROR(VLOOKUP(R$7,'WP PPI-Vehicles'!$F$13:$G$61,2,FALSE),"-")</f>
        <v>-</v>
      </c>
      <c r="S59" s="87" t="str">
        <f>IFERROR(VLOOKUP(S$7,'WP PPI-Vehicles'!$F$13:$G$61,2,FALSE),"-")</f>
        <v>-</v>
      </c>
      <c r="T59" s="87" t="str">
        <f>IFERROR(VLOOKUP(T$7,'WP PPI-Vehicles'!$F$13:$G$61,2,FALSE),"-")</f>
        <v>-</v>
      </c>
      <c r="U59" s="87" t="str">
        <f>IFERROR(VLOOKUP(U$7,'WP PPI-Vehicles'!$F$13:$G$61,2,FALSE),"-")</f>
        <v>-</v>
      </c>
      <c r="V59" s="87" t="str">
        <f>IFERROR(VLOOKUP(V$7,'WP PPI-Vehicles'!$F$13:$G$61,2,FALSE),"-")</f>
        <v>-</v>
      </c>
      <c r="W59" s="87" t="str">
        <f>IFERROR(VLOOKUP(W$7,'WP PPI-Vehicles'!$F$13:$G$61,2,FALSE),"-")</f>
        <v>-</v>
      </c>
      <c r="X59" s="87" t="str">
        <f>IFERROR(VLOOKUP(X$7,'WP PPI-Vehicles'!$F$13:$G$61,2,FALSE),"-")</f>
        <v>-</v>
      </c>
      <c r="Y59" s="87" t="str">
        <f>IFERROR(VLOOKUP(Y$7,'WP PPI-Vehicles'!$F$13:$G$61,2,FALSE),"-")</f>
        <v>-</v>
      </c>
      <c r="Z59" s="87" t="str">
        <f>IFERROR(VLOOKUP(Z$7,'WP PPI-Vehicles'!$F$13:$G$61,2,FALSE),"-")</f>
        <v>-</v>
      </c>
      <c r="AA59" s="87" t="str">
        <f>IFERROR(VLOOKUP(AA$7,'WP PPI-Vehicles'!$F$13:$G$61,2,FALSE),"-")</f>
        <v>-</v>
      </c>
      <c r="AB59" s="87" t="str">
        <f>IFERROR(VLOOKUP(AB$7,'WP PPI-Vehicles'!$F$13:$G$61,2,FALSE),"-")</f>
        <v>-</v>
      </c>
      <c r="AC59" s="87" t="str">
        <f>IFERROR(VLOOKUP(AC$7,'WP PPI-Vehicles'!$F$13:$G$61,2,FALSE),"-")</f>
        <v>-</v>
      </c>
      <c r="AD59" s="87" t="str">
        <f>IFERROR(VLOOKUP(AD$7,'WP PPI-Vehicles'!$F$13:$G$61,2,FALSE),"-")</f>
        <v>-</v>
      </c>
      <c r="AE59" s="87" t="str">
        <f>IFERROR(VLOOKUP(AE$7,'WP PPI-Vehicles'!$F$13:$G$61,2,FALSE),"-")</f>
        <v>-</v>
      </c>
      <c r="AF59" s="87" t="str">
        <f>IFERROR(VLOOKUP(AF$7,'WP PPI-Vehicles'!$F$13:$G$61,2,FALSE),"-")</f>
        <v>-</v>
      </c>
      <c r="AG59" s="87" t="str">
        <f>IFERROR(VLOOKUP(AG$7,'WP PPI-Vehicles'!$F$13:$G$61,2,FALSE),"-")</f>
        <v>-</v>
      </c>
      <c r="AH59" s="87" t="str">
        <f>IFERROR(VLOOKUP(AH$7,'WP PPI-Vehicles'!$F$13:$G$61,2,FALSE),"-")</f>
        <v>-</v>
      </c>
      <c r="AI59" s="87" t="str">
        <f>IFERROR(VLOOKUP(AI$7,'WP PPI-Vehicles'!$F$13:$G$61,2,FALSE),"-")</f>
        <v>-</v>
      </c>
      <c r="AJ59" s="87" t="str">
        <f>IFERROR(VLOOKUP(AJ$7,'WP PPI-Vehicles'!$F$13:$G$61,2,FALSE),"-")</f>
        <v>-</v>
      </c>
      <c r="AK59" s="87" t="str">
        <f>IFERROR(VLOOKUP(AK$7,'WP PPI-Vehicles'!$F$13:$G$61,2,FALSE),"-")</f>
        <v>-</v>
      </c>
      <c r="AL59" s="87" t="str">
        <f>IFERROR(VLOOKUP(AL$7,'WP PPI-Vehicles'!$F$13:$G$61,2,FALSE),"-")</f>
        <v>-</v>
      </c>
      <c r="AM59" s="87" t="str">
        <f>IFERROR(VLOOKUP(AM$7,'WP PPI-Vehicles'!$F$13:$G$61,2,FALSE),"-")</f>
        <v>-</v>
      </c>
      <c r="AN59" s="87" t="str">
        <f>IFERROR(VLOOKUP(AN$7,'WP PPI-Vehicles'!$F$13:$G$61,2,FALSE),"-")</f>
        <v>-</v>
      </c>
      <c r="AO59" s="87" t="str">
        <f>IFERROR(VLOOKUP(AO$7,'WP PPI-Vehicles'!$F$13:$G$61,2,FALSE),"-")</f>
        <v>-</v>
      </c>
      <c r="AP59" s="87" t="str">
        <f>IFERROR(VLOOKUP(AP$7,'WP PPI-Vehicles'!$F$13:$G$61,2,FALSE),"-")</f>
        <v>-</v>
      </c>
      <c r="AQ59" s="87" t="str">
        <f>IFERROR(VLOOKUP(AQ$7,'WP PPI-Vehicles'!$F$13:$G$61,2,FALSE),"-")</f>
        <v>-</v>
      </c>
      <c r="AR59" s="87" t="str">
        <f>IFERROR(VLOOKUP(AR$7,'WP PPI-Vehicles'!$F$13:$G$61,2,FALSE),"-")</f>
        <v>-</v>
      </c>
      <c r="AS59" s="87" t="str">
        <f>IFERROR(VLOOKUP(AS$7,'WP PPI-Vehicles'!$F$13:$G$61,2,FALSE),"-")</f>
        <v>-</v>
      </c>
      <c r="AT59" s="87" t="str">
        <f>IFERROR(VLOOKUP(AT$7,'WP PPI-Vehicles'!$F$13:$G$61,2,FALSE),"-")</f>
        <v>-</v>
      </c>
      <c r="AU59" s="87" t="str">
        <f>IFERROR(VLOOKUP(AU$7,'WP PPI-Vehicles'!$F$13:$G$61,2,FALSE),"-")</f>
        <v>-</v>
      </c>
      <c r="AV59" s="87" t="str">
        <f>IFERROR(VLOOKUP(AV$7,'WP PPI-Vehicles'!$F$13:$G$61,2,FALSE),"-")</f>
        <v>-</v>
      </c>
      <c r="AW59" s="87" t="str">
        <f>IFERROR(VLOOKUP(AW$7,'WP PPI-Vehicles'!$F$13:$G$61,2,FALSE),"-")</f>
        <v>-</v>
      </c>
      <c r="AX59" s="87" t="str">
        <f>IFERROR(VLOOKUP(AX$7,'WP PPI-Vehicles'!$F$13:$G$61,2,FALSE),"-")</f>
        <v>-</v>
      </c>
      <c r="AY59" s="87" t="str">
        <f>IFERROR(VLOOKUP(AY$7,'WP PPI-Vehicles'!$F$13:$G$61,2,FALSE),"-")</f>
        <v>-</v>
      </c>
      <c r="AZ59" s="87" t="str">
        <f>IFERROR(VLOOKUP(AZ$7,'WP PPI-Vehicles'!$F$13:$G$61,2,FALSE),"-")</f>
        <v>-</v>
      </c>
      <c r="BA59" s="87" t="str">
        <f>IFERROR(VLOOKUP(BA$7,'WP PPI-Vehicles'!$F$13:$G$61,2,FALSE),"-")</f>
        <v>-</v>
      </c>
      <c r="BB59" s="87" t="str">
        <f>IFERROR(VLOOKUP(BB$7,'WP PPI-Vehicles'!$F$13:$G$61,2,FALSE),"-")</f>
        <v>-</v>
      </c>
      <c r="BC59" s="87" t="str">
        <f>IFERROR(VLOOKUP(BC$7,'WP PPI-Vehicles'!$F$13:$G$61,2,FALSE),"-")</f>
        <v>-</v>
      </c>
      <c r="BD59" s="87" t="str">
        <f>IFERROR(VLOOKUP(BD$7,'WP PPI-Vehicles'!$F$13:$G$61,2,FALSE),"-")</f>
        <v>-</v>
      </c>
      <c r="BE59" s="87" t="str">
        <f>IFERROR(VLOOKUP(BE$7,'WP PPI-Vehicles'!$F$13:$G$61,2,FALSE),"-")</f>
        <v>-</v>
      </c>
      <c r="BF59" s="87" t="str">
        <f>IFERROR(VLOOKUP(BF$7,'WP PPI-Vehicles'!$F$13:$G$61,2,FALSE),"-")</f>
        <v>-</v>
      </c>
      <c r="BG59" s="87" t="str">
        <f>IFERROR(VLOOKUP(BG$7,'WP PPI-Vehicles'!$F$13:$G$61,2,FALSE),"-")</f>
        <v>-</v>
      </c>
      <c r="BH59" s="87" t="str">
        <f>IFERROR(VLOOKUP(BH$7,'WP PPI-Vehicles'!$F$13:$G$61,2,FALSE),"-")</f>
        <v>-</v>
      </c>
      <c r="BI59" s="87" t="str">
        <f>IFERROR(VLOOKUP(BI$7,'WP PPI-Vehicles'!$F$13:$G$61,2,FALSE),"-")</f>
        <v>-</v>
      </c>
      <c r="BJ59" s="87" t="str">
        <f>IFERROR(VLOOKUP(BJ$7,'WP PPI-Vehicles'!$F$13:$G$61,2,FALSE),"-")</f>
        <v>-</v>
      </c>
      <c r="BK59" s="87" t="str">
        <f>IFERROR(VLOOKUP(BK$7,'WP PPI-Vehicles'!$F$13:$G$61,2,FALSE),"-")</f>
        <v>-</v>
      </c>
      <c r="BL59" s="87" t="str">
        <f>IFERROR(VLOOKUP(BL$7,'WP PPI-Vehicles'!$F$13:$G$61,2,FALSE),"-")</f>
        <v>-</v>
      </c>
      <c r="BM59" s="87" t="str">
        <f>IFERROR(VLOOKUP(BM$7,'WP PPI-Vehicles'!$F$13:$G$61,2,FALSE),"-")</f>
        <v>-</v>
      </c>
      <c r="BN59" s="87" t="str">
        <f>IFERROR(VLOOKUP(BN$7,'WP PPI-Vehicles'!$F$13:$G$61,2,FALSE),"-")</f>
        <v>-</v>
      </c>
      <c r="BO59" s="87">
        <f>IFERROR(VLOOKUP(BO$7,'WP PPI-Vehicles'!$F$13:$G$61,2,FALSE),"-")</f>
        <v>62.9</v>
      </c>
      <c r="BP59" s="87">
        <f>IFERROR(VLOOKUP(BP$7,'WP PPI-Vehicles'!$F$13:$G$61,2,FALSE),"-")</f>
        <v>64.024999999999991</v>
      </c>
      <c r="BQ59" s="87">
        <f>IFERROR(VLOOKUP(BQ$7,'WP PPI-Vehicles'!$F$13:$G$61,2,FALSE),"-")</f>
        <v>68.191666666666663</v>
      </c>
      <c r="BR59" s="87">
        <f>IFERROR(VLOOKUP(BR$7,'WP PPI-Vehicles'!$F$13:$G$61,2,FALSE),"-")</f>
        <v>72.891666666666666</v>
      </c>
      <c r="BS59" s="87">
        <f>IFERROR(VLOOKUP(BS$7,'WP PPI-Vehicles'!$F$13:$G$61,2,FALSE),"-")</f>
        <v>78.666666666666671</v>
      </c>
      <c r="BT59" s="87">
        <f>IFERROR(VLOOKUP(BT$7,'WP PPI-Vehicles'!$F$13:$G$61,2,FALSE),"-")</f>
        <v>85.983333333333334</v>
      </c>
      <c r="BU59" s="87">
        <f>IFERROR(VLOOKUP(BU$7,'WP PPI-Vehicles'!$F$13:$G$61,2,FALSE),"-")</f>
        <v>94.533333333333346</v>
      </c>
      <c r="BV59" s="87">
        <f>IFERROR(VLOOKUP(BV$7,'WP PPI-Vehicles'!$F$13:$G$61,2,FALSE),"-")</f>
        <v>99.566666666666663</v>
      </c>
      <c r="BW59" s="87">
        <f>IFERROR(VLOOKUP(BW$7,'WP PPI-Vehicles'!$F$13:$G$61,2,FALSE),"-")</f>
        <v>102.10833333333333</v>
      </c>
      <c r="BX59" s="87">
        <f>IFERROR(VLOOKUP(BX$7,'WP PPI-Vehicles'!$F$13:$G$61,2,FALSE),"-")</f>
        <v>104.625</v>
      </c>
      <c r="BY59" s="87">
        <f>IFERROR(VLOOKUP(BY$7,'WP PPI-Vehicles'!$F$13:$G$61,2,FALSE),"-")</f>
        <v>107.20833333333336</v>
      </c>
      <c r="BZ59" s="87">
        <f>IFERROR(VLOOKUP(BZ$7,'WP PPI-Vehicles'!$F$13:$G$61,2,FALSE),"-")</f>
        <v>111.00833333333334</v>
      </c>
      <c r="CA59" s="87">
        <f>IFERROR(VLOOKUP(CA$7,'WP PPI-Vehicles'!$F$13:$G$61,2,FALSE),"-")</f>
        <v>112.96666666666665</v>
      </c>
      <c r="CB59" s="87" t="str">
        <f>IFERROR(VLOOKUP(CB$7,'WP PPI-Vehicles'!$F$13:$G$61,2,FALSE),"-")</f>
        <v>-</v>
      </c>
      <c r="CC59" s="87" t="str">
        <f>IFERROR(VLOOKUP(CC$7,'WP PPI-Vehicles'!$F$13:$G$61,2,FALSE),"-")</f>
        <v>-</v>
      </c>
      <c r="CD59" s="87">
        <f>IFERROR(VLOOKUP(CD$7,'WP PPI-Vehicles'!$F$13:$G$61,2,FALSE),"-")</f>
        <v>114.11666666666667</v>
      </c>
      <c r="CE59" s="87" t="str">
        <f>IFERROR(VLOOKUP(CE$7,'WP PPI-Vehicles'!$F$13:$G$61,2,FALSE),"-")</f>
        <v>-</v>
      </c>
      <c r="CF59" s="87" t="str">
        <f>IFERROR(VLOOKUP(CF$7,'WP PPI-Vehicles'!$F$13:$G$61,2,FALSE),"-")</f>
        <v>-</v>
      </c>
      <c r="CG59" s="87">
        <f>IFERROR(VLOOKUP(CG$7,'WP PPI-Vehicles'!$F$13:$G$61,2,FALSE),"-")</f>
        <v>117.35833333333333</v>
      </c>
      <c r="CH59" s="87" t="str">
        <f>IFERROR(VLOOKUP(CH$7,'WP PPI-Vehicles'!$F$13:$G$61,2,FALSE),"-")</f>
        <v>-</v>
      </c>
      <c r="CI59" s="87" t="str">
        <f>IFERROR(VLOOKUP(CI$7,'WP PPI-Vehicles'!$F$13:$G$61,2,FALSE),"-")</f>
        <v>-</v>
      </c>
      <c r="CJ59" s="87">
        <f>IFERROR(VLOOKUP(CJ$7,'WP PPI-Vehicles'!$F$13:$G$61,2,FALSE),"-")</f>
        <v>119.85000000000001</v>
      </c>
      <c r="CK59" s="87" t="str">
        <f>IFERROR(VLOOKUP(CK$7,'WP PPI-Vehicles'!$F$13:$G$61,2,FALSE),"-")</f>
        <v>-</v>
      </c>
      <c r="CL59" s="87" t="str">
        <f>IFERROR(VLOOKUP(CL$7,'WP PPI-Vehicles'!$F$13:$G$61,2,FALSE),"-")</f>
        <v>-</v>
      </c>
      <c r="CM59" s="87">
        <f>IFERROR(VLOOKUP(CM$7,'WP PPI-Vehicles'!$F$13:$G$61,2,FALSE),"-")</f>
        <v>125.29166666666667</v>
      </c>
      <c r="CN59" s="87" t="str">
        <f>IFERROR(VLOOKUP(CN$7,'WP PPI-Vehicles'!$F$13:$G$61,2,FALSE),"-")</f>
        <v>-</v>
      </c>
      <c r="CO59" s="87" t="str">
        <f>IFERROR(VLOOKUP(CO$7,'WP PPI-Vehicles'!$F$13:$G$61,2,FALSE),"-")</f>
        <v>-</v>
      </c>
      <c r="CP59" s="87">
        <f>IFERROR(VLOOKUP(CP$7,'WP PPI-Vehicles'!$F$13:$G$61,2,FALSE),"-")</f>
        <v>129.10833333333332</v>
      </c>
      <c r="CQ59" s="87" t="str">
        <f>IFERROR(VLOOKUP(CQ$7,'WP PPI-Vehicles'!$F$13:$G$61,2,FALSE),"-")</f>
        <v>-</v>
      </c>
      <c r="CR59" s="87" t="str">
        <f>IFERROR(VLOOKUP(CR$7,'WP PPI-Vehicles'!$F$13:$G$61,2,FALSE),"-")</f>
        <v>-</v>
      </c>
      <c r="CS59" s="87">
        <f>IFERROR(VLOOKUP(CS$7,'WP PPI-Vehicles'!$F$13:$G$61,2,FALSE),"-")</f>
        <v>133.16666666666666</v>
      </c>
      <c r="CT59" s="87" t="str">
        <f>IFERROR(VLOOKUP(CT$7,'WP PPI-Vehicles'!$F$13:$G$61,2,FALSE),"-")</f>
        <v>-</v>
      </c>
      <c r="CU59" s="87" t="str">
        <f>IFERROR(VLOOKUP(CU$7,'WP PPI-Vehicles'!$F$13:$G$61,2,FALSE),"-")</f>
        <v>-</v>
      </c>
      <c r="CV59" s="87">
        <f>IFERROR(VLOOKUP(CV$7,'WP PPI-Vehicles'!$F$13:$G$61,2,FALSE),"-")</f>
        <v>137.95000000000002</v>
      </c>
      <c r="CW59" s="87" t="str">
        <f>IFERROR(VLOOKUP(CW$7,'WP PPI-Vehicles'!$F$13:$G$61,2,FALSE),"-")</f>
        <v>-</v>
      </c>
      <c r="CX59" s="87" t="str">
        <f>IFERROR(VLOOKUP(CX$7,'WP PPI-Vehicles'!$F$13:$G$61,2,FALSE),"-")</f>
        <v>-</v>
      </c>
      <c r="CY59" s="87">
        <f>IFERROR(VLOOKUP(CY$7,'WP PPI-Vehicles'!$F$13:$G$61,2,FALSE),"-")</f>
        <v>139.10000000000002</v>
      </c>
      <c r="CZ59" s="87" t="str">
        <f>IFERROR(VLOOKUP(CZ$7,'WP PPI-Vehicles'!$F$13:$G$61,2,FALSE),"-")</f>
        <v>-</v>
      </c>
      <c r="DA59" s="87" t="str">
        <f>IFERROR(VLOOKUP(DA$7,'WP PPI-Vehicles'!$F$13:$G$61,2,FALSE),"-")</f>
        <v>-</v>
      </c>
      <c r="DB59" s="87">
        <f>IFERROR(VLOOKUP(DB$7,'WP PPI-Vehicles'!$F$13:$G$61,2,FALSE),"-")</f>
        <v>140.43333333333334</v>
      </c>
      <c r="DC59" s="87" t="str">
        <f>IFERROR(VLOOKUP(DC$7,'WP PPI-Vehicles'!$F$13:$G$61,2,FALSE),"-")</f>
        <v>-</v>
      </c>
      <c r="DD59" s="87" t="str">
        <f>IFERROR(VLOOKUP(DD$7,'WP PPI-Vehicles'!$F$13:$G$61,2,FALSE),"-")</f>
        <v>-</v>
      </c>
      <c r="DE59" s="87">
        <f>IFERROR(VLOOKUP(DE$7,'WP PPI-Vehicles'!$F$13:$G$61,2,FALSE),"-")</f>
        <v>138.70000000000002</v>
      </c>
      <c r="DF59" s="87" t="str">
        <f>IFERROR(VLOOKUP(DF$7,'WP PPI-Vehicles'!$F$13:$G$61,2,FALSE),"-")</f>
        <v>-</v>
      </c>
      <c r="DG59" s="87" t="str">
        <f>IFERROR(VLOOKUP(DG$7,'WP PPI-Vehicles'!$F$13:$G$61,2,FALSE),"-")</f>
        <v>-</v>
      </c>
      <c r="DH59" s="87">
        <f>IFERROR(VLOOKUP(DH$7,'WP PPI-Vehicles'!$F$13:$G$61,2,FALSE),"-")</f>
        <v>136.84166666666667</v>
      </c>
      <c r="DI59" s="87" t="str">
        <f>IFERROR(VLOOKUP(DI$7,'WP PPI-Vehicles'!$F$13:$G$61,2,FALSE),"-")</f>
        <v>-</v>
      </c>
      <c r="DJ59" s="87" t="str">
        <f>IFERROR(VLOOKUP(DJ$7,'WP PPI-Vehicles'!$F$13:$G$61,2,FALSE),"-")</f>
        <v>-</v>
      </c>
      <c r="DK59" s="87">
        <f>IFERROR(VLOOKUP(DK$7,'WP PPI-Vehicles'!$F$13:$G$61,2,FALSE),"-")</f>
        <v>137.64166666666668</v>
      </c>
      <c r="DL59" s="87" t="str">
        <f>IFERROR(VLOOKUP(DL$7,'WP PPI-Vehicles'!$F$13:$G$61,2,FALSE),"-")</f>
        <v>-</v>
      </c>
      <c r="DM59" s="87" t="str">
        <f>IFERROR(VLOOKUP(DM$7,'WP PPI-Vehicles'!$F$13:$G$61,2,FALSE),"-")</f>
        <v>-</v>
      </c>
      <c r="DN59" s="87">
        <f>IFERROR(VLOOKUP(DN$7,'WP PPI-Vehicles'!$F$13:$G$61,2,FALSE),"-")</f>
        <v>138.76666666666665</v>
      </c>
      <c r="DO59" s="87" t="str">
        <f>IFERROR(VLOOKUP(DO$7,'WP PPI-Vehicles'!$F$13:$G$61,2,FALSE),"-")</f>
        <v>-</v>
      </c>
      <c r="DP59" s="87" t="str">
        <f>IFERROR(VLOOKUP(DP$7,'WP PPI-Vehicles'!$F$13:$G$61,2,FALSE),"-")</f>
        <v>-</v>
      </c>
      <c r="DQ59" s="87">
        <f>IFERROR(VLOOKUP(DQ$7,'WP PPI-Vehicles'!$F$13:$G$61,2,FALSE),"-")</f>
        <v>137.54166666666666</v>
      </c>
      <c r="DR59" s="87" t="str">
        <f>IFERROR(VLOOKUP(DR$7,'WP PPI-Vehicles'!$F$13:$G$61,2,FALSE),"-")</f>
        <v>-</v>
      </c>
      <c r="DS59" s="87" t="str">
        <f>IFERROR(VLOOKUP(DS$7,'WP PPI-Vehicles'!$F$13:$G$61,2,FALSE),"-")</f>
        <v>-</v>
      </c>
      <c r="DT59" s="87">
        <f>IFERROR(VLOOKUP(DT$7,'WP PPI-Vehicles'!$F$13:$G$61,2,FALSE),"-")</f>
        <v>134.89166666666668</v>
      </c>
      <c r="DU59" s="87" t="str">
        <f>IFERROR(VLOOKUP(DU$7,'WP PPI-Vehicles'!$F$13:$G$61,2,FALSE),"-")</f>
        <v>-</v>
      </c>
      <c r="DV59" s="87" t="str">
        <f>IFERROR(VLOOKUP(DV$7,'WP PPI-Vehicles'!$F$13:$G$61,2,FALSE),"-")</f>
        <v>-</v>
      </c>
      <c r="DW59" s="87">
        <f>IFERROR(VLOOKUP(DW$7,'WP PPI-Vehicles'!$F$13:$G$61,2,FALSE),"-")</f>
        <v>135.08333333333334</v>
      </c>
      <c r="DX59" s="87" t="str">
        <f>IFERROR(VLOOKUP(DX$7,'WP PPI-Vehicles'!$F$13:$G$61,2,FALSE),"-")</f>
        <v>-</v>
      </c>
      <c r="DY59" s="87" t="str">
        <f>IFERROR(VLOOKUP(DY$7,'WP PPI-Vehicles'!$F$13:$G$61,2,FALSE),"-")</f>
        <v>-</v>
      </c>
      <c r="DZ59" s="87">
        <f>IFERROR(VLOOKUP(DZ$7,'WP PPI-Vehicles'!$F$13:$G$61,2,FALSE),"-")</f>
        <v>136.47500000000002</v>
      </c>
      <c r="EA59" s="87" t="str">
        <f>IFERROR(VLOOKUP(EA$7,'WP PPI-Vehicles'!$F$13:$G$61,2,FALSE),"-")</f>
        <v>-</v>
      </c>
      <c r="EB59" s="87" t="str">
        <f>IFERROR(VLOOKUP(EB$7,'WP PPI-Vehicles'!$F$13:$G$61,2,FALSE),"-")</f>
        <v>-</v>
      </c>
      <c r="EC59" s="87">
        <f>IFERROR(VLOOKUP(EC$7,'WP PPI-Vehicles'!$F$13:$G$61,2,FALSE),"-")</f>
        <v>135.06666666666669</v>
      </c>
      <c r="ED59" s="87" t="str">
        <f>IFERROR(VLOOKUP(ED$7,'WP PPI-Vehicles'!$F$13:$G$61,2,FALSE),"-")</f>
        <v>-</v>
      </c>
      <c r="EE59" s="87" t="str">
        <f>IFERROR(VLOOKUP(EE$7,'WP PPI-Vehicles'!$F$13:$G$61,2,FALSE),"-")</f>
        <v>-</v>
      </c>
      <c r="EF59" s="87">
        <f>IFERROR(VLOOKUP(EF$7,'WP PPI-Vehicles'!$F$13:$G$61,2,FALSE),"-")</f>
        <v>130.81666666666666</v>
      </c>
      <c r="EG59" s="87" t="str">
        <f>IFERROR(VLOOKUP(EG$7,'WP PPI-Vehicles'!$F$13:$G$61,2,FALSE),"-")</f>
        <v>-</v>
      </c>
      <c r="EH59" s="87" t="str">
        <f>IFERROR(VLOOKUP(EH$7,'WP PPI-Vehicles'!$F$13:$G$61,2,FALSE),"-")</f>
        <v>-</v>
      </c>
      <c r="EI59" s="87">
        <f>IFERROR(VLOOKUP(EI$7,'WP PPI-Vehicles'!$F$13:$G$61,2,FALSE),"-")</f>
        <v>131.11666666666667</v>
      </c>
      <c r="EJ59" s="87" t="str">
        <f>IFERROR(VLOOKUP(EJ$7,'WP PPI-Vehicles'!$F$13:$G$61,2,FALSE),"-")</f>
        <v>-</v>
      </c>
      <c r="EK59" s="87" t="str">
        <f>IFERROR(VLOOKUP(EK$7,'WP PPI-Vehicles'!$F$13:$G$61,2,FALSE),"-")</f>
        <v>-</v>
      </c>
      <c r="EL59" s="87">
        <f>IFERROR(VLOOKUP(EL$7,'WP PPI-Vehicles'!$F$13:$G$61,2,FALSE),"-")</f>
        <v>132.89166666666668</v>
      </c>
      <c r="EM59" s="87" t="str">
        <f>IFERROR(VLOOKUP(EM$7,'WP PPI-Vehicles'!$F$13:$G$61,2,FALSE),"-")</f>
        <v>-</v>
      </c>
      <c r="EN59" s="87" t="str">
        <f>IFERROR(VLOOKUP(EN$7,'WP PPI-Vehicles'!$F$13:$G$61,2,FALSE),"-")</f>
        <v>-</v>
      </c>
      <c r="EO59" s="87">
        <f>IFERROR(VLOOKUP(EO$7,'WP PPI-Vehicles'!$F$13:$G$61,2,FALSE),"-")</f>
        <v>136.74166666666665</v>
      </c>
      <c r="EP59" s="87" t="str">
        <f>IFERROR(VLOOKUP(EP$7,'WP PPI-Vehicles'!$F$13:$G$61,2,FALSE),"-")</f>
        <v>-</v>
      </c>
      <c r="EQ59" s="87" t="str">
        <f>IFERROR(VLOOKUP(EQ$7,'WP PPI-Vehicles'!$F$13:$G$61,2,FALSE),"-")</f>
        <v>-</v>
      </c>
      <c r="ER59" s="87">
        <f>IFERROR(VLOOKUP(ER$7,'WP PPI-Vehicles'!$F$13:$G$61,2,FALSE),"-")</f>
        <v>136.78333333333333</v>
      </c>
      <c r="ES59" s="87" t="str">
        <f>IFERROR(VLOOKUP(ES$7,'WP PPI-Vehicles'!$F$13:$G$61,2,FALSE),"-")</f>
        <v>-</v>
      </c>
      <c r="ET59" s="87" t="str">
        <f>IFERROR(VLOOKUP(ET$7,'WP PPI-Vehicles'!$F$13:$G$61,2,FALSE),"-")</f>
        <v>-</v>
      </c>
      <c r="EU59" s="87">
        <f>IFERROR(VLOOKUP(EU$7,'WP PPI-Vehicles'!$F$13:$G$61,2,FALSE),"-")</f>
        <v>137.68333333333331</v>
      </c>
      <c r="EV59" s="87" t="str">
        <f>IFERROR(VLOOKUP(EV$7,'WP PPI-Vehicles'!$F$13:$G$61,2,FALSE),"-")</f>
        <v>-</v>
      </c>
      <c r="EW59" s="87" t="str">
        <f>IFERROR(VLOOKUP(EW$7,'WP PPI-Vehicles'!$F$13:$G$61,2,FALSE),"-")</f>
        <v>-</v>
      </c>
      <c r="EX59" s="87">
        <f>IFERROR(VLOOKUP(EX$7,'WP PPI-Vehicles'!$F$13:$G$61,2,FALSE),"-")</f>
        <v>141.24999999999997</v>
      </c>
      <c r="EY59" s="87" t="str">
        <f>IFERROR(VLOOKUP(EY$7,'WP PPI-Vehicles'!$F$13:$G$61,2,FALSE),"-")</f>
        <v>-</v>
      </c>
      <c r="EZ59" s="87" t="str">
        <f>IFERROR(VLOOKUP(EZ$7,'WP PPI-Vehicles'!$F$13:$G$61,2,FALSE),"-")</f>
        <v>-</v>
      </c>
      <c r="FA59" s="87">
        <f>IFERROR(VLOOKUP(FA$7,'WP PPI-Vehicles'!$F$13:$G$61,2,FALSE),"-")</f>
        <v>142.73333333333335</v>
      </c>
      <c r="FB59" s="87" t="str">
        <f>IFERROR(VLOOKUP(FB$7,'WP PPI-Vehicles'!$F$13:$G$61,2,FALSE),"-")</f>
        <v>-</v>
      </c>
      <c r="FC59" s="87" t="str">
        <f>IFERROR(VLOOKUP(FC$7,'WP PPI-Vehicles'!$F$13:$G$61,2,FALSE),"-")</f>
        <v>-</v>
      </c>
      <c r="FD59" s="87">
        <f>IFERROR(VLOOKUP(FD$7,'WP PPI-Vehicles'!$F$13:$G$61,2,FALSE),"-")</f>
        <v>145.33333333333331</v>
      </c>
      <c r="FE59" s="87" t="str">
        <f>IFERROR(VLOOKUP(FE$7,'WP PPI-Vehicles'!$F$13:$G$61,2,FALSE),"-")</f>
        <v>-</v>
      </c>
      <c r="FF59" s="87" t="str">
        <f>IFERROR(VLOOKUP(FF$7,'WP PPI-Vehicles'!$F$13:$G$61,2,FALSE),"-")</f>
        <v>-</v>
      </c>
      <c r="FG59" s="87">
        <f>IFERROR(VLOOKUP(FG$7,'WP PPI-Vehicles'!$F$13:$G$61,2,FALSE),"-")</f>
        <v>148.88333333333335</v>
      </c>
      <c r="FH59" s="87" t="str">
        <f>IFERROR(VLOOKUP(FH$7,'WP PPI-Vehicles'!$F$13:$G$61,2,FALSE),"-")</f>
        <v>-</v>
      </c>
      <c r="FI59" s="87" t="str">
        <f>IFERROR(VLOOKUP(FI$7,'WP PPI-Vehicles'!$F$13:$G$61,2,FALSE),"-")</f>
        <v>-</v>
      </c>
      <c r="FJ59" s="87">
        <f>IFERROR(VLOOKUP(FJ$7,'WP PPI-Vehicles'!$F$13:$G$61,2,FALSE),"-")</f>
        <v>150.10833333333335</v>
      </c>
      <c r="FK59" s="87" t="str">
        <f>IFERROR(VLOOKUP(FK$7,'WP PPI-Vehicles'!$F$13:$G$61,2,FALSE),"-")</f>
        <v>-</v>
      </c>
      <c r="FL59" s="87" t="str">
        <f>IFERROR(VLOOKUP(FL$7,'WP PPI-Vehicles'!$F$13:$G$61,2,FALSE),"-")</f>
        <v>-</v>
      </c>
      <c r="FM59" s="87">
        <f>IFERROR(VLOOKUP(FM$7,'WP PPI-Vehicles'!$F$13:$G$61,2,FALSE),"-")</f>
        <v>152.06666666666663</v>
      </c>
      <c r="FN59" s="87" t="str">
        <f>IFERROR(VLOOKUP(FN$7,'WP PPI-Vehicles'!$F$13:$G$61,2,FALSE),"-")</f>
        <v>-</v>
      </c>
      <c r="FO59" s="87" t="str">
        <f>IFERROR(VLOOKUP(FO$7,'WP PPI-Vehicles'!$F$13:$G$61,2,FALSE),"-")</f>
        <v>-</v>
      </c>
      <c r="FP59" s="87">
        <f>IFERROR(VLOOKUP(FP$7,'WP PPI-Vehicles'!$F$13:$G$61,2,FALSE),"-")</f>
        <v>153.25</v>
      </c>
      <c r="FQ59" s="87" t="str">
        <f>IFERROR(VLOOKUP(FQ$7,'WP PPI-Vehicles'!$F$13:$G$61,2,FALSE),"-")</f>
        <v>-</v>
      </c>
      <c r="FR59" s="87" t="str">
        <f>IFERROR(VLOOKUP(FR$7,'WP PPI-Vehicles'!$F$13:$G$61,2,FALSE),"-")</f>
        <v>-</v>
      </c>
      <c r="FS59" s="87">
        <f>IFERROR(VLOOKUP(FS$7,'WP PPI-Vehicles'!$F$13:$G$61,2,FALSE),"-")</f>
        <v>153.59166666666664</v>
      </c>
      <c r="FT59" s="87" t="str">
        <f>IFERROR(VLOOKUP(FT$7,'WP PPI-Vehicles'!$F$13:$G$61,2,FALSE),"-")</f>
        <v>-</v>
      </c>
      <c r="FU59" s="87" t="str">
        <f>IFERROR(VLOOKUP(FU$7,'WP PPI-Vehicles'!$F$13:$G$61,2,FALSE),"-")</f>
        <v>-</v>
      </c>
      <c r="FV59" s="87">
        <f>IFERROR(VLOOKUP(FV$7,'WP PPI-Vehicles'!$F$13:$G$61,2,FALSE),"-")</f>
        <v>153.10833333333332</v>
      </c>
      <c r="FW59" s="87" t="str">
        <f>IFERROR(VLOOKUP(FW$7,'WP PPI-Vehicles'!$F$13:$G$61,2,FALSE),"-")</f>
        <v>-</v>
      </c>
      <c r="FX59" s="87" t="str">
        <f>IFERROR(VLOOKUP(FX$7,'WP PPI-Vehicles'!$F$13:$G$61,2,FALSE),"-")</f>
        <v>-</v>
      </c>
      <c r="FY59" s="87">
        <f>IFERROR(VLOOKUP(FY$7,'WP PPI-Vehicles'!$F$13:$G$61,2,FALSE),"-")</f>
        <v>157.53175000000002</v>
      </c>
      <c r="FZ59" s="87" t="str">
        <f>IFERROR(VLOOKUP(FZ$7,'WP PPI-Vehicles'!$F$13:$G$61,2,FALSE),"-")</f>
        <v>-</v>
      </c>
      <c r="GA59" s="87" t="str">
        <f>IFERROR(VLOOKUP(GA$7,'WP PPI-Vehicles'!$F$13:$G$61,2,FALSE),"-")</f>
        <v>-</v>
      </c>
      <c r="GB59" s="87">
        <f>IFERROR(VLOOKUP(GB$7,'WP PPI-Vehicles'!$F$13:$G$61,2,FALSE),"-")</f>
        <v>164.06566666666669</v>
      </c>
      <c r="GC59" s="87" t="str">
        <f>IFERROR(VLOOKUP(GC$7,'WP PPI-Vehicles'!$F$13:$G$61,2,FALSE),"-")</f>
        <v>-</v>
      </c>
      <c r="GD59" s="87" t="str">
        <f>IFERROR(VLOOKUP(GD$7,'WP PPI-Vehicles'!$F$13:$G$61,2,FALSE),"-")</f>
        <v>-</v>
      </c>
      <c r="GE59" s="140">
        <f>IFERROR(VLOOKUP(GE$7,'WP PPI-Vehicles'!$F$13:$G$61,2,FALSE),"-")</f>
        <v>168.01624999999999</v>
      </c>
      <c r="GF59" s="54"/>
      <c r="GG59" s="104"/>
      <c r="GH59" s="97">
        <f t="shared" si="2"/>
        <v>0</v>
      </c>
      <c r="GI59" s="105"/>
      <c r="GJ59" s="105"/>
      <c r="GK59" s="97">
        <f t="shared" si="4"/>
        <v>0</v>
      </c>
      <c r="GL59" s="105"/>
      <c r="GM59" s="105"/>
      <c r="GN59" s="97">
        <f t="shared" si="5"/>
        <v>0</v>
      </c>
      <c r="GO59" s="105"/>
      <c r="GP59" s="105"/>
      <c r="GQ59" s="97">
        <f t="shared" si="6"/>
        <v>0</v>
      </c>
      <c r="GR59" s="105"/>
      <c r="GS59" s="105"/>
    </row>
    <row r="60" spans="1:201" ht="10.5" customHeight="1" x14ac:dyDescent="0.3">
      <c r="A60" s="99">
        <f t="shared" si="3"/>
        <v>53</v>
      </c>
      <c r="B60" s="139"/>
      <c r="C60" s="86"/>
      <c r="D60" s="87"/>
      <c r="E60" s="87"/>
      <c r="F60" s="87"/>
      <c r="G60" s="88"/>
      <c r="H60" s="87"/>
      <c r="I60" s="87"/>
      <c r="J60" s="87"/>
      <c r="K60" s="87"/>
      <c r="L60" s="88"/>
      <c r="M60" s="87"/>
      <c r="N60" s="87"/>
      <c r="O60" s="87"/>
      <c r="P60" s="87"/>
      <c r="Q60" s="88"/>
      <c r="R60" s="87"/>
      <c r="S60" s="86"/>
      <c r="T60" s="87"/>
      <c r="U60" s="89"/>
      <c r="V60" s="87"/>
      <c r="W60" s="89"/>
      <c r="X60" s="87"/>
      <c r="Y60" s="89"/>
      <c r="Z60" s="87"/>
      <c r="AA60" s="88"/>
      <c r="AB60" s="87"/>
      <c r="AC60" s="89"/>
      <c r="AD60" s="87"/>
      <c r="AE60" s="88"/>
      <c r="AF60" s="87"/>
      <c r="AG60" s="88"/>
      <c r="AH60" s="87"/>
      <c r="AI60" s="89"/>
      <c r="AJ60" s="87"/>
      <c r="AK60" s="88"/>
      <c r="AL60" s="87"/>
      <c r="AM60" s="87"/>
      <c r="AN60" s="87"/>
      <c r="AO60" s="87"/>
      <c r="AP60" s="87"/>
      <c r="AQ60" s="89"/>
      <c r="AR60" s="87"/>
      <c r="AS60" s="88"/>
      <c r="AT60" s="87"/>
      <c r="AU60" s="88"/>
      <c r="AV60" s="87"/>
      <c r="AW60" s="86"/>
      <c r="AX60" s="87"/>
      <c r="AY60" s="89"/>
      <c r="AZ60" s="87"/>
      <c r="BA60" s="89"/>
      <c r="BB60" s="87"/>
      <c r="BC60" s="89"/>
      <c r="BD60" s="87"/>
      <c r="BE60" s="88"/>
      <c r="BF60" s="87"/>
      <c r="BG60" s="88"/>
      <c r="BH60" s="87"/>
      <c r="BI60" s="89"/>
      <c r="BJ60" s="87"/>
      <c r="BK60" s="87"/>
      <c r="BL60" s="87"/>
      <c r="BM60" s="88"/>
      <c r="BN60" s="87"/>
      <c r="BO60" s="88"/>
      <c r="BP60" s="87"/>
      <c r="BQ60" s="88"/>
      <c r="BR60" s="87"/>
      <c r="BS60" s="88"/>
      <c r="BT60" s="87"/>
      <c r="BU60" s="88"/>
      <c r="BV60" s="87"/>
      <c r="BW60" s="88"/>
      <c r="BX60" s="87"/>
      <c r="BY60" s="88"/>
      <c r="BZ60" s="87"/>
      <c r="CA60" s="88"/>
      <c r="CB60" s="87"/>
      <c r="CC60" s="89"/>
      <c r="CD60" s="91"/>
      <c r="CE60" s="88"/>
      <c r="CF60" s="88"/>
      <c r="CG60" s="88"/>
      <c r="CH60" s="87"/>
      <c r="CI60" s="89"/>
      <c r="CJ60" s="91"/>
      <c r="CK60" s="88"/>
      <c r="CL60" s="89"/>
      <c r="CM60" s="91"/>
      <c r="CN60" s="88"/>
      <c r="CO60" s="88"/>
      <c r="CP60" s="88"/>
      <c r="CQ60" s="87"/>
      <c r="CR60" s="89"/>
      <c r="CS60" s="91"/>
      <c r="CT60" s="91"/>
      <c r="CU60" s="91"/>
      <c r="CV60" s="91"/>
      <c r="CW60" s="91"/>
      <c r="CX60" s="91"/>
      <c r="CY60" s="91"/>
      <c r="CZ60" s="91"/>
      <c r="DA60" s="91"/>
      <c r="DB60" s="91"/>
      <c r="DC60" s="91"/>
      <c r="DD60" s="91"/>
      <c r="DE60" s="91"/>
      <c r="DF60" s="91"/>
      <c r="DG60" s="91"/>
      <c r="DH60" s="91"/>
      <c r="DI60" s="91"/>
      <c r="DJ60" s="91"/>
      <c r="DK60" s="91"/>
      <c r="DL60" s="91"/>
      <c r="DM60" s="91"/>
      <c r="DN60" s="91"/>
      <c r="DO60" s="91"/>
      <c r="DP60" s="91"/>
      <c r="DQ60" s="91"/>
      <c r="DR60" s="91"/>
      <c r="DS60" s="91"/>
      <c r="DT60" s="91"/>
      <c r="DU60" s="91"/>
      <c r="DV60" s="91"/>
      <c r="DW60" s="91"/>
      <c r="DX60" s="91"/>
      <c r="DY60" s="91"/>
      <c r="DZ60" s="91"/>
      <c r="EA60" s="91"/>
      <c r="EB60" s="91"/>
      <c r="EC60" s="91"/>
      <c r="ED60" s="102"/>
      <c r="EE60" s="102"/>
      <c r="EF60" s="91"/>
      <c r="EG60" s="102"/>
      <c r="EH60" s="102"/>
      <c r="EI60" s="91"/>
      <c r="EJ60" s="102"/>
      <c r="EK60" s="102"/>
      <c r="EL60" s="91"/>
      <c r="EM60" s="102"/>
      <c r="EN60" s="102"/>
      <c r="EO60" s="91"/>
      <c r="EP60" s="102"/>
      <c r="EQ60" s="103"/>
      <c r="ER60" s="91"/>
      <c r="ES60" s="54"/>
      <c r="ET60" s="54"/>
      <c r="EU60" s="91"/>
      <c r="EV60" s="54"/>
      <c r="EW60" s="54"/>
      <c r="EX60" s="91"/>
      <c r="EY60" s="54"/>
      <c r="EZ60" s="54"/>
      <c r="FA60" s="91"/>
      <c r="FB60" s="54"/>
      <c r="FC60" s="54"/>
      <c r="FD60" s="91"/>
      <c r="FE60" s="54"/>
      <c r="FF60" s="54"/>
      <c r="FG60" s="91"/>
      <c r="FH60" s="54"/>
      <c r="FI60" s="54"/>
      <c r="FJ60" s="91"/>
      <c r="FK60" s="54"/>
      <c r="FL60" s="54"/>
      <c r="FM60" s="91"/>
      <c r="FN60" s="54"/>
      <c r="FO60" s="54"/>
      <c r="FP60" s="87"/>
      <c r="FQ60" s="54"/>
      <c r="FR60" s="54"/>
      <c r="FS60" s="91"/>
      <c r="FT60" s="54"/>
      <c r="FU60" s="54"/>
      <c r="FV60" s="91"/>
      <c r="FW60" s="54"/>
      <c r="FX60" s="54"/>
      <c r="FY60" s="91"/>
      <c r="FZ60" s="54"/>
      <c r="GA60" s="54"/>
      <c r="GB60" s="91"/>
      <c r="GC60" s="54"/>
      <c r="GD60" s="54"/>
      <c r="GE60" s="91"/>
      <c r="GF60" s="54"/>
      <c r="GG60" s="104"/>
      <c r="GH60" s="97">
        <f t="shared" si="2"/>
        <v>0</v>
      </c>
      <c r="GI60" s="105"/>
      <c r="GJ60" s="105"/>
      <c r="GK60" s="97">
        <f t="shared" si="4"/>
        <v>0</v>
      </c>
      <c r="GL60" s="105"/>
      <c r="GM60" s="105"/>
      <c r="GN60" s="97">
        <f t="shared" si="5"/>
        <v>0</v>
      </c>
      <c r="GO60" s="105"/>
      <c r="GP60" s="105"/>
      <c r="GQ60" s="97">
        <f t="shared" si="6"/>
        <v>0</v>
      </c>
      <c r="GR60" s="105"/>
      <c r="GS60" s="105"/>
    </row>
    <row r="61" spans="1:201" ht="10.5" customHeight="1" x14ac:dyDescent="0.3">
      <c r="A61" s="99">
        <f t="shared" si="3"/>
        <v>54</v>
      </c>
      <c r="B61" s="56"/>
      <c r="C61" s="86"/>
      <c r="D61" s="87"/>
      <c r="E61" s="87"/>
      <c r="F61" s="87"/>
      <c r="G61" s="88"/>
      <c r="H61" s="87"/>
      <c r="I61" s="87"/>
      <c r="J61" s="87"/>
      <c r="K61" s="87"/>
      <c r="L61" s="88"/>
      <c r="M61" s="87"/>
      <c r="N61" s="87"/>
      <c r="O61" s="87"/>
      <c r="P61" s="87"/>
      <c r="Q61" s="88"/>
      <c r="R61" s="87"/>
      <c r="S61" s="86"/>
      <c r="T61" s="87"/>
      <c r="U61" s="89"/>
      <c r="V61" s="87"/>
      <c r="W61" s="89"/>
      <c r="X61" s="87"/>
      <c r="Y61" s="89"/>
      <c r="Z61" s="87"/>
      <c r="AA61" s="88"/>
      <c r="AB61" s="87"/>
      <c r="AC61" s="89"/>
      <c r="AD61" s="87"/>
      <c r="AE61" s="88"/>
      <c r="AF61" s="87"/>
      <c r="AG61" s="88"/>
      <c r="AH61" s="87"/>
      <c r="AI61" s="89"/>
      <c r="AJ61" s="87"/>
      <c r="AK61" s="88"/>
      <c r="AL61" s="87"/>
      <c r="AM61" s="87"/>
      <c r="AN61" s="87"/>
      <c r="AO61" s="87"/>
      <c r="AP61" s="87"/>
      <c r="AQ61" s="89"/>
      <c r="AR61" s="87"/>
      <c r="AS61" s="88"/>
      <c r="AT61" s="87"/>
      <c r="AU61" s="88"/>
      <c r="AV61" s="87"/>
      <c r="AW61" s="86"/>
      <c r="AX61" s="87"/>
      <c r="AY61" s="89"/>
      <c r="AZ61" s="87"/>
      <c r="BA61" s="89"/>
      <c r="BB61" s="87"/>
      <c r="BC61" s="89"/>
      <c r="BD61" s="87"/>
      <c r="BE61" s="88"/>
      <c r="BF61" s="87"/>
      <c r="BG61" s="88"/>
      <c r="BH61" s="87"/>
      <c r="BI61" s="89"/>
      <c r="BJ61" s="87"/>
      <c r="BK61" s="87"/>
      <c r="BL61" s="87"/>
      <c r="BM61" s="88"/>
      <c r="BN61" s="87"/>
      <c r="BO61" s="88"/>
      <c r="BP61" s="87"/>
      <c r="BQ61" s="88"/>
      <c r="BR61" s="87"/>
      <c r="BS61" s="88"/>
      <c r="BT61" s="87"/>
      <c r="BU61" s="88"/>
      <c r="BV61" s="87"/>
      <c r="BW61" s="88"/>
      <c r="BX61" s="87"/>
      <c r="BY61" s="88"/>
      <c r="BZ61" s="87"/>
      <c r="CA61" s="88"/>
      <c r="CB61" s="87"/>
      <c r="CC61" s="89"/>
      <c r="CD61" s="91"/>
      <c r="CE61" s="88"/>
      <c r="CF61" s="88"/>
      <c r="CG61" s="88"/>
      <c r="CH61" s="87"/>
      <c r="CI61" s="89"/>
      <c r="CJ61" s="91"/>
      <c r="CK61" s="88"/>
      <c r="CL61" s="89"/>
      <c r="CM61" s="91"/>
      <c r="CN61" s="88"/>
      <c r="CO61" s="88"/>
      <c r="CP61" s="88"/>
      <c r="CQ61" s="87"/>
      <c r="CR61" s="89"/>
      <c r="CS61" s="91"/>
      <c r="CT61" s="91"/>
      <c r="CU61" s="91"/>
      <c r="CV61" s="91"/>
      <c r="CW61" s="91"/>
      <c r="CX61" s="91"/>
      <c r="CY61" s="91"/>
      <c r="CZ61" s="91"/>
      <c r="DA61" s="91"/>
      <c r="DB61" s="91"/>
      <c r="DC61" s="91"/>
      <c r="DD61" s="91"/>
      <c r="DE61" s="91"/>
      <c r="DF61" s="91"/>
      <c r="DG61" s="91"/>
      <c r="DH61" s="91"/>
      <c r="DI61" s="91"/>
      <c r="DJ61" s="91"/>
      <c r="DK61" s="91"/>
      <c r="DL61" s="91"/>
      <c r="DM61" s="91"/>
      <c r="DN61" s="91"/>
      <c r="DO61" s="91"/>
      <c r="DP61" s="91"/>
      <c r="DQ61" s="91"/>
      <c r="DR61" s="91"/>
      <c r="DS61" s="91"/>
      <c r="DT61" s="91"/>
      <c r="DU61" s="91"/>
      <c r="DV61" s="91"/>
      <c r="DW61" s="91"/>
      <c r="DX61" s="91"/>
      <c r="DY61" s="91"/>
      <c r="DZ61" s="91"/>
      <c r="EA61" s="91"/>
      <c r="EB61" s="91"/>
      <c r="EC61" s="91"/>
      <c r="ED61" s="102"/>
      <c r="EE61" s="102"/>
      <c r="EF61" s="91"/>
      <c r="EG61" s="102"/>
      <c r="EH61" s="102"/>
      <c r="EI61" s="91"/>
      <c r="EJ61" s="102"/>
      <c r="EK61" s="102"/>
      <c r="EL61" s="91"/>
      <c r="EM61" s="102"/>
      <c r="EN61" s="102"/>
      <c r="EO61" s="91"/>
      <c r="EP61" s="102"/>
      <c r="EQ61" s="103"/>
      <c r="ER61" s="91"/>
      <c r="ES61" s="54"/>
      <c r="ET61" s="54"/>
      <c r="EU61" s="91"/>
      <c r="EV61" s="54"/>
      <c r="EW61" s="54"/>
      <c r="EX61" s="91"/>
      <c r="EY61" s="54"/>
      <c r="EZ61" s="54"/>
      <c r="FA61" s="91"/>
      <c r="FB61" s="54"/>
      <c r="FC61" s="54"/>
      <c r="FD61" s="91"/>
      <c r="FE61" s="54"/>
      <c r="FF61" s="54"/>
      <c r="FG61" s="91"/>
      <c r="FH61" s="54"/>
      <c r="FI61" s="54"/>
      <c r="FJ61" s="91"/>
      <c r="FK61" s="54"/>
      <c r="FL61" s="54"/>
      <c r="FM61" s="91"/>
      <c r="FN61" s="54"/>
      <c r="FO61" s="54"/>
      <c r="FP61" s="87"/>
      <c r="FQ61" s="54"/>
      <c r="FR61" s="54"/>
      <c r="FS61" s="91"/>
      <c r="FT61" s="54"/>
      <c r="FU61" s="54"/>
      <c r="FV61" s="91"/>
      <c r="FW61" s="54"/>
      <c r="FX61" s="54"/>
      <c r="FY61" s="91"/>
      <c r="FZ61" s="54"/>
      <c r="GA61" s="54"/>
      <c r="GB61" s="91"/>
      <c r="GC61" s="54"/>
      <c r="GD61" s="54"/>
      <c r="GE61" s="91"/>
      <c r="GF61" s="54"/>
      <c r="GG61" s="104"/>
      <c r="GH61" s="97">
        <f t="shared" si="2"/>
        <v>0</v>
      </c>
      <c r="GI61" s="105"/>
      <c r="GJ61" s="105"/>
      <c r="GK61" s="97">
        <f t="shared" si="4"/>
        <v>0</v>
      </c>
      <c r="GL61" s="105"/>
      <c r="GM61" s="105"/>
      <c r="GN61" s="97">
        <f t="shared" si="5"/>
        <v>0</v>
      </c>
      <c r="GO61" s="105"/>
      <c r="GP61" s="105"/>
      <c r="GQ61" s="97">
        <f t="shared" si="6"/>
        <v>0</v>
      </c>
      <c r="GR61" s="105"/>
      <c r="GS61" s="105"/>
    </row>
    <row r="62" spans="1:201" ht="10.5" customHeight="1" x14ac:dyDescent="0.3">
      <c r="A62" s="99">
        <f t="shared" si="3"/>
        <v>55</v>
      </c>
      <c r="B62" s="56"/>
      <c r="C62" s="86"/>
      <c r="D62" s="87"/>
      <c r="E62" s="87"/>
      <c r="F62" s="87"/>
      <c r="G62" s="88"/>
      <c r="H62" s="87"/>
      <c r="I62" s="87"/>
      <c r="J62" s="87"/>
      <c r="K62" s="87"/>
      <c r="L62" s="88"/>
      <c r="M62" s="87"/>
      <c r="N62" s="87"/>
      <c r="O62" s="87"/>
      <c r="P62" s="87"/>
      <c r="Q62" s="88"/>
      <c r="R62" s="87"/>
      <c r="S62" s="86"/>
      <c r="T62" s="87"/>
      <c r="U62" s="89"/>
      <c r="V62" s="87"/>
      <c r="W62" s="89"/>
      <c r="X62" s="87"/>
      <c r="Y62" s="89"/>
      <c r="Z62" s="87"/>
      <c r="AA62" s="88"/>
      <c r="AB62" s="87"/>
      <c r="AC62" s="89"/>
      <c r="AD62" s="87"/>
      <c r="AE62" s="88"/>
      <c r="AF62" s="87"/>
      <c r="AG62" s="88"/>
      <c r="AH62" s="87"/>
      <c r="AI62" s="89"/>
      <c r="AJ62" s="87"/>
      <c r="AK62" s="88"/>
      <c r="AL62" s="87"/>
      <c r="AM62" s="87"/>
      <c r="AN62" s="87"/>
      <c r="AO62" s="87"/>
      <c r="AP62" s="87"/>
      <c r="AQ62" s="89"/>
      <c r="AR62" s="87"/>
      <c r="AS62" s="88"/>
      <c r="AT62" s="87"/>
      <c r="AU62" s="88"/>
      <c r="AV62" s="87"/>
      <c r="AW62" s="86"/>
      <c r="AX62" s="87"/>
      <c r="AY62" s="89"/>
      <c r="AZ62" s="87"/>
      <c r="BA62" s="89"/>
      <c r="BB62" s="87"/>
      <c r="BC62" s="89"/>
      <c r="BD62" s="87"/>
      <c r="BE62" s="88"/>
      <c r="BF62" s="87"/>
      <c r="BG62" s="88"/>
      <c r="BH62" s="87"/>
      <c r="BI62" s="89"/>
      <c r="BJ62" s="87"/>
      <c r="BK62" s="87"/>
      <c r="BL62" s="87"/>
      <c r="BM62" s="88"/>
      <c r="BN62" s="87"/>
      <c r="BO62" s="88"/>
      <c r="BP62" s="87"/>
      <c r="BQ62" s="88"/>
      <c r="BR62" s="87"/>
      <c r="BS62" s="88"/>
      <c r="BT62" s="87"/>
      <c r="BU62" s="88"/>
      <c r="BV62" s="87"/>
      <c r="BW62" s="88"/>
      <c r="BX62" s="87"/>
      <c r="BY62" s="88"/>
      <c r="BZ62" s="87"/>
      <c r="CA62" s="88"/>
      <c r="CB62" s="87"/>
      <c r="CC62" s="89"/>
      <c r="CD62" s="91"/>
      <c r="CE62" s="88"/>
      <c r="CF62" s="88"/>
      <c r="CG62" s="88"/>
      <c r="CH62" s="87"/>
      <c r="CI62" s="89"/>
      <c r="CJ62" s="91"/>
      <c r="CK62" s="88"/>
      <c r="CL62" s="89"/>
      <c r="CM62" s="91"/>
      <c r="CN62" s="88"/>
      <c r="CO62" s="88"/>
      <c r="CP62" s="88"/>
      <c r="CQ62" s="87"/>
      <c r="CR62" s="89"/>
      <c r="CS62" s="91"/>
      <c r="CT62" s="91"/>
      <c r="CU62" s="91"/>
      <c r="CV62" s="91"/>
      <c r="CW62" s="91"/>
      <c r="CX62" s="91"/>
      <c r="CY62" s="91"/>
      <c r="CZ62" s="91"/>
      <c r="DA62" s="91"/>
      <c r="DB62" s="91"/>
      <c r="DC62" s="91"/>
      <c r="DD62" s="91"/>
      <c r="DE62" s="91"/>
      <c r="DF62" s="91"/>
      <c r="DG62" s="91"/>
      <c r="DH62" s="91"/>
      <c r="DI62" s="91"/>
      <c r="DJ62" s="91"/>
      <c r="DK62" s="91"/>
      <c r="DL62" s="91"/>
      <c r="DM62" s="91"/>
      <c r="DN62" s="91"/>
      <c r="DO62" s="91"/>
      <c r="DP62" s="91"/>
      <c r="DQ62" s="91"/>
      <c r="DR62" s="91"/>
      <c r="DS62" s="91"/>
      <c r="DT62" s="91"/>
      <c r="DU62" s="91"/>
      <c r="DV62" s="91"/>
      <c r="DW62" s="91"/>
      <c r="DX62" s="91"/>
      <c r="DY62" s="91"/>
      <c r="DZ62" s="91"/>
      <c r="EA62" s="91"/>
      <c r="EB62" s="91"/>
      <c r="EC62" s="91"/>
      <c r="ED62" s="102"/>
      <c r="EE62" s="102"/>
      <c r="EF62" s="91"/>
      <c r="EG62" s="102"/>
      <c r="EH62" s="102"/>
      <c r="EI62" s="91"/>
      <c r="EJ62" s="102"/>
      <c r="EK62" s="102"/>
      <c r="EL62" s="91"/>
      <c r="EM62" s="102"/>
      <c r="EN62" s="102"/>
      <c r="EO62" s="91"/>
      <c r="EP62" s="102"/>
      <c r="EQ62" s="103"/>
      <c r="ER62" s="91"/>
      <c r="ES62" s="54"/>
      <c r="ET62" s="54"/>
      <c r="EU62" s="91"/>
      <c r="EV62" s="54"/>
      <c r="EW62" s="54"/>
      <c r="EX62" s="91"/>
      <c r="EY62" s="54"/>
      <c r="EZ62" s="54"/>
      <c r="FA62" s="91"/>
      <c r="FB62" s="54"/>
      <c r="FC62" s="54"/>
      <c r="FD62" s="91"/>
      <c r="FE62" s="54"/>
      <c r="FF62" s="54"/>
      <c r="FG62" s="91"/>
      <c r="FH62" s="54"/>
      <c r="FI62" s="54"/>
      <c r="FJ62" s="91"/>
      <c r="FK62" s="54"/>
      <c r="FL62" s="54"/>
      <c r="FM62" s="91"/>
      <c r="FN62" s="54"/>
      <c r="FO62" s="54"/>
      <c r="FP62" s="87"/>
      <c r="FQ62" s="54"/>
      <c r="FR62" s="54"/>
      <c r="FS62" s="91"/>
      <c r="FT62" s="54"/>
      <c r="FU62" s="54"/>
      <c r="FV62" s="91"/>
      <c r="FW62" s="54"/>
      <c r="FX62" s="54"/>
      <c r="FY62" s="91"/>
      <c r="FZ62" s="54"/>
      <c r="GA62" s="54"/>
      <c r="GB62" s="91"/>
      <c r="GC62" s="54"/>
      <c r="GD62" s="54"/>
      <c r="GE62" s="91"/>
      <c r="GF62" s="54"/>
      <c r="GG62" s="104"/>
      <c r="GH62" s="97">
        <f t="shared" si="2"/>
        <v>0</v>
      </c>
      <c r="GI62" s="105"/>
      <c r="GJ62" s="105"/>
      <c r="GK62" s="97">
        <f t="shared" si="4"/>
        <v>0</v>
      </c>
      <c r="GL62" s="105"/>
      <c r="GM62" s="105"/>
      <c r="GN62" s="97">
        <f t="shared" si="5"/>
        <v>0</v>
      </c>
      <c r="GO62" s="105"/>
      <c r="GP62" s="105"/>
      <c r="GQ62" s="97">
        <f t="shared" si="6"/>
        <v>0</v>
      </c>
      <c r="GR62" s="105"/>
      <c r="GS62" s="105"/>
    </row>
    <row r="63" spans="1:201" ht="10.5" customHeight="1" x14ac:dyDescent="0.3">
      <c r="A63" s="116">
        <f t="shared" si="3"/>
        <v>56</v>
      </c>
      <c r="B63" s="117"/>
      <c r="C63" s="118"/>
      <c r="D63" s="119"/>
      <c r="E63" s="119"/>
      <c r="F63" s="119"/>
      <c r="G63" s="120"/>
      <c r="H63" s="119"/>
      <c r="I63" s="119"/>
      <c r="J63" s="119"/>
      <c r="K63" s="119"/>
      <c r="L63" s="120"/>
      <c r="M63" s="119"/>
      <c r="N63" s="119"/>
      <c r="O63" s="119"/>
      <c r="P63" s="119"/>
      <c r="Q63" s="121"/>
      <c r="R63" s="119"/>
      <c r="S63" s="118"/>
      <c r="T63" s="119"/>
      <c r="U63" s="120"/>
      <c r="V63" s="119"/>
      <c r="W63" s="120"/>
      <c r="X63" s="119"/>
      <c r="Y63" s="120"/>
      <c r="Z63" s="119"/>
      <c r="AA63" s="120"/>
      <c r="AB63" s="119"/>
      <c r="AC63" s="120"/>
      <c r="AD63" s="119"/>
      <c r="AE63" s="121"/>
      <c r="AF63" s="119"/>
      <c r="AG63" s="121"/>
      <c r="AH63" s="119"/>
      <c r="AI63" s="120"/>
      <c r="AJ63" s="119"/>
      <c r="AK63" s="120"/>
      <c r="AL63" s="119"/>
      <c r="AM63" s="119"/>
      <c r="AN63" s="119"/>
      <c r="AO63" s="119"/>
      <c r="AP63" s="119"/>
      <c r="AQ63" s="120"/>
      <c r="AR63" s="119"/>
      <c r="AS63" s="121"/>
      <c r="AT63" s="119"/>
      <c r="AU63" s="120"/>
      <c r="AV63" s="119"/>
      <c r="AW63" s="118"/>
      <c r="AX63" s="119"/>
      <c r="AY63" s="120"/>
      <c r="AZ63" s="119"/>
      <c r="BA63" s="120"/>
      <c r="BB63" s="119"/>
      <c r="BC63" s="120"/>
      <c r="BD63" s="119"/>
      <c r="BE63" s="120"/>
      <c r="BF63" s="119"/>
      <c r="BG63" s="121"/>
      <c r="BH63" s="119"/>
      <c r="BI63" s="120"/>
      <c r="BJ63" s="119"/>
      <c r="BK63" s="119"/>
      <c r="BL63" s="119"/>
      <c r="BM63" s="120"/>
      <c r="BN63" s="119"/>
      <c r="BO63" s="120"/>
      <c r="BP63" s="119"/>
      <c r="BQ63" s="120"/>
      <c r="BR63" s="119"/>
      <c r="BS63" s="120"/>
      <c r="BT63" s="119"/>
      <c r="BU63" s="121"/>
      <c r="BV63" s="119"/>
      <c r="BW63" s="120"/>
      <c r="BX63" s="119"/>
      <c r="BY63" s="120"/>
      <c r="BZ63" s="119"/>
      <c r="CA63" s="120"/>
      <c r="CB63" s="119"/>
      <c r="CC63" s="120"/>
      <c r="CD63" s="122"/>
      <c r="CE63" s="121"/>
      <c r="CF63" s="120"/>
      <c r="CG63" s="120"/>
      <c r="CH63" s="119"/>
      <c r="CI63" s="120"/>
      <c r="CJ63" s="122"/>
      <c r="CK63" s="121"/>
      <c r="CL63" s="120"/>
      <c r="CM63" s="122"/>
      <c r="CN63" s="121"/>
      <c r="CO63" s="120"/>
      <c r="CP63" s="120"/>
      <c r="CQ63" s="119"/>
      <c r="CR63" s="120"/>
      <c r="CS63" s="122"/>
      <c r="CT63" s="123"/>
      <c r="CU63" s="123"/>
      <c r="CV63" s="122"/>
      <c r="CW63" s="123"/>
      <c r="CX63" s="123"/>
      <c r="CY63" s="122"/>
      <c r="CZ63" s="123"/>
      <c r="DA63" s="123"/>
      <c r="DB63" s="122"/>
      <c r="DC63" s="123"/>
      <c r="DD63" s="123"/>
      <c r="DE63" s="122"/>
      <c r="DF63" s="123"/>
      <c r="DG63" s="123"/>
      <c r="DH63" s="123"/>
      <c r="DI63" s="123"/>
      <c r="DJ63" s="123"/>
      <c r="DK63" s="123"/>
      <c r="DL63" s="123"/>
      <c r="DM63" s="123"/>
      <c r="DN63" s="123"/>
      <c r="DO63" s="123"/>
      <c r="DP63" s="123"/>
      <c r="DQ63" s="123"/>
      <c r="DR63" s="123"/>
      <c r="DS63" s="123"/>
      <c r="DT63" s="123"/>
      <c r="DU63" s="123"/>
      <c r="DV63" s="122"/>
      <c r="DW63" s="123"/>
      <c r="DX63" s="122"/>
      <c r="DY63" s="123"/>
      <c r="DZ63" s="123"/>
      <c r="EA63" s="123"/>
      <c r="EB63" s="123"/>
      <c r="EC63" s="123"/>
      <c r="ED63" s="124"/>
      <c r="EE63" s="124"/>
      <c r="EF63" s="123"/>
      <c r="EG63" s="124"/>
      <c r="EH63" s="124"/>
      <c r="EI63" s="123"/>
      <c r="EJ63" s="124"/>
      <c r="EK63" s="124"/>
      <c r="EL63" s="123"/>
      <c r="EM63" s="124"/>
      <c r="EN63" s="124"/>
      <c r="EO63" s="123"/>
      <c r="EP63" s="124"/>
      <c r="EQ63" s="125"/>
      <c r="ER63" s="123"/>
      <c r="ES63" s="126"/>
      <c r="ET63" s="126"/>
      <c r="EU63" s="123"/>
      <c r="EV63" s="126"/>
      <c r="EW63" s="126"/>
      <c r="EX63" s="123"/>
      <c r="EY63" s="126"/>
      <c r="EZ63" s="126"/>
      <c r="FA63" s="123"/>
      <c r="FB63" s="126"/>
      <c r="FC63" s="126"/>
      <c r="FD63" s="123"/>
      <c r="FE63" s="126"/>
      <c r="FF63" s="126"/>
      <c r="FG63" s="123"/>
      <c r="FH63" s="126"/>
      <c r="FI63" s="126"/>
      <c r="FJ63" s="123"/>
      <c r="FK63" s="126"/>
      <c r="FL63" s="126"/>
      <c r="FM63" s="123"/>
      <c r="FN63" s="126"/>
      <c r="FO63" s="126"/>
      <c r="FP63" s="119"/>
      <c r="FQ63" s="126"/>
      <c r="FR63" s="126"/>
      <c r="FS63" s="123"/>
      <c r="FT63" s="126"/>
      <c r="FU63" s="126"/>
      <c r="FV63" s="123"/>
      <c r="FW63" s="126"/>
      <c r="FX63" s="126"/>
      <c r="FY63" s="123"/>
      <c r="FZ63" s="126"/>
      <c r="GA63" s="126"/>
      <c r="GB63" s="123"/>
      <c r="GC63" s="126"/>
      <c r="GD63" s="126"/>
      <c r="GE63" s="123"/>
      <c r="GF63" s="126"/>
      <c r="GG63" s="127"/>
      <c r="GH63" s="97">
        <f t="shared" si="2"/>
        <v>0</v>
      </c>
      <c r="GI63" s="128"/>
      <c r="GJ63" s="128"/>
      <c r="GK63" s="129"/>
      <c r="GL63" s="128"/>
      <c r="GM63" s="128"/>
      <c r="GN63" s="129"/>
      <c r="GO63" s="128"/>
      <c r="GP63" s="128"/>
      <c r="GQ63" s="129"/>
      <c r="GR63" s="128"/>
      <c r="GS63" s="128"/>
    </row>
    <row r="64" spans="1:201" x14ac:dyDescent="0.3">
      <c r="A64" s="130"/>
      <c r="B64" s="37"/>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EC64" s="131"/>
      <c r="EF64" s="131"/>
      <c r="EI64" s="131"/>
      <c r="EL64" s="131"/>
      <c r="EO64" s="131"/>
      <c r="ER64" s="131"/>
      <c r="EU64" s="131"/>
      <c r="EX64" s="131"/>
      <c r="FA64" s="131"/>
      <c r="FD64" s="131"/>
      <c r="FG64" s="131"/>
      <c r="FJ64" s="131"/>
      <c r="FM64" s="131"/>
      <c r="FP64" s="131"/>
      <c r="FS64" s="131"/>
      <c r="FV64" s="131"/>
      <c r="FY64" s="131"/>
      <c r="GB64" s="131"/>
      <c r="GE64" s="131"/>
      <c r="GK64" s="131"/>
      <c r="GN64" s="131"/>
      <c r="GQ64" s="131"/>
    </row>
    <row r="65" spans="1:1" x14ac:dyDescent="0.3">
      <c r="A65" s="130"/>
    </row>
    <row r="66" spans="1:1" x14ac:dyDescent="0.3">
      <c r="A66" s="130"/>
    </row>
    <row r="67" spans="1:1" x14ac:dyDescent="0.3">
      <c r="A67" s="130"/>
    </row>
  </sheetData>
  <mergeCells count="28">
    <mergeCell ref="BV5:CY5"/>
    <mergeCell ref="DB5:EH5"/>
    <mergeCell ref="EJ5:FC5"/>
    <mergeCell ref="FE5:FX5"/>
    <mergeCell ref="ES6:ET6"/>
    <mergeCell ref="EV6:EW6"/>
    <mergeCell ref="EY6:EZ6"/>
    <mergeCell ref="FB6:FC6"/>
    <mergeCell ref="FE6:FF6"/>
    <mergeCell ref="FK6:FL6"/>
    <mergeCell ref="FN6:FO6"/>
    <mergeCell ref="FQ6:FR6"/>
    <mergeCell ref="FT6:FU6"/>
    <mergeCell ref="FW6:FX6"/>
    <mergeCell ref="FZ5:GS5"/>
    <mergeCell ref="ED6:EE6"/>
    <mergeCell ref="EG6:EH6"/>
    <mergeCell ref="EJ6:EK6"/>
    <mergeCell ref="EM6:EN6"/>
    <mergeCell ref="EP6:EQ6"/>
    <mergeCell ref="FH6:FI6"/>
    <mergeCell ref="GR6:GS6"/>
    <mergeCell ref="FZ6:GA6"/>
    <mergeCell ref="GC6:GD6"/>
    <mergeCell ref="GF6:GG6"/>
    <mergeCell ref="GI6:GJ6"/>
    <mergeCell ref="GL6:GM6"/>
    <mergeCell ref="GO6:GP6"/>
  </mergeCells>
  <pageMargins left="0.55000000000000004" right="0.55000000000000004" top="0.5" bottom="0.25" header="0" footer="0.25"/>
  <pageSetup scale="91" orientation="portrait" r:id="rId1"/>
  <headerFooter alignWithMargins="0">
    <oddFooter xml:space="preserve">&amp;C&amp;"Arial,Bold"&amp;11W-1-&amp;P&amp;R&amp;"Arial,Bold"&amp;11Handy-Whitman Bulletin No. 196
</oddFooter>
  </headerFooter>
  <colBreaks count="9" manualBreakCount="9">
    <brk id="17" max="62" man="1"/>
    <brk id="31" max="62" man="1"/>
    <brk id="45" max="62" man="1"/>
    <brk id="59" max="62" man="1"/>
    <brk id="73" max="62" man="1"/>
    <brk id="105" max="62" man="1"/>
    <brk id="138" max="62" man="1"/>
    <brk id="160" max="62" man="1"/>
    <brk id="181" max="6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50612-2347-4CD9-8104-E513292C2106}">
  <dimension ref="A1:GR67"/>
  <sheetViews>
    <sheetView view="pageBreakPreview" zoomScaleNormal="50" zoomScaleSheetLayoutView="100" workbookViewId="0"/>
  </sheetViews>
  <sheetFormatPr defaultColWidth="10.3046875" defaultRowHeight="12.45" x14ac:dyDescent="0.3"/>
  <cols>
    <col min="1" max="1" width="4" style="23" customWidth="1"/>
    <col min="2" max="2" width="32.69140625" style="23" customWidth="1"/>
    <col min="3" max="77" width="4" style="23" customWidth="1"/>
    <col min="78" max="78" width="4.15234375" style="23" bestFit="1" customWidth="1"/>
    <col min="79" max="80" width="4" style="23" hidden="1" customWidth="1"/>
    <col min="81" max="81" width="4" style="23" customWidth="1"/>
    <col min="82" max="83" width="4" style="23" hidden="1" customWidth="1"/>
    <col min="84" max="84" width="4" style="23" customWidth="1"/>
    <col min="85" max="86" width="4" style="23" hidden="1" customWidth="1"/>
    <col min="87" max="87" width="4" style="23" customWidth="1"/>
    <col min="88" max="89" width="4" style="23" hidden="1" customWidth="1"/>
    <col min="90" max="90" width="4" style="23" customWidth="1"/>
    <col min="91" max="92" width="4" style="23" hidden="1" customWidth="1"/>
    <col min="93" max="93" width="4" style="23" customWidth="1"/>
    <col min="94" max="95" width="4" style="23" hidden="1" customWidth="1"/>
    <col min="96" max="96" width="4" style="23" customWidth="1"/>
    <col min="97" max="98" width="4" style="23" hidden="1" customWidth="1"/>
    <col min="99" max="99" width="4" style="23" customWidth="1"/>
    <col min="100" max="101" width="4" style="23" hidden="1" customWidth="1"/>
    <col min="102" max="102" width="4" style="23" customWidth="1"/>
    <col min="103" max="104" width="4" style="23" hidden="1" customWidth="1"/>
    <col min="105" max="105" width="4" style="23" customWidth="1"/>
    <col min="106" max="107" width="4" style="23" hidden="1" customWidth="1"/>
    <col min="108" max="108" width="4" style="23" customWidth="1"/>
    <col min="109" max="110" width="4" style="23" hidden="1" customWidth="1"/>
    <col min="111" max="111" width="4" style="23" customWidth="1"/>
    <col min="112" max="113" width="4" style="23" hidden="1" customWidth="1"/>
    <col min="114" max="114" width="4" style="23" customWidth="1"/>
    <col min="115" max="116" width="4" style="23" hidden="1" customWidth="1"/>
    <col min="117" max="117" width="4" style="23" customWidth="1"/>
    <col min="118" max="119" width="4.3828125" style="23" hidden="1" customWidth="1"/>
    <col min="120" max="120" width="4.3828125" style="23" customWidth="1"/>
    <col min="121" max="121" width="4.3046875" style="23" hidden="1" customWidth="1"/>
    <col min="122" max="122" width="4" style="23" hidden="1" customWidth="1"/>
    <col min="123" max="123" width="4" style="23" customWidth="1"/>
    <col min="124" max="124" width="4.15234375" style="23" hidden="1" customWidth="1"/>
    <col min="125" max="125" width="4" style="23" hidden="1" customWidth="1"/>
    <col min="126" max="126" width="4" style="23" customWidth="1"/>
    <col min="127" max="127" width="4.53515625" style="23" hidden="1" customWidth="1"/>
    <col min="128" max="128" width="4.69140625" style="23" hidden="1" customWidth="1"/>
    <col min="129" max="129" width="4.15234375" style="23" customWidth="1"/>
    <col min="130" max="130" width="4.3828125" style="23" customWidth="1"/>
    <col min="131" max="131" width="4.15234375" style="23" customWidth="1"/>
    <col min="132" max="132" width="4.15234375" style="23" hidden="1" customWidth="1"/>
    <col min="133" max="134" width="4.84375" style="23" customWidth="1"/>
    <col min="135" max="135" width="4.84375" style="23" hidden="1" customWidth="1"/>
    <col min="136" max="136" width="5" style="23" customWidth="1"/>
    <col min="137" max="137" width="4.69140625" style="23" customWidth="1"/>
    <col min="138" max="138" width="4.69140625" style="23" hidden="1" customWidth="1"/>
    <col min="139" max="140" width="4.3828125" style="23" customWidth="1"/>
    <col min="141" max="141" width="4.3828125" style="23" hidden="1" customWidth="1"/>
    <col min="142" max="143" width="4.3828125" style="23" customWidth="1"/>
    <col min="144" max="144" width="4.3828125" style="23" hidden="1" customWidth="1"/>
    <col min="145" max="146" width="4.3828125" style="23" customWidth="1"/>
    <col min="147" max="147" width="4.3828125" style="23" hidden="1" customWidth="1"/>
    <col min="148" max="149" width="4.3828125" style="23" customWidth="1"/>
    <col min="150" max="150" width="4.3828125" style="23" hidden="1" customWidth="1"/>
    <col min="151" max="152" width="4.3828125" style="23" customWidth="1"/>
    <col min="153" max="153" width="4.3828125" style="23" hidden="1" customWidth="1"/>
    <col min="154" max="155" width="4.3828125" style="23" customWidth="1"/>
    <col min="156" max="156" width="4.3828125" style="23" hidden="1" customWidth="1"/>
    <col min="157" max="158" width="4.3828125" style="23" customWidth="1"/>
    <col min="159" max="159" width="4.3046875" style="23" hidden="1" customWidth="1"/>
    <col min="160" max="161" width="4.3046875" style="23" customWidth="1"/>
    <col min="162" max="162" width="4.3046875" style="23" hidden="1" customWidth="1"/>
    <col min="163" max="164" width="4.3046875" style="23" customWidth="1"/>
    <col min="165" max="165" width="4.3046875" style="23" hidden="1" customWidth="1"/>
    <col min="166" max="166" width="4.3828125" style="23" customWidth="1"/>
    <col min="167" max="167" width="4.15234375" style="23" customWidth="1"/>
    <col min="168" max="168" width="4.3046875" style="23" hidden="1" customWidth="1"/>
    <col min="169" max="170" width="4.3046875" style="23" customWidth="1"/>
    <col min="171" max="171" width="4.3046875" style="23" hidden="1" customWidth="1"/>
    <col min="172" max="173" width="4.3046875" style="23" customWidth="1"/>
    <col min="174" max="174" width="4.3046875" style="23" hidden="1" customWidth="1"/>
    <col min="175" max="176" width="4.3046875" style="23" customWidth="1"/>
    <col min="177" max="177" width="4.3046875" style="23" hidden="1" customWidth="1"/>
    <col min="178" max="179" width="4.3046875" style="23" customWidth="1"/>
    <col min="180" max="180" width="4.3046875" style="23" hidden="1" customWidth="1"/>
    <col min="181" max="188" width="4.3046875" style="23" customWidth="1"/>
    <col min="189" max="189" width="4.3046875" style="23" hidden="1" customWidth="1"/>
    <col min="190" max="191" width="4.3828125" style="132" customWidth="1"/>
    <col min="192" max="192" width="3.84375" style="23" hidden="1" customWidth="1"/>
    <col min="193" max="194" width="4.3828125" style="132" customWidth="1"/>
    <col min="195" max="195" width="3.84375" style="23" hidden="1" customWidth="1"/>
    <col min="196" max="197" width="4.3828125" style="132" customWidth="1"/>
    <col min="198" max="198" width="3.84375" style="23" hidden="1" customWidth="1"/>
    <col min="199" max="200" width="4.3828125" style="132" customWidth="1"/>
    <col min="201" max="16384" width="10.3046875" style="23"/>
  </cols>
  <sheetData>
    <row r="1" spans="1:200" ht="19.5" customHeight="1" x14ac:dyDescent="0.55000000000000004">
      <c r="B1" s="24" t="s">
        <v>996</v>
      </c>
      <c r="C1" s="912" t="s">
        <v>997</v>
      </c>
      <c r="D1" s="913"/>
      <c r="E1" s="913"/>
      <c r="F1" s="913"/>
      <c r="G1" s="913"/>
      <c r="H1" s="913"/>
      <c r="I1" s="913"/>
      <c r="J1" s="913"/>
      <c r="K1" s="913"/>
      <c r="L1" s="913"/>
      <c r="M1" s="913"/>
      <c r="N1" s="913"/>
      <c r="O1" s="913"/>
      <c r="P1" s="913"/>
      <c r="Q1" s="912" t="str">
        <f>C1</f>
        <v>UTILITY PLANT MATERIALS</v>
      </c>
      <c r="R1" s="913"/>
      <c r="S1" s="913"/>
      <c r="T1" s="913"/>
      <c r="U1" s="913"/>
      <c r="V1" s="913"/>
      <c r="W1" s="913"/>
      <c r="X1" s="913"/>
      <c r="Y1" s="913"/>
      <c r="Z1" s="913"/>
      <c r="AA1" s="913"/>
      <c r="AB1" s="913"/>
      <c r="AC1" s="913"/>
      <c r="AD1" s="913"/>
      <c r="AE1" s="912" t="str">
        <f>Q1</f>
        <v>UTILITY PLANT MATERIALS</v>
      </c>
      <c r="AF1" s="913"/>
      <c r="AG1" s="913"/>
      <c r="AH1" s="913"/>
      <c r="AI1" s="913"/>
      <c r="AJ1" s="913"/>
      <c r="AK1" s="913"/>
      <c r="AL1" s="913"/>
      <c r="AM1" s="913"/>
      <c r="AN1" s="913"/>
      <c r="AO1" s="913"/>
      <c r="AP1" s="913"/>
      <c r="AQ1" s="913"/>
      <c r="AR1" s="913"/>
      <c r="AS1" s="912" t="str">
        <f>AE1</f>
        <v>UTILITY PLANT MATERIALS</v>
      </c>
      <c r="AT1" s="913"/>
      <c r="AU1" s="913"/>
      <c r="AV1" s="913"/>
      <c r="AW1" s="913"/>
      <c r="AX1" s="913"/>
      <c r="AY1" s="913"/>
      <c r="AZ1" s="913"/>
      <c r="BA1" s="913"/>
      <c r="BB1" s="913"/>
      <c r="BC1" s="913"/>
      <c r="BD1" s="913"/>
      <c r="BE1" s="913"/>
      <c r="BF1" s="913"/>
      <c r="BG1" s="912" t="s">
        <v>997</v>
      </c>
      <c r="BH1" s="913"/>
      <c r="BI1" s="913"/>
      <c r="BJ1" s="913"/>
      <c r="BK1" s="913"/>
      <c r="BL1" s="913"/>
      <c r="BM1" s="913"/>
      <c r="BN1" s="913"/>
      <c r="BO1" s="913"/>
      <c r="BP1" s="913"/>
      <c r="BQ1" s="913"/>
      <c r="BR1" s="913"/>
      <c r="BS1" s="913"/>
      <c r="BT1" s="913"/>
      <c r="BU1" s="912" t="s">
        <v>997</v>
      </c>
      <c r="BV1" s="913"/>
      <c r="BW1" s="913"/>
      <c r="BX1" s="913"/>
      <c r="BY1" s="913"/>
      <c r="BZ1" s="913"/>
      <c r="CA1" s="913"/>
      <c r="CB1" s="913"/>
      <c r="CC1" s="913"/>
      <c r="CD1" s="913"/>
      <c r="CE1" s="913"/>
      <c r="CF1" s="913"/>
      <c r="CG1" s="913"/>
      <c r="CH1" s="913"/>
      <c r="CI1" s="37"/>
      <c r="CJ1" s="37"/>
      <c r="CK1" s="37"/>
      <c r="CL1" s="37"/>
      <c r="CM1" s="37"/>
      <c r="CN1" s="37"/>
      <c r="CO1" s="37"/>
      <c r="CP1" s="37"/>
      <c r="CQ1" s="37"/>
      <c r="CR1" s="37"/>
      <c r="CS1" s="37"/>
      <c r="CT1" s="37"/>
      <c r="CU1" s="37"/>
      <c r="CV1" s="37"/>
      <c r="CW1" s="37"/>
      <c r="CX1" s="37"/>
      <c r="CY1" s="37"/>
      <c r="CZ1" s="37"/>
      <c r="DA1" s="31" t="s">
        <v>997</v>
      </c>
      <c r="DB1" s="35"/>
      <c r="DC1" s="35"/>
      <c r="DD1" s="31"/>
      <c r="DW1" s="31"/>
      <c r="DX1" s="35"/>
      <c r="DY1" s="35"/>
      <c r="EA1" s="31"/>
      <c r="EB1" s="31"/>
      <c r="EC1" s="31"/>
      <c r="ED1" s="31"/>
      <c r="EE1" s="31"/>
      <c r="EF1" s="31"/>
      <c r="EG1" s="31"/>
      <c r="EH1" s="31"/>
      <c r="EI1" s="31" t="s">
        <v>997</v>
      </c>
      <c r="EJ1" s="31"/>
      <c r="EK1" s="31"/>
      <c r="EL1" s="31"/>
      <c r="EM1" s="31"/>
      <c r="EN1" s="31"/>
      <c r="EO1" s="31"/>
      <c r="EP1" s="31"/>
      <c r="EQ1" s="31"/>
      <c r="ES1" s="31"/>
      <c r="ET1" s="31"/>
      <c r="EU1" s="31"/>
      <c r="EV1" s="31"/>
      <c r="EW1" s="31"/>
      <c r="EX1" s="31"/>
      <c r="EY1" s="31"/>
      <c r="EZ1" s="31"/>
      <c r="FA1" s="31"/>
      <c r="FB1" s="31"/>
      <c r="FC1" s="31"/>
      <c r="FD1" s="31" t="s">
        <v>997</v>
      </c>
      <c r="FE1" s="31"/>
      <c r="FF1" s="31"/>
      <c r="FG1" s="31"/>
      <c r="FH1" s="31"/>
      <c r="FI1" s="31"/>
      <c r="FJ1" s="31"/>
      <c r="FK1" s="31"/>
      <c r="FL1" s="31"/>
      <c r="FN1" s="31"/>
      <c r="FO1" s="31"/>
      <c r="FP1" s="31"/>
      <c r="FQ1" s="31"/>
      <c r="FR1" s="31"/>
      <c r="FS1" s="31"/>
      <c r="FT1" s="31"/>
      <c r="FU1" s="31"/>
      <c r="FV1" s="31"/>
      <c r="FW1" s="31"/>
      <c r="FX1" s="31"/>
      <c r="FY1" s="31" t="s">
        <v>997</v>
      </c>
      <c r="FZ1" s="31"/>
      <c r="GA1" s="31"/>
      <c r="GB1" s="31"/>
      <c r="GC1" s="31"/>
      <c r="GD1" s="31"/>
      <c r="GE1" s="31"/>
      <c r="GF1" s="31"/>
      <c r="GG1" s="31"/>
      <c r="GH1" s="32"/>
      <c r="GI1" s="32"/>
      <c r="GJ1" s="33"/>
      <c r="GK1" s="32"/>
      <c r="GL1" s="32"/>
      <c r="GM1" s="33"/>
      <c r="GN1" s="32"/>
      <c r="GO1" s="32"/>
      <c r="GP1" s="33"/>
      <c r="GQ1" s="32"/>
      <c r="GR1" s="32"/>
    </row>
    <row r="2" spans="1:200" ht="10.4" customHeight="1" x14ac:dyDescent="0.4">
      <c r="B2" s="34"/>
      <c r="C2" s="35"/>
      <c r="D2" s="25"/>
      <c r="E2" s="35"/>
      <c r="F2" s="31"/>
      <c r="G2" s="35"/>
      <c r="H2" s="35"/>
      <c r="J2" s="35"/>
      <c r="K2" s="35"/>
      <c r="L2" s="35"/>
      <c r="M2" s="35"/>
      <c r="N2" s="35"/>
      <c r="O2" s="35"/>
      <c r="P2" s="35"/>
      <c r="T2" s="35"/>
      <c r="U2" s="35"/>
      <c r="V2" s="31"/>
      <c r="W2" s="31"/>
      <c r="Y2" s="35"/>
      <c r="AA2" s="35"/>
      <c r="AB2" s="35"/>
      <c r="AC2" s="35"/>
      <c r="AD2" s="35"/>
      <c r="AK2" s="35"/>
      <c r="AL2" s="35"/>
      <c r="AM2" s="35"/>
      <c r="AN2" s="35"/>
      <c r="AO2" s="31"/>
      <c r="AP2" s="31"/>
      <c r="AR2" s="35"/>
      <c r="AS2" s="31"/>
      <c r="AT2" s="35"/>
      <c r="AU2" s="35"/>
      <c r="AV2" s="35"/>
      <c r="AW2" s="35"/>
      <c r="AX2" s="35"/>
      <c r="AZ2" s="31"/>
      <c r="BA2" s="35"/>
      <c r="BB2" s="35"/>
      <c r="BC2" s="35"/>
      <c r="BD2" s="35"/>
      <c r="BE2" s="35"/>
      <c r="BF2" s="31"/>
      <c r="BG2" s="31"/>
      <c r="BI2" s="35"/>
      <c r="BJ2" s="35"/>
      <c r="BK2" s="35"/>
      <c r="BL2" s="35"/>
      <c r="BN2" s="35"/>
      <c r="BO2" s="31"/>
      <c r="BP2" s="31"/>
      <c r="BQ2" s="35"/>
      <c r="BR2" s="35"/>
      <c r="BS2" s="35"/>
      <c r="BT2" s="35"/>
      <c r="BU2" s="35"/>
      <c r="BV2" s="35"/>
      <c r="BW2" s="35"/>
      <c r="BX2" s="35"/>
      <c r="BY2" s="35"/>
      <c r="BZ2" s="35"/>
      <c r="CA2" s="35"/>
      <c r="CB2" s="35"/>
      <c r="CC2" s="35"/>
      <c r="CD2" s="35"/>
      <c r="CE2" s="35"/>
      <c r="CF2" s="35"/>
      <c r="CG2" s="31"/>
      <c r="CH2" s="31"/>
      <c r="CI2" s="31"/>
      <c r="CJ2" s="35"/>
      <c r="CK2" s="35"/>
      <c r="CL2" s="35"/>
      <c r="CM2" s="35"/>
      <c r="CN2" s="35"/>
      <c r="CO2" s="35"/>
      <c r="CP2" s="35"/>
      <c r="CQ2" s="35"/>
      <c r="CR2" s="35"/>
      <c r="CS2" s="35"/>
      <c r="CT2" s="35"/>
      <c r="CU2" s="35"/>
      <c r="CW2" s="35"/>
      <c r="CX2" s="35"/>
      <c r="CY2" s="35"/>
      <c r="CZ2" s="35"/>
      <c r="DA2" s="35"/>
      <c r="DB2" s="35"/>
      <c r="DC2" s="35"/>
      <c r="DD2" s="35"/>
      <c r="DE2" s="31"/>
      <c r="DF2" s="31"/>
      <c r="DG2" s="31"/>
      <c r="DH2" s="34"/>
      <c r="DI2" s="34"/>
      <c r="DJ2" s="34"/>
      <c r="DK2" s="36"/>
      <c r="DL2" s="34"/>
      <c r="DM2" s="34"/>
      <c r="DN2" s="37"/>
      <c r="DO2" s="37"/>
      <c r="DP2" s="37"/>
      <c r="DR2" s="34"/>
      <c r="DS2" s="34"/>
      <c r="DT2" s="34"/>
      <c r="DU2" s="34"/>
      <c r="DV2" s="34"/>
      <c r="DW2" s="34"/>
      <c r="DX2" s="34"/>
      <c r="DY2" s="34"/>
      <c r="EA2" s="37"/>
      <c r="EB2" s="37"/>
      <c r="EI2" s="34"/>
      <c r="GH2" s="32"/>
      <c r="GI2" s="32"/>
      <c r="GJ2" s="35"/>
      <c r="GK2" s="32"/>
      <c r="GL2" s="32"/>
      <c r="GM2" s="35"/>
      <c r="GN2" s="32"/>
      <c r="GO2" s="32"/>
      <c r="GP2" s="35"/>
      <c r="GQ2" s="32"/>
      <c r="GR2" s="32"/>
    </row>
    <row r="3" spans="1:200" ht="13.5" customHeight="1" x14ac:dyDescent="0.35">
      <c r="B3" s="34"/>
      <c r="C3" s="910" t="s">
        <v>998</v>
      </c>
      <c r="D3" s="911"/>
      <c r="E3" s="911"/>
      <c r="F3" s="911"/>
      <c r="G3" s="911"/>
      <c r="H3" s="911"/>
      <c r="I3" s="911"/>
      <c r="J3" s="911"/>
      <c r="K3" s="911"/>
      <c r="L3" s="911"/>
      <c r="M3" s="911"/>
      <c r="N3" s="911"/>
      <c r="O3" s="911"/>
      <c r="P3" s="911"/>
      <c r="Q3" s="910" t="str">
        <f>C3</f>
        <v>ALL REGIONS  (1973=100)</v>
      </c>
      <c r="R3" s="911"/>
      <c r="S3" s="911"/>
      <c r="T3" s="911"/>
      <c r="U3" s="911"/>
      <c r="V3" s="911"/>
      <c r="W3" s="911"/>
      <c r="X3" s="911"/>
      <c r="Y3" s="911"/>
      <c r="Z3" s="911"/>
      <c r="AA3" s="911"/>
      <c r="AB3" s="911"/>
      <c r="AC3" s="911"/>
      <c r="AD3" s="911"/>
      <c r="AE3" s="910" t="str">
        <f>Q3</f>
        <v>ALL REGIONS  (1973=100)</v>
      </c>
      <c r="AF3" s="911"/>
      <c r="AG3" s="911"/>
      <c r="AH3" s="911"/>
      <c r="AI3" s="911"/>
      <c r="AJ3" s="911"/>
      <c r="AK3" s="911"/>
      <c r="AL3" s="911"/>
      <c r="AM3" s="911"/>
      <c r="AN3" s="911"/>
      <c r="AO3" s="911"/>
      <c r="AP3" s="911"/>
      <c r="AQ3" s="911"/>
      <c r="AR3" s="911"/>
      <c r="AS3" s="910" t="str">
        <f>AE3</f>
        <v>ALL REGIONS  (1973=100)</v>
      </c>
      <c r="AT3" s="911"/>
      <c r="AU3" s="911"/>
      <c r="AV3" s="911"/>
      <c r="AW3" s="911"/>
      <c r="AX3" s="911"/>
      <c r="AY3" s="911"/>
      <c r="AZ3" s="911"/>
      <c r="BA3" s="911"/>
      <c r="BB3" s="911"/>
      <c r="BC3" s="911"/>
      <c r="BD3" s="911"/>
      <c r="BE3" s="911"/>
      <c r="BF3" s="911"/>
      <c r="BG3" s="910" t="s">
        <v>999</v>
      </c>
      <c r="BH3" s="911"/>
      <c r="BI3" s="911"/>
      <c r="BJ3" s="911"/>
      <c r="BK3" s="911"/>
      <c r="BL3" s="911"/>
      <c r="BM3" s="911"/>
      <c r="BN3" s="911"/>
      <c r="BO3" s="911"/>
      <c r="BP3" s="911"/>
      <c r="BQ3" s="911"/>
      <c r="BR3" s="911"/>
      <c r="BS3" s="911"/>
      <c r="BT3" s="911"/>
      <c r="BU3" s="910" t="s">
        <v>999</v>
      </c>
      <c r="BV3" s="911"/>
      <c r="BW3" s="911"/>
      <c r="BX3" s="911"/>
      <c r="BY3" s="911"/>
      <c r="BZ3" s="911"/>
      <c r="CA3" s="911"/>
      <c r="CB3" s="911"/>
      <c r="CC3" s="911"/>
      <c r="CD3" s="911"/>
      <c r="CE3" s="911"/>
      <c r="CF3" s="911"/>
      <c r="CG3" s="911"/>
      <c r="CH3" s="911"/>
      <c r="CI3" s="41"/>
      <c r="CJ3" s="41"/>
      <c r="CK3" s="41"/>
      <c r="CL3" s="41"/>
      <c r="CM3" s="41"/>
      <c r="CN3" s="41"/>
      <c r="CO3" s="41"/>
      <c r="CP3" s="41"/>
      <c r="CQ3" s="41"/>
      <c r="CR3" s="41"/>
      <c r="CS3" s="41"/>
      <c r="CT3" s="41"/>
      <c r="CU3" s="41"/>
      <c r="CV3" s="41"/>
      <c r="CW3" s="41"/>
      <c r="CX3" s="41"/>
      <c r="CY3" s="41"/>
      <c r="CZ3" s="41"/>
      <c r="DA3" s="39" t="s">
        <v>999</v>
      </c>
      <c r="DB3" s="35"/>
      <c r="DC3" s="35"/>
      <c r="DD3" s="39"/>
      <c r="DE3" s="40"/>
      <c r="DF3" s="40"/>
      <c r="DG3" s="40"/>
      <c r="DH3" s="40"/>
      <c r="DI3" s="40"/>
      <c r="DJ3" s="40"/>
      <c r="DK3" s="40"/>
      <c r="DL3" s="40"/>
      <c r="DM3" s="40"/>
      <c r="DN3" s="40"/>
      <c r="DO3" s="40"/>
      <c r="DP3" s="40"/>
      <c r="DQ3" s="40"/>
      <c r="DR3" s="40"/>
      <c r="DS3" s="40"/>
      <c r="DT3" s="40"/>
      <c r="DU3" s="40"/>
      <c r="DV3" s="40"/>
      <c r="DW3" s="39"/>
      <c r="DX3" s="243"/>
      <c r="DY3" s="243"/>
      <c r="EA3" s="40"/>
      <c r="EB3" s="40"/>
      <c r="EC3" s="40"/>
      <c r="ED3" s="40"/>
      <c r="EE3" s="40"/>
      <c r="EF3" s="40"/>
      <c r="EG3" s="40"/>
      <c r="EH3" s="40"/>
      <c r="EI3" s="39" t="s">
        <v>999</v>
      </c>
      <c r="EJ3" s="40"/>
      <c r="EK3" s="40"/>
      <c r="EL3" s="40"/>
      <c r="EM3" s="40"/>
      <c r="EN3" s="40"/>
      <c r="EO3" s="40"/>
      <c r="EP3" s="40"/>
      <c r="EQ3" s="40"/>
      <c r="ES3" s="40"/>
      <c r="ET3" s="40"/>
      <c r="EU3" s="40"/>
      <c r="EV3" s="40"/>
      <c r="EW3" s="40"/>
      <c r="EX3" s="40"/>
      <c r="EY3" s="40"/>
      <c r="EZ3" s="40"/>
      <c r="FA3" s="40"/>
      <c r="FB3" s="40"/>
      <c r="FC3" s="40"/>
      <c r="FD3" s="39" t="s">
        <v>999</v>
      </c>
      <c r="FE3" s="40"/>
      <c r="FF3" s="40"/>
      <c r="FG3" s="40"/>
      <c r="FH3" s="40"/>
      <c r="FI3" s="40"/>
      <c r="FJ3" s="40"/>
      <c r="FK3" s="40"/>
      <c r="FL3" s="40"/>
      <c r="FN3" s="40"/>
      <c r="FO3" s="40"/>
      <c r="FP3" s="40"/>
      <c r="FQ3" s="40"/>
      <c r="FR3" s="40"/>
      <c r="FS3" s="40"/>
      <c r="FT3" s="40"/>
      <c r="FU3" s="40"/>
      <c r="FV3" s="40"/>
      <c r="FW3" s="40"/>
      <c r="FX3" s="40"/>
      <c r="FY3" s="39" t="s">
        <v>999</v>
      </c>
      <c r="FZ3" s="40"/>
      <c r="GA3" s="40"/>
      <c r="GB3" s="40"/>
      <c r="GC3" s="40"/>
      <c r="GD3" s="40"/>
      <c r="GE3" s="40"/>
      <c r="GF3" s="40"/>
      <c r="GG3" s="40"/>
      <c r="GH3" s="32"/>
      <c r="GI3" s="32"/>
      <c r="GJ3" s="43"/>
      <c r="GK3" s="32"/>
      <c r="GL3" s="32"/>
      <c r="GM3" s="43"/>
      <c r="GN3" s="32"/>
      <c r="GO3" s="32"/>
      <c r="GP3" s="43"/>
      <c r="GQ3" s="32"/>
      <c r="GR3" s="32"/>
    </row>
    <row r="4" spans="1:200" ht="13.5" customHeight="1" x14ac:dyDescent="0.3">
      <c r="B4" s="34"/>
      <c r="D4" s="25"/>
      <c r="F4" s="25"/>
      <c r="I4" s="25"/>
      <c r="J4" s="25"/>
      <c r="K4" s="44"/>
      <c r="L4" s="25"/>
      <c r="M4" s="25"/>
      <c r="N4" s="25"/>
      <c r="O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GH4" s="32"/>
      <c r="GI4" s="32"/>
      <c r="GJ4" s="25"/>
      <c r="GK4" s="32"/>
      <c r="GL4" s="32"/>
      <c r="GM4" s="25"/>
      <c r="GN4" s="32"/>
      <c r="GO4" s="32"/>
      <c r="GP4" s="25"/>
      <c r="GQ4" s="32"/>
      <c r="GR4" s="32"/>
    </row>
    <row r="5" spans="1:200" ht="19.5" customHeight="1" x14ac:dyDescent="0.3">
      <c r="A5" s="45"/>
      <c r="B5" s="46"/>
      <c r="C5" s="48" t="s">
        <v>36</v>
      </c>
      <c r="D5" s="49"/>
      <c r="E5" s="49"/>
      <c r="F5" s="49"/>
      <c r="G5" s="49"/>
      <c r="H5" s="49"/>
      <c r="I5" s="49"/>
      <c r="J5" s="49"/>
      <c r="K5" s="49"/>
      <c r="L5" s="49"/>
      <c r="M5" s="49"/>
      <c r="N5" s="49"/>
      <c r="O5" s="49"/>
      <c r="P5" s="50"/>
      <c r="Q5" s="48" t="s">
        <v>36</v>
      </c>
      <c r="R5" s="49"/>
      <c r="S5" s="49"/>
      <c r="T5" s="49"/>
      <c r="U5" s="49"/>
      <c r="V5" s="49"/>
      <c r="W5" s="49"/>
      <c r="X5" s="49"/>
      <c r="Y5" s="49"/>
      <c r="Z5" s="49"/>
      <c r="AA5" s="49"/>
      <c r="AB5" s="49"/>
      <c r="AC5" s="49"/>
      <c r="AD5" s="50"/>
      <c r="AE5" s="48" t="s">
        <v>36</v>
      </c>
      <c r="AF5" s="49"/>
      <c r="AG5" s="49"/>
      <c r="AH5" s="49"/>
      <c r="AI5" s="49"/>
      <c r="AJ5" s="49"/>
      <c r="AK5" s="49"/>
      <c r="AL5" s="49"/>
      <c r="AM5" s="49"/>
      <c r="AN5" s="49"/>
      <c r="AO5" s="49"/>
      <c r="AP5" s="49"/>
      <c r="AQ5" s="49"/>
      <c r="AR5" s="50"/>
      <c r="AS5" s="48" t="s">
        <v>36</v>
      </c>
      <c r="AT5" s="49"/>
      <c r="AU5" s="49"/>
      <c r="AV5" s="49"/>
      <c r="AW5" s="49"/>
      <c r="AX5" s="49"/>
      <c r="AY5" s="49"/>
      <c r="AZ5" s="49"/>
      <c r="BA5" s="49"/>
      <c r="BB5" s="49"/>
      <c r="BC5" s="49"/>
      <c r="BD5" s="49"/>
      <c r="BE5" s="49"/>
      <c r="BF5" s="50"/>
      <c r="BG5" s="48" t="s">
        <v>36</v>
      </c>
      <c r="BH5" s="49"/>
      <c r="BI5" s="49"/>
      <c r="BJ5" s="49"/>
      <c r="BK5" s="49"/>
      <c r="BL5" s="49"/>
      <c r="BM5" s="49"/>
      <c r="BN5" s="49"/>
      <c r="BO5" s="49"/>
      <c r="BP5" s="49"/>
      <c r="BQ5" s="49"/>
      <c r="BR5" s="49"/>
      <c r="BS5" s="49"/>
      <c r="BT5" s="50"/>
      <c r="BU5" s="891" t="s">
        <v>36</v>
      </c>
      <c r="BV5" s="896"/>
      <c r="BW5" s="896"/>
      <c r="BX5" s="896"/>
      <c r="BY5" s="896"/>
      <c r="BZ5" s="896"/>
      <c r="CA5" s="896"/>
      <c r="CB5" s="896"/>
      <c r="CC5" s="896"/>
      <c r="CD5" s="896"/>
      <c r="CE5" s="896"/>
      <c r="CF5" s="896"/>
      <c r="CG5" s="896"/>
      <c r="CH5" s="896"/>
      <c r="CI5" s="896"/>
      <c r="CJ5" s="896"/>
      <c r="CK5" s="896"/>
      <c r="CL5" s="896"/>
      <c r="CM5" s="896"/>
      <c r="CN5" s="896"/>
      <c r="CO5" s="896"/>
      <c r="CP5" s="896"/>
      <c r="CQ5" s="896"/>
      <c r="CR5" s="896"/>
      <c r="CS5" s="896"/>
      <c r="CT5" s="896"/>
      <c r="CU5" s="896"/>
      <c r="CV5" s="896"/>
      <c r="CW5" s="896"/>
      <c r="CX5" s="897"/>
      <c r="CY5" s="244"/>
      <c r="CZ5" s="244"/>
      <c r="DA5" s="891" t="s">
        <v>36</v>
      </c>
      <c r="DB5" s="896"/>
      <c r="DC5" s="896"/>
      <c r="DD5" s="896"/>
      <c r="DE5" s="896"/>
      <c r="DF5" s="896"/>
      <c r="DG5" s="896"/>
      <c r="DH5" s="896"/>
      <c r="DI5" s="896"/>
      <c r="DJ5" s="896"/>
      <c r="DK5" s="896"/>
      <c r="DL5" s="896"/>
      <c r="DM5" s="896"/>
      <c r="DN5" s="896"/>
      <c r="DO5" s="896"/>
      <c r="DP5" s="896"/>
      <c r="DQ5" s="896"/>
      <c r="DR5" s="896"/>
      <c r="DS5" s="896"/>
      <c r="DT5" s="896"/>
      <c r="DU5" s="896"/>
      <c r="DV5" s="896"/>
      <c r="DW5" s="896"/>
      <c r="DX5" s="896"/>
      <c r="DY5" s="896"/>
      <c r="DZ5" s="896"/>
      <c r="EA5" s="896"/>
      <c r="EB5" s="896"/>
      <c r="EC5" s="896"/>
      <c r="ED5" s="896"/>
      <c r="EE5" s="896"/>
      <c r="EF5" s="896"/>
      <c r="EG5" s="897"/>
      <c r="EH5" s="52"/>
      <c r="EI5" s="891" t="s">
        <v>36</v>
      </c>
      <c r="EJ5" s="896"/>
      <c r="EK5" s="896"/>
      <c r="EL5" s="896"/>
      <c r="EM5" s="896"/>
      <c r="EN5" s="896"/>
      <c r="EO5" s="896"/>
      <c r="EP5" s="896"/>
      <c r="EQ5" s="896"/>
      <c r="ER5" s="896"/>
      <c r="ES5" s="896"/>
      <c r="ET5" s="896"/>
      <c r="EU5" s="896"/>
      <c r="EV5" s="896"/>
      <c r="EW5" s="896"/>
      <c r="EX5" s="896"/>
      <c r="EY5" s="896"/>
      <c r="EZ5" s="896"/>
      <c r="FA5" s="896"/>
      <c r="FB5" s="897"/>
      <c r="FC5" s="245"/>
      <c r="FD5" s="900" t="s">
        <v>36</v>
      </c>
      <c r="FE5" s="901"/>
      <c r="FF5" s="901"/>
      <c r="FG5" s="901"/>
      <c r="FH5" s="901"/>
      <c r="FI5" s="901"/>
      <c r="FJ5" s="901"/>
      <c r="FK5" s="901"/>
      <c r="FL5" s="901"/>
      <c r="FM5" s="901"/>
      <c r="FN5" s="901"/>
      <c r="FO5" s="901"/>
      <c r="FP5" s="901"/>
      <c r="FQ5" s="901"/>
      <c r="FR5" s="901"/>
      <c r="FS5" s="901"/>
      <c r="FT5" s="901"/>
      <c r="FU5" s="901"/>
      <c r="FV5" s="901"/>
      <c r="FW5" s="902"/>
      <c r="FX5" s="245"/>
      <c r="FY5" s="900" t="s">
        <v>36</v>
      </c>
      <c r="FZ5" s="901"/>
      <c r="GA5" s="901"/>
      <c r="GB5" s="901"/>
      <c r="GC5" s="901"/>
      <c r="GD5" s="901"/>
      <c r="GE5" s="901"/>
      <c r="GF5" s="901"/>
      <c r="GG5" s="901"/>
      <c r="GH5" s="901"/>
      <c r="GI5" s="901"/>
      <c r="GJ5" s="901"/>
      <c r="GK5" s="901"/>
      <c r="GL5" s="901"/>
      <c r="GM5" s="901"/>
      <c r="GN5" s="901"/>
      <c r="GO5" s="901"/>
      <c r="GP5" s="901"/>
      <c r="GQ5" s="901"/>
      <c r="GR5" s="902"/>
    </row>
    <row r="6" spans="1:200" ht="11.25" customHeight="1" x14ac:dyDescent="0.3">
      <c r="A6" s="53"/>
      <c r="B6" s="34"/>
      <c r="C6" s="246"/>
      <c r="D6" s="246"/>
      <c r="E6" s="246"/>
      <c r="F6" s="246"/>
      <c r="G6" s="246"/>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46"/>
      <c r="BP6" s="246"/>
      <c r="BQ6" s="246"/>
      <c r="BR6" s="246"/>
      <c r="BS6" s="246"/>
      <c r="BT6" s="246"/>
      <c r="BU6" s="247"/>
      <c r="BV6" s="247"/>
      <c r="BW6" s="247"/>
      <c r="BX6" s="247"/>
      <c r="BY6" s="247"/>
      <c r="BZ6" s="247"/>
      <c r="CA6" s="57">
        <v>1988</v>
      </c>
      <c r="CB6" s="58"/>
      <c r="CC6" s="247"/>
      <c r="CD6" s="60">
        <f>CA6+1</f>
        <v>1989</v>
      </c>
      <c r="CE6" s="60"/>
      <c r="CF6" s="247"/>
      <c r="CG6" s="60">
        <f>CD6+1</f>
        <v>1990</v>
      </c>
      <c r="CH6" s="60"/>
      <c r="CI6" s="247"/>
      <c r="CJ6" s="60">
        <f>CG6+1</f>
        <v>1991</v>
      </c>
      <c r="CK6" s="60"/>
      <c r="CL6" s="247"/>
      <c r="CM6" s="60">
        <f>CJ6+1</f>
        <v>1992</v>
      </c>
      <c r="CN6" s="60"/>
      <c r="CO6" s="247"/>
      <c r="CP6" s="60">
        <f>CM6+1</f>
        <v>1993</v>
      </c>
      <c r="CQ6" s="60"/>
      <c r="CR6" s="247"/>
      <c r="CS6" s="60">
        <f>CP6+1</f>
        <v>1994</v>
      </c>
      <c r="CT6" s="60"/>
      <c r="CU6" s="247"/>
      <c r="CV6" s="60">
        <f>CS6+1</f>
        <v>1995</v>
      </c>
      <c r="CW6" s="60"/>
      <c r="CX6" s="247"/>
      <c r="CY6" s="60">
        <f>CV6+1</f>
        <v>1996</v>
      </c>
      <c r="CZ6" s="60"/>
      <c r="DA6" s="247"/>
      <c r="DB6" s="60">
        <f>CY6+1</f>
        <v>1997</v>
      </c>
      <c r="DC6" s="60"/>
      <c r="DD6" s="247"/>
      <c r="DE6" s="58">
        <f>DB6+1</f>
        <v>1998</v>
      </c>
      <c r="DF6" s="61"/>
      <c r="DG6" s="62"/>
      <c r="DH6" s="57">
        <f>DE6+1</f>
        <v>1999</v>
      </c>
      <c r="DI6" s="61"/>
      <c r="DJ6" s="62"/>
      <c r="DK6" s="57">
        <f>DH6+1</f>
        <v>2000</v>
      </c>
      <c r="DL6" s="61"/>
      <c r="DM6" s="62"/>
      <c r="DN6" s="898">
        <f>DK6+1</f>
        <v>2001</v>
      </c>
      <c r="DO6" s="899"/>
      <c r="DP6" s="248"/>
      <c r="DQ6" s="905">
        <f>DN6+1</f>
        <v>2002</v>
      </c>
      <c r="DR6" s="905"/>
      <c r="DS6" s="248"/>
      <c r="DT6" s="905">
        <f>DQ6+1</f>
        <v>2003</v>
      </c>
      <c r="DU6" s="905"/>
      <c r="DV6" s="249"/>
      <c r="DW6" s="905">
        <f>DT6+1</f>
        <v>2004</v>
      </c>
      <c r="DX6" s="905"/>
      <c r="DY6" s="248"/>
      <c r="DZ6" s="898">
        <f>DW6+1</f>
        <v>2005</v>
      </c>
      <c r="EA6" s="899"/>
      <c r="EB6" s="250"/>
      <c r="EC6" s="879">
        <v>2006</v>
      </c>
      <c r="ED6" s="880"/>
      <c r="EE6" s="251"/>
      <c r="EF6" s="879">
        <v>2007</v>
      </c>
      <c r="EG6" s="880"/>
      <c r="EH6" s="251"/>
      <c r="EI6" s="879">
        <v>2008</v>
      </c>
      <c r="EJ6" s="880"/>
      <c r="EK6" s="251"/>
      <c r="EL6" s="879">
        <v>2009</v>
      </c>
      <c r="EM6" s="880"/>
      <c r="EN6" s="251"/>
      <c r="EO6" s="879">
        <v>2010</v>
      </c>
      <c r="EP6" s="880"/>
      <c r="EQ6" s="252"/>
      <c r="ER6" s="903">
        <v>2011</v>
      </c>
      <c r="ES6" s="904"/>
      <c r="ET6" s="253"/>
      <c r="EU6" s="903">
        <v>2012</v>
      </c>
      <c r="EV6" s="904"/>
      <c r="EW6" s="253"/>
      <c r="EX6" s="903">
        <v>2013</v>
      </c>
      <c r="EY6" s="904"/>
      <c r="EZ6" s="253"/>
      <c r="FA6" s="903">
        <v>2014</v>
      </c>
      <c r="FB6" s="904"/>
      <c r="FC6" s="253"/>
      <c r="FD6" s="903">
        <v>2015</v>
      </c>
      <c r="FE6" s="904"/>
      <c r="FF6" s="253"/>
      <c r="FG6" s="903">
        <v>2016</v>
      </c>
      <c r="FH6" s="904"/>
      <c r="FI6" s="253"/>
      <c r="FJ6" s="254">
        <v>2017</v>
      </c>
      <c r="FK6" s="255"/>
      <c r="FL6" s="253"/>
      <c r="FM6" s="903">
        <v>2018</v>
      </c>
      <c r="FN6" s="904"/>
      <c r="FO6" s="253"/>
      <c r="FP6" s="254">
        <v>2019</v>
      </c>
      <c r="FQ6" s="255"/>
      <c r="FR6" s="253"/>
      <c r="FS6" s="903">
        <v>2020</v>
      </c>
      <c r="FT6" s="904"/>
      <c r="FU6" s="253"/>
      <c r="FV6" s="254">
        <v>2021</v>
      </c>
      <c r="FW6" s="255"/>
      <c r="FX6" s="253"/>
      <c r="FY6" s="908">
        <v>2022</v>
      </c>
      <c r="FZ6" s="909"/>
      <c r="GA6" s="253"/>
      <c r="GB6" s="256">
        <v>2023</v>
      </c>
      <c r="GC6" s="257"/>
      <c r="GD6" s="258"/>
      <c r="GE6" s="256">
        <v>2024</v>
      </c>
      <c r="GF6" s="257"/>
      <c r="GG6" s="258"/>
      <c r="GH6" s="906">
        <v>2025</v>
      </c>
      <c r="GI6" s="907"/>
      <c r="GJ6" s="259"/>
      <c r="GK6" s="906">
        <v>2026</v>
      </c>
      <c r="GL6" s="907"/>
      <c r="GM6" s="259"/>
      <c r="GN6" s="906">
        <v>2027</v>
      </c>
      <c r="GO6" s="907"/>
      <c r="GP6" s="259"/>
      <c r="GQ6" s="906">
        <v>2028</v>
      </c>
      <c r="GR6" s="907"/>
    </row>
    <row r="7" spans="1:200" ht="47.15" x14ac:dyDescent="0.3">
      <c r="A7" s="68" t="s">
        <v>37</v>
      </c>
      <c r="B7" s="241" t="s">
        <v>38</v>
      </c>
      <c r="C7" s="70">
        <v>1912</v>
      </c>
      <c r="D7" s="70">
        <f t="shared" ref="D7:BO7" si="0">C7+1</f>
        <v>1913</v>
      </c>
      <c r="E7" s="70">
        <f t="shared" si="0"/>
        <v>1914</v>
      </c>
      <c r="F7" s="70">
        <f t="shared" si="0"/>
        <v>1915</v>
      </c>
      <c r="G7" s="70">
        <f t="shared" si="0"/>
        <v>1916</v>
      </c>
      <c r="H7" s="70">
        <f t="shared" si="0"/>
        <v>1917</v>
      </c>
      <c r="I7" s="70">
        <f t="shared" si="0"/>
        <v>1918</v>
      </c>
      <c r="J7" s="70">
        <f t="shared" si="0"/>
        <v>1919</v>
      </c>
      <c r="K7" s="70">
        <f t="shared" si="0"/>
        <v>1920</v>
      </c>
      <c r="L7" s="70">
        <f t="shared" si="0"/>
        <v>1921</v>
      </c>
      <c r="M7" s="70">
        <f t="shared" si="0"/>
        <v>1922</v>
      </c>
      <c r="N7" s="70">
        <f t="shared" si="0"/>
        <v>1923</v>
      </c>
      <c r="O7" s="70">
        <f t="shared" si="0"/>
        <v>1924</v>
      </c>
      <c r="P7" s="70">
        <f t="shared" si="0"/>
        <v>1925</v>
      </c>
      <c r="Q7" s="70">
        <f t="shared" si="0"/>
        <v>1926</v>
      </c>
      <c r="R7" s="70">
        <f t="shared" si="0"/>
        <v>1927</v>
      </c>
      <c r="S7" s="70">
        <f t="shared" si="0"/>
        <v>1928</v>
      </c>
      <c r="T7" s="70">
        <f t="shared" si="0"/>
        <v>1929</v>
      </c>
      <c r="U7" s="70">
        <f t="shared" si="0"/>
        <v>1930</v>
      </c>
      <c r="V7" s="70">
        <f t="shared" si="0"/>
        <v>1931</v>
      </c>
      <c r="W7" s="70">
        <f t="shared" si="0"/>
        <v>1932</v>
      </c>
      <c r="X7" s="70">
        <f t="shared" si="0"/>
        <v>1933</v>
      </c>
      <c r="Y7" s="70">
        <f t="shared" si="0"/>
        <v>1934</v>
      </c>
      <c r="Z7" s="70">
        <f t="shared" si="0"/>
        <v>1935</v>
      </c>
      <c r="AA7" s="70">
        <f t="shared" si="0"/>
        <v>1936</v>
      </c>
      <c r="AB7" s="70">
        <f t="shared" si="0"/>
        <v>1937</v>
      </c>
      <c r="AC7" s="70">
        <f t="shared" si="0"/>
        <v>1938</v>
      </c>
      <c r="AD7" s="70">
        <f t="shared" si="0"/>
        <v>1939</v>
      </c>
      <c r="AE7" s="70">
        <f t="shared" si="0"/>
        <v>1940</v>
      </c>
      <c r="AF7" s="70">
        <f t="shared" si="0"/>
        <v>1941</v>
      </c>
      <c r="AG7" s="70">
        <f t="shared" si="0"/>
        <v>1942</v>
      </c>
      <c r="AH7" s="70">
        <f t="shared" si="0"/>
        <v>1943</v>
      </c>
      <c r="AI7" s="70">
        <f t="shared" si="0"/>
        <v>1944</v>
      </c>
      <c r="AJ7" s="70">
        <f t="shared" si="0"/>
        <v>1945</v>
      </c>
      <c r="AK7" s="70">
        <f t="shared" si="0"/>
        <v>1946</v>
      </c>
      <c r="AL7" s="70">
        <f t="shared" si="0"/>
        <v>1947</v>
      </c>
      <c r="AM7" s="70">
        <f t="shared" si="0"/>
        <v>1948</v>
      </c>
      <c r="AN7" s="70">
        <f t="shared" si="0"/>
        <v>1949</v>
      </c>
      <c r="AO7" s="70">
        <f t="shared" si="0"/>
        <v>1950</v>
      </c>
      <c r="AP7" s="70">
        <f t="shared" si="0"/>
        <v>1951</v>
      </c>
      <c r="AQ7" s="70">
        <f t="shared" si="0"/>
        <v>1952</v>
      </c>
      <c r="AR7" s="70">
        <f t="shared" si="0"/>
        <v>1953</v>
      </c>
      <c r="AS7" s="70">
        <f t="shared" si="0"/>
        <v>1954</v>
      </c>
      <c r="AT7" s="70">
        <f t="shared" si="0"/>
        <v>1955</v>
      </c>
      <c r="AU7" s="70">
        <f t="shared" si="0"/>
        <v>1956</v>
      </c>
      <c r="AV7" s="70">
        <f t="shared" si="0"/>
        <v>1957</v>
      </c>
      <c r="AW7" s="70">
        <f t="shared" si="0"/>
        <v>1958</v>
      </c>
      <c r="AX7" s="70">
        <f t="shared" si="0"/>
        <v>1959</v>
      </c>
      <c r="AY7" s="70">
        <f t="shared" si="0"/>
        <v>1960</v>
      </c>
      <c r="AZ7" s="70">
        <f t="shared" si="0"/>
        <v>1961</v>
      </c>
      <c r="BA7" s="70">
        <f t="shared" si="0"/>
        <v>1962</v>
      </c>
      <c r="BB7" s="70">
        <f t="shared" si="0"/>
        <v>1963</v>
      </c>
      <c r="BC7" s="70">
        <f t="shared" si="0"/>
        <v>1964</v>
      </c>
      <c r="BD7" s="70">
        <f t="shared" si="0"/>
        <v>1965</v>
      </c>
      <c r="BE7" s="70">
        <f t="shared" si="0"/>
        <v>1966</v>
      </c>
      <c r="BF7" s="70">
        <f t="shared" si="0"/>
        <v>1967</v>
      </c>
      <c r="BG7" s="70">
        <f t="shared" si="0"/>
        <v>1968</v>
      </c>
      <c r="BH7" s="70">
        <f t="shared" si="0"/>
        <v>1969</v>
      </c>
      <c r="BI7" s="70">
        <f t="shared" si="0"/>
        <v>1970</v>
      </c>
      <c r="BJ7" s="70">
        <f t="shared" si="0"/>
        <v>1971</v>
      </c>
      <c r="BK7" s="70">
        <f t="shared" si="0"/>
        <v>1972</v>
      </c>
      <c r="BL7" s="70">
        <f t="shared" si="0"/>
        <v>1973</v>
      </c>
      <c r="BM7" s="70">
        <f t="shared" si="0"/>
        <v>1974</v>
      </c>
      <c r="BN7" s="70">
        <f t="shared" si="0"/>
        <v>1975</v>
      </c>
      <c r="BO7" s="70">
        <f t="shared" si="0"/>
        <v>1976</v>
      </c>
      <c r="BP7" s="70">
        <f t="shared" ref="BP7:BZ7" si="1">BO7+1</f>
        <v>1977</v>
      </c>
      <c r="BQ7" s="70">
        <f t="shared" si="1"/>
        <v>1978</v>
      </c>
      <c r="BR7" s="70">
        <f t="shared" si="1"/>
        <v>1979</v>
      </c>
      <c r="BS7" s="70">
        <f t="shared" si="1"/>
        <v>1980</v>
      </c>
      <c r="BT7" s="70">
        <f t="shared" si="1"/>
        <v>1981</v>
      </c>
      <c r="BU7" s="70">
        <f t="shared" si="1"/>
        <v>1982</v>
      </c>
      <c r="BV7" s="70">
        <f t="shared" si="1"/>
        <v>1983</v>
      </c>
      <c r="BW7" s="70">
        <f t="shared" si="1"/>
        <v>1984</v>
      </c>
      <c r="BX7" s="70">
        <f t="shared" si="1"/>
        <v>1985</v>
      </c>
      <c r="BY7" s="70">
        <f t="shared" si="1"/>
        <v>1986</v>
      </c>
      <c r="BZ7" s="70">
        <f t="shared" si="1"/>
        <v>1987</v>
      </c>
      <c r="CA7" s="71" t="s">
        <v>40</v>
      </c>
      <c r="CB7" s="72" t="s">
        <v>41</v>
      </c>
      <c r="CC7" s="73">
        <f>+BZ7+1</f>
        <v>1988</v>
      </c>
      <c r="CD7" s="74" t="s">
        <v>40</v>
      </c>
      <c r="CE7" s="74" t="s">
        <v>41</v>
      </c>
      <c r="CF7" s="73">
        <f>+CC7+1</f>
        <v>1989</v>
      </c>
      <c r="CG7" s="74" t="s">
        <v>40</v>
      </c>
      <c r="CH7" s="74" t="s">
        <v>41</v>
      </c>
      <c r="CI7" s="73">
        <f>+CF7+1</f>
        <v>1990</v>
      </c>
      <c r="CJ7" s="74" t="s">
        <v>40</v>
      </c>
      <c r="CK7" s="74" t="s">
        <v>41</v>
      </c>
      <c r="CL7" s="73">
        <f>+CI7+1</f>
        <v>1991</v>
      </c>
      <c r="CM7" s="74" t="s">
        <v>40</v>
      </c>
      <c r="CN7" s="74" t="s">
        <v>41</v>
      </c>
      <c r="CO7" s="73">
        <f>+CL7+1</f>
        <v>1992</v>
      </c>
      <c r="CP7" s="74" t="s">
        <v>40</v>
      </c>
      <c r="CQ7" s="74" t="s">
        <v>41</v>
      </c>
      <c r="CR7" s="73">
        <f>+CO7+1</f>
        <v>1993</v>
      </c>
      <c r="CS7" s="74" t="s">
        <v>40</v>
      </c>
      <c r="CT7" s="74" t="s">
        <v>41</v>
      </c>
      <c r="CU7" s="73">
        <f>+CR7+1</f>
        <v>1994</v>
      </c>
      <c r="CV7" s="74" t="s">
        <v>40</v>
      </c>
      <c r="CW7" s="74" t="s">
        <v>41</v>
      </c>
      <c r="CX7" s="73">
        <f>+CU7+1</f>
        <v>1995</v>
      </c>
      <c r="CY7" s="74" t="s">
        <v>40</v>
      </c>
      <c r="CZ7" s="74" t="s">
        <v>41</v>
      </c>
      <c r="DA7" s="73">
        <f>+CX7+1</f>
        <v>1996</v>
      </c>
      <c r="DB7" s="74" t="s">
        <v>40</v>
      </c>
      <c r="DC7" s="74" t="s">
        <v>41</v>
      </c>
      <c r="DD7" s="73">
        <f>+DA7+1</f>
        <v>1997</v>
      </c>
      <c r="DE7" s="260" t="s">
        <v>40</v>
      </c>
      <c r="DF7" s="80" t="s">
        <v>41</v>
      </c>
      <c r="DG7" s="76">
        <v>1998</v>
      </c>
      <c r="DH7" s="80" t="s">
        <v>40</v>
      </c>
      <c r="DI7" s="80" t="s">
        <v>41</v>
      </c>
      <c r="DJ7" s="76">
        <v>1999</v>
      </c>
      <c r="DK7" s="80" t="s">
        <v>40</v>
      </c>
      <c r="DL7" s="80" t="s">
        <v>41</v>
      </c>
      <c r="DM7" s="76">
        <v>2000</v>
      </c>
      <c r="DN7" s="77" t="s">
        <v>40</v>
      </c>
      <c r="DO7" s="77" t="s">
        <v>41</v>
      </c>
      <c r="DP7" s="76">
        <v>2001</v>
      </c>
      <c r="DQ7" s="261" t="s">
        <v>40</v>
      </c>
      <c r="DR7" s="261" t="s">
        <v>41</v>
      </c>
      <c r="DS7" s="76">
        <v>2002</v>
      </c>
      <c r="DT7" s="261" t="s">
        <v>40</v>
      </c>
      <c r="DU7" s="261" t="s">
        <v>41</v>
      </c>
      <c r="DV7" s="76">
        <v>2003</v>
      </c>
      <c r="DW7" s="261" t="s">
        <v>40</v>
      </c>
      <c r="DX7" s="261" t="s">
        <v>41</v>
      </c>
      <c r="DY7" s="76">
        <v>2004</v>
      </c>
      <c r="DZ7" s="77" t="s">
        <v>40</v>
      </c>
      <c r="EA7" s="77" t="s">
        <v>41</v>
      </c>
      <c r="EB7" s="76">
        <v>2005</v>
      </c>
      <c r="EC7" s="78" t="s">
        <v>40</v>
      </c>
      <c r="ED7" s="78" t="s">
        <v>41</v>
      </c>
      <c r="EE7" s="76">
        <v>2006</v>
      </c>
      <c r="EF7" s="78" t="s">
        <v>40</v>
      </c>
      <c r="EG7" s="78" t="s">
        <v>41</v>
      </c>
      <c r="EH7" s="76">
        <v>2007</v>
      </c>
      <c r="EI7" s="77" t="s">
        <v>40</v>
      </c>
      <c r="EJ7" s="77" t="s">
        <v>41</v>
      </c>
      <c r="EK7" s="76">
        <v>2008</v>
      </c>
      <c r="EL7" s="77" t="s">
        <v>40</v>
      </c>
      <c r="EM7" s="77" t="s">
        <v>41</v>
      </c>
      <c r="EN7" s="76">
        <v>2009</v>
      </c>
      <c r="EO7" s="77" t="s">
        <v>40</v>
      </c>
      <c r="EP7" s="77" t="s">
        <v>41</v>
      </c>
      <c r="EQ7" s="76">
        <v>2010</v>
      </c>
      <c r="ER7" s="77" t="s">
        <v>40</v>
      </c>
      <c r="ES7" s="77" t="s">
        <v>41</v>
      </c>
      <c r="ET7" s="76">
        <v>2011</v>
      </c>
      <c r="EU7" s="77" t="s">
        <v>40</v>
      </c>
      <c r="EV7" s="77" t="s">
        <v>41</v>
      </c>
      <c r="EW7" s="76">
        <v>2012</v>
      </c>
      <c r="EX7" s="77" t="s">
        <v>40</v>
      </c>
      <c r="EY7" s="77" t="s">
        <v>41</v>
      </c>
      <c r="EZ7" s="76">
        <v>2013</v>
      </c>
      <c r="FA7" s="77" t="s">
        <v>40</v>
      </c>
      <c r="FB7" s="77" t="s">
        <v>41</v>
      </c>
      <c r="FC7" s="76">
        <v>2014</v>
      </c>
      <c r="FD7" s="77" t="s">
        <v>40</v>
      </c>
      <c r="FE7" s="77" t="s">
        <v>41</v>
      </c>
      <c r="FF7" s="76">
        <f>FD6</f>
        <v>2015</v>
      </c>
      <c r="FG7" s="262" t="s">
        <v>40</v>
      </c>
      <c r="FH7" s="263" t="s">
        <v>41</v>
      </c>
      <c r="FI7" s="76">
        <f>FG6</f>
        <v>2016</v>
      </c>
      <c r="FJ7" s="262" t="s">
        <v>40</v>
      </c>
      <c r="FK7" s="264" t="s">
        <v>42</v>
      </c>
      <c r="FL7" s="76">
        <f>FJ6</f>
        <v>2017</v>
      </c>
      <c r="FM7" s="77" t="s">
        <v>40</v>
      </c>
      <c r="FN7" s="77" t="s">
        <v>41</v>
      </c>
      <c r="FO7" s="76">
        <f>FM6</f>
        <v>2018</v>
      </c>
      <c r="FP7" s="77" t="s">
        <v>40</v>
      </c>
      <c r="FQ7" s="77" t="s">
        <v>41</v>
      </c>
      <c r="FR7" s="76">
        <f>FP6</f>
        <v>2019</v>
      </c>
      <c r="FS7" s="77" t="s">
        <v>40</v>
      </c>
      <c r="FT7" s="77" t="s">
        <v>41</v>
      </c>
      <c r="FU7" s="76">
        <f>FS6</f>
        <v>2020</v>
      </c>
      <c r="FV7" s="77" t="s">
        <v>40</v>
      </c>
      <c r="FW7" s="77" t="s">
        <v>41</v>
      </c>
      <c r="FX7" s="76">
        <f>FV6</f>
        <v>2021</v>
      </c>
      <c r="FY7" s="77" t="s">
        <v>40</v>
      </c>
      <c r="FZ7" s="77" t="s">
        <v>41</v>
      </c>
      <c r="GA7" s="76">
        <f>FY6</f>
        <v>2022</v>
      </c>
      <c r="GB7" s="262" t="s">
        <v>40</v>
      </c>
      <c r="GC7" s="263" t="s">
        <v>41</v>
      </c>
      <c r="GD7" s="76">
        <f>GB6</f>
        <v>2023</v>
      </c>
      <c r="GE7" s="262" t="s">
        <v>40</v>
      </c>
      <c r="GF7" s="264" t="s">
        <v>42</v>
      </c>
      <c r="GG7" s="76">
        <f>GE6</f>
        <v>2024</v>
      </c>
      <c r="GH7" s="82" t="s">
        <v>40</v>
      </c>
      <c r="GI7" s="82" t="s">
        <v>41</v>
      </c>
      <c r="GJ7" s="83">
        <f>GG7+1</f>
        <v>2025</v>
      </c>
      <c r="GK7" s="82" t="s">
        <v>40</v>
      </c>
      <c r="GL7" s="82" t="s">
        <v>41</v>
      </c>
      <c r="GM7" s="83">
        <f>GJ7+1</f>
        <v>2026</v>
      </c>
      <c r="GN7" s="82" t="s">
        <v>40</v>
      </c>
      <c r="GO7" s="82" t="s">
        <v>41</v>
      </c>
      <c r="GP7" s="83">
        <f>GM7+1</f>
        <v>2027</v>
      </c>
      <c r="GQ7" s="82" t="s">
        <v>40</v>
      </c>
      <c r="GR7" s="82" t="s">
        <v>41</v>
      </c>
    </row>
    <row r="8" spans="1:200" ht="12.75" customHeight="1" x14ac:dyDescent="0.3">
      <c r="A8" s="265">
        <v>1</v>
      </c>
      <c r="B8" s="55" t="s">
        <v>1000</v>
      </c>
      <c r="C8" s="97">
        <v>6</v>
      </c>
      <c r="D8" s="97">
        <v>6</v>
      </c>
      <c r="E8" s="97">
        <v>6</v>
      </c>
      <c r="F8" s="97">
        <v>7</v>
      </c>
      <c r="G8" s="97">
        <v>8</v>
      </c>
      <c r="H8" s="97">
        <v>13</v>
      </c>
      <c r="I8" s="97">
        <v>17</v>
      </c>
      <c r="J8" s="97">
        <v>15</v>
      </c>
      <c r="K8" s="97">
        <v>16</v>
      </c>
      <c r="L8" s="97">
        <v>14</v>
      </c>
      <c r="M8" s="97">
        <v>12</v>
      </c>
      <c r="N8" s="97">
        <v>14</v>
      </c>
      <c r="O8" s="97">
        <v>15</v>
      </c>
      <c r="P8" s="97">
        <v>15</v>
      </c>
      <c r="Q8" s="97">
        <v>15</v>
      </c>
      <c r="R8" s="97">
        <v>15</v>
      </c>
      <c r="S8" s="97">
        <v>14</v>
      </c>
      <c r="T8" s="97">
        <v>14</v>
      </c>
      <c r="U8" s="97">
        <v>14</v>
      </c>
      <c r="V8" s="97">
        <v>14</v>
      </c>
      <c r="W8" s="97">
        <v>12</v>
      </c>
      <c r="X8" s="97">
        <v>12</v>
      </c>
      <c r="Y8" s="97">
        <v>15</v>
      </c>
      <c r="Z8" s="97">
        <v>15</v>
      </c>
      <c r="AA8" s="97">
        <v>16</v>
      </c>
      <c r="AB8" s="97">
        <v>18</v>
      </c>
      <c r="AC8" s="97">
        <v>19</v>
      </c>
      <c r="AD8" s="97">
        <v>20</v>
      </c>
      <c r="AE8" s="97">
        <v>20</v>
      </c>
      <c r="AF8" s="97">
        <v>21</v>
      </c>
      <c r="AG8" s="97">
        <v>21</v>
      </c>
      <c r="AH8" s="97">
        <v>21</v>
      </c>
      <c r="AI8" s="97">
        <v>21</v>
      </c>
      <c r="AJ8" s="97">
        <v>21</v>
      </c>
      <c r="AK8" s="97">
        <v>22</v>
      </c>
      <c r="AL8" s="97">
        <v>25</v>
      </c>
      <c r="AM8" s="97">
        <v>31</v>
      </c>
      <c r="AN8" s="97">
        <v>36</v>
      </c>
      <c r="AO8" s="97">
        <v>37</v>
      </c>
      <c r="AP8" s="97">
        <v>41</v>
      </c>
      <c r="AQ8" s="97">
        <v>41</v>
      </c>
      <c r="AR8" s="97">
        <v>43</v>
      </c>
      <c r="AS8" s="97">
        <v>45</v>
      </c>
      <c r="AT8" s="97">
        <v>47</v>
      </c>
      <c r="AU8" s="97">
        <v>54</v>
      </c>
      <c r="AV8" s="97">
        <v>61</v>
      </c>
      <c r="AW8" s="97">
        <v>63</v>
      </c>
      <c r="AX8" s="97">
        <v>65</v>
      </c>
      <c r="AY8" s="97">
        <v>65</v>
      </c>
      <c r="AZ8" s="97">
        <v>66</v>
      </c>
      <c r="BA8" s="97">
        <v>66</v>
      </c>
      <c r="BB8" s="97">
        <v>66</v>
      </c>
      <c r="BC8" s="97">
        <v>68</v>
      </c>
      <c r="BD8" s="97">
        <v>70</v>
      </c>
      <c r="BE8" s="97">
        <v>71</v>
      </c>
      <c r="BF8" s="97">
        <v>74</v>
      </c>
      <c r="BG8" s="97">
        <v>76</v>
      </c>
      <c r="BH8" s="97">
        <v>78</v>
      </c>
      <c r="BI8" s="97">
        <v>83</v>
      </c>
      <c r="BJ8" s="97">
        <v>89</v>
      </c>
      <c r="BK8" s="97">
        <v>94</v>
      </c>
      <c r="BL8" s="97">
        <v>100</v>
      </c>
      <c r="BM8" s="38">
        <v>119</v>
      </c>
      <c r="BN8" s="97">
        <v>143</v>
      </c>
      <c r="BO8" s="97">
        <v>159</v>
      </c>
      <c r="BP8" s="97">
        <v>172</v>
      </c>
      <c r="BQ8" s="97">
        <v>186</v>
      </c>
      <c r="BR8" s="97">
        <v>203</v>
      </c>
      <c r="BS8" s="97">
        <v>221</v>
      </c>
      <c r="BT8" s="97">
        <v>245</v>
      </c>
      <c r="BU8" s="97">
        <v>264</v>
      </c>
      <c r="BV8" s="97">
        <v>273</v>
      </c>
      <c r="BW8" s="97">
        <v>283</v>
      </c>
      <c r="BX8" s="97">
        <v>292</v>
      </c>
      <c r="BY8" s="97">
        <v>298</v>
      </c>
      <c r="BZ8" s="97">
        <v>307</v>
      </c>
      <c r="CA8" s="97">
        <v>319</v>
      </c>
      <c r="CB8" s="97">
        <v>330</v>
      </c>
      <c r="CC8" s="97">
        <v>329.5</v>
      </c>
      <c r="CD8" s="97">
        <v>339</v>
      </c>
      <c r="CE8" s="97">
        <v>343</v>
      </c>
      <c r="CF8" s="97">
        <v>344.25</v>
      </c>
      <c r="CG8" s="97">
        <v>352</v>
      </c>
      <c r="CH8" s="97">
        <v>363</v>
      </c>
      <c r="CI8" s="97">
        <v>363.75</v>
      </c>
      <c r="CJ8" s="97">
        <v>377</v>
      </c>
      <c r="CK8" s="97">
        <v>382</v>
      </c>
      <c r="CL8" s="97">
        <v>379.5</v>
      </c>
      <c r="CM8" s="97">
        <v>377</v>
      </c>
      <c r="CN8" s="97">
        <v>382</v>
      </c>
      <c r="CO8" s="97">
        <v>385.25</v>
      </c>
      <c r="CP8" s="97">
        <v>400</v>
      </c>
      <c r="CQ8" s="97">
        <v>404</v>
      </c>
      <c r="CR8" s="97">
        <v>404.25</v>
      </c>
      <c r="CS8" s="97">
        <v>409</v>
      </c>
      <c r="CT8" s="97">
        <v>412</v>
      </c>
      <c r="CU8" s="97">
        <v>413</v>
      </c>
      <c r="CV8" s="97">
        <v>419</v>
      </c>
      <c r="CW8" s="97">
        <v>425</v>
      </c>
      <c r="CX8" s="97">
        <v>424.5</v>
      </c>
      <c r="CY8" s="97">
        <v>429</v>
      </c>
      <c r="CZ8" s="97">
        <v>433</v>
      </c>
      <c r="DA8" s="97">
        <v>433.25</v>
      </c>
      <c r="DB8" s="97">
        <v>438</v>
      </c>
      <c r="DC8" s="97">
        <v>443</v>
      </c>
      <c r="DD8" s="97">
        <v>443.25</v>
      </c>
      <c r="DE8" s="97">
        <v>449</v>
      </c>
      <c r="DF8" s="97">
        <v>452</v>
      </c>
      <c r="DG8" s="87">
        <f t="shared" ref="DG8:DG33" si="2">(DE8+DF8*2+DH8)/4</f>
        <v>452.25</v>
      </c>
      <c r="DH8" s="97">
        <v>456</v>
      </c>
      <c r="DI8" s="99">
        <v>459</v>
      </c>
      <c r="DJ8" s="99">
        <f t="shared" ref="DJ8:DJ33" si="3">(DH8+DI8*2+DK8)/4</f>
        <v>459.5</v>
      </c>
      <c r="DK8" s="97">
        <v>464</v>
      </c>
      <c r="DL8" s="97">
        <v>466</v>
      </c>
      <c r="DM8" s="97">
        <f t="shared" ref="DM8:DM33" si="4">(DK8+DL8*2+DN8)/4</f>
        <v>466.75</v>
      </c>
      <c r="DN8" s="97">
        <v>471</v>
      </c>
      <c r="DO8" s="97">
        <v>474</v>
      </c>
      <c r="DP8" s="97">
        <f t="shared" ref="DP8:DP13" si="5">(DN8+DO8*2+DQ8)/4</f>
        <v>474.25</v>
      </c>
      <c r="DQ8" s="97">
        <v>478</v>
      </c>
      <c r="DR8" s="97">
        <v>481</v>
      </c>
      <c r="DS8" s="97">
        <f t="shared" ref="DS8:DS57" si="6">(DQ8+DR8*2+DT8)/4</f>
        <v>480.75</v>
      </c>
      <c r="DT8" s="97">
        <v>483</v>
      </c>
      <c r="DU8" s="97">
        <v>490</v>
      </c>
      <c r="DV8" s="97">
        <f t="shared" ref="DV8:DV57" si="7">(DT8+DU8*2+DW8)/4</f>
        <v>489</v>
      </c>
      <c r="DW8" s="97">
        <v>493</v>
      </c>
      <c r="DX8" s="97">
        <v>519</v>
      </c>
      <c r="DY8" s="97">
        <f t="shared" ref="DY8:DY57" si="8">(DW8+DX8*2+DZ8)/4</f>
        <v>516.5</v>
      </c>
      <c r="DZ8" s="266">
        <v>535</v>
      </c>
      <c r="EA8" s="97">
        <v>550</v>
      </c>
      <c r="EB8" s="97">
        <f t="shared" ref="EB8:EB63" si="9">(DZ8+EA8*2+EC8)/4</f>
        <v>550.005</v>
      </c>
      <c r="EC8" s="267">
        <v>565.02</v>
      </c>
      <c r="ED8" s="267">
        <v>578</v>
      </c>
      <c r="EE8" s="97">
        <f t="shared" ref="EE8:EE63" si="10">(EC8+ED8*2+EF8)/4</f>
        <v>577.755</v>
      </c>
      <c r="EF8" s="267">
        <v>590</v>
      </c>
      <c r="EG8" s="268">
        <v>604.2984755</v>
      </c>
      <c r="EH8" s="97">
        <f t="shared" ref="EH8:EH63" si="11">(EF8+EG8*2+EI8)/4</f>
        <v>598.53923774999998</v>
      </c>
      <c r="EI8" s="267">
        <v>595.55999999999995</v>
      </c>
      <c r="EJ8" s="267">
        <v>616</v>
      </c>
      <c r="EK8" s="97">
        <f t="shared" ref="EK8:EK63" si="12">(EI8+EJ8*2+EL8)/4</f>
        <v>611.89</v>
      </c>
      <c r="EL8" s="267">
        <v>620</v>
      </c>
      <c r="EM8" s="267">
        <v>599</v>
      </c>
      <c r="EN8" s="97">
        <f t="shared" ref="EN8:EN63" si="13">(EL8+EM8*2+EO8)/4</f>
        <v>606.5</v>
      </c>
      <c r="EO8" s="267">
        <v>608</v>
      </c>
      <c r="EP8" s="267">
        <v>620</v>
      </c>
      <c r="EQ8" s="97">
        <f t="shared" ref="EQ8:EQ63" si="14">(EO8+EP8*2+ER8)/4</f>
        <v>618</v>
      </c>
      <c r="ER8" s="269">
        <v>624</v>
      </c>
      <c r="ES8" s="269">
        <v>633.59</v>
      </c>
      <c r="ET8" s="97">
        <f t="shared" ref="ET8:ET63" si="15">(ER8+ES8*2+EU8)/4</f>
        <v>635.04500000000007</v>
      </c>
      <c r="EU8" s="269">
        <v>649</v>
      </c>
      <c r="EV8" s="269">
        <v>649</v>
      </c>
      <c r="EW8" s="97">
        <f t="shared" ref="EW8:EW63" si="16">(EU8+EV8*2+EX8)/4</f>
        <v>654</v>
      </c>
      <c r="EX8" s="269">
        <v>669</v>
      </c>
      <c r="EY8" s="269">
        <v>653</v>
      </c>
      <c r="EZ8" s="97">
        <f t="shared" ref="EZ8:EZ63" si="17">(EX8+EY8*2+FA8)/4</f>
        <v>659</v>
      </c>
      <c r="FA8" s="269">
        <v>661</v>
      </c>
      <c r="FB8" s="269">
        <v>665</v>
      </c>
      <c r="FC8" s="97">
        <f t="shared" ref="FC8:FC63" si="18">(FA8+FB8*2+FD8)/4</f>
        <v>665</v>
      </c>
      <c r="FD8" s="269">
        <v>669</v>
      </c>
      <c r="FE8" s="269">
        <v>691</v>
      </c>
      <c r="FF8" s="97">
        <f t="shared" ref="FF8:FF63" si="19">(FD8+FE8*2+FG8)/4</f>
        <v>687</v>
      </c>
      <c r="FG8" s="270">
        <v>697</v>
      </c>
      <c r="FH8" s="269">
        <v>698</v>
      </c>
      <c r="FI8" s="97">
        <f t="shared" ref="FI8:FI63" si="20">(FG8+FH8*2+FJ8)/4</f>
        <v>698.25</v>
      </c>
      <c r="FJ8" s="271">
        <v>700</v>
      </c>
      <c r="FK8" s="271">
        <v>681</v>
      </c>
      <c r="FL8" s="97">
        <f t="shared" ref="FL8:FL63" si="21">(FJ8+FK8*2+FM8)/4</f>
        <v>686.25</v>
      </c>
      <c r="FM8" s="269">
        <v>683</v>
      </c>
      <c r="FN8" s="269">
        <v>707</v>
      </c>
      <c r="FO8" s="97">
        <f t="shared" ref="FO8:FO63" si="22">(FM8+FN8*2+FP8)/4</f>
        <v>701.75</v>
      </c>
      <c r="FP8" s="269">
        <v>710</v>
      </c>
      <c r="FQ8" s="269">
        <v>739</v>
      </c>
      <c r="FR8" s="97">
        <f t="shared" ref="FR8:FR63" si="23">(FP8+FQ8*2+FS8)/4</f>
        <v>731.5</v>
      </c>
      <c r="FS8" s="269">
        <v>738</v>
      </c>
      <c r="FT8" s="269">
        <v>743</v>
      </c>
      <c r="FU8" s="97">
        <f t="shared" ref="FU8:FU63" si="24">(FS8+FT8*2+FV8)/4</f>
        <v>742.25</v>
      </c>
      <c r="FV8" s="269">
        <v>745</v>
      </c>
      <c r="FW8" s="269">
        <v>768</v>
      </c>
      <c r="FX8" s="97">
        <f t="shared" ref="FX8:FX63" si="25">(FV8+FW8*2+FY8)/4</f>
        <v>778</v>
      </c>
      <c r="FY8" s="269">
        <v>831</v>
      </c>
      <c r="FZ8" s="269">
        <v>873</v>
      </c>
      <c r="GA8" s="97">
        <f t="shared" ref="GA8:GA63" si="26">(FY8+FZ8*2+GB8)/4</f>
        <v>874.5</v>
      </c>
      <c r="GB8" s="270">
        <v>921</v>
      </c>
      <c r="GC8" s="269"/>
      <c r="GD8" s="272">
        <f>GB8</f>
        <v>921</v>
      </c>
      <c r="GE8" s="271"/>
      <c r="GF8" s="273"/>
      <c r="GG8" s="97">
        <f t="shared" ref="GG8:GG63" si="27">(GE8+GF8*2+GH8)/4</f>
        <v>0</v>
      </c>
      <c r="GH8" s="98"/>
      <c r="GI8" s="98"/>
      <c r="GJ8" s="90">
        <f>(GH8+GI8*2+GK8)/4</f>
        <v>0</v>
      </c>
      <c r="GK8" s="98"/>
      <c r="GL8" s="98"/>
      <c r="GM8" s="90">
        <f>(GK8+GL8*2+GN8)/4</f>
        <v>0</v>
      </c>
      <c r="GN8" s="98"/>
      <c r="GO8" s="98"/>
      <c r="GP8" s="90">
        <f>(GN8+GO8*2+GQ8)/4</f>
        <v>0</v>
      </c>
      <c r="GQ8" s="98"/>
      <c r="GR8" s="98"/>
    </row>
    <row r="9" spans="1:200" ht="10.5" customHeight="1" x14ac:dyDescent="0.3">
      <c r="A9" s="265">
        <f t="shared" ref="A9:A63" si="28">A8+1</f>
        <v>2</v>
      </c>
      <c r="B9" s="56" t="s">
        <v>1001</v>
      </c>
      <c r="C9" s="97">
        <v>12</v>
      </c>
      <c r="D9" s="97">
        <v>12</v>
      </c>
      <c r="E9" s="97">
        <v>12</v>
      </c>
      <c r="F9" s="97">
        <v>12</v>
      </c>
      <c r="G9" s="97">
        <v>19</v>
      </c>
      <c r="H9" s="97">
        <v>31</v>
      </c>
      <c r="I9" s="97">
        <v>29</v>
      </c>
      <c r="J9" s="97">
        <v>20</v>
      </c>
      <c r="K9" s="97">
        <v>28</v>
      </c>
      <c r="L9" s="97">
        <v>24</v>
      </c>
      <c r="M9" s="97">
        <v>21</v>
      </c>
      <c r="N9" s="97">
        <v>23</v>
      </c>
      <c r="O9" s="97">
        <v>23</v>
      </c>
      <c r="P9" s="97">
        <v>21</v>
      </c>
      <c r="Q9" s="97">
        <v>21</v>
      </c>
      <c r="R9" s="97">
        <v>20</v>
      </c>
      <c r="S9" s="97">
        <v>20</v>
      </c>
      <c r="T9" s="97">
        <v>20</v>
      </c>
      <c r="U9" s="97">
        <v>19</v>
      </c>
      <c r="V9" s="97">
        <v>17</v>
      </c>
      <c r="W9" s="97">
        <v>16</v>
      </c>
      <c r="X9" s="97">
        <v>17</v>
      </c>
      <c r="Y9" s="97">
        <v>20</v>
      </c>
      <c r="Z9" s="97">
        <v>20</v>
      </c>
      <c r="AA9" s="97">
        <v>20</v>
      </c>
      <c r="AB9" s="97">
        <v>21</v>
      </c>
      <c r="AC9" s="97">
        <v>20</v>
      </c>
      <c r="AD9" s="97">
        <v>20</v>
      </c>
      <c r="AE9" s="97">
        <v>20</v>
      </c>
      <c r="AF9" s="97">
        <v>23</v>
      </c>
      <c r="AG9" s="97">
        <v>25</v>
      </c>
      <c r="AH9" s="97">
        <v>25</v>
      </c>
      <c r="AI9" s="97">
        <v>24</v>
      </c>
      <c r="AJ9" s="97">
        <v>24</v>
      </c>
      <c r="AK9" s="97">
        <v>29</v>
      </c>
      <c r="AL9" s="97">
        <v>35</v>
      </c>
      <c r="AM9" s="97">
        <v>42</v>
      </c>
      <c r="AN9" s="97">
        <v>44</v>
      </c>
      <c r="AO9" s="97">
        <v>47</v>
      </c>
      <c r="AP9" s="97">
        <v>50</v>
      </c>
      <c r="AQ9" s="97">
        <v>51</v>
      </c>
      <c r="AR9" s="97">
        <v>55</v>
      </c>
      <c r="AS9" s="97">
        <v>56</v>
      </c>
      <c r="AT9" s="97">
        <v>58</v>
      </c>
      <c r="AU9" s="97">
        <v>68</v>
      </c>
      <c r="AV9" s="97">
        <v>76</v>
      </c>
      <c r="AW9" s="97">
        <v>77</v>
      </c>
      <c r="AX9" s="97">
        <v>79</v>
      </c>
      <c r="AY9" s="97">
        <v>77</v>
      </c>
      <c r="AZ9" s="97">
        <v>72</v>
      </c>
      <c r="BA9" s="97">
        <v>72</v>
      </c>
      <c r="BB9" s="97">
        <v>72</v>
      </c>
      <c r="BC9" s="97">
        <v>73</v>
      </c>
      <c r="BD9" s="97">
        <v>73</v>
      </c>
      <c r="BE9" s="97">
        <v>74</v>
      </c>
      <c r="BF9" s="97">
        <v>76</v>
      </c>
      <c r="BG9" s="97">
        <v>79</v>
      </c>
      <c r="BH9" s="97">
        <v>84</v>
      </c>
      <c r="BI9" s="97">
        <v>88</v>
      </c>
      <c r="BJ9" s="97">
        <v>93</v>
      </c>
      <c r="BK9" s="97">
        <v>95</v>
      </c>
      <c r="BL9" s="97">
        <v>100</v>
      </c>
      <c r="BM9" s="38">
        <v>124</v>
      </c>
      <c r="BN9" s="97">
        <v>150</v>
      </c>
      <c r="BO9" s="97">
        <v>154</v>
      </c>
      <c r="BP9" s="97">
        <v>162</v>
      </c>
      <c r="BQ9" s="97">
        <v>175</v>
      </c>
      <c r="BR9" s="97">
        <v>192</v>
      </c>
      <c r="BS9" s="97">
        <v>213</v>
      </c>
      <c r="BT9" s="97">
        <v>225</v>
      </c>
      <c r="BU9" s="97">
        <v>224</v>
      </c>
      <c r="BV9" s="97">
        <v>229</v>
      </c>
      <c r="BW9" s="97">
        <v>240</v>
      </c>
      <c r="BX9" s="97">
        <v>246</v>
      </c>
      <c r="BY9" s="97">
        <v>250</v>
      </c>
      <c r="BZ9" s="97">
        <v>255</v>
      </c>
      <c r="CA9" s="97">
        <v>260</v>
      </c>
      <c r="CB9" s="97">
        <v>272</v>
      </c>
      <c r="CC9" s="97">
        <v>269.75</v>
      </c>
      <c r="CD9" s="97">
        <v>275</v>
      </c>
      <c r="CE9" s="97">
        <v>292</v>
      </c>
      <c r="CF9" s="97">
        <v>288.5</v>
      </c>
      <c r="CG9" s="97">
        <v>295</v>
      </c>
      <c r="CH9" s="97">
        <v>297</v>
      </c>
      <c r="CI9" s="97">
        <v>296</v>
      </c>
      <c r="CJ9" s="97">
        <v>295</v>
      </c>
      <c r="CK9" s="97">
        <v>304</v>
      </c>
      <c r="CL9" s="97">
        <v>299.5</v>
      </c>
      <c r="CM9" s="97">
        <v>295</v>
      </c>
      <c r="CN9" s="97">
        <v>304</v>
      </c>
      <c r="CO9" s="97">
        <v>301.5</v>
      </c>
      <c r="CP9" s="97">
        <v>303</v>
      </c>
      <c r="CQ9" s="97">
        <v>306</v>
      </c>
      <c r="CR9" s="97">
        <v>307.5</v>
      </c>
      <c r="CS9" s="97">
        <v>315</v>
      </c>
      <c r="CT9" s="97">
        <v>318</v>
      </c>
      <c r="CU9" s="97">
        <v>318</v>
      </c>
      <c r="CV9" s="97">
        <v>321</v>
      </c>
      <c r="CW9" s="97">
        <v>325</v>
      </c>
      <c r="CX9" s="97">
        <v>324.75</v>
      </c>
      <c r="CY9" s="97">
        <v>328</v>
      </c>
      <c r="CZ9" s="97">
        <v>327</v>
      </c>
      <c r="DA9" s="97">
        <v>328.25</v>
      </c>
      <c r="DB9" s="97">
        <v>331</v>
      </c>
      <c r="DC9" s="97">
        <v>332</v>
      </c>
      <c r="DD9" s="97">
        <v>332.5</v>
      </c>
      <c r="DE9" s="97">
        <v>335</v>
      </c>
      <c r="DF9" s="97">
        <v>340</v>
      </c>
      <c r="DG9" s="97">
        <f t="shared" si="2"/>
        <v>343.5</v>
      </c>
      <c r="DH9" s="97">
        <v>359</v>
      </c>
      <c r="DI9" s="99">
        <v>347</v>
      </c>
      <c r="DJ9" s="99">
        <f t="shared" si="3"/>
        <v>350.75</v>
      </c>
      <c r="DK9" s="97">
        <v>350</v>
      </c>
      <c r="DL9" s="97">
        <v>354</v>
      </c>
      <c r="DM9" s="97">
        <f t="shared" si="4"/>
        <v>353.25</v>
      </c>
      <c r="DN9" s="97">
        <v>355</v>
      </c>
      <c r="DO9" s="97">
        <v>356</v>
      </c>
      <c r="DP9" s="97">
        <f t="shared" si="5"/>
        <v>356.75</v>
      </c>
      <c r="DQ9" s="97">
        <v>360</v>
      </c>
      <c r="DR9" s="97">
        <v>357</v>
      </c>
      <c r="DS9" s="97">
        <f t="shared" si="6"/>
        <v>358.5</v>
      </c>
      <c r="DT9" s="97">
        <v>360</v>
      </c>
      <c r="DU9" s="97">
        <v>362</v>
      </c>
      <c r="DV9" s="97">
        <f t="shared" si="7"/>
        <v>362.25</v>
      </c>
      <c r="DW9" s="97">
        <v>365</v>
      </c>
      <c r="DX9" s="97">
        <v>399</v>
      </c>
      <c r="DY9" s="97">
        <f t="shared" si="8"/>
        <v>397.25</v>
      </c>
      <c r="DZ9" s="87">
        <v>426</v>
      </c>
      <c r="EA9" s="97">
        <v>426</v>
      </c>
      <c r="EB9" s="97">
        <f t="shared" si="9"/>
        <v>425.83749999999998</v>
      </c>
      <c r="EC9" s="54">
        <v>425.35</v>
      </c>
      <c r="ED9" s="54">
        <v>431</v>
      </c>
      <c r="EE9" s="97">
        <f t="shared" si="10"/>
        <v>432.08749999999998</v>
      </c>
      <c r="EF9" s="54">
        <v>441</v>
      </c>
      <c r="EG9" s="274">
        <v>452.69514814008107</v>
      </c>
      <c r="EH9" s="97">
        <f t="shared" si="11"/>
        <v>456.10257407004053</v>
      </c>
      <c r="EI9" s="54">
        <v>478.02</v>
      </c>
      <c r="EJ9" s="54">
        <v>537</v>
      </c>
      <c r="EK9" s="97">
        <f t="shared" si="12"/>
        <v>523.755</v>
      </c>
      <c r="EL9" s="54">
        <v>543</v>
      </c>
      <c r="EM9" s="54">
        <v>513</v>
      </c>
      <c r="EN9" s="97">
        <f t="shared" si="13"/>
        <v>517</v>
      </c>
      <c r="EO9" s="54">
        <v>499</v>
      </c>
      <c r="EP9" s="54">
        <v>503</v>
      </c>
      <c r="EQ9" s="97">
        <f t="shared" si="14"/>
        <v>506.75</v>
      </c>
      <c r="ER9" s="269">
        <v>522</v>
      </c>
      <c r="ES9" s="269">
        <v>536.19000000000005</v>
      </c>
      <c r="ET9" s="97">
        <f t="shared" si="15"/>
        <v>536.09500000000003</v>
      </c>
      <c r="EU9" s="269">
        <v>550</v>
      </c>
      <c r="EV9" s="269">
        <v>559</v>
      </c>
      <c r="EW9" s="97">
        <f t="shared" si="16"/>
        <v>557.5</v>
      </c>
      <c r="EX9" s="269">
        <v>562</v>
      </c>
      <c r="EY9" s="269">
        <v>563.25</v>
      </c>
      <c r="EZ9" s="97">
        <f t="shared" si="17"/>
        <v>567.125</v>
      </c>
      <c r="FA9" s="269">
        <v>580</v>
      </c>
      <c r="FB9" s="269">
        <v>581</v>
      </c>
      <c r="FC9" s="97">
        <f t="shared" si="18"/>
        <v>581.5</v>
      </c>
      <c r="FD9" s="269">
        <v>584</v>
      </c>
      <c r="FE9" s="269">
        <v>583</v>
      </c>
      <c r="FF9" s="97">
        <f t="shared" si="19"/>
        <v>583</v>
      </c>
      <c r="FG9" s="270">
        <v>582</v>
      </c>
      <c r="FH9" s="269">
        <v>584</v>
      </c>
      <c r="FI9" s="97">
        <f t="shared" si="20"/>
        <v>584.75</v>
      </c>
      <c r="FJ9" s="269">
        <v>589</v>
      </c>
      <c r="FK9" s="269">
        <v>595</v>
      </c>
      <c r="FL9" s="97">
        <f t="shared" si="21"/>
        <v>593.75</v>
      </c>
      <c r="FM9" s="269">
        <v>596</v>
      </c>
      <c r="FN9" s="269">
        <v>608</v>
      </c>
      <c r="FO9" s="97">
        <f t="shared" si="22"/>
        <v>608</v>
      </c>
      <c r="FP9" s="269">
        <v>620</v>
      </c>
      <c r="FQ9" s="269">
        <v>630</v>
      </c>
      <c r="FR9" s="97">
        <f t="shared" si="23"/>
        <v>630</v>
      </c>
      <c r="FS9" s="269">
        <v>640</v>
      </c>
      <c r="FT9" s="269">
        <v>664</v>
      </c>
      <c r="FU9" s="97">
        <f t="shared" si="24"/>
        <v>651.5</v>
      </c>
      <c r="FV9" s="269">
        <v>638</v>
      </c>
      <c r="FW9" s="269">
        <v>676</v>
      </c>
      <c r="FX9" s="97">
        <f t="shared" si="25"/>
        <v>691</v>
      </c>
      <c r="FY9" s="269">
        <v>774</v>
      </c>
      <c r="FZ9" s="269">
        <v>814</v>
      </c>
      <c r="GA9" s="97">
        <f t="shared" si="26"/>
        <v>811</v>
      </c>
      <c r="GB9" s="270">
        <v>842</v>
      </c>
      <c r="GC9" s="269"/>
      <c r="GD9" s="272">
        <f t="shared" ref="GD9:GD63" si="29">GB9</f>
        <v>842</v>
      </c>
      <c r="GE9" s="269"/>
      <c r="GF9" s="275"/>
      <c r="GG9" s="97">
        <f t="shared" si="27"/>
        <v>0</v>
      </c>
      <c r="GH9" s="105"/>
      <c r="GI9" s="105"/>
      <c r="GJ9" s="97">
        <f>(GH9+GI9*2+GK9)/4</f>
        <v>0</v>
      </c>
      <c r="GK9" s="105"/>
      <c r="GL9" s="105"/>
      <c r="GM9" s="97">
        <f>(GK9+GL9*2+GN9)/4</f>
        <v>0</v>
      </c>
      <c r="GN9" s="105"/>
      <c r="GO9" s="105"/>
      <c r="GP9" s="97">
        <f>(GN9+GO9*2+GQ9)/4</f>
        <v>0</v>
      </c>
      <c r="GQ9" s="105"/>
      <c r="GR9" s="105"/>
    </row>
    <row r="10" spans="1:200" ht="10.5" customHeight="1" x14ac:dyDescent="0.3">
      <c r="A10" s="265">
        <f t="shared" si="28"/>
        <v>3</v>
      </c>
      <c r="B10" s="56" t="s">
        <v>1002</v>
      </c>
      <c r="C10" s="97">
        <v>9</v>
      </c>
      <c r="D10" s="97">
        <v>9</v>
      </c>
      <c r="E10" s="97">
        <v>9</v>
      </c>
      <c r="F10" s="97">
        <v>12</v>
      </c>
      <c r="G10" s="97">
        <v>14</v>
      </c>
      <c r="H10" s="97">
        <v>16</v>
      </c>
      <c r="I10" s="97">
        <v>18</v>
      </c>
      <c r="J10" s="97">
        <v>18</v>
      </c>
      <c r="K10" s="97">
        <v>18</v>
      </c>
      <c r="L10" s="97">
        <v>17</v>
      </c>
      <c r="M10" s="97">
        <v>16</v>
      </c>
      <c r="N10" s="97">
        <v>16</v>
      </c>
      <c r="O10" s="97">
        <v>16</v>
      </c>
      <c r="P10" s="97">
        <v>17</v>
      </c>
      <c r="Q10" s="97">
        <v>19</v>
      </c>
      <c r="R10" s="97">
        <v>19</v>
      </c>
      <c r="S10" s="97">
        <v>19</v>
      </c>
      <c r="T10" s="97">
        <v>20</v>
      </c>
      <c r="U10" s="97">
        <v>20</v>
      </c>
      <c r="V10" s="97">
        <v>19</v>
      </c>
      <c r="W10" s="97">
        <v>18</v>
      </c>
      <c r="X10" s="97">
        <v>18</v>
      </c>
      <c r="Y10" s="97">
        <v>19</v>
      </c>
      <c r="Z10" s="97">
        <v>19</v>
      </c>
      <c r="AA10" s="97">
        <v>19</v>
      </c>
      <c r="AB10" s="97">
        <v>21</v>
      </c>
      <c r="AC10" s="97">
        <v>22</v>
      </c>
      <c r="AD10" s="97">
        <v>22</v>
      </c>
      <c r="AE10" s="97">
        <v>22</v>
      </c>
      <c r="AF10" s="97">
        <v>23</v>
      </c>
      <c r="AG10" s="97">
        <v>24</v>
      </c>
      <c r="AH10" s="97">
        <v>24</v>
      </c>
      <c r="AI10" s="97">
        <v>24</v>
      </c>
      <c r="AJ10" s="97">
        <v>24</v>
      </c>
      <c r="AK10" s="97">
        <v>26</v>
      </c>
      <c r="AL10" s="97">
        <v>32</v>
      </c>
      <c r="AM10" s="97">
        <v>35</v>
      </c>
      <c r="AN10" s="97">
        <v>37</v>
      </c>
      <c r="AO10" s="97">
        <v>40</v>
      </c>
      <c r="AP10" s="97">
        <v>47</v>
      </c>
      <c r="AQ10" s="97">
        <v>47</v>
      </c>
      <c r="AR10" s="97">
        <v>48</v>
      </c>
      <c r="AS10" s="97">
        <v>49</v>
      </c>
      <c r="AT10" s="97">
        <v>50</v>
      </c>
      <c r="AU10" s="97">
        <v>55</v>
      </c>
      <c r="AV10" s="97">
        <v>56</v>
      </c>
      <c r="AW10" s="97">
        <v>56</v>
      </c>
      <c r="AX10" s="97">
        <v>62</v>
      </c>
      <c r="AY10" s="97">
        <v>68</v>
      </c>
      <c r="AZ10" s="97">
        <v>68</v>
      </c>
      <c r="BA10" s="97">
        <v>69</v>
      </c>
      <c r="BB10" s="97">
        <v>69</v>
      </c>
      <c r="BC10" s="97">
        <v>70</v>
      </c>
      <c r="BD10" s="97">
        <v>70</v>
      </c>
      <c r="BE10" s="97">
        <v>74</v>
      </c>
      <c r="BF10" s="97">
        <v>77</v>
      </c>
      <c r="BG10" s="97">
        <v>78</v>
      </c>
      <c r="BH10" s="97">
        <v>80</v>
      </c>
      <c r="BI10" s="97">
        <v>85</v>
      </c>
      <c r="BJ10" s="97">
        <v>89</v>
      </c>
      <c r="BK10" s="97">
        <v>93</v>
      </c>
      <c r="BL10" s="97">
        <v>100</v>
      </c>
      <c r="BM10" s="38">
        <v>127</v>
      </c>
      <c r="BN10" s="97">
        <v>154</v>
      </c>
      <c r="BO10" s="97">
        <v>177</v>
      </c>
      <c r="BP10" s="97">
        <v>183</v>
      </c>
      <c r="BQ10" s="97">
        <v>195</v>
      </c>
      <c r="BR10" s="97">
        <v>212</v>
      </c>
      <c r="BS10" s="97">
        <v>235</v>
      </c>
      <c r="BT10" s="97">
        <v>259</v>
      </c>
      <c r="BU10" s="97">
        <v>276</v>
      </c>
      <c r="BV10" s="97">
        <v>281</v>
      </c>
      <c r="BW10" s="97">
        <v>284</v>
      </c>
      <c r="BX10" s="97">
        <v>292</v>
      </c>
      <c r="BY10" s="97">
        <v>296</v>
      </c>
      <c r="BZ10" s="97">
        <v>300</v>
      </c>
      <c r="CA10" s="97">
        <v>303</v>
      </c>
      <c r="CB10" s="97">
        <v>310</v>
      </c>
      <c r="CC10" s="97">
        <v>310.25</v>
      </c>
      <c r="CD10" s="97">
        <v>318</v>
      </c>
      <c r="CE10" s="97">
        <v>329</v>
      </c>
      <c r="CF10" s="97">
        <v>327.25</v>
      </c>
      <c r="CG10" s="97">
        <v>333</v>
      </c>
      <c r="CH10" s="97">
        <v>343</v>
      </c>
      <c r="CI10" s="97">
        <v>342</v>
      </c>
      <c r="CJ10" s="97">
        <v>349</v>
      </c>
      <c r="CK10" s="97">
        <v>356</v>
      </c>
      <c r="CL10" s="97">
        <v>352.5</v>
      </c>
      <c r="CM10" s="97">
        <v>349</v>
      </c>
      <c r="CN10" s="97">
        <v>356</v>
      </c>
      <c r="CO10" s="97">
        <v>360.5</v>
      </c>
      <c r="CP10" s="97">
        <v>381</v>
      </c>
      <c r="CQ10" s="97">
        <v>392</v>
      </c>
      <c r="CR10" s="97">
        <v>390.75</v>
      </c>
      <c r="CS10" s="97">
        <v>398</v>
      </c>
      <c r="CT10" s="97">
        <v>407</v>
      </c>
      <c r="CU10" s="97">
        <v>406</v>
      </c>
      <c r="CV10" s="97">
        <v>412</v>
      </c>
      <c r="CW10" s="97">
        <v>417</v>
      </c>
      <c r="CX10" s="97">
        <v>418.75</v>
      </c>
      <c r="CY10" s="97">
        <v>429</v>
      </c>
      <c r="CZ10" s="97">
        <v>441</v>
      </c>
      <c r="DA10" s="97">
        <v>439.75</v>
      </c>
      <c r="DB10" s="97">
        <v>448</v>
      </c>
      <c r="DC10" s="97">
        <v>481</v>
      </c>
      <c r="DD10" s="97">
        <v>475.5</v>
      </c>
      <c r="DE10" s="97">
        <v>492</v>
      </c>
      <c r="DF10" s="97">
        <v>492</v>
      </c>
      <c r="DG10" s="97">
        <f t="shared" si="2"/>
        <v>495.5</v>
      </c>
      <c r="DH10" s="97">
        <v>506</v>
      </c>
      <c r="DI10" s="99">
        <v>506</v>
      </c>
      <c r="DJ10" s="99">
        <f t="shared" si="3"/>
        <v>509.5</v>
      </c>
      <c r="DK10" s="97">
        <v>520</v>
      </c>
      <c r="DL10" s="97">
        <v>531</v>
      </c>
      <c r="DM10" s="97">
        <f t="shared" si="4"/>
        <v>528</v>
      </c>
      <c r="DN10" s="97">
        <v>530</v>
      </c>
      <c r="DO10" s="97">
        <v>530</v>
      </c>
      <c r="DP10" s="97">
        <f t="shared" si="5"/>
        <v>524</v>
      </c>
      <c r="DQ10" s="97">
        <v>506</v>
      </c>
      <c r="DR10" s="97">
        <v>531</v>
      </c>
      <c r="DS10" s="97">
        <f t="shared" si="6"/>
        <v>524.75</v>
      </c>
      <c r="DT10" s="97">
        <v>531</v>
      </c>
      <c r="DU10" s="97">
        <v>548</v>
      </c>
      <c r="DV10" s="97">
        <f t="shared" si="7"/>
        <v>544</v>
      </c>
      <c r="DW10" s="97">
        <v>549</v>
      </c>
      <c r="DX10" s="97">
        <v>555</v>
      </c>
      <c r="DY10" s="97">
        <f t="shared" si="8"/>
        <v>556.5</v>
      </c>
      <c r="DZ10" s="87">
        <v>567</v>
      </c>
      <c r="EA10" s="97">
        <v>575</v>
      </c>
      <c r="EB10" s="97">
        <f t="shared" si="9"/>
        <v>577.32500000000005</v>
      </c>
      <c r="EC10" s="54">
        <v>592.29999999999995</v>
      </c>
      <c r="ED10" s="54">
        <v>602</v>
      </c>
      <c r="EE10" s="97">
        <f t="shared" si="10"/>
        <v>604.07500000000005</v>
      </c>
      <c r="EF10" s="54">
        <v>620</v>
      </c>
      <c r="EG10" s="274">
        <v>639.966768</v>
      </c>
      <c r="EH10" s="97">
        <f t="shared" si="11"/>
        <v>635.80838399999993</v>
      </c>
      <c r="EI10" s="54">
        <v>643.29999999999995</v>
      </c>
      <c r="EJ10" s="54">
        <v>663</v>
      </c>
      <c r="EK10" s="97">
        <f t="shared" si="12"/>
        <v>660.57500000000005</v>
      </c>
      <c r="EL10" s="54">
        <v>673</v>
      </c>
      <c r="EM10" s="54">
        <v>675</v>
      </c>
      <c r="EN10" s="97">
        <f t="shared" si="13"/>
        <v>681.5</v>
      </c>
      <c r="EO10" s="54">
        <v>703</v>
      </c>
      <c r="EP10" s="54">
        <v>704</v>
      </c>
      <c r="EQ10" s="97">
        <f t="shared" si="14"/>
        <v>704.25</v>
      </c>
      <c r="ER10" s="269">
        <v>706</v>
      </c>
      <c r="ES10" s="269">
        <v>756.18</v>
      </c>
      <c r="ET10" s="97">
        <f t="shared" si="15"/>
        <v>749.83999999999992</v>
      </c>
      <c r="EU10" s="269">
        <v>781</v>
      </c>
      <c r="EV10" s="269">
        <v>787</v>
      </c>
      <c r="EW10" s="97">
        <f t="shared" si="16"/>
        <v>788.5</v>
      </c>
      <c r="EX10" s="269">
        <v>799</v>
      </c>
      <c r="EY10" s="269">
        <v>846.49</v>
      </c>
      <c r="EZ10" s="97">
        <f t="shared" si="17"/>
        <v>837.745</v>
      </c>
      <c r="FA10" s="269">
        <v>859</v>
      </c>
      <c r="FB10" s="269">
        <v>922</v>
      </c>
      <c r="FC10" s="97">
        <f t="shared" si="18"/>
        <v>915.25</v>
      </c>
      <c r="FD10" s="269">
        <v>958</v>
      </c>
      <c r="FE10" s="269">
        <v>963</v>
      </c>
      <c r="FF10" s="97">
        <f t="shared" si="19"/>
        <v>981.75</v>
      </c>
      <c r="FG10" s="270">
        <v>1043</v>
      </c>
      <c r="FH10" s="269">
        <v>1076</v>
      </c>
      <c r="FI10" s="97">
        <f t="shared" si="20"/>
        <v>1078.75</v>
      </c>
      <c r="FJ10" s="269">
        <v>1120</v>
      </c>
      <c r="FK10" s="269">
        <v>1244</v>
      </c>
      <c r="FL10" s="97">
        <f t="shared" si="21"/>
        <v>1214</v>
      </c>
      <c r="FM10" s="269">
        <v>1248</v>
      </c>
      <c r="FN10" s="269">
        <v>1345</v>
      </c>
      <c r="FO10" s="97">
        <f t="shared" si="22"/>
        <v>1334.75</v>
      </c>
      <c r="FP10" s="269">
        <v>1401</v>
      </c>
      <c r="FQ10" s="269">
        <v>1492</v>
      </c>
      <c r="FR10" s="97">
        <f t="shared" si="23"/>
        <v>1477.75</v>
      </c>
      <c r="FS10" s="269">
        <v>1526</v>
      </c>
      <c r="FT10" s="269">
        <v>1639</v>
      </c>
      <c r="FU10" s="97">
        <f t="shared" si="24"/>
        <v>1611</v>
      </c>
      <c r="FV10" s="269">
        <v>1640</v>
      </c>
      <c r="FW10" s="269">
        <v>1690</v>
      </c>
      <c r="FX10" s="97">
        <f t="shared" si="25"/>
        <v>1710.25</v>
      </c>
      <c r="FY10" s="269">
        <v>1821</v>
      </c>
      <c r="FZ10" s="269">
        <v>2046</v>
      </c>
      <c r="GA10" s="97">
        <f t="shared" si="26"/>
        <v>1995.75</v>
      </c>
      <c r="GB10" s="270">
        <v>2070</v>
      </c>
      <c r="GC10" s="269"/>
      <c r="GD10" s="272">
        <f t="shared" si="29"/>
        <v>2070</v>
      </c>
      <c r="GE10" s="269"/>
      <c r="GF10" s="275"/>
      <c r="GG10" s="97">
        <f t="shared" si="27"/>
        <v>0</v>
      </c>
      <c r="GH10" s="105"/>
      <c r="GI10" s="105"/>
      <c r="GJ10" s="97">
        <f>(GH10+GI10*2+GK10)/4</f>
        <v>0</v>
      </c>
      <c r="GK10" s="105"/>
      <c r="GL10" s="105"/>
      <c r="GM10" s="97">
        <f>(GK10+GL10*2+GN10)/4</f>
        <v>0</v>
      </c>
      <c r="GN10" s="105"/>
      <c r="GO10" s="105"/>
      <c r="GP10" s="97">
        <f>(GN10+GO10*2+GQ10)/4</f>
        <v>0</v>
      </c>
      <c r="GQ10" s="105"/>
      <c r="GR10" s="105"/>
    </row>
    <row r="11" spans="1:200" ht="10.5" customHeight="1" x14ac:dyDescent="0.3">
      <c r="A11" s="265">
        <f t="shared" si="28"/>
        <v>4</v>
      </c>
      <c r="B11" s="56" t="s">
        <v>1003</v>
      </c>
      <c r="C11" s="97">
        <v>17</v>
      </c>
      <c r="D11" s="97">
        <v>17</v>
      </c>
      <c r="E11" s="97">
        <v>17</v>
      </c>
      <c r="F11" s="97">
        <v>12</v>
      </c>
      <c r="G11" s="97">
        <v>18</v>
      </c>
      <c r="H11" s="97">
        <v>39</v>
      </c>
      <c r="I11" s="97">
        <v>44</v>
      </c>
      <c r="J11" s="97">
        <v>35</v>
      </c>
      <c r="K11" s="97">
        <v>37</v>
      </c>
      <c r="L11" s="97">
        <v>35</v>
      </c>
      <c r="M11" s="97">
        <v>34</v>
      </c>
      <c r="N11" s="97">
        <v>36</v>
      </c>
      <c r="O11" s="97">
        <v>37</v>
      </c>
      <c r="P11" s="97">
        <v>37</v>
      </c>
      <c r="Q11" s="97">
        <v>37</v>
      </c>
      <c r="R11" s="97">
        <v>37</v>
      </c>
      <c r="S11" s="97">
        <v>37</v>
      </c>
      <c r="T11" s="97">
        <v>36</v>
      </c>
      <c r="U11" s="97">
        <v>36</v>
      </c>
      <c r="V11" s="97">
        <v>36</v>
      </c>
      <c r="W11" s="97">
        <v>35</v>
      </c>
      <c r="X11" s="97">
        <v>32</v>
      </c>
      <c r="Y11" s="97">
        <v>31</v>
      </c>
      <c r="Z11" s="97">
        <v>31</v>
      </c>
      <c r="AA11" s="97">
        <v>32</v>
      </c>
      <c r="AB11" s="97">
        <v>36</v>
      </c>
      <c r="AC11" s="97">
        <v>35</v>
      </c>
      <c r="AD11" s="97">
        <v>35</v>
      </c>
      <c r="AE11" s="97">
        <v>35</v>
      </c>
      <c r="AF11" s="97">
        <v>35</v>
      </c>
      <c r="AG11" s="97">
        <v>35</v>
      </c>
      <c r="AH11" s="97">
        <v>35</v>
      </c>
      <c r="AI11" s="97">
        <v>35</v>
      </c>
      <c r="AJ11" s="97">
        <v>35</v>
      </c>
      <c r="AK11" s="97">
        <v>37</v>
      </c>
      <c r="AL11" s="97">
        <v>42</v>
      </c>
      <c r="AM11" s="97">
        <v>45</v>
      </c>
      <c r="AN11" s="97">
        <v>50</v>
      </c>
      <c r="AO11" s="97">
        <v>52</v>
      </c>
      <c r="AP11" s="97">
        <v>53</v>
      </c>
      <c r="AQ11" s="97">
        <v>53</v>
      </c>
      <c r="AR11" s="97">
        <v>55</v>
      </c>
      <c r="AS11" s="97">
        <v>56</v>
      </c>
      <c r="AT11" s="97">
        <v>57</v>
      </c>
      <c r="AU11" s="97">
        <v>61</v>
      </c>
      <c r="AV11" s="97">
        <v>67</v>
      </c>
      <c r="AW11" s="97">
        <v>69</v>
      </c>
      <c r="AX11" s="97">
        <v>71</v>
      </c>
      <c r="AY11" s="97">
        <v>71</v>
      </c>
      <c r="AZ11" s="97">
        <v>71</v>
      </c>
      <c r="BA11" s="97">
        <v>71</v>
      </c>
      <c r="BB11" s="97">
        <v>71</v>
      </c>
      <c r="BC11" s="97">
        <v>73</v>
      </c>
      <c r="BD11" s="97">
        <v>73</v>
      </c>
      <c r="BE11" s="97">
        <v>73</v>
      </c>
      <c r="BF11" s="97">
        <v>74</v>
      </c>
      <c r="BG11" s="97">
        <v>78</v>
      </c>
      <c r="BH11" s="97">
        <v>82</v>
      </c>
      <c r="BI11" s="97">
        <v>86</v>
      </c>
      <c r="BJ11" s="97">
        <v>92</v>
      </c>
      <c r="BK11" s="97">
        <v>98</v>
      </c>
      <c r="BL11" s="97">
        <v>100</v>
      </c>
      <c r="BM11" s="38">
        <v>112</v>
      </c>
      <c r="BN11" s="97">
        <v>131</v>
      </c>
      <c r="BO11" s="97">
        <v>143</v>
      </c>
      <c r="BP11" s="97">
        <v>155</v>
      </c>
      <c r="BQ11" s="97">
        <v>178</v>
      </c>
      <c r="BR11" s="97">
        <v>206</v>
      </c>
      <c r="BS11" s="97">
        <v>223</v>
      </c>
      <c r="BT11" s="97">
        <v>236</v>
      </c>
      <c r="BU11" s="97">
        <v>254</v>
      </c>
      <c r="BV11" s="97">
        <v>226</v>
      </c>
      <c r="BW11" s="97">
        <v>215</v>
      </c>
      <c r="BX11" s="97">
        <v>215</v>
      </c>
      <c r="BY11" s="97">
        <v>215</v>
      </c>
      <c r="BZ11" s="97">
        <v>231</v>
      </c>
      <c r="CA11" s="97">
        <v>261</v>
      </c>
      <c r="CB11" s="97">
        <v>275</v>
      </c>
      <c r="CC11" s="97">
        <v>271.25</v>
      </c>
      <c r="CD11" s="97">
        <v>274</v>
      </c>
      <c r="CE11" s="97">
        <v>266</v>
      </c>
      <c r="CF11" s="97">
        <v>263.5</v>
      </c>
      <c r="CG11" s="97">
        <v>248</v>
      </c>
      <c r="CH11" s="97">
        <v>243</v>
      </c>
      <c r="CI11" s="97">
        <v>240.5</v>
      </c>
      <c r="CJ11" s="97">
        <v>228</v>
      </c>
      <c r="CK11" s="97">
        <v>229</v>
      </c>
      <c r="CL11" s="97">
        <v>228.5</v>
      </c>
      <c r="CM11" s="97">
        <v>228</v>
      </c>
      <c r="CN11" s="97">
        <v>229</v>
      </c>
      <c r="CO11" s="97">
        <v>221.5</v>
      </c>
      <c r="CP11" s="97">
        <v>200</v>
      </c>
      <c r="CQ11" s="97">
        <v>200</v>
      </c>
      <c r="CR11" s="97">
        <v>199</v>
      </c>
      <c r="CS11" s="97">
        <v>196</v>
      </c>
      <c r="CT11" s="97">
        <v>196</v>
      </c>
      <c r="CU11" s="97">
        <v>198.75</v>
      </c>
      <c r="CV11" s="97">
        <v>207</v>
      </c>
      <c r="CW11" s="97">
        <v>219</v>
      </c>
      <c r="CX11" s="97">
        <v>216</v>
      </c>
      <c r="CY11" s="97">
        <v>219</v>
      </c>
      <c r="CZ11" s="97">
        <v>211</v>
      </c>
      <c r="DA11" s="97">
        <v>214.75</v>
      </c>
      <c r="DB11" s="97">
        <v>218</v>
      </c>
      <c r="DC11" s="97">
        <v>203</v>
      </c>
      <c r="DD11" s="97">
        <v>203.75</v>
      </c>
      <c r="DE11" s="97">
        <v>191</v>
      </c>
      <c r="DF11" s="97">
        <v>189</v>
      </c>
      <c r="DG11" s="97">
        <f t="shared" si="2"/>
        <v>189.5</v>
      </c>
      <c r="DH11" s="97">
        <v>189</v>
      </c>
      <c r="DI11" s="99">
        <v>183</v>
      </c>
      <c r="DJ11" s="99">
        <f t="shared" si="3"/>
        <v>182.75</v>
      </c>
      <c r="DK11" s="97">
        <v>176</v>
      </c>
      <c r="DL11" s="97">
        <v>180</v>
      </c>
      <c r="DM11" s="97">
        <f t="shared" si="4"/>
        <v>178.25</v>
      </c>
      <c r="DN11" s="97">
        <v>177</v>
      </c>
      <c r="DO11" s="97">
        <v>166</v>
      </c>
      <c r="DP11" s="97">
        <f t="shared" si="5"/>
        <v>169.5</v>
      </c>
      <c r="DQ11" s="97">
        <v>169</v>
      </c>
      <c r="DR11" s="97">
        <v>166</v>
      </c>
      <c r="DS11" s="97">
        <f t="shared" si="6"/>
        <v>166.75</v>
      </c>
      <c r="DT11" s="97">
        <v>166</v>
      </c>
      <c r="DU11" s="97">
        <v>158</v>
      </c>
      <c r="DV11" s="97">
        <f t="shared" si="7"/>
        <v>160</v>
      </c>
      <c r="DW11" s="97">
        <v>158</v>
      </c>
      <c r="DX11" s="97">
        <v>173</v>
      </c>
      <c r="DY11" s="97">
        <f t="shared" si="8"/>
        <v>193.5</v>
      </c>
      <c r="DZ11" s="87">
        <v>270</v>
      </c>
      <c r="EA11" s="97">
        <v>286</v>
      </c>
      <c r="EB11" s="97">
        <f t="shared" si="9"/>
        <v>283.48750000000001</v>
      </c>
      <c r="EC11" s="54">
        <v>291.95</v>
      </c>
      <c r="ED11" s="54">
        <v>299</v>
      </c>
      <c r="EE11" s="97">
        <f t="shared" si="10"/>
        <v>299.23750000000001</v>
      </c>
      <c r="EF11" s="54">
        <v>307</v>
      </c>
      <c r="EG11" s="274">
        <v>304.10748630000001</v>
      </c>
      <c r="EH11" s="97">
        <f t="shared" si="11"/>
        <v>309.84124314999997</v>
      </c>
      <c r="EI11" s="54">
        <v>324.14999999999998</v>
      </c>
      <c r="EJ11" s="54">
        <v>400</v>
      </c>
      <c r="EK11" s="97">
        <f t="shared" si="12"/>
        <v>394.53750000000002</v>
      </c>
      <c r="EL11" s="54">
        <v>454</v>
      </c>
      <c r="EM11" s="54">
        <v>413</v>
      </c>
      <c r="EN11" s="97">
        <f t="shared" si="13"/>
        <v>414</v>
      </c>
      <c r="EO11" s="54">
        <v>376</v>
      </c>
      <c r="EP11" s="54">
        <v>417</v>
      </c>
      <c r="EQ11" s="97">
        <f t="shared" si="14"/>
        <v>407.25</v>
      </c>
      <c r="ER11" s="269">
        <v>419</v>
      </c>
      <c r="ES11" s="269">
        <v>447.5</v>
      </c>
      <c r="ET11" s="97">
        <f t="shared" si="15"/>
        <v>438</v>
      </c>
      <c r="EU11" s="269">
        <v>438</v>
      </c>
      <c r="EV11" s="269">
        <v>455</v>
      </c>
      <c r="EW11" s="97">
        <f t="shared" si="16"/>
        <v>446.75</v>
      </c>
      <c r="EX11" s="269">
        <v>439</v>
      </c>
      <c r="EY11" s="269">
        <v>425.48</v>
      </c>
      <c r="EZ11" s="97">
        <f t="shared" si="17"/>
        <v>429.74</v>
      </c>
      <c r="FA11" s="269">
        <v>429</v>
      </c>
      <c r="FB11" s="269">
        <v>431</v>
      </c>
      <c r="FC11" s="97">
        <f t="shared" si="18"/>
        <v>427</v>
      </c>
      <c r="FD11" s="269">
        <v>417</v>
      </c>
      <c r="FE11" s="269">
        <v>416</v>
      </c>
      <c r="FF11" s="97">
        <f t="shared" si="19"/>
        <v>413.25</v>
      </c>
      <c r="FG11" s="270">
        <v>404</v>
      </c>
      <c r="FH11" s="269">
        <v>411</v>
      </c>
      <c r="FI11" s="97">
        <f t="shared" si="20"/>
        <v>411.75</v>
      </c>
      <c r="FJ11" s="269">
        <v>421</v>
      </c>
      <c r="FK11" s="269">
        <v>415</v>
      </c>
      <c r="FL11" s="97">
        <f t="shared" si="21"/>
        <v>414.5</v>
      </c>
      <c r="FM11" s="269">
        <v>407</v>
      </c>
      <c r="FN11" s="269">
        <v>462</v>
      </c>
      <c r="FO11" s="97">
        <f t="shared" si="22"/>
        <v>453.5</v>
      </c>
      <c r="FP11" s="269">
        <v>483</v>
      </c>
      <c r="FQ11" s="269">
        <v>468</v>
      </c>
      <c r="FR11" s="97">
        <f t="shared" si="23"/>
        <v>475</v>
      </c>
      <c r="FS11" s="269">
        <v>481</v>
      </c>
      <c r="FT11" s="269">
        <v>469</v>
      </c>
      <c r="FU11" s="97">
        <f t="shared" si="24"/>
        <v>477.75</v>
      </c>
      <c r="FV11" s="269">
        <v>492</v>
      </c>
      <c r="FW11" s="269">
        <v>546</v>
      </c>
      <c r="FX11" s="97">
        <f t="shared" si="25"/>
        <v>558.25</v>
      </c>
      <c r="FY11" s="269">
        <v>649</v>
      </c>
      <c r="FZ11" s="269">
        <v>701</v>
      </c>
      <c r="GA11" s="97">
        <f t="shared" si="26"/>
        <v>692.75</v>
      </c>
      <c r="GB11" s="270">
        <v>720</v>
      </c>
      <c r="GC11" s="269"/>
      <c r="GD11" s="272">
        <f t="shared" si="29"/>
        <v>720</v>
      </c>
      <c r="GE11" s="269"/>
      <c r="GF11" s="275"/>
      <c r="GG11" s="97">
        <f t="shared" si="27"/>
        <v>0</v>
      </c>
      <c r="GH11" s="105"/>
      <c r="GI11" s="105"/>
      <c r="GJ11" s="97"/>
      <c r="GK11" s="105"/>
      <c r="GL11" s="105"/>
      <c r="GM11" s="97"/>
      <c r="GN11" s="105"/>
      <c r="GO11" s="105"/>
      <c r="GP11" s="97"/>
      <c r="GQ11" s="105"/>
      <c r="GR11" s="105"/>
    </row>
    <row r="12" spans="1:200" ht="10.5" customHeight="1" x14ac:dyDescent="0.3">
      <c r="A12" s="265">
        <f t="shared" si="28"/>
        <v>5</v>
      </c>
      <c r="B12" s="56" t="s">
        <v>1004</v>
      </c>
      <c r="C12" s="97">
        <v>6</v>
      </c>
      <c r="D12" s="97">
        <v>6</v>
      </c>
      <c r="E12" s="97">
        <v>6</v>
      </c>
      <c r="F12" s="97">
        <v>7</v>
      </c>
      <c r="G12" s="97">
        <v>7</v>
      </c>
      <c r="H12" s="97">
        <v>7</v>
      </c>
      <c r="I12" s="97">
        <v>7</v>
      </c>
      <c r="J12" s="97">
        <v>8</v>
      </c>
      <c r="K12" s="97">
        <v>8</v>
      </c>
      <c r="L12" s="97">
        <v>9</v>
      </c>
      <c r="M12" s="97">
        <v>9</v>
      </c>
      <c r="N12" s="97">
        <v>9</v>
      </c>
      <c r="O12" s="97">
        <v>9</v>
      </c>
      <c r="P12" s="97">
        <v>10</v>
      </c>
      <c r="Q12" s="97">
        <v>10</v>
      </c>
      <c r="R12" s="97">
        <v>10</v>
      </c>
      <c r="S12" s="97">
        <v>11</v>
      </c>
      <c r="T12" s="97">
        <v>11</v>
      </c>
      <c r="U12" s="97">
        <v>11</v>
      </c>
      <c r="V12" s="97">
        <v>11</v>
      </c>
      <c r="W12" s="97">
        <v>10</v>
      </c>
      <c r="X12" s="97">
        <v>10</v>
      </c>
      <c r="Y12" s="97">
        <v>10</v>
      </c>
      <c r="Z12" s="97">
        <v>10</v>
      </c>
      <c r="AA12" s="97">
        <v>10</v>
      </c>
      <c r="AB12" s="97">
        <v>10</v>
      </c>
      <c r="AC12" s="97">
        <v>10</v>
      </c>
      <c r="AD12" s="97">
        <v>11</v>
      </c>
      <c r="AE12" s="97">
        <v>11</v>
      </c>
      <c r="AF12" s="97">
        <v>11</v>
      </c>
      <c r="AG12" s="97">
        <v>11</v>
      </c>
      <c r="AH12" s="97">
        <v>11</v>
      </c>
      <c r="AI12" s="97">
        <v>12</v>
      </c>
      <c r="AJ12" s="97">
        <v>17</v>
      </c>
      <c r="AK12" s="97">
        <v>20</v>
      </c>
      <c r="AL12" s="97">
        <v>23</v>
      </c>
      <c r="AM12" s="97">
        <v>26</v>
      </c>
      <c r="AN12" s="97">
        <v>29</v>
      </c>
      <c r="AO12" s="97">
        <v>31</v>
      </c>
      <c r="AP12" s="97">
        <v>33</v>
      </c>
      <c r="AQ12" s="97">
        <v>35</v>
      </c>
      <c r="AR12" s="97">
        <v>38</v>
      </c>
      <c r="AS12" s="97">
        <v>40</v>
      </c>
      <c r="AT12" s="97">
        <v>43</v>
      </c>
      <c r="AU12" s="97">
        <v>45</v>
      </c>
      <c r="AV12" s="97">
        <v>47</v>
      </c>
      <c r="AW12" s="97">
        <v>49</v>
      </c>
      <c r="AX12" s="97">
        <v>52</v>
      </c>
      <c r="AY12" s="97">
        <v>54</v>
      </c>
      <c r="AZ12" s="97">
        <v>55</v>
      </c>
      <c r="BA12" s="97">
        <v>55</v>
      </c>
      <c r="BB12" s="97">
        <v>55</v>
      </c>
      <c r="BC12" s="97">
        <v>56</v>
      </c>
      <c r="BD12" s="97">
        <v>56</v>
      </c>
      <c r="BE12" s="97">
        <v>58</v>
      </c>
      <c r="BF12" s="97">
        <v>64</v>
      </c>
      <c r="BG12" s="97">
        <v>68</v>
      </c>
      <c r="BH12" s="97">
        <v>72</v>
      </c>
      <c r="BI12" s="97">
        <v>78</v>
      </c>
      <c r="BJ12" s="97">
        <v>82</v>
      </c>
      <c r="BK12" s="97">
        <v>88</v>
      </c>
      <c r="BL12" s="97">
        <v>100</v>
      </c>
      <c r="BM12" s="38">
        <v>122</v>
      </c>
      <c r="BN12" s="97">
        <v>139</v>
      </c>
      <c r="BO12" s="97">
        <v>147</v>
      </c>
      <c r="BP12" s="97">
        <v>171</v>
      </c>
      <c r="BQ12" s="97">
        <v>186</v>
      </c>
      <c r="BR12" s="97">
        <v>215</v>
      </c>
      <c r="BS12" s="97">
        <v>237</v>
      </c>
      <c r="BT12" s="97">
        <v>267</v>
      </c>
      <c r="BU12" s="97">
        <v>302</v>
      </c>
      <c r="BV12" s="97">
        <v>328</v>
      </c>
      <c r="BW12" s="97">
        <v>344</v>
      </c>
      <c r="BX12" s="97">
        <v>384</v>
      </c>
      <c r="BY12" s="97">
        <v>411</v>
      </c>
      <c r="BZ12" s="97">
        <v>423</v>
      </c>
      <c r="CA12" s="97">
        <v>433</v>
      </c>
      <c r="CB12" s="97">
        <v>443</v>
      </c>
      <c r="CC12" s="97">
        <v>442</v>
      </c>
      <c r="CD12" s="97">
        <v>449</v>
      </c>
      <c r="CE12" s="97">
        <v>456</v>
      </c>
      <c r="CF12" s="97">
        <v>457.75</v>
      </c>
      <c r="CG12" s="97">
        <v>470</v>
      </c>
      <c r="CH12" s="97">
        <v>474</v>
      </c>
      <c r="CI12" s="97">
        <v>474.25</v>
      </c>
      <c r="CJ12" s="97">
        <v>479</v>
      </c>
      <c r="CK12" s="97">
        <v>484</v>
      </c>
      <c r="CL12" s="97">
        <v>481.5</v>
      </c>
      <c r="CM12" s="97">
        <v>479</v>
      </c>
      <c r="CN12" s="97">
        <v>484</v>
      </c>
      <c r="CO12" s="97">
        <v>489.5</v>
      </c>
      <c r="CP12" s="97">
        <v>511</v>
      </c>
      <c r="CQ12" s="97">
        <v>546</v>
      </c>
      <c r="CR12" s="97">
        <v>537.25</v>
      </c>
      <c r="CS12" s="97">
        <v>546</v>
      </c>
      <c r="CT12" s="97">
        <v>615</v>
      </c>
      <c r="CU12" s="97">
        <v>597.75</v>
      </c>
      <c r="CV12" s="97">
        <v>615</v>
      </c>
      <c r="CW12" s="97">
        <v>615</v>
      </c>
      <c r="CX12" s="97">
        <v>615</v>
      </c>
      <c r="CY12" s="97">
        <v>615</v>
      </c>
      <c r="CZ12" s="97">
        <v>615</v>
      </c>
      <c r="DA12" s="97">
        <v>615</v>
      </c>
      <c r="DB12" s="97">
        <v>615</v>
      </c>
      <c r="DC12" s="97">
        <v>670</v>
      </c>
      <c r="DD12" s="97">
        <v>656.25</v>
      </c>
      <c r="DE12" s="97">
        <v>670</v>
      </c>
      <c r="DF12" s="97">
        <v>684</v>
      </c>
      <c r="DG12" s="97">
        <f t="shared" si="2"/>
        <v>688.75</v>
      </c>
      <c r="DH12" s="97">
        <v>717</v>
      </c>
      <c r="DI12" s="99">
        <v>727</v>
      </c>
      <c r="DJ12" s="99">
        <f t="shared" si="3"/>
        <v>728.25</v>
      </c>
      <c r="DK12" s="97">
        <v>742</v>
      </c>
      <c r="DL12" s="97">
        <v>749</v>
      </c>
      <c r="DM12" s="97">
        <f t="shared" si="4"/>
        <v>747.25</v>
      </c>
      <c r="DN12" s="97">
        <v>749</v>
      </c>
      <c r="DO12" s="97">
        <v>749</v>
      </c>
      <c r="DP12" s="97">
        <f t="shared" si="5"/>
        <v>749</v>
      </c>
      <c r="DQ12" s="97">
        <v>749</v>
      </c>
      <c r="DR12" s="97">
        <v>749</v>
      </c>
      <c r="DS12" s="97">
        <f t="shared" si="6"/>
        <v>749</v>
      </c>
      <c r="DT12" s="97">
        <v>749</v>
      </c>
      <c r="DU12" s="97">
        <v>749</v>
      </c>
      <c r="DV12" s="97">
        <f t="shared" si="7"/>
        <v>749</v>
      </c>
      <c r="DW12" s="97">
        <v>749</v>
      </c>
      <c r="DX12" s="97">
        <v>817</v>
      </c>
      <c r="DY12" s="97">
        <f t="shared" si="8"/>
        <v>800</v>
      </c>
      <c r="DZ12" s="87">
        <v>817</v>
      </c>
      <c r="EA12" s="97">
        <v>817</v>
      </c>
      <c r="EB12" s="97">
        <f t="shared" si="9"/>
        <v>816.95749999999998</v>
      </c>
      <c r="EC12" s="54">
        <v>816.83</v>
      </c>
      <c r="ED12" s="54">
        <v>817</v>
      </c>
      <c r="EE12" s="97">
        <f t="shared" si="10"/>
        <v>816.95749999999998</v>
      </c>
      <c r="EF12" s="54">
        <v>817</v>
      </c>
      <c r="EG12" s="274">
        <v>816.82861000000003</v>
      </c>
      <c r="EH12" s="97">
        <f t="shared" si="11"/>
        <v>816.87180499999999</v>
      </c>
      <c r="EI12" s="54">
        <v>816.83</v>
      </c>
      <c r="EJ12" s="54">
        <v>899</v>
      </c>
      <c r="EK12" s="97">
        <f t="shared" si="12"/>
        <v>878.45749999999998</v>
      </c>
      <c r="EL12" s="54">
        <v>899</v>
      </c>
      <c r="EM12" s="54">
        <v>899</v>
      </c>
      <c r="EN12" s="97">
        <f t="shared" si="13"/>
        <v>899</v>
      </c>
      <c r="EO12" s="54">
        <v>899</v>
      </c>
      <c r="EP12" s="54">
        <v>899</v>
      </c>
      <c r="EQ12" s="97">
        <f t="shared" si="14"/>
        <v>899</v>
      </c>
      <c r="ER12" s="269">
        <v>899</v>
      </c>
      <c r="ES12" s="269">
        <v>898.51</v>
      </c>
      <c r="ET12" s="97">
        <f t="shared" si="15"/>
        <v>898.755</v>
      </c>
      <c r="EU12" s="269">
        <v>899</v>
      </c>
      <c r="EV12" s="269">
        <v>899</v>
      </c>
      <c r="EW12" s="97">
        <f t="shared" si="16"/>
        <v>899</v>
      </c>
      <c r="EX12" s="269">
        <v>899</v>
      </c>
      <c r="EY12" s="269">
        <v>965.02</v>
      </c>
      <c r="EZ12" s="97">
        <f t="shared" si="17"/>
        <v>948.51</v>
      </c>
      <c r="FA12" s="269">
        <v>965</v>
      </c>
      <c r="FB12" s="269">
        <v>1007</v>
      </c>
      <c r="FC12" s="97">
        <f t="shared" si="18"/>
        <v>996.5</v>
      </c>
      <c r="FD12" s="269">
        <v>1007</v>
      </c>
      <c r="FE12" s="269">
        <v>1007</v>
      </c>
      <c r="FF12" s="97">
        <f t="shared" si="19"/>
        <v>1007</v>
      </c>
      <c r="FG12" s="270">
        <v>1007</v>
      </c>
      <c r="FH12" s="269">
        <v>1007</v>
      </c>
      <c r="FI12" s="97">
        <f t="shared" si="20"/>
        <v>1007</v>
      </c>
      <c r="FJ12" s="269">
        <v>1007</v>
      </c>
      <c r="FK12" s="269">
        <v>1007</v>
      </c>
      <c r="FL12" s="97">
        <f t="shared" si="21"/>
        <v>1015.5</v>
      </c>
      <c r="FM12" s="269">
        <v>1041</v>
      </c>
      <c r="FN12" s="269">
        <v>1083</v>
      </c>
      <c r="FO12" s="97">
        <f t="shared" si="22"/>
        <v>1078.75</v>
      </c>
      <c r="FP12" s="269">
        <v>1108</v>
      </c>
      <c r="FQ12" s="269">
        <v>1108</v>
      </c>
      <c r="FR12" s="97">
        <f t="shared" si="23"/>
        <v>1116.25</v>
      </c>
      <c r="FS12" s="269">
        <v>1141</v>
      </c>
      <c r="FT12" s="269">
        <v>1175</v>
      </c>
      <c r="FU12" s="97">
        <f t="shared" si="24"/>
        <v>1178.25</v>
      </c>
      <c r="FV12" s="269">
        <v>1222</v>
      </c>
      <c r="FW12" s="269">
        <v>1344</v>
      </c>
      <c r="FX12" s="97">
        <f t="shared" si="25"/>
        <v>1351</v>
      </c>
      <c r="FY12" s="269">
        <v>1494</v>
      </c>
      <c r="FZ12" s="269">
        <v>1757</v>
      </c>
      <c r="GA12" s="97">
        <f t="shared" si="26"/>
        <v>1729.5</v>
      </c>
      <c r="GB12" s="270">
        <v>1910</v>
      </c>
      <c r="GC12" s="269"/>
      <c r="GD12" s="272">
        <f t="shared" si="29"/>
        <v>1910</v>
      </c>
      <c r="GE12" s="269"/>
      <c r="GF12" s="275"/>
      <c r="GG12" s="97">
        <f t="shared" si="27"/>
        <v>0</v>
      </c>
      <c r="GH12" s="105"/>
      <c r="GI12" s="105"/>
      <c r="GJ12" s="97"/>
      <c r="GK12" s="105"/>
      <c r="GL12" s="105"/>
      <c r="GM12" s="97"/>
      <c r="GN12" s="105"/>
      <c r="GO12" s="105"/>
      <c r="GP12" s="97"/>
      <c r="GQ12" s="105"/>
      <c r="GR12" s="105"/>
    </row>
    <row r="13" spans="1:200" ht="10.5" customHeight="1" x14ac:dyDescent="0.3">
      <c r="A13" s="265">
        <f t="shared" si="28"/>
        <v>6</v>
      </c>
      <c r="B13" s="56" t="s">
        <v>1005</v>
      </c>
      <c r="C13" s="97">
        <v>32</v>
      </c>
      <c r="D13" s="97">
        <v>32</v>
      </c>
      <c r="E13" s="97">
        <v>32</v>
      </c>
      <c r="F13" s="97">
        <v>32</v>
      </c>
      <c r="G13" s="97">
        <v>32</v>
      </c>
      <c r="H13" s="97">
        <v>39</v>
      </c>
      <c r="I13" s="97">
        <v>47</v>
      </c>
      <c r="J13" s="97">
        <v>45</v>
      </c>
      <c r="K13" s="97">
        <v>49</v>
      </c>
      <c r="L13" s="97">
        <v>50</v>
      </c>
      <c r="M13" s="97">
        <v>49</v>
      </c>
      <c r="N13" s="97">
        <v>50</v>
      </c>
      <c r="O13" s="97">
        <v>53</v>
      </c>
      <c r="P13" s="97">
        <v>52</v>
      </c>
      <c r="Q13" s="97">
        <v>42</v>
      </c>
      <c r="R13" s="97">
        <v>41</v>
      </c>
      <c r="S13" s="97">
        <v>40</v>
      </c>
      <c r="T13" s="97">
        <v>41</v>
      </c>
      <c r="U13" s="97">
        <v>42</v>
      </c>
      <c r="V13" s="97">
        <v>43</v>
      </c>
      <c r="W13" s="97">
        <v>42</v>
      </c>
      <c r="X13" s="97">
        <v>43</v>
      </c>
      <c r="Y13" s="97">
        <v>48</v>
      </c>
      <c r="Z13" s="97">
        <v>48</v>
      </c>
      <c r="AA13" s="97">
        <v>48</v>
      </c>
      <c r="AB13" s="97">
        <v>52</v>
      </c>
      <c r="AC13" s="97">
        <v>53</v>
      </c>
      <c r="AD13" s="97">
        <v>53</v>
      </c>
      <c r="AE13" s="97">
        <v>53</v>
      </c>
      <c r="AF13" s="97">
        <v>53</v>
      </c>
      <c r="AG13" s="97">
        <v>53</v>
      </c>
      <c r="AH13" s="97">
        <v>53</v>
      </c>
      <c r="AI13" s="97">
        <v>52</v>
      </c>
      <c r="AJ13" s="97">
        <v>51</v>
      </c>
      <c r="AK13" s="97">
        <v>57</v>
      </c>
      <c r="AL13" s="97">
        <v>63</v>
      </c>
      <c r="AM13" s="97">
        <v>65</v>
      </c>
      <c r="AN13" s="97">
        <v>69</v>
      </c>
      <c r="AO13" s="97">
        <v>70</v>
      </c>
      <c r="AP13" s="97">
        <v>74</v>
      </c>
      <c r="AQ13" s="97">
        <v>74</v>
      </c>
      <c r="AR13" s="97">
        <v>81</v>
      </c>
      <c r="AS13" s="97">
        <v>83</v>
      </c>
      <c r="AT13" s="97">
        <v>85</v>
      </c>
      <c r="AU13" s="97">
        <v>98</v>
      </c>
      <c r="AV13" s="97">
        <v>105</v>
      </c>
      <c r="AW13" s="97">
        <v>108</v>
      </c>
      <c r="AX13" s="97">
        <v>108</v>
      </c>
      <c r="AY13" s="97">
        <v>108</v>
      </c>
      <c r="AZ13" s="97">
        <v>96</v>
      </c>
      <c r="BA13" s="97">
        <v>96</v>
      </c>
      <c r="BB13" s="97">
        <v>90</v>
      </c>
      <c r="BC13" s="97">
        <v>87</v>
      </c>
      <c r="BD13" s="97">
        <v>84</v>
      </c>
      <c r="BE13" s="97">
        <v>83</v>
      </c>
      <c r="BF13" s="97">
        <v>84</v>
      </c>
      <c r="BG13" s="97">
        <v>84</v>
      </c>
      <c r="BH13" s="97">
        <v>87</v>
      </c>
      <c r="BI13" s="97">
        <v>90</v>
      </c>
      <c r="BJ13" s="97">
        <v>92</v>
      </c>
      <c r="BK13" s="97">
        <v>97</v>
      </c>
      <c r="BL13" s="97">
        <v>100</v>
      </c>
      <c r="BM13" s="38">
        <v>128</v>
      </c>
      <c r="BN13" s="97">
        <v>150</v>
      </c>
      <c r="BO13" s="97">
        <v>165</v>
      </c>
      <c r="BP13" s="97">
        <v>170</v>
      </c>
      <c r="BQ13" s="97">
        <v>174</v>
      </c>
      <c r="BR13" s="97">
        <v>179</v>
      </c>
      <c r="BS13" s="97">
        <v>189</v>
      </c>
      <c r="BT13" s="97">
        <v>206</v>
      </c>
      <c r="BU13" s="97">
        <v>216</v>
      </c>
      <c r="BV13" s="97">
        <v>225</v>
      </c>
      <c r="BW13" s="97">
        <v>227</v>
      </c>
      <c r="BX13" s="97">
        <v>229</v>
      </c>
      <c r="BY13" s="97">
        <v>231</v>
      </c>
      <c r="BZ13" s="97">
        <v>236</v>
      </c>
      <c r="CA13" s="97">
        <v>236</v>
      </c>
      <c r="CB13" s="97">
        <v>238</v>
      </c>
      <c r="CC13" s="97">
        <v>238.75</v>
      </c>
      <c r="CD13" s="97">
        <v>243</v>
      </c>
      <c r="CE13" s="97">
        <v>250</v>
      </c>
      <c r="CF13" s="97">
        <v>248.25</v>
      </c>
      <c r="CG13" s="97">
        <v>250</v>
      </c>
      <c r="CH13" s="97">
        <v>252</v>
      </c>
      <c r="CI13" s="97">
        <v>252.5</v>
      </c>
      <c r="CJ13" s="97">
        <v>256</v>
      </c>
      <c r="CK13" s="97">
        <v>258</v>
      </c>
      <c r="CL13" s="97">
        <v>257</v>
      </c>
      <c r="CM13" s="97">
        <v>256</v>
      </c>
      <c r="CN13" s="97">
        <v>258</v>
      </c>
      <c r="CO13" s="97">
        <v>256.75</v>
      </c>
      <c r="CP13" s="97">
        <v>255</v>
      </c>
      <c r="CQ13" s="97">
        <v>255</v>
      </c>
      <c r="CR13" s="97">
        <v>255.75</v>
      </c>
      <c r="CS13" s="97">
        <v>258</v>
      </c>
      <c r="CT13" s="97">
        <v>260</v>
      </c>
      <c r="CU13" s="97">
        <v>259.75</v>
      </c>
      <c r="CV13" s="97">
        <v>261</v>
      </c>
      <c r="CW13" s="97">
        <v>233</v>
      </c>
      <c r="CX13" s="97">
        <v>240.5</v>
      </c>
      <c r="CY13" s="97">
        <v>235</v>
      </c>
      <c r="CZ13" s="97">
        <v>234</v>
      </c>
      <c r="DA13" s="97">
        <v>234</v>
      </c>
      <c r="DB13" s="97">
        <v>233</v>
      </c>
      <c r="DC13" s="97">
        <v>231</v>
      </c>
      <c r="DD13" s="97">
        <v>231.75</v>
      </c>
      <c r="DE13" s="97">
        <v>232</v>
      </c>
      <c r="DF13" s="97">
        <v>234</v>
      </c>
      <c r="DG13" s="97">
        <f t="shared" si="2"/>
        <v>233.75</v>
      </c>
      <c r="DH13" s="97">
        <v>235</v>
      </c>
      <c r="DI13" s="99">
        <v>235</v>
      </c>
      <c r="DJ13" s="99">
        <f t="shared" si="3"/>
        <v>236.5</v>
      </c>
      <c r="DK13" s="97">
        <v>241</v>
      </c>
      <c r="DL13" s="97">
        <v>243</v>
      </c>
      <c r="DM13" s="97">
        <f t="shared" si="4"/>
        <v>242</v>
      </c>
      <c r="DN13" s="97">
        <v>241</v>
      </c>
      <c r="DO13" s="97">
        <v>240</v>
      </c>
      <c r="DP13" s="97">
        <f t="shared" si="5"/>
        <v>240</v>
      </c>
      <c r="DQ13" s="97">
        <v>239</v>
      </c>
      <c r="DR13" s="97">
        <v>238</v>
      </c>
      <c r="DS13" s="97">
        <f t="shared" si="6"/>
        <v>242.5</v>
      </c>
      <c r="DT13" s="97">
        <v>255</v>
      </c>
      <c r="DU13" s="97">
        <v>254</v>
      </c>
      <c r="DV13" s="97">
        <f t="shared" si="7"/>
        <v>254.5</v>
      </c>
      <c r="DW13" s="97">
        <v>255</v>
      </c>
      <c r="DX13" s="97">
        <v>258</v>
      </c>
      <c r="DY13" s="97">
        <f t="shared" si="8"/>
        <v>260.5</v>
      </c>
      <c r="DZ13" s="87">
        <v>271</v>
      </c>
      <c r="EA13" s="97">
        <v>276</v>
      </c>
      <c r="EB13" s="97">
        <f t="shared" si="9"/>
        <v>278.33499999999998</v>
      </c>
      <c r="EC13" s="54">
        <v>290.33999999999997</v>
      </c>
      <c r="ED13" s="54">
        <v>343</v>
      </c>
      <c r="EE13" s="97">
        <f t="shared" si="10"/>
        <v>334.08499999999998</v>
      </c>
      <c r="EF13" s="54">
        <v>360</v>
      </c>
      <c r="EG13" s="274">
        <v>375.08998699999995</v>
      </c>
      <c r="EH13" s="97">
        <f t="shared" si="11"/>
        <v>377.82749349999995</v>
      </c>
      <c r="EI13" s="54">
        <v>401.13</v>
      </c>
      <c r="EJ13" s="54">
        <v>427</v>
      </c>
      <c r="EK13" s="97">
        <f t="shared" si="12"/>
        <v>411.03250000000003</v>
      </c>
      <c r="EL13" s="54">
        <v>389</v>
      </c>
      <c r="EM13" s="54">
        <v>390</v>
      </c>
      <c r="EN13" s="97">
        <f t="shared" si="13"/>
        <v>392.75</v>
      </c>
      <c r="EO13" s="54">
        <v>402</v>
      </c>
      <c r="EP13" s="54">
        <v>408</v>
      </c>
      <c r="EQ13" s="97">
        <f t="shared" si="14"/>
        <v>407</v>
      </c>
      <c r="ER13" s="269">
        <v>410</v>
      </c>
      <c r="ES13" s="269">
        <v>417.87</v>
      </c>
      <c r="ET13" s="97">
        <f t="shared" si="15"/>
        <v>415.185</v>
      </c>
      <c r="EU13" s="269">
        <v>415</v>
      </c>
      <c r="EV13" s="269">
        <v>428</v>
      </c>
      <c r="EW13" s="97">
        <f t="shared" si="16"/>
        <v>423.25</v>
      </c>
      <c r="EX13" s="269">
        <v>422</v>
      </c>
      <c r="EY13" s="269">
        <v>428.36</v>
      </c>
      <c r="EZ13" s="97">
        <f t="shared" si="17"/>
        <v>429.93</v>
      </c>
      <c r="FA13" s="269">
        <v>441</v>
      </c>
      <c r="FB13" s="269">
        <v>425</v>
      </c>
      <c r="FC13" s="97">
        <f t="shared" si="18"/>
        <v>426.75</v>
      </c>
      <c r="FD13" s="269">
        <v>416</v>
      </c>
      <c r="FE13" s="269">
        <v>406</v>
      </c>
      <c r="FF13" s="97">
        <f t="shared" si="19"/>
        <v>406</v>
      </c>
      <c r="FG13" s="270">
        <v>396</v>
      </c>
      <c r="FH13" s="269">
        <v>403</v>
      </c>
      <c r="FI13" s="97">
        <f t="shared" si="20"/>
        <v>403.5</v>
      </c>
      <c r="FJ13" s="269">
        <v>412</v>
      </c>
      <c r="FK13" s="269">
        <v>416</v>
      </c>
      <c r="FL13" s="97">
        <f t="shared" si="21"/>
        <v>416</v>
      </c>
      <c r="FM13" s="269">
        <v>420</v>
      </c>
      <c r="FN13" s="269">
        <v>430</v>
      </c>
      <c r="FO13" s="97">
        <f t="shared" si="22"/>
        <v>429</v>
      </c>
      <c r="FP13" s="269">
        <v>436</v>
      </c>
      <c r="FQ13" s="269">
        <v>437</v>
      </c>
      <c r="FR13" s="97">
        <f t="shared" si="23"/>
        <v>438</v>
      </c>
      <c r="FS13" s="269">
        <v>442</v>
      </c>
      <c r="FT13" s="269">
        <v>436</v>
      </c>
      <c r="FU13" s="97">
        <f t="shared" si="24"/>
        <v>439.75</v>
      </c>
      <c r="FV13" s="269">
        <v>445</v>
      </c>
      <c r="FW13" s="269">
        <v>496</v>
      </c>
      <c r="FX13" s="97">
        <f t="shared" si="25"/>
        <v>496</v>
      </c>
      <c r="FY13" s="269">
        <v>547</v>
      </c>
      <c r="FZ13" s="269">
        <v>612</v>
      </c>
      <c r="GA13" s="97">
        <f t="shared" si="26"/>
        <v>610</v>
      </c>
      <c r="GB13" s="270">
        <v>669</v>
      </c>
      <c r="GC13" s="269"/>
      <c r="GD13" s="272">
        <f t="shared" si="29"/>
        <v>669</v>
      </c>
      <c r="GE13" s="269"/>
      <c r="GF13" s="275"/>
      <c r="GG13" s="97">
        <f t="shared" si="27"/>
        <v>0</v>
      </c>
      <c r="GH13" s="105"/>
      <c r="GI13" s="105"/>
      <c r="GJ13" s="97">
        <f t="shared" ref="GJ13:GJ62" si="30">(GH13+GI13*2+GK13)/4</f>
        <v>0</v>
      </c>
      <c r="GK13" s="105"/>
      <c r="GL13" s="105"/>
      <c r="GM13" s="97">
        <f t="shared" ref="GM13:GM62" si="31">(GK13+GL13*2+GN13)/4</f>
        <v>0</v>
      </c>
      <c r="GN13" s="105"/>
      <c r="GO13" s="105"/>
      <c r="GP13" s="97">
        <f t="shared" ref="GP13:GP62" si="32">(GN13+GO13*2+GQ13)/4</f>
        <v>0</v>
      </c>
      <c r="GQ13" s="105"/>
      <c r="GR13" s="105"/>
    </row>
    <row r="14" spans="1:200" ht="10.5" customHeight="1" x14ac:dyDescent="0.3">
      <c r="A14" s="265">
        <f t="shared" si="28"/>
        <v>7</v>
      </c>
      <c r="B14" s="56" t="s">
        <v>1006</v>
      </c>
      <c r="C14" s="97">
        <v>20</v>
      </c>
      <c r="D14" s="97">
        <v>20</v>
      </c>
      <c r="E14" s="97">
        <v>20</v>
      </c>
      <c r="F14" s="97">
        <v>20</v>
      </c>
      <c r="G14" s="97">
        <v>21</v>
      </c>
      <c r="H14" s="97">
        <v>23</v>
      </c>
      <c r="I14" s="97">
        <v>26</v>
      </c>
      <c r="J14" s="97">
        <v>35</v>
      </c>
      <c r="K14" s="97">
        <v>44</v>
      </c>
      <c r="L14" s="97">
        <v>49</v>
      </c>
      <c r="M14" s="97">
        <v>43</v>
      </c>
      <c r="N14" s="97">
        <v>40</v>
      </c>
      <c r="O14" s="97">
        <v>43</v>
      </c>
      <c r="P14" s="97">
        <v>43</v>
      </c>
      <c r="Q14" s="97">
        <v>44</v>
      </c>
      <c r="R14" s="97">
        <v>44</v>
      </c>
      <c r="S14" s="97">
        <v>45</v>
      </c>
      <c r="T14" s="97">
        <v>48</v>
      </c>
      <c r="U14" s="97">
        <v>48</v>
      </c>
      <c r="V14" s="97">
        <v>47</v>
      </c>
      <c r="W14" s="97">
        <v>43</v>
      </c>
      <c r="X14" s="97">
        <v>43</v>
      </c>
      <c r="Y14" s="97">
        <v>48</v>
      </c>
      <c r="Z14" s="97">
        <v>48</v>
      </c>
      <c r="AA14" s="97">
        <v>48</v>
      </c>
      <c r="AB14" s="97">
        <v>52</v>
      </c>
      <c r="AC14" s="97">
        <v>53</v>
      </c>
      <c r="AD14" s="97">
        <v>53</v>
      </c>
      <c r="AE14" s="97">
        <v>53</v>
      </c>
      <c r="AF14" s="97">
        <v>53</v>
      </c>
      <c r="AG14" s="97">
        <v>51</v>
      </c>
      <c r="AH14" s="97">
        <v>50</v>
      </c>
      <c r="AI14" s="97">
        <v>45</v>
      </c>
      <c r="AJ14" s="97">
        <v>44</v>
      </c>
      <c r="AK14" s="97">
        <v>50</v>
      </c>
      <c r="AL14" s="97">
        <v>58</v>
      </c>
      <c r="AM14" s="97">
        <v>59</v>
      </c>
      <c r="AN14" s="97">
        <v>59</v>
      </c>
      <c r="AO14" s="97">
        <v>62</v>
      </c>
      <c r="AP14" s="97">
        <v>72</v>
      </c>
      <c r="AQ14" s="97">
        <v>72</v>
      </c>
      <c r="AR14" s="97">
        <v>77</v>
      </c>
      <c r="AS14" s="97">
        <v>79</v>
      </c>
      <c r="AT14" s="97">
        <v>81</v>
      </c>
      <c r="AU14" s="97">
        <v>96</v>
      </c>
      <c r="AV14" s="97">
        <v>105</v>
      </c>
      <c r="AW14" s="97">
        <v>108</v>
      </c>
      <c r="AX14" s="97">
        <v>106</v>
      </c>
      <c r="AY14" s="97">
        <v>98</v>
      </c>
      <c r="AZ14" s="97">
        <v>81</v>
      </c>
      <c r="BA14" s="97">
        <v>78</v>
      </c>
      <c r="BB14" s="97">
        <v>77</v>
      </c>
      <c r="BC14" s="97">
        <v>77</v>
      </c>
      <c r="BD14" s="97">
        <v>78</v>
      </c>
      <c r="BE14" s="97">
        <v>82</v>
      </c>
      <c r="BF14" s="97">
        <v>90</v>
      </c>
      <c r="BG14" s="97">
        <v>92</v>
      </c>
      <c r="BH14" s="97">
        <v>93</v>
      </c>
      <c r="BI14" s="97">
        <v>94</v>
      </c>
      <c r="BJ14" s="97">
        <v>96</v>
      </c>
      <c r="BK14" s="97">
        <v>97</v>
      </c>
      <c r="BL14" s="97">
        <v>100</v>
      </c>
      <c r="BM14" s="38">
        <v>131</v>
      </c>
      <c r="BN14" s="97">
        <v>196</v>
      </c>
      <c r="BO14" s="97">
        <v>212</v>
      </c>
      <c r="BP14" s="97">
        <v>222</v>
      </c>
      <c r="BQ14" s="97">
        <v>234</v>
      </c>
      <c r="BR14" s="97">
        <v>238</v>
      </c>
      <c r="BS14" s="97">
        <v>261</v>
      </c>
      <c r="BT14" s="97">
        <v>295</v>
      </c>
      <c r="BU14" s="97">
        <v>318</v>
      </c>
      <c r="BV14" s="97">
        <v>317</v>
      </c>
      <c r="BW14" s="97">
        <v>319</v>
      </c>
      <c r="BX14" s="97">
        <v>333</v>
      </c>
      <c r="BY14" s="97">
        <v>338</v>
      </c>
      <c r="BZ14" s="97">
        <v>343</v>
      </c>
      <c r="CA14" s="97">
        <v>349</v>
      </c>
      <c r="CB14" s="97">
        <v>368</v>
      </c>
      <c r="CC14" s="97">
        <v>366.25</v>
      </c>
      <c r="CD14" s="97">
        <v>380</v>
      </c>
      <c r="CE14" s="97">
        <v>394</v>
      </c>
      <c r="CF14" s="97">
        <v>398</v>
      </c>
      <c r="CG14" s="97">
        <v>424</v>
      </c>
      <c r="CH14" s="97">
        <v>427</v>
      </c>
      <c r="CI14" s="97">
        <v>429.25</v>
      </c>
      <c r="CJ14" s="97">
        <v>439</v>
      </c>
      <c r="CK14" s="97">
        <v>439</v>
      </c>
      <c r="CL14" s="97">
        <v>439</v>
      </c>
      <c r="CM14" s="97">
        <v>439</v>
      </c>
      <c r="CN14" s="97">
        <v>439</v>
      </c>
      <c r="CO14" s="97">
        <v>449</v>
      </c>
      <c r="CP14" s="97">
        <v>479</v>
      </c>
      <c r="CQ14" s="97">
        <v>514</v>
      </c>
      <c r="CR14" s="97">
        <v>498.5</v>
      </c>
      <c r="CS14" s="97">
        <v>487</v>
      </c>
      <c r="CT14" s="97">
        <v>491</v>
      </c>
      <c r="CU14" s="97">
        <v>496</v>
      </c>
      <c r="CV14" s="97">
        <v>515</v>
      </c>
      <c r="CW14" s="97">
        <v>589</v>
      </c>
      <c r="CX14" s="97">
        <v>571.5</v>
      </c>
      <c r="CY14" s="97">
        <v>593</v>
      </c>
      <c r="CZ14" s="97">
        <v>616</v>
      </c>
      <c r="DA14" s="97">
        <v>619.5</v>
      </c>
      <c r="DB14" s="97">
        <v>653</v>
      </c>
      <c r="DC14" s="97">
        <v>654</v>
      </c>
      <c r="DD14" s="97">
        <v>655.5</v>
      </c>
      <c r="DE14" s="97">
        <v>661</v>
      </c>
      <c r="DF14" s="97">
        <v>661</v>
      </c>
      <c r="DG14" s="97">
        <f t="shared" si="2"/>
        <v>661.5</v>
      </c>
      <c r="DH14" s="97">
        <v>663</v>
      </c>
      <c r="DI14" s="99">
        <v>686</v>
      </c>
      <c r="DJ14" s="99">
        <f t="shared" si="3"/>
        <v>688.75</v>
      </c>
      <c r="DK14" s="97">
        <v>720</v>
      </c>
      <c r="DL14" s="97">
        <v>738</v>
      </c>
      <c r="DM14" s="97">
        <f t="shared" si="4"/>
        <v>749</v>
      </c>
      <c r="DN14" s="97">
        <v>800</v>
      </c>
      <c r="DO14" s="97">
        <v>805</v>
      </c>
      <c r="DP14" s="97">
        <f t="shared" ref="DP14:DP57" si="33">(DN14+DO14*2+DQ14)/4</f>
        <v>812.75</v>
      </c>
      <c r="DQ14" s="97">
        <v>841</v>
      </c>
      <c r="DR14" s="97">
        <v>893</v>
      </c>
      <c r="DS14" s="97">
        <f t="shared" si="6"/>
        <v>891.5</v>
      </c>
      <c r="DT14" s="97">
        <v>939</v>
      </c>
      <c r="DU14" s="97">
        <v>979</v>
      </c>
      <c r="DV14" s="97">
        <f t="shared" si="7"/>
        <v>983</v>
      </c>
      <c r="DW14" s="97">
        <v>1035</v>
      </c>
      <c r="DX14" s="97">
        <v>1059</v>
      </c>
      <c r="DY14" s="97">
        <f t="shared" si="8"/>
        <v>1066</v>
      </c>
      <c r="DZ14" s="87">
        <v>1111</v>
      </c>
      <c r="EA14" s="97">
        <v>1173</v>
      </c>
      <c r="EB14" s="97">
        <f t="shared" si="9"/>
        <v>1171.0274999999999</v>
      </c>
      <c r="EC14" s="97">
        <v>1227.1099999999999</v>
      </c>
      <c r="ED14" s="54">
        <v>1340</v>
      </c>
      <c r="EE14" s="97">
        <f t="shared" si="10"/>
        <v>1338.5274999999999</v>
      </c>
      <c r="EF14" s="54">
        <v>1447</v>
      </c>
      <c r="EG14" s="274">
        <v>1595.8811269999999</v>
      </c>
      <c r="EH14" s="97">
        <f t="shared" si="11"/>
        <v>1607.5105634999998</v>
      </c>
      <c r="EI14" s="54">
        <v>1791.28</v>
      </c>
      <c r="EJ14" s="54">
        <v>1954</v>
      </c>
      <c r="EK14" s="97">
        <f t="shared" si="12"/>
        <v>1944.07</v>
      </c>
      <c r="EL14" s="54">
        <v>2077</v>
      </c>
      <c r="EM14" s="54">
        <v>2218</v>
      </c>
      <c r="EN14" s="97">
        <f t="shared" si="13"/>
        <v>2221.5</v>
      </c>
      <c r="EO14" s="54">
        <v>2373</v>
      </c>
      <c r="EP14" s="54">
        <v>2504</v>
      </c>
      <c r="EQ14" s="97">
        <f t="shared" si="14"/>
        <v>2499.25</v>
      </c>
      <c r="ER14" s="269">
        <v>2616</v>
      </c>
      <c r="ES14" s="269">
        <v>2757.04</v>
      </c>
      <c r="ET14" s="97">
        <f t="shared" si="15"/>
        <v>2752.27</v>
      </c>
      <c r="EU14" s="269">
        <v>2879</v>
      </c>
      <c r="EV14" s="269">
        <v>3034</v>
      </c>
      <c r="EW14" s="97">
        <f t="shared" si="16"/>
        <v>3030</v>
      </c>
      <c r="EX14" s="269">
        <v>3173</v>
      </c>
      <c r="EY14" s="269">
        <v>3319</v>
      </c>
      <c r="EZ14" s="97">
        <f t="shared" si="17"/>
        <v>3320.5</v>
      </c>
      <c r="FA14" s="269">
        <v>3471</v>
      </c>
      <c r="FB14" s="269">
        <v>3594</v>
      </c>
      <c r="FC14" s="97">
        <f t="shared" si="18"/>
        <v>3604</v>
      </c>
      <c r="FD14" s="269">
        <v>3757</v>
      </c>
      <c r="FE14" s="269">
        <v>3760</v>
      </c>
      <c r="FF14" s="97">
        <f t="shared" si="19"/>
        <v>3802</v>
      </c>
      <c r="FG14" s="270">
        <v>3931</v>
      </c>
      <c r="FH14" s="269">
        <v>3930</v>
      </c>
      <c r="FI14" s="97">
        <f t="shared" si="20"/>
        <v>3975</v>
      </c>
      <c r="FJ14" s="269">
        <v>4109</v>
      </c>
      <c r="FK14" s="269">
        <v>4300</v>
      </c>
      <c r="FL14" s="97">
        <f t="shared" si="21"/>
        <v>4292.5</v>
      </c>
      <c r="FM14" s="269">
        <v>4461</v>
      </c>
      <c r="FN14" s="269">
        <v>4629</v>
      </c>
      <c r="FO14" s="97">
        <f t="shared" si="22"/>
        <v>4641.5</v>
      </c>
      <c r="FP14" s="269">
        <v>4847</v>
      </c>
      <c r="FQ14" s="269">
        <v>4852</v>
      </c>
      <c r="FR14" s="97">
        <f t="shared" si="23"/>
        <v>4907.75</v>
      </c>
      <c r="FS14" s="269">
        <v>5080</v>
      </c>
      <c r="FT14" s="269">
        <v>5367</v>
      </c>
      <c r="FU14" s="97">
        <f t="shared" si="24"/>
        <v>5358.5</v>
      </c>
      <c r="FV14" s="269">
        <v>5620</v>
      </c>
      <c r="FW14" s="269">
        <v>5892</v>
      </c>
      <c r="FX14" s="97">
        <f t="shared" si="25"/>
        <v>5913.5</v>
      </c>
      <c r="FY14" s="269">
        <v>6250</v>
      </c>
      <c r="FZ14" s="269">
        <v>7005</v>
      </c>
      <c r="GA14" s="97">
        <f t="shared" si="26"/>
        <v>7167</v>
      </c>
      <c r="GB14" s="270">
        <v>8408</v>
      </c>
      <c r="GC14" s="269"/>
      <c r="GD14" s="272">
        <f t="shared" si="29"/>
        <v>8408</v>
      </c>
      <c r="GE14" s="269"/>
      <c r="GF14" s="275"/>
      <c r="GG14" s="97">
        <f t="shared" si="27"/>
        <v>0</v>
      </c>
      <c r="GH14" s="105"/>
      <c r="GI14" s="105"/>
      <c r="GJ14" s="97">
        <f t="shared" si="30"/>
        <v>0</v>
      </c>
      <c r="GK14" s="105"/>
      <c r="GL14" s="105"/>
      <c r="GM14" s="97">
        <f t="shared" si="31"/>
        <v>0</v>
      </c>
      <c r="GN14" s="105"/>
      <c r="GO14" s="105"/>
      <c r="GP14" s="97">
        <f t="shared" si="32"/>
        <v>0</v>
      </c>
      <c r="GQ14" s="105"/>
      <c r="GR14" s="105"/>
    </row>
    <row r="15" spans="1:200" ht="10.5" customHeight="1" x14ac:dyDescent="0.3">
      <c r="A15" s="265">
        <f t="shared" si="28"/>
        <v>8</v>
      </c>
      <c r="B15" s="56" t="s">
        <v>1007</v>
      </c>
      <c r="C15" s="97">
        <v>23</v>
      </c>
      <c r="D15" s="97">
        <v>23</v>
      </c>
      <c r="E15" s="97">
        <v>23</v>
      </c>
      <c r="F15" s="97">
        <v>23</v>
      </c>
      <c r="G15" s="97">
        <v>23</v>
      </c>
      <c r="H15" s="97">
        <v>32</v>
      </c>
      <c r="I15" s="97">
        <v>41</v>
      </c>
      <c r="J15" s="97">
        <v>41</v>
      </c>
      <c r="K15" s="97">
        <v>49</v>
      </c>
      <c r="L15" s="97">
        <v>48</v>
      </c>
      <c r="M15" s="97">
        <v>42</v>
      </c>
      <c r="N15" s="97">
        <v>43</v>
      </c>
      <c r="O15" s="97">
        <v>46</v>
      </c>
      <c r="P15" s="97">
        <v>46</v>
      </c>
      <c r="Q15" s="97">
        <v>46</v>
      </c>
      <c r="R15" s="97">
        <v>43</v>
      </c>
      <c r="S15" s="97">
        <v>41</v>
      </c>
      <c r="T15" s="97">
        <v>42</v>
      </c>
      <c r="U15" s="97">
        <v>40</v>
      </c>
      <c r="V15" s="97">
        <v>40</v>
      </c>
      <c r="W15" s="97">
        <v>39</v>
      </c>
      <c r="X15" s="97">
        <v>40</v>
      </c>
      <c r="Y15" s="97">
        <v>46</v>
      </c>
      <c r="Z15" s="97">
        <v>47</v>
      </c>
      <c r="AA15" s="97">
        <v>47</v>
      </c>
      <c r="AB15" s="97">
        <v>50</v>
      </c>
      <c r="AC15" s="97">
        <v>52</v>
      </c>
      <c r="AD15" s="97">
        <v>52</v>
      </c>
      <c r="AE15" s="97">
        <v>52</v>
      </c>
      <c r="AF15" s="97">
        <v>52</v>
      </c>
      <c r="AG15" s="97">
        <v>51</v>
      </c>
      <c r="AH15" s="97">
        <v>49</v>
      </c>
      <c r="AI15" s="97">
        <v>46</v>
      </c>
      <c r="AJ15" s="97">
        <v>45</v>
      </c>
      <c r="AK15" s="97">
        <v>50</v>
      </c>
      <c r="AL15" s="97">
        <v>60</v>
      </c>
      <c r="AM15" s="97">
        <v>62</v>
      </c>
      <c r="AN15" s="97">
        <v>67</v>
      </c>
      <c r="AO15" s="97">
        <v>70</v>
      </c>
      <c r="AP15" s="97">
        <v>78</v>
      </c>
      <c r="AQ15" s="97">
        <v>78</v>
      </c>
      <c r="AR15" s="97">
        <v>83</v>
      </c>
      <c r="AS15" s="97">
        <v>85</v>
      </c>
      <c r="AT15" s="97">
        <v>87</v>
      </c>
      <c r="AU15" s="97">
        <v>100</v>
      </c>
      <c r="AV15" s="97">
        <v>103</v>
      </c>
      <c r="AW15" s="97">
        <v>107</v>
      </c>
      <c r="AX15" s="97">
        <v>103</v>
      </c>
      <c r="AY15" s="97">
        <v>95</v>
      </c>
      <c r="AZ15" s="97">
        <v>88</v>
      </c>
      <c r="BA15" s="97">
        <v>84</v>
      </c>
      <c r="BB15" s="97">
        <v>76</v>
      </c>
      <c r="BC15" s="97">
        <v>81</v>
      </c>
      <c r="BD15" s="97">
        <v>84</v>
      </c>
      <c r="BE15" s="97">
        <v>87</v>
      </c>
      <c r="BF15" s="97">
        <v>91</v>
      </c>
      <c r="BG15" s="97">
        <v>93</v>
      </c>
      <c r="BH15" s="97">
        <v>95</v>
      </c>
      <c r="BI15" s="97">
        <v>97</v>
      </c>
      <c r="BJ15" s="97">
        <v>95</v>
      </c>
      <c r="BK15" s="97">
        <v>93</v>
      </c>
      <c r="BL15" s="97">
        <v>100</v>
      </c>
      <c r="BM15" s="38">
        <v>129</v>
      </c>
      <c r="BN15" s="97">
        <v>157</v>
      </c>
      <c r="BO15" s="97">
        <v>162</v>
      </c>
      <c r="BP15" s="97">
        <v>172</v>
      </c>
      <c r="BQ15" s="97">
        <v>182</v>
      </c>
      <c r="BR15" s="97">
        <v>193</v>
      </c>
      <c r="BS15" s="97">
        <v>210</v>
      </c>
      <c r="BT15" s="97">
        <v>223</v>
      </c>
      <c r="BU15" s="97">
        <v>231</v>
      </c>
      <c r="BV15" s="97">
        <v>226</v>
      </c>
      <c r="BW15" s="97">
        <v>229</v>
      </c>
      <c r="BX15" s="97">
        <v>237</v>
      </c>
      <c r="BY15" s="97">
        <v>242</v>
      </c>
      <c r="BZ15" s="97">
        <v>253</v>
      </c>
      <c r="CA15" s="97">
        <v>263</v>
      </c>
      <c r="CB15" s="97">
        <v>259</v>
      </c>
      <c r="CC15" s="97">
        <v>263.75</v>
      </c>
      <c r="CD15" s="97">
        <v>274</v>
      </c>
      <c r="CE15" s="97">
        <v>295</v>
      </c>
      <c r="CF15" s="97">
        <v>290.5</v>
      </c>
      <c r="CG15" s="97">
        <v>298</v>
      </c>
      <c r="CH15" s="97">
        <v>335</v>
      </c>
      <c r="CI15" s="97">
        <v>327.25</v>
      </c>
      <c r="CJ15" s="97">
        <v>341</v>
      </c>
      <c r="CK15" s="97">
        <v>333</v>
      </c>
      <c r="CL15" s="97">
        <v>337</v>
      </c>
      <c r="CM15" s="97">
        <v>341</v>
      </c>
      <c r="CN15" s="97">
        <v>333</v>
      </c>
      <c r="CO15" s="97">
        <v>343</v>
      </c>
      <c r="CP15" s="97">
        <v>365</v>
      </c>
      <c r="CQ15" s="97">
        <v>362</v>
      </c>
      <c r="CR15" s="97">
        <v>359.75</v>
      </c>
      <c r="CS15" s="97">
        <v>350</v>
      </c>
      <c r="CT15" s="97">
        <v>372</v>
      </c>
      <c r="CU15" s="97">
        <v>370.75</v>
      </c>
      <c r="CV15" s="97">
        <v>389</v>
      </c>
      <c r="CW15" s="97">
        <v>389</v>
      </c>
      <c r="CX15" s="97">
        <v>387.75</v>
      </c>
      <c r="CY15" s="97">
        <v>384</v>
      </c>
      <c r="CZ15" s="97">
        <v>365</v>
      </c>
      <c r="DA15" s="97">
        <v>369.75</v>
      </c>
      <c r="DB15" s="97">
        <v>365</v>
      </c>
      <c r="DC15" s="97">
        <v>359</v>
      </c>
      <c r="DD15" s="97">
        <v>370.75</v>
      </c>
      <c r="DE15" s="97">
        <v>400</v>
      </c>
      <c r="DF15" s="97">
        <v>400</v>
      </c>
      <c r="DG15" s="97">
        <f t="shared" si="2"/>
        <v>400</v>
      </c>
      <c r="DH15" s="97">
        <v>400</v>
      </c>
      <c r="DI15" s="99">
        <v>400</v>
      </c>
      <c r="DJ15" s="99">
        <f t="shared" si="3"/>
        <v>400</v>
      </c>
      <c r="DK15" s="97">
        <v>400</v>
      </c>
      <c r="DL15" s="97">
        <v>400</v>
      </c>
      <c r="DM15" s="97">
        <f t="shared" si="4"/>
        <v>400</v>
      </c>
      <c r="DN15" s="97">
        <v>400</v>
      </c>
      <c r="DO15" s="97">
        <v>400</v>
      </c>
      <c r="DP15" s="97">
        <f t="shared" si="33"/>
        <v>400</v>
      </c>
      <c r="DQ15" s="97">
        <v>400</v>
      </c>
      <c r="DR15" s="97">
        <v>377</v>
      </c>
      <c r="DS15" s="97">
        <f t="shared" si="6"/>
        <v>382.75</v>
      </c>
      <c r="DT15" s="97">
        <v>377</v>
      </c>
      <c r="DU15" s="97">
        <v>374</v>
      </c>
      <c r="DV15" s="97">
        <f t="shared" si="7"/>
        <v>375.25</v>
      </c>
      <c r="DW15" s="97">
        <v>376</v>
      </c>
      <c r="DX15" s="97">
        <v>513</v>
      </c>
      <c r="DY15" s="97">
        <f t="shared" si="8"/>
        <v>485.5</v>
      </c>
      <c r="DZ15" s="87">
        <v>540</v>
      </c>
      <c r="EA15" s="97">
        <v>545</v>
      </c>
      <c r="EB15" s="97">
        <f t="shared" si="9"/>
        <v>553.41999999999996</v>
      </c>
      <c r="EC15" s="54">
        <v>583.67999999999995</v>
      </c>
      <c r="ED15" s="54">
        <v>591</v>
      </c>
      <c r="EE15" s="97">
        <f t="shared" si="10"/>
        <v>603.41999999999996</v>
      </c>
      <c r="EF15" s="54">
        <v>648</v>
      </c>
      <c r="EG15" s="274">
        <v>670.64462000000003</v>
      </c>
      <c r="EH15" s="97">
        <f t="shared" si="11"/>
        <v>670.91731000000004</v>
      </c>
      <c r="EI15" s="54">
        <v>694.38</v>
      </c>
      <c r="EJ15" s="54">
        <v>725</v>
      </c>
      <c r="EK15" s="97">
        <f t="shared" si="12"/>
        <v>722.59500000000003</v>
      </c>
      <c r="EL15" s="54">
        <v>746</v>
      </c>
      <c r="EM15" s="54">
        <v>745</v>
      </c>
      <c r="EN15" s="97">
        <f t="shared" si="13"/>
        <v>754</v>
      </c>
      <c r="EO15" s="54">
        <v>780</v>
      </c>
      <c r="EP15" s="54">
        <v>788</v>
      </c>
      <c r="EQ15" s="97">
        <f t="shared" si="14"/>
        <v>790</v>
      </c>
      <c r="ER15" s="269">
        <v>804</v>
      </c>
      <c r="ES15" s="269">
        <v>813.77</v>
      </c>
      <c r="ET15" s="97">
        <f t="shared" si="15"/>
        <v>812.38499999999999</v>
      </c>
      <c r="EU15" s="269">
        <v>818</v>
      </c>
      <c r="EV15" s="269">
        <v>826</v>
      </c>
      <c r="EW15" s="97">
        <f t="shared" si="16"/>
        <v>821.25</v>
      </c>
      <c r="EX15" s="269">
        <v>815</v>
      </c>
      <c r="EY15" s="269">
        <v>814.02</v>
      </c>
      <c r="EZ15" s="97">
        <f t="shared" si="17"/>
        <v>814.01</v>
      </c>
      <c r="FA15" s="269">
        <v>813</v>
      </c>
      <c r="FB15" s="269">
        <v>816</v>
      </c>
      <c r="FC15" s="97">
        <f t="shared" si="18"/>
        <v>814.25</v>
      </c>
      <c r="FD15" s="269">
        <v>812</v>
      </c>
      <c r="FE15" s="269">
        <v>801</v>
      </c>
      <c r="FF15" s="97">
        <f t="shared" si="19"/>
        <v>802.25</v>
      </c>
      <c r="FG15" s="270">
        <v>795</v>
      </c>
      <c r="FH15" s="269">
        <v>798</v>
      </c>
      <c r="FI15" s="97">
        <f t="shared" si="20"/>
        <v>803.25</v>
      </c>
      <c r="FJ15" s="269">
        <v>822</v>
      </c>
      <c r="FK15" s="269">
        <v>827</v>
      </c>
      <c r="FL15" s="97">
        <f t="shared" si="21"/>
        <v>836</v>
      </c>
      <c r="FM15" s="269">
        <v>868</v>
      </c>
      <c r="FN15" s="269">
        <v>879</v>
      </c>
      <c r="FO15" s="97">
        <f t="shared" si="22"/>
        <v>881.75</v>
      </c>
      <c r="FP15" s="269">
        <v>901</v>
      </c>
      <c r="FQ15" s="269">
        <v>901</v>
      </c>
      <c r="FR15" s="97">
        <f t="shared" si="23"/>
        <v>901.25</v>
      </c>
      <c r="FS15" s="269">
        <v>902</v>
      </c>
      <c r="FT15" s="269">
        <v>895</v>
      </c>
      <c r="FU15" s="97">
        <f t="shared" si="24"/>
        <v>900.75</v>
      </c>
      <c r="FV15" s="269">
        <v>911</v>
      </c>
      <c r="FW15" s="269">
        <v>952</v>
      </c>
      <c r="FX15" s="97">
        <f t="shared" si="25"/>
        <v>961.75</v>
      </c>
      <c r="FY15" s="269">
        <v>1032</v>
      </c>
      <c r="FZ15" s="269">
        <v>1101</v>
      </c>
      <c r="GA15" s="97">
        <f t="shared" si="26"/>
        <v>1089</v>
      </c>
      <c r="GB15" s="270">
        <v>1122</v>
      </c>
      <c r="GC15" s="269"/>
      <c r="GD15" s="272">
        <f t="shared" si="29"/>
        <v>1122</v>
      </c>
      <c r="GE15" s="269"/>
      <c r="GF15" s="275"/>
      <c r="GG15" s="97">
        <f t="shared" si="27"/>
        <v>0</v>
      </c>
      <c r="GH15" s="105"/>
      <c r="GI15" s="105"/>
      <c r="GJ15" s="97">
        <f t="shared" si="30"/>
        <v>0</v>
      </c>
      <c r="GK15" s="105"/>
      <c r="GL15" s="105"/>
      <c r="GM15" s="97">
        <f t="shared" si="31"/>
        <v>0</v>
      </c>
      <c r="GN15" s="105"/>
      <c r="GO15" s="105"/>
      <c r="GP15" s="97">
        <f t="shared" si="32"/>
        <v>0</v>
      </c>
      <c r="GQ15" s="105"/>
      <c r="GR15" s="105"/>
    </row>
    <row r="16" spans="1:200" ht="10.5" customHeight="1" x14ac:dyDescent="0.3">
      <c r="A16" s="265">
        <f t="shared" si="28"/>
        <v>9</v>
      </c>
      <c r="B16" s="56" t="s">
        <v>1008</v>
      </c>
      <c r="C16" s="97">
        <v>27</v>
      </c>
      <c r="D16" s="97">
        <v>27</v>
      </c>
      <c r="E16" s="97">
        <v>27</v>
      </c>
      <c r="F16" s="97">
        <v>27</v>
      </c>
      <c r="G16" s="97">
        <v>27</v>
      </c>
      <c r="H16" s="97">
        <v>30</v>
      </c>
      <c r="I16" s="97">
        <v>38</v>
      </c>
      <c r="J16" s="97">
        <v>45</v>
      </c>
      <c r="K16" s="97">
        <v>49</v>
      </c>
      <c r="L16" s="97">
        <v>53</v>
      </c>
      <c r="M16" s="97">
        <v>50</v>
      </c>
      <c r="N16" s="97">
        <v>50</v>
      </c>
      <c r="O16" s="97">
        <v>51</v>
      </c>
      <c r="P16" s="97">
        <v>51</v>
      </c>
      <c r="Q16" s="97">
        <v>51</v>
      </c>
      <c r="R16" s="97">
        <v>49</v>
      </c>
      <c r="S16" s="97">
        <v>49</v>
      </c>
      <c r="T16" s="97">
        <v>51</v>
      </c>
      <c r="U16" s="97">
        <v>53</v>
      </c>
      <c r="V16" s="97">
        <v>52</v>
      </c>
      <c r="W16" s="97">
        <v>51</v>
      </c>
      <c r="X16" s="97">
        <v>55</v>
      </c>
      <c r="Y16" s="97">
        <v>59</v>
      </c>
      <c r="Z16" s="97">
        <v>59</v>
      </c>
      <c r="AA16" s="97">
        <v>59</v>
      </c>
      <c r="AB16" s="97">
        <v>63</v>
      </c>
      <c r="AC16" s="97">
        <v>65</v>
      </c>
      <c r="AD16" s="97">
        <v>65</v>
      </c>
      <c r="AE16" s="97">
        <v>65</v>
      </c>
      <c r="AF16" s="97">
        <v>65</v>
      </c>
      <c r="AG16" s="97">
        <v>65</v>
      </c>
      <c r="AH16" s="97">
        <v>65</v>
      </c>
      <c r="AI16" s="97">
        <v>59</v>
      </c>
      <c r="AJ16" s="97">
        <v>58</v>
      </c>
      <c r="AK16" s="97">
        <v>67</v>
      </c>
      <c r="AL16" s="97">
        <v>78</v>
      </c>
      <c r="AM16" s="97">
        <v>79</v>
      </c>
      <c r="AN16" s="97">
        <v>79</v>
      </c>
      <c r="AO16" s="97">
        <v>89</v>
      </c>
      <c r="AP16" s="97">
        <v>102</v>
      </c>
      <c r="AQ16" s="97">
        <v>102</v>
      </c>
      <c r="AR16" s="97">
        <v>110</v>
      </c>
      <c r="AS16" s="97">
        <v>112</v>
      </c>
      <c r="AT16" s="97">
        <v>110</v>
      </c>
      <c r="AU16" s="97">
        <v>115</v>
      </c>
      <c r="AV16" s="97">
        <v>131</v>
      </c>
      <c r="AW16" s="97">
        <v>136</v>
      </c>
      <c r="AX16" s="97">
        <v>132</v>
      </c>
      <c r="AY16" s="97">
        <v>109</v>
      </c>
      <c r="AZ16" s="97">
        <v>75</v>
      </c>
      <c r="BA16" s="97">
        <v>74</v>
      </c>
      <c r="BB16" s="97">
        <v>64</v>
      </c>
      <c r="BC16" s="97">
        <v>70</v>
      </c>
      <c r="BD16" s="97">
        <v>82</v>
      </c>
      <c r="BE16" s="97">
        <v>80</v>
      </c>
      <c r="BF16" s="97">
        <v>88</v>
      </c>
      <c r="BG16" s="97">
        <v>96</v>
      </c>
      <c r="BH16" s="97">
        <v>92</v>
      </c>
      <c r="BI16" s="97">
        <v>93</v>
      </c>
      <c r="BJ16" s="97">
        <v>93</v>
      </c>
      <c r="BK16" s="97">
        <v>95</v>
      </c>
      <c r="BL16" s="97">
        <v>100</v>
      </c>
      <c r="BM16" s="38">
        <v>123</v>
      </c>
      <c r="BN16" s="97">
        <v>140</v>
      </c>
      <c r="BO16" s="97">
        <v>143</v>
      </c>
      <c r="BP16" s="97">
        <v>174</v>
      </c>
      <c r="BQ16" s="97">
        <v>186</v>
      </c>
      <c r="BR16" s="97">
        <v>195</v>
      </c>
      <c r="BS16" s="97">
        <v>203</v>
      </c>
      <c r="BT16" s="97">
        <v>229</v>
      </c>
      <c r="BU16" s="97">
        <v>279</v>
      </c>
      <c r="BV16" s="97">
        <v>280</v>
      </c>
      <c r="BW16" s="97">
        <v>275</v>
      </c>
      <c r="BX16" s="97">
        <v>271</v>
      </c>
      <c r="BY16" s="97">
        <v>268</v>
      </c>
      <c r="BZ16" s="97">
        <v>273</v>
      </c>
      <c r="CA16" s="97">
        <v>273</v>
      </c>
      <c r="CB16" s="97">
        <v>349</v>
      </c>
      <c r="CC16" s="97">
        <v>335.5</v>
      </c>
      <c r="CD16" s="97">
        <v>371</v>
      </c>
      <c r="CE16" s="97">
        <v>382</v>
      </c>
      <c r="CF16" s="97">
        <v>380.25</v>
      </c>
      <c r="CG16" s="97">
        <v>386</v>
      </c>
      <c r="CH16" s="97">
        <v>407</v>
      </c>
      <c r="CI16" s="97">
        <v>402</v>
      </c>
      <c r="CJ16" s="97">
        <v>408</v>
      </c>
      <c r="CK16" s="97">
        <v>414</v>
      </c>
      <c r="CL16" s="97">
        <v>411</v>
      </c>
      <c r="CM16" s="97">
        <v>408</v>
      </c>
      <c r="CN16" s="97">
        <v>414</v>
      </c>
      <c r="CO16" s="97">
        <v>398.5</v>
      </c>
      <c r="CP16" s="97">
        <v>358</v>
      </c>
      <c r="CQ16" s="97">
        <v>358</v>
      </c>
      <c r="CR16" s="97">
        <v>357.75</v>
      </c>
      <c r="CS16" s="97">
        <v>357</v>
      </c>
      <c r="CT16" s="97">
        <v>372</v>
      </c>
      <c r="CU16" s="97">
        <v>369.25</v>
      </c>
      <c r="CV16" s="97">
        <v>376</v>
      </c>
      <c r="CW16" s="97">
        <v>407</v>
      </c>
      <c r="CX16" s="97">
        <v>395.25</v>
      </c>
      <c r="CY16" s="97">
        <v>391</v>
      </c>
      <c r="CZ16" s="97">
        <v>399</v>
      </c>
      <c r="DA16" s="97">
        <v>398.75</v>
      </c>
      <c r="DB16" s="97">
        <v>406</v>
      </c>
      <c r="DC16" s="97">
        <v>409</v>
      </c>
      <c r="DD16" s="97">
        <v>409</v>
      </c>
      <c r="DE16" s="97">
        <v>412</v>
      </c>
      <c r="DF16" s="97">
        <v>415</v>
      </c>
      <c r="DG16" s="97">
        <f t="shared" si="2"/>
        <v>414.5</v>
      </c>
      <c r="DH16" s="97">
        <v>416</v>
      </c>
      <c r="DI16" s="99">
        <v>416</v>
      </c>
      <c r="DJ16" s="99">
        <f t="shared" si="3"/>
        <v>414.75</v>
      </c>
      <c r="DK16" s="97">
        <v>411</v>
      </c>
      <c r="DL16" s="97">
        <v>408</v>
      </c>
      <c r="DM16" s="97">
        <f t="shared" si="4"/>
        <v>409</v>
      </c>
      <c r="DN16" s="97">
        <v>409</v>
      </c>
      <c r="DO16" s="97">
        <v>409</v>
      </c>
      <c r="DP16" s="97">
        <f>(DN16+DO16*2+DQ16)/4</f>
        <v>408</v>
      </c>
      <c r="DQ16" s="97">
        <v>405</v>
      </c>
      <c r="DR16" s="97">
        <v>398</v>
      </c>
      <c r="DS16" s="97">
        <f t="shared" si="6"/>
        <v>399.25</v>
      </c>
      <c r="DT16" s="97">
        <v>396</v>
      </c>
      <c r="DU16" s="97">
        <v>391</v>
      </c>
      <c r="DV16" s="97">
        <f t="shared" si="7"/>
        <v>390.75</v>
      </c>
      <c r="DW16" s="97">
        <v>385</v>
      </c>
      <c r="DX16" s="97">
        <v>382</v>
      </c>
      <c r="DY16" s="97">
        <f t="shared" si="8"/>
        <v>382</v>
      </c>
      <c r="DZ16" s="87">
        <v>379</v>
      </c>
      <c r="EA16" s="97">
        <v>389</v>
      </c>
      <c r="EB16" s="97">
        <f t="shared" si="9"/>
        <v>392.2475</v>
      </c>
      <c r="EC16" s="54">
        <v>411.99</v>
      </c>
      <c r="ED16" s="54">
        <v>420</v>
      </c>
      <c r="EE16" s="97">
        <f t="shared" si="10"/>
        <v>420.2475</v>
      </c>
      <c r="EF16" s="54">
        <v>429</v>
      </c>
      <c r="EG16" s="274">
        <v>436.37602499999997</v>
      </c>
      <c r="EH16" s="97">
        <f t="shared" si="11"/>
        <v>434.62051250000002</v>
      </c>
      <c r="EI16" s="54">
        <v>436.73</v>
      </c>
      <c r="EJ16" s="54">
        <v>455</v>
      </c>
      <c r="EK16" s="97">
        <f t="shared" si="12"/>
        <v>451.6825</v>
      </c>
      <c r="EL16" s="54">
        <v>460</v>
      </c>
      <c r="EM16" s="54">
        <v>461</v>
      </c>
      <c r="EN16" s="97">
        <f t="shared" si="13"/>
        <v>462.75</v>
      </c>
      <c r="EO16" s="54">
        <v>469</v>
      </c>
      <c r="EP16" s="54">
        <v>475</v>
      </c>
      <c r="EQ16" s="97">
        <f t="shared" si="14"/>
        <v>474.75</v>
      </c>
      <c r="ER16" s="269">
        <v>480</v>
      </c>
      <c r="ES16" s="269">
        <v>482.66</v>
      </c>
      <c r="ET16" s="97">
        <f t="shared" si="15"/>
        <v>482.08000000000004</v>
      </c>
      <c r="EU16" s="269">
        <v>483</v>
      </c>
      <c r="EV16" s="269">
        <v>485</v>
      </c>
      <c r="EW16" s="97">
        <f t="shared" si="16"/>
        <v>484.5</v>
      </c>
      <c r="EX16" s="269">
        <v>485</v>
      </c>
      <c r="EY16" s="269">
        <v>487.75</v>
      </c>
      <c r="EZ16" s="97">
        <f t="shared" si="17"/>
        <v>489.625</v>
      </c>
      <c r="FA16" s="269">
        <v>498</v>
      </c>
      <c r="FB16" s="269">
        <v>500</v>
      </c>
      <c r="FC16" s="97">
        <f t="shared" si="18"/>
        <v>499.5</v>
      </c>
      <c r="FD16" s="269">
        <v>500</v>
      </c>
      <c r="FE16" s="269">
        <v>502</v>
      </c>
      <c r="FF16" s="97">
        <f t="shared" si="19"/>
        <v>501.5</v>
      </c>
      <c r="FG16" s="270">
        <v>502</v>
      </c>
      <c r="FH16" s="269">
        <v>501</v>
      </c>
      <c r="FI16" s="97">
        <f t="shared" si="20"/>
        <v>501.25</v>
      </c>
      <c r="FJ16" s="269">
        <v>501</v>
      </c>
      <c r="FK16" s="269">
        <v>503</v>
      </c>
      <c r="FL16" s="97">
        <f t="shared" si="21"/>
        <v>503</v>
      </c>
      <c r="FM16" s="269">
        <v>505</v>
      </c>
      <c r="FN16" s="269">
        <v>507</v>
      </c>
      <c r="FO16" s="97">
        <f t="shared" si="22"/>
        <v>507.5</v>
      </c>
      <c r="FP16" s="269">
        <v>511</v>
      </c>
      <c r="FQ16" s="269">
        <v>521</v>
      </c>
      <c r="FR16" s="97">
        <f t="shared" si="23"/>
        <v>520.75</v>
      </c>
      <c r="FS16" s="269">
        <v>530</v>
      </c>
      <c r="FT16" s="269">
        <v>533</v>
      </c>
      <c r="FU16" s="97">
        <f t="shared" si="24"/>
        <v>533.75</v>
      </c>
      <c r="FV16" s="269">
        <v>539</v>
      </c>
      <c r="FW16" s="269">
        <v>550</v>
      </c>
      <c r="FX16" s="97">
        <f t="shared" si="25"/>
        <v>552.5</v>
      </c>
      <c r="FY16" s="269">
        <v>571</v>
      </c>
      <c r="FZ16" s="269">
        <v>630</v>
      </c>
      <c r="GA16" s="97">
        <f t="shared" si="26"/>
        <v>624.75</v>
      </c>
      <c r="GB16" s="270">
        <v>668</v>
      </c>
      <c r="GC16" s="269"/>
      <c r="GD16" s="272">
        <f t="shared" si="29"/>
        <v>668</v>
      </c>
      <c r="GE16" s="269"/>
      <c r="GF16" s="275"/>
      <c r="GG16" s="97">
        <f t="shared" si="27"/>
        <v>0</v>
      </c>
      <c r="GH16" s="105"/>
      <c r="GI16" s="105"/>
      <c r="GJ16" s="97">
        <f t="shared" si="30"/>
        <v>0</v>
      </c>
      <c r="GK16" s="105"/>
      <c r="GL16" s="105"/>
      <c r="GM16" s="97">
        <f t="shared" si="31"/>
        <v>0</v>
      </c>
      <c r="GN16" s="105"/>
      <c r="GO16" s="105"/>
      <c r="GP16" s="97">
        <f t="shared" si="32"/>
        <v>0</v>
      </c>
      <c r="GQ16" s="105"/>
      <c r="GR16" s="105"/>
    </row>
    <row r="17" spans="1:200" ht="10.5" customHeight="1" x14ac:dyDescent="0.3">
      <c r="A17" s="265">
        <f t="shared" si="28"/>
        <v>10</v>
      </c>
      <c r="B17" s="56" t="s">
        <v>1009</v>
      </c>
      <c r="C17" s="97">
        <v>21</v>
      </c>
      <c r="D17" s="97">
        <v>21</v>
      </c>
      <c r="E17" s="97">
        <v>21</v>
      </c>
      <c r="F17" s="97">
        <v>21</v>
      </c>
      <c r="G17" s="97">
        <v>21</v>
      </c>
      <c r="H17" s="97">
        <v>28</v>
      </c>
      <c r="I17" s="97">
        <v>31</v>
      </c>
      <c r="J17" s="97">
        <v>37</v>
      </c>
      <c r="K17" s="97">
        <v>42</v>
      </c>
      <c r="L17" s="97">
        <v>43</v>
      </c>
      <c r="M17" s="97">
        <v>34</v>
      </c>
      <c r="N17" s="97">
        <v>29</v>
      </c>
      <c r="O17" s="97">
        <v>29</v>
      </c>
      <c r="P17" s="97">
        <v>29</v>
      </c>
      <c r="Q17" s="97">
        <v>29</v>
      </c>
      <c r="R17" s="97">
        <v>28</v>
      </c>
      <c r="S17" s="97">
        <v>28</v>
      </c>
      <c r="T17" s="97">
        <v>29</v>
      </c>
      <c r="U17" s="97">
        <v>29</v>
      </c>
      <c r="V17" s="97">
        <v>29</v>
      </c>
      <c r="W17" s="97">
        <v>29</v>
      </c>
      <c r="X17" s="97">
        <v>30</v>
      </c>
      <c r="Y17" s="97">
        <v>33</v>
      </c>
      <c r="Z17" s="97">
        <v>32</v>
      </c>
      <c r="AA17" s="97">
        <v>32</v>
      </c>
      <c r="AB17" s="97">
        <v>32</v>
      </c>
      <c r="AC17" s="97">
        <v>32</v>
      </c>
      <c r="AD17" s="97">
        <v>32</v>
      </c>
      <c r="AE17" s="97">
        <v>31</v>
      </c>
      <c r="AF17" s="97">
        <v>32</v>
      </c>
      <c r="AG17" s="97">
        <v>33</v>
      </c>
      <c r="AH17" s="97">
        <v>33</v>
      </c>
      <c r="AI17" s="97">
        <v>31</v>
      </c>
      <c r="AJ17" s="97">
        <v>32</v>
      </c>
      <c r="AK17" s="97">
        <v>37</v>
      </c>
      <c r="AL17" s="97">
        <v>45</v>
      </c>
      <c r="AM17" s="97">
        <v>46</v>
      </c>
      <c r="AN17" s="97">
        <v>49</v>
      </c>
      <c r="AO17" s="97">
        <v>53</v>
      </c>
      <c r="AP17" s="97">
        <v>63</v>
      </c>
      <c r="AQ17" s="97">
        <v>63</v>
      </c>
      <c r="AR17" s="97">
        <v>66</v>
      </c>
      <c r="AS17" s="97">
        <v>67</v>
      </c>
      <c r="AT17" s="97">
        <v>68</v>
      </c>
      <c r="AU17" s="97">
        <v>79</v>
      </c>
      <c r="AV17" s="97">
        <v>89</v>
      </c>
      <c r="AW17" s="97">
        <v>93</v>
      </c>
      <c r="AX17" s="97">
        <v>96</v>
      </c>
      <c r="AY17" s="97">
        <v>92</v>
      </c>
      <c r="AZ17" s="97">
        <v>87</v>
      </c>
      <c r="BA17" s="97">
        <v>86</v>
      </c>
      <c r="BB17" s="97">
        <v>85</v>
      </c>
      <c r="BC17" s="97">
        <v>85</v>
      </c>
      <c r="BD17" s="97">
        <v>87</v>
      </c>
      <c r="BE17" s="97">
        <v>87</v>
      </c>
      <c r="BF17" s="97">
        <v>88</v>
      </c>
      <c r="BG17" s="97">
        <v>89</v>
      </c>
      <c r="BH17" s="97">
        <v>94</v>
      </c>
      <c r="BI17" s="97">
        <v>100</v>
      </c>
      <c r="BJ17" s="97">
        <v>104</v>
      </c>
      <c r="BK17" s="97">
        <v>100</v>
      </c>
      <c r="BL17" s="97">
        <v>100</v>
      </c>
      <c r="BM17" s="38">
        <v>110</v>
      </c>
      <c r="BN17" s="97">
        <v>155</v>
      </c>
      <c r="BO17" s="97">
        <v>167</v>
      </c>
      <c r="BP17" s="97">
        <v>186</v>
      </c>
      <c r="BQ17" s="97">
        <v>186</v>
      </c>
      <c r="BR17" s="97">
        <v>188</v>
      </c>
      <c r="BS17" s="97">
        <v>195</v>
      </c>
      <c r="BT17" s="97">
        <v>210</v>
      </c>
      <c r="BU17" s="97">
        <v>224</v>
      </c>
      <c r="BV17" s="97">
        <v>250</v>
      </c>
      <c r="BW17" s="97">
        <v>260</v>
      </c>
      <c r="BX17" s="97">
        <v>261</v>
      </c>
      <c r="BY17" s="97">
        <v>257</v>
      </c>
      <c r="BZ17" s="97">
        <v>266</v>
      </c>
      <c r="CA17" s="97">
        <v>276</v>
      </c>
      <c r="CB17" s="97">
        <v>286</v>
      </c>
      <c r="CC17" s="97">
        <v>284.75</v>
      </c>
      <c r="CD17" s="97">
        <v>291</v>
      </c>
      <c r="CE17" s="97">
        <v>354</v>
      </c>
      <c r="CF17" s="97">
        <v>338.75</v>
      </c>
      <c r="CG17" s="97">
        <v>356</v>
      </c>
      <c r="CH17" s="97">
        <v>363</v>
      </c>
      <c r="CI17" s="97">
        <v>364.5</v>
      </c>
      <c r="CJ17" s="97">
        <v>376</v>
      </c>
      <c r="CK17" s="97">
        <v>337</v>
      </c>
      <c r="CL17" s="97">
        <v>356.5</v>
      </c>
      <c r="CM17" s="97">
        <v>376</v>
      </c>
      <c r="CN17" s="97">
        <v>337</v>
      </c>
      <c r="CO17" s="97">
        <v>347.75</v>
      </c>
      <c r="CP17" s="97">
        <v>341</v>
      </c>
      <c r="CQ17" s="97">
        <v>345</v>
      </c>
      <c r="CR17" s="97">
        <v>375.75</v>
      </c>
      <c r="CS17" s="97">
        <v>472</v>
      </c>
      <c r="CT17" s="97">
        <v>472</v>
      </c>
      <c r="CU17" s="97">
        <v>478.25</v>
      </c>
      <c r="CV17" s="97">
        <v>497</v>
      </c>
      <c r="CW17" s="97">
        <v>484</v>
      </c>
      <c r="CX17" s="97">
        <v>494.5</v>
      </c>
      <c r="CY17" s="97">
        <v>513</v>
      </c>
      <c r="CZ17" s="97">
        <v>460</v>
      </c>
      <c r="DA17" s="97">
        <v>475.25</v>
      </c>
      <c r="DB17" s="97">
        <v>468</v>
      </c>
      <c r="DC17" s="97">
        <v>465</v>
      </c>
      <c r="DD17" s="97">
        <v>467</v>
      </c>
      <c r="DE17" s="97">
        <v>470</v>
      </c>
      <c r="DF17" s="97">
        <v>474</v>
      </c>
      <c r="DG17" s="97">
        <f t="shared" si="2"/>
        <v>475.75</v>
      </c>
      <c r="DH17" s="97">
        <v>485</v>
      </c>
      <c r="DI17" s="99">
        <v>485</v>
      </c>
      <c r="DJ17" s="99">
        <f t="shared" si="3"/>
        <v>496.5</v>
      </c>
      <c r="DK17" s="97">
        <v>531</v>
      </c>
      <c r="DL17" s="97">
        <v>534</v>
      </c>
      <c r="DM17" s="97">
        <f t="shared" si="4"/>
        <v>533.25</v>
      </c>
      <c r="DN17" s="97">
        <v>534</v>
      </c>
      <c r="DO17" s="97">
        <v>534</v>
      </c>
      <c r="DP17" s="97">
        <f t="shared" si="33"/>
        <v>535.25</v>
      </c>
      <c r="DQ17" s="97">
        <v>539</v>
      </c>
      <c r="DR17" s="97">
        <v>540</v>
      </c>
      <c r="DS17" s="97">
        <f t="shared" si="6"/>
        <v>540.5</v>
      </c>
      <c r="DT17" s="97">
        <v>543</v>
      </c>
      <c r="DU17" s="97">
        <v>543</v>
      </c>
      <c r="DV17" s="97">
        <f t="shared" si="7"/>
        <v>543</v>
      </c>
      <c r="DW17" s="97">
        <v>543</v>
      </c>
      <c r="DX17" s="97">
        <v>602</v>
      </c>
      <c r="DY17" s="97">
        <f t="shared" si="8"/>
        <v>609.5</v>
      </c>
      <c r="DZ17" s="87">
        <v>691</v>
      </c>
      <c r="EA17" s="97">
        <v>695</v>
      </c>
      <c r="EB17" s="97">
        <f t="shared" si="9"/>
        <v>691.67499999999995</v>
      </c>
      <c r="EC17" s="54">
        <v>685.7</v>
      </c>
      <c r="ED17" s="54">
        <v>658</v>
      </c>
      <c r="EE17" s="97">
        <f t="shared" si="10"/>
        <v>671.17499999999995</v>
      </c>
      <c r="EF17" s="54">
        <v>683</v>
      </c>
      <c r="EG17" s="274">
        <v>600.91655178031988</v>
      </c>
      <c r="EH17" s="97">
        <f t="shared" si="11"/>
        <v>629.83327589015994</v>
      </c>
      <c r="EI17" s="54">
        <v>634.5</v>
      </c>
      <c r="EJ17" s="54">
        <v>674</v>
      </c>
      <c r="EK17" s="97">
        <f t="shared" si="12"/>
        <v>669.625</v>
      </c>
      <c r="EL17" s="54">
        <v>696</v>
      </c>
      <c r="EM17" s="54">
        <v>719</v>
      </c>
      <c r="EN17" s="97">
        <f t="shared" si="13"/>
        <v>712.75</v>
      </c>
      <c r="EO17" s="54">
        <v>717</v>
      </c>
      <c r="EP17" s="54">
        <v>695</v>
      </c>
      <c r="EQ17" s="97">
        <f t="shared" si="14"/>
        <v>705</v>
      </c>
      <c r="ER17" s="269">
        <v>713</v>
      </c>
      <c r="ES17" s="269">
        <v>769.64</v>
      </c>
      <c r="ET17" s="97">
        <f t="shared" si="15"/>
        <v>757.31999999999994</v>
      </c>
      <c r="EU17" s="269">
        <v>777</v>
      </c>
      <c r="EV17" s="269">
        <v>782</v>
      </c>
      <c r="EW17" s="97">
        <f t="shared" si="16"/>
        <v>786.25</v>
      </c>
      <c r="EX17" s="269">
        <v>804</v>
      </c>
      <c r="EY17" s="269">
        <v>837.41</v>
      </c>
      <c r="EZ17" s="97">
        <f t="shared" si="17"/>
        <v>831.95499999999993</v>
      </c>
      <c r="FA17" s="269">
        <v>849</v>
      </c>
      <c r="FB17" s="269">
        <v>851</v>
      </c>
      <c r="FC17" s="97">
        <f t="shared" si="18"/>
        <v>852.5</v>
      </c>
      <c r="FD17" s="269">
        <v>859</v>
      </c>
      <c r="FE17" s="269">
        <v>857</v>
      </c>
      <c r="FF17" s="97">
        <f t="shared" si="19"/>
        <v>860.5</v>
      </c>
      <c r="FG17" s="270">
        <v>869</v>
      </c>
      <c r="FH17" s="269">
        <v>869</v>
      </c>
      <c r="FI17" s="97">
        <f t="shared" si="20"/>
        <v>875</v>
      </c>
      <c r="FJ17" s="269">
        <v>893</v>
      </c>
      <c r="FK17" s="269">
        <v>883</v>
      </c>
      <c r="FL17" s="97">
        <f t="shared" si="21"/>
        <v>892.25</v>
      </c>
      <c r="FM17" s="269">
        <v>910</v>
      </c>
      <c r="FN17" s="269">
        <v>917</v>
      </c>
      <c r="FO17" s="97">
        <f t="shared" si="22"/>
        <v>920.25</v>
      </c>
      <c r="FP17" s="269">
        <v>937</v>
      </c>
      <c r="FQ17" s="269">
        <v>1006</v>
      </c>
      <c r="FR17" s="97">
        <f t="shared" si="23"/>
        <v>993</v>
      </c>
      <c r="FS17" s="269">
        <v>1023</v>
      </c>
      <c r="FT17" s="269">
        <v>1026</v>
      </c>
      <c r="FU17" s="97">
        <f t="shared" si="24"/>
        <v>1009.5</v>
      </c>
      <c r="FV17" s="269">
        <v>963</v>
      </c>
      <c r="FW17" s="269">
        <v>943</v>
      </c>
      <c r="FX17" s="97">
        <f t="shared" si="25"/>
        <v>978.5</v>
      </c>
      <c r="FY17" s="269">
        <v>1065</v>
      </c>
      <c r="FZ17" s="269">
        <v>1188</v>
      </c>
      <c r="GA17" s="97">
        <f t="shared" si="26"/>
        <v>1154.25</v>
      </c>
      <c r="GB17" s="270">
        <v>1176</v>
      </c>
      <c r="GC17" s="269"/>
      <c r="GD17" s="272">
        <f t="shared" si="29"/>
        <v>1176</v>
      </c>
      <c r="GE17" s="269"/>
      <c r="GF17" s="275"/>
      <c r="GG17" s="97">
        <f t="shared" si="27"/>
        <v>0</v>
      </c>
      <c r="GH17" s="107"/>
      <c r="GI17" s="105"/>
      <c r="GJ17" s="99" t="s">
        <v>46</v>
      </c>
      <c r="GK17" s="107"/>
      <c r="GL17" s="105"/>
      <c r="GM17" s="99" t="s">
        <v>46</v>
      </c>
      <c r="GN17" s="107"/>
      <c r="GO17" s="105"/>
      <c r="GP17" s="99" t="s">
        <v>46</v>
      </c>
      <c r="GQ17" s="107"/>
      <c r="GR17" s="105"/>
    </row>
    <row r="18" spans="1:200" ht="10.5" customHeight="1" x14ac:dyDescent="0.3">
      <c r="A18" s="265">
        <f t="shared" si="28"/>
        <v>11</v>
      </c>
      <c r="B18" s="56" t="s">
        <v>1010</v>
      </c>
      <c r="C18" s="97">
        <v>48</v>
      </c>
      <c r="D18" s="97">
        <v>48</v>
      </c>
      <c r="E18" s="97">
        <v>48</v>
      </c>
      <c r="F18" s="97">
        <v>48</v>
      </c>
      <c r="G18" s="97">
        <v>48</v>
      </c>
      <c r="H18" s="97">
        <v>51</v>
      </c>
      <c r="I18" s="97">
        <v>69</v>
      </c>
      <c r="J18" s="97">
        <v>72</v>
      </c>
      <c r="K18" s="97">
        <v>77</v>
      </c>
      <c r="L18" s="97">
        <v>79</v>
      </c>
      <c r="M18" s="97">
        <v>69</v>
      </c>
      <c r="N18" s="97">
        <v>67</v>
      </c>
      <c r="O18" s="97">
        <v>69</v>
      </c>
      <c r="P18" s="97">
        <v>68</v>
      </c>
      <c r="Q18" s="97">
        <v>63</v>
      </c>
      <c r="R18" s="97">
        <v>59</v>
      </c>
      <c r="S18" s="97">
        <v>58</v>
      </c>
      <c r="T18" s="97">
        <v>62</v>
      </c>
      <c r="U18" s="97">
        <v>61</v>
      </c>
      <c r="V18" s="97">
        <v>59</v>
      </c>
      <c r="W18" s="97">
        <v>57</v>
      </c>
      <c r="X18" s="97">
        <v>59</v>
      </c>
      <c r="Y18" s="97">
        <v>61</v>
      </c>
      <c r="Z18" s="97">
        <v>62</v>
      </c>
      <c r="AA18" s="97">
        <v>62</v>
      </c>
      <c r="AB18" s="97">
        <v>66</v>
      </c>
      <c r="AC18" s="97">
        <v>67</v>
      </c>
      <c r="AD18" s="97">
        <v>67</v>
      </c>
      <c r="AE18" s="97">
        <v>67</v>
      </c>
      <c r="AF18" s="97">
        <v>69</v>
      </c>
      <c r="AG18" s="97">
        <v>68</v>
      </c>
      <c r="AH18" s="97">
        <v>64</v>
      </c>
      <c r="AI18" s="97">
        <v>64</v>
      </c>
      <c r="AJ18" s="97">
        <v>64</v>
      </c>
      <c r="AK18" s="97">
        <v>72</v>
      </c>
      <c r="AL18" s="97">
        <v>90</v>
      </c>
      <c r="AM18" s="97">
        <v>93</v>
      </c>
      <c r="AN18" s="97">
        <v>96</v>
      </c>
      <c r="AO18" s="97">
        <v>100</v>
      </c>
      <c r="AP18" s="97">
        <v>113</v>
      </c>
      <c r="AQ18" s="97">
        <v>113</v>
      </c>
      <c r="AR18" s="97">
        <v>121</v>
      </c>
      <c r="AS18" s="97">
        <v>123</v>
      </c>
      <c r="AT18" s="97">
        <v>123</v>
      </c>
      <c r="AU18" s="97">
        <v>127</v>
      </c>
      <c r="AV18" s="97">
        <v>135</v>
      </c>
      <c r="AW18" s="97">
        <v>130</v>
      </c>
      <c r="AX18" s="97">
        <v>125</v>
      </c>
      <c r="AY18" s="97">
        <v>122</v>
      </c>
      <c r="AZ18" s="97">
        <v>118</v>
      </c>
      <c r="BA18" s="97">
        <v>107</v>
      </c>
      <c r="BB18" s="97">
        <v>100</v>
      </c>
      <c r="BC18" s="97">
        <v>100</v>
      </c>
      <c r="BD18" s="97">
        <v>101</v>
      </c>
      <c r="BE18" s="97">
        <v>101</v>
      </c>
      <c r="BF18" s="97">
        <v>105</v>
      </c>
      <c r="BG18" s="97">
        <v>109</v>
      </c>
      <c r="BH18" s="97">
        <v>106</v>
      </c>
      <c r="BI18" s="97">
        <v>105</v>
      </c>
      <c r="BJ18" s="97">
        <v>104</v>
      </c>
      <c r="BK18" s="97">
        <v>100</v>
      </c>
      <c r="BL18" s="97">
        <v>100</v>
      </c>
      <c r="BM18" s="38">
        <v>110</v>
      </c>
      <c r="BN18" s="97">
        <v>133</v>
      </c>
      <c r="BO18" s="97">
        <v>136</v>
      </c>
      <c r="BP18" s="97">
        <v>147</v>
      </c>
      <c r="BQ18" s="97">
        <v>158</v>
      </c>
      <c r="BR18" s="97">
        <v>166</v>
      </c>
      <c r="BS18" s="97">
        <v>165</v>
      </c>
      <c r="BT18" s="97">
        <v>194</v>
      </c>
      <c r="BU18" s="97">
        <v>208</v>
      </c>
      <c r="BV18" s="97">
        <v>210</v>
      </c>
      <c r="BW18" s="97">
        <v>211</v>
      </c>
      <c r="BX18" s="97">
        <v>212</v>
      </c>
      <c r="BY18" s="97">
        <v>213</v>
      </c>
      <c r="BZ18" s="97">
        <v>211</v>
      </c>
      <c r="CA18" s="97">
        <v>213</v>
      </c>
      <c r="CB18" s="97">
        <v>207</v>
      </c>
      <c r="CC18" s="97">
        <v>212.25</v>
      </c>
      <c r="CD18" s="97">
        <v>222</v>
      </c>
      <c r="CE18" s="97">
        <v>218</v>
      </c>
      <c r="CF18" s="97">
        <v>221</v>
      </c>
      <c r="CG18" s="97">
        <v>226</v>
      </c>
      <c r="CH18" s="97">
        <v>223</v>
      </c>
      <c r="CI18" s="97">
        <v>223.75</v>
      </c>
      <c r="CJ18" s="97">
        <v>223</v>
      </c>
      <c r="CK18" s="97">
        <v>221</v>
      </c>
      <c r="CL18" s="97">
        <v>222</v>
      </c>
      <c r="CM18" s="97">
        <v>223</v>
      </c>
      <c r="CN18" s="97">
        <v>221</v>
      </c>
      <c r="CO18" s="97">
        <v>223</v>
      </c>
      <c r="CP18" s="97">
        <v>227</v>
      </c>
      <c r="CQ18" s="97">
        <v>225</v>
      </c>
      <c r="CR18" s="97">
        <v>226</v>
      </c>
      <c r="CS18" s="97">
        <v>227</v>
      </c>
      <c r="CT18" s="97">
        <v>231</v>
      </c>
      <c r="CU18" s="97">
        <v>229.5</v>
      </c>
      <c r="CV18" s="97">
        <v>229</v>
      </c>
      <c r="CW18" s="97">
        <v>221</v>
      </c>
      <c r="CX18" s="97">
        <v>224.5</v>
      </c>
      <c r="CY18" s="97">
        <v>227</v>
      </c>
      <c r="CZ18" s="97">
        <v>222</v>
      </c>
      <c r="DA18" s="97">
        <v>218.5</v>
      </c>
      <c r="DB18" s="97">
        <v>203</v>
      </c>
      <c r="DC18" s="97">
        <v>207</v>
      </c>
      <c r="DD18" s="97">
        <v>206.25</v>
      </c>
      <c r="DE18" s="97">
        <v>208</v>
      </c>
      <c r="DF18" s="97">
        <v>209</v>
      </c>
      <c r="DG18" s="97">
        <f t="shared" si="2"/>
        <v>210</v>
      </c>
      <c r="DH18" s="97">
        <v>214</v>
      </c>
      <c r="DI18" s="99">
        <v>208</v>
      </c>
      <c r="DJ18" s="99">
        <f t="shared" si="3"/>
        <v>209.5</v>
      </c>
      <c r="DK18" s="97">
        <v>208</v>
      </c>
      <c r="DL18" s="97">
        <v>208</v>
      </c>
      <c r="DM18" s="97">
        <f t="shared" si="4"/>
        <v>208.75</v>
      </c>
      <c r="DN18" s="97">
        <v>211</v>
      </c>
      <c r="DO18" s="97">
        <v>217</v>
      </c>
      <c r="DP18" s="97">
        <f t="shared" si="33"/>
        <v>216.5</v>
      </c>
      <c r="DQ18" s="97">
        <v>221</v>
      </c>
      <c r="DR18" s="97">
        <v>224</v>
      </c>
      <c r="DS18" s="97">
        <f t="shared" si="6"/>
        <v>223</v>
      </c>
      <c r="DT18" s="97">
        <v>223</v>
      </c>
      <c r="DU18" s="97">
        <v>229</v>
      </c>
      <c r="DV18" s="97">
        <f t="shared" si="7"/>
        <v>224.5</v>
      </c>
      <c r="DW18" s="97">
        <v>217</v>
      </c>
      <c r="DX18" s="97">
        <v>240</v>
      </c>
      <c r="DY18" s="97">
        <f t="shared" si="8"/>
        <v>236.75</v>
      </c>
      <c r="DZ18" s="87">
        <v>250</v>
      </c>
      <c r="EA18" s="97">
        <v>258</v>
      </c>
      <c r="EB18" s="97">
        <f t="shared" si="9"/>
        <v>266.1875</v>
      </c>
      <c r="EC18" s="54">
        <v>298.75</v>
      </c>
      <c r="ED18" s="54">
        <v>345</v>
      </c>
      <c r="EE18" s="97">
        <f t="shared" si="10"/>
        <v>346.4375</v>
      </c>
      <c r="EF18" s="54">
        <v>397</v>
      </c>
      <c r="EG18" s="274">
        <v>405.01414629625003</v>
      </c>
      <c r="EH18" s="97">
        <f t="shared" si="11"/>
        <v>455.41207314812505</v>
      </c>
      <c r="EI18" s="54">
        <v>614.62</v>
      </c>
      <c r="EJ18" s="54">
        <v>505</v>
      </c>
      <c r="EK18" s="97">
        <f t="shared" si="12"/>
        <v>539.65499999999997</v>
      </c>
      <c r="EL18" s="54">
        <v>534</v>
      </c>
      <c r="EM18" s="54">
        <v>560</v>
      </c>
      <c r="EN18" s="97">
        <f t="shared" si="13"/>
        <v>560.5</v>
      </c>
      <c r="EO18" s="54">
        <v>588</v>
      </c>
      <c r="EP18" s="54">
        <v>617</v>
      </c>
      <c r="EQ18" s="97">
        <f t="shared" si="14"/>
        <v>613</v>
      </c>
      <c r="ER18" s="269">
        <v>630</v>
      </c>
      <c r="ES18" s="269">
        <v>650</v>
      </c>
      <c r="ET18" s="97">
        <f t="shared" si="15"/>
        <v>650.75</v>
      </c>
      <c r="EU18" s="269">
        <v>673</v>
      </c>
      <c r="EV18" s="269">
        <v>690</v>
      </c>
      <c r="EW18" s="97">
        <f t="shared" si="16"/>
        <v>697.5</v>
      </c>
      <c r="EX18" s="269">
        <v>737</v>
      </c>
      <c r="EY18" s="269">
        <v>756.36</v>
      </c>
      <c r="EZ18" s="97">
        <f t="shared" si="17"/>
        <v>762.18000000000006</v>
      </c>
      <c r="FA18" s="269">
        <v>799</v>
      </c>
      <c r="FB18" s="269">
        <v>819</v>
      </c>
      <c r="FC18" s="97">
        <f t="shared" si="18"/>
        <v>822.75</v>
      </c>
      <c r="FD18" s="269">
        <v>854</v>
      </c>
      <c r="FE18" s="269">
        <v>856</v>
      </c>
      <c r="FF18" s="97">
        <f t="shared" si="19"/>
        <v>862.5</v>
      </c>
      <c r="FG18" s="270">
        <v>884</v>
      </c>
      <c r="FH18" s="269">
        <v>882</v>
      </c>
      <c r="FI18" s="97">
        <f t="shared" si="20"/>
        <v>891.5</v>
      </c>
      <c r="FJ18" s="269">
        <v>918</v>
      </c>
      <c r="FK18" s="269">
        <v>946</v>
      </c>
      <c r="FL18" s="97">
        <f t="shared" si="21"/>
        <v>948</v>
      </c>
      <c r="FM18" s="269">
        <v>982</v>
      </c>
      <c r="FN18" s="269">
        <v>1008</v>
      </c>
      <c r="FO18" s="97">
        <f t="shared" si="22"/>
        <v>1011.5</v>
      </c>
      <c r="FP18" s="269">
        <v>1048</v>
      </c>
      <c r="FQ18" s="269">
        <v>1048</v>
      </c>
      <c r="FR18" s="97">
        <f t="shared" si="23"/>
        <v>1057.5</v>
      </c>
      <c r="FS18" s="269">
        <v>1086</v>
      </c>
      <c r="FT18" s="269">
        <v>1129</v>
      </c>
      <c r="FU18" s="97">
        <f t="shared" si="24"/>
        <v>1128.5</v>
      </c>
      <c r="FV18" s="269">
        <v>1170</v>
      </c>
      <c r="FW18" s="269">
        <v>1214</v>
      </c>
      <c r="FX18" s="97">
        <f t="shared" si="25"/>
        <v>1222.75</v>
      </c>
      <c r="FY18" s="269">
        <v>1293</v>
      </c>
      <c r="FZ18" s="269">
        <v>1405</v>
      </c>
      <c r="GA18" s="97">
        <f t="shared" si="26"/>
        <v>1520.75</v>
      </c>
      <c r="GB18" s="270">
        <v>1980</v>
      </c>
      <c r="GC18" s="269"/>
      <c r="GD18" s="272">
        <f t="shared" si="29"/>
        <v>1980</v>
      </c>
      <c r="GE18" s="269"/>
      <c r="GF18" s="275"/>
      <c r="GG18" s="97">
        <f t="shared" si="27"/>
        <v>0</v>
      </c>
      <c r="GH18" s="105"/>
      <c r="GI18" s="105"/>
      <c r="GJ18" s="97">
        <f t="shared" si="30"/>
        <v>0</v>
      </c>
      <c r="GK18" s="105"/>
      <c r="GL18" s="105"/>
      <c r="GM18" s="97">
        <f t="shared" si="31"/>
        <v>0</v>
      </c>
      <c r="GN18" s="105"/>
      <c r="GO18" s="105"/>
      <c r="GP18" s="97">
        <f t="shared" si="32"/>
        <v>0</v>
      </c>
      <c r="GQ18" s="105"/>
      <c r="GR18" s="105"/>
    </row>
    <row r="19" spans="1:200" ht="10.5" customHeight="1" x14ac:dyDescent="0.3">
      <c r="A19" s="265">
        <f t="shared" si="28"/>
        <v>12</v>
      </c>
      <c r="B19" s="56" t="s">
        <v>1011</v>
      </c>
      <c r="C19" s="97">
        <v>37</v>
      </c>
      <c r="D19" s="97">
        <v>37</v>
      </c>
      <c r="E19" s="97">
        <v>37</v>
      </c>
      <c r="F19" s="97">
        <v>37</v>
      </c>
      <c r="G19" s="97">
        <v>37</v>
      </c>
      <c r="H19" s="97">
        <v>41</v>
      </c>
      <c r="I19" s="97">
        <v>46</v>
      </c>
      <c r="J19" s="97">
        <v>51</v>
      </c>
      <c r="K19" s="97">
        <v>53</v>
      </c>
      <c r="L19" s="97">
        <v>57</v>
      </c>
      <c r="M19" s="97">
        <v>53</v>
      </c>
      <c r="N19" s="97">
        <v>50</v>
      </c>
      <c r="O19" s="97">
        <v>50</v>
      </c>
      <c r="P19" s="97">
        <v>48</v>
      </c>
      <c r="Q19" s="97">
        <v>48</v>
      </c>
      <c r="R19" s="97">
        <v>48</v>
      </c>
      <c r="S19" s="97">
        <v>48</v>
      </c>
      <c r="T19" s="97">
        <v>48</v>
      </c>
      <c r="U19" s="97">
        <v>48</v>
      </c>
      <c r="V19" s="97">
        <v>48</v>
      </c>
      <c r="W19" s="97">
        <v>48</v>
      </c>
      <c r="X19" s="97">
        <v>50</v>
      </c>
      <c r="Y19" s="97">
        <v>54</v>
      </c>
      <c r="Z19" s="97">
        <v>55</v>
      </c>
      <c r="AA19" s="97">
        <v>55</v>
      </c>
      <c r="AB19" s="97">
        <v>55</v>
      </c>
      <c r="AC19" s="97">
        <v>55</v>
      </c>
      <c r="AD19" s="97">
        <v>55</v>
      </c>
      <c r="AE19" s="97">
        <v>55</v>
      </c>
      <c r="AF19" s="97">
        <v>55</v>
      </c>
      <c r="AG19" s="97">
        <v>55</v>
      </c>
      <c r="AH19" s="97">
        <v>55</v>
      </c>
      <c r="AI19" s="97">
        <v>55</v>
      </c>
      <c r="AJ19" s="97">
        <v>55</v>
      </c>
      <c r="AK19" s="97">
        <v>61</v>
      </c>
      <c r="AL19" s="97">
        <v>69</v>
      </c>
      <c r="AM19" s="97">
        <v>74</v>
      </c>
      <c r="AN19" s="97">
        <v>80</v>
      </c>
      <c r="AO19" s="97">
        <v>80</v>
      </c>
      <c r="AP19" s="97">
        <v>80</v>
      </c>
      <c r="AQ19" s="97">
        <v>78</v>
      </c>
      <c r="AR19" s="97">
        <v>81</v>
      </c>
      <c r="AS19" s="97">
        <v>83</v>
      </c>
      <c r="AT19" s="97">
        <v>79</v>
      </c>
      <c r="AU19" s="97">
        <v>82</v>
      </c>
      <c r="AV19" s="97">
        <v>87</v>
      </c>
      <c r="AW19" s="97">
        <v>89</v>
      </c>
      <c r="AX19" s="97">
        <v>92</v>
      </c>
      <c r="AY19" s="97">
        <v>92</v>
      </c>
      <c r="AZ19" s="97">
        <v>91</v>
      </c>
      <c r="BA19" s="97">
        <v>90</v>
      </c>
      <c r="BB19" s="97">
        <v>89</v>
      </c>
      <c r="BC19" s="97">
        <v>89</v>
      </c>
      <c r="BD19" s="97">
        <v>88</v>
      </c>
      <c r="BE19" s="97">
        <v>88</v>
      </c>
      <c r="BF19" s="97">
        <v>89</v>
      </c>
      <c r="BG19" s="97">
        <v>92</v>
      </c>
      <c r="BH19" s="97">
        <v>95</v>
      </c>
      <c r="BI19" s="97">
        <v>98</v>
      </c>
      <c r="BJ19" s="97">
        <v>101</v>
      </c>
      <c r="BK19" s="97">
        <v>101</v>
      </c>
      <c r="BL19" s="97">
        <v>100</v>
      </c>
      <c r="BM19" s="38">
        <v>107</v>
      </c>
      <c r="BN19" s="97">
        <v>126</v>
      </c>
      <c r="BO19" s="97">
        <v>135</v>
      </c>
      <c r="BP19" s="97">
        <v>140</v>
      </c>
      <c r="BQ19" s="97">
        <v>144</v>
      </c>
      <c r="BR19" s="97">
        <v>148</v>
      </c>
      <c r="BS19" s="97">
        <v>144</v>
      </c>
      <c r="BT19" s="97">
        <v>160</v>
      </c>
      <c r="BU19" s="97">
        <v>188</v>
      </c>
      <c r="BV19" s="97">
        <v>201</v>
      </c>
      <c r="BW19" s="97">
        <v>200</v>
      </c>
      <c r="BX19" s="97">
        <v>202</v>
      </c>
      <c r="BY19" s="97">
        <v>207</v>
      </c>
      <c r="BZ19" s="97">
        <v>205</v>
      </c>
      <c r="CA19" s="97">
        <v>192</v>
      </c>
      <c r="CB19" s="97">
        <v>189</v>
      </c>
      <c r="CC19" s="97">
        <v>187.25</v>
      </c>
      <c r="CD19" s="97">
        <v>179</v>
      </c>
      <c r="CE19" s="97">
        <v>172</v>
      </c>
      <c r="CF19" s="97">
        <v>175.25</v>
      </c>
      <c r="CG19" s="97">
        <v>178</v>
      </c>
      <c r="CH19" s="97">
        <v>171</v>
      </c>
      <c r="CI19" s="97">
        <v>174</v>
      </c>
      <c r="CJ19" s="97">
        <v>176</v>
      </c>
      <c r="CK19" s="97">
        <v>196</v>
      </c>
      <c r="CL19" s="97">
        <v>186</v>
      </c>
      <c r="CM19" s="97">
        <v>176</v>
      </c>
      <c r="CN19" s="97">
        <v>196</v>
      </c>
      <c r="CO19" s="97">
        <v>190</v>
      </c>
      <c r="CP19" s="97">
        <v>192</v>
      </c>
      <c r="CQ19" s="97">
        <v>191</v>
      </c>
      <c r="CR19" s="97">
        <v>188.5</v>
      </c>
      <c r="CS19" s="97">
        <v>180</v>
      </c>
      <c r="CT19" s="97">
        <v>172</v>
      </c>
      <c r="CU19" s="97">
        <v>174</v>
      </c>
      <c r="CV19" s="97">
        <v>172</v>
      </c>
      <c r="CW19" s="97">
        <v>165</v>
      </c>
      <c r="CX19" s="97">
        <v>168.75</v>
      </c>
      <c r="CY19" s="97">
        <v>173</v>
      </c>
      <c r="CZ19" s="97">
        <v>172</v>
      </c>
      <c r="DA19" s="97">
        <v>172.25</v>
      </c>
      <c r="DB19" s="97">
        <v>172</v>
      </c>
      <c r="DC19" s="97">
        <v>192</v>
      </c>
      <c r="DD19" s="97">
        <v>187</v>
      </c>
      <c r="DE19" s="97">
        <v>192</v>
      </c>
      <c r="DF19" s="97">
        <v>192</v>
      </c>
      <c r="DG19" s="97">
        <f t="shared" si="2"/>
        <v>192.75</v>
      </c>
      <c r="DH19" s="97">
        <v>195</v>
      </c>
      <c r="DI19" s="99">
        <v>178</v>
      </c>
      <c r="DJ19" s="99">
        <f t="shared" si="3"/>
        <v>180.75</v>
      </c>
      <c r="DK19" s="97">
        <v>172</v>
      </c>
      <c r="DL19" s="97">
        <v>172</v>
      </c>
      <c r="DM19" s="97">
        <f t="shared" si="4"/>
        <v>175.5</v>
      </c>
      <c r="DN19" s="97">
        <v>186</v>
      </c>
      <c r="DO19" s="97">
        <v>205</v>
      </c>
      <c r="DP19" s="97">
        <f t="shared" si="33"/>
        <v>206.25</v>
      </c>
      <c r="DQ19" s="97">
        <v>229</v>
      </c>
      <c r="DR19" s="97">
        <v>242</v>
      </c>
      <c r="DS19" s="97">
        <f t="shared" si="6"/>
        <v>241.25</v>
      </c>
      <c r="DT19" s="97">
        <v>252</v>
      </c>
      <c r="DU19" s="97">
        <v>252</v>
      </c>
      <c r="DV19" s="97">
        <f t="shared" si="7"/>
        <v>262.75</v>
      </c>
      <c r="DW19" s="97">
        <v>295</v>
      </c>
      <c r="DX19" s="97">
        <v>295</v>
      </c>
      <c r="DY19" s="97">
        <f t="shared" si="8"/>
        <v>290.25</v>
      </c>
      <c r="DZ19" s="87">
        <v>276</v>
      </c>
      <c r="EA19" s="97">
        <v>276</v>
      </c>
      <c r="EB19" s="97">
        <f t="shared" si="9"/>
        <v>276.0025</v>
      </c>
      <c r="EC19" s="54">
        <v>276.01</v>
      </c>
      <c r="ED19" s="54">
        <v>283</v>
      </c>
      <c r="EE19" s="97">
        <f t="shared" si="10"/>
        <v>281.2525</v>
      </c>
      <c r="EF19" s="54">
        <v>283</v>
      </c>
      <c r="EG19" s="274">
        <v>291.02947628800001</v>
      </c>
      <c r="EH19" s="97">
        <f t="shared" si="11"/>
        <v>289.18473814399999</v>
      </c>
      <c r="EI19" s="54">
        <v>291.68</v>
      </c>
      <c r="EJ19" s="54">
        <v>293</v>
      </c>
      <c r="EK19" s="97">
        <f t="shared" si="12"/>
        <v>293.17</v>
      </c>
      <c r="EL19" s="54">
        <v>295</v>
      </c>
      <c r="EM19" s="54">
        <v>295</v>
      </c>
      <c r="EN19" s="97">
        <f t="shared" si="13"/>
        <v>298</v>
      </c>
      <c r="EO19" s="54">
        <v>307</v>
      </c>
      <c r="EP19" s="54">
        <v>307</v>
      </c>
      <c r="EQ19" s="97">
        <f t="shared" si="14"/>
        <v>304</v>
      </c>
      <c r="ER19" s="269">
        <v>295</v>
      </c>
      <c r="ES19" s="269">
        <v>293.7</v>
      </c>
      <c r="ET19" s="97">
        <f t="shared" si="15"/>
        <v>292.60000000000002</v>
      </c>
      <c r="EU19" s="269">
        <v>288</v>
      </c>
      <c r="EV19" s="269">
        <v>291</v>
      </c>
      <c r="EW19" s="97">
        <f t="shared" si="16"/>
        <v>291.25</v>
      </c>
      <c r="EX19" s="269">
        <v>295</v>
      </c>
      <c r="EY19" s="269">
        <v>297.94</v>
      </c>
      <c r="EZ19" s="97">
        <f t="shared" si="17"/>
        <v>298.47000000000003</v>
      </c>
      <c r="FA19" s="269">
        <v>303</v>
      </c>
      <c r="FB19" s="269">
        <v>305</v>
      </c>
      <c r="FC19" s="97">
        <f t="shared" si="18"/>
        <v>305</v>
      </c>
      <c r="FD19" s="269">
        <v>307</v>
      </c>
      <c r="FE19" s="269">
        <v>307</v>
      </c>
      <c r="FF19" s="97">
        <f t="shared" si="19"/>
        <v>307</v>
      </c>
      <c r="FG19" s="270">
        <v>307</v>
      </c>
      <c r="FH19" s="269">
        <v>298</v>
      </c>
      <c r="FI19" s="97">
        <f t="shared" si="20"/>
        <v>300.25</v>
      </c>
      <c r="FJ19" s="269">
        <v>298</v>
      </c>
      <c r="FK19" s="269">
        <v>298</v>
      </c>
      <c r="FL19" s="97">
        <f t="shared" si="21"/>
        <v>299.5</v>
      </c>
      <c r="FM19" s="269">
        <v>304</v>
      </c>
      <c r="FN19" s="269">
        <v>304</v>
      </c>
      <c r="FO19" s="97">
        <f t="shared" si="22"/>
        <v>304.5</v>
      </c>
      <c r="FP19" s="269">
        <v>306</v>
      </c>
      <c r="FQ19" s="269">
        <v>306</v>
      </c>
      <c r="FR19" s="97">
        <f t="shared" si="23"/>
        <v>310.25</v>
      </c>
      <c r="FS19" s="269">
        <v>323</v>
      </c>
      <c r="FT19" s="269">
        <v>323</v>
      </c>
      <c r="FU19" s="97">
        <f t="shared" si="24"/>
        <v>325.25</v>
      </c>
      <c r="FV19" s="269">
        <v>332</v>
      </c>
      <c r="FW19" s="269">
        <v>332</v>
      </c>
      <c r="FX19" s="97">
        <f t="shared" si="25"/>
        <v>342.75</v>
      </c>
      <c r="FY19" s="269">
        <v>375</v>
      </c>
      <c r="FZ19" s="269">
        <v>375</v>
      </c>
      <c r="GA19" s="97">
        <f t="shared" si="26"/>
        <v>421</v>
      </c>
      <c r="GB19" s="270">
        <v>559</v>
      </c>
      <c r="GC19" s="269"/>
      <c r="GD19" s="272">
        <f t="shared" si="29"/>
        <v>559</v>
      </c>
      <c r="GE19" s="269"/>
      <c r="GF19" s="275"/>
      <c r="GG19" s="97">
        <f t="shared" si="27"/>
        <v>0</v>
      </c>
      <c r="GH19" s="105"/>
      <c r="GI19" s="105"/>
      <c r="GJ19" s="97">
        <f t="shared" si="30"/>
        <v>0</v>
      </c>
      <c r="GK19" s="105"/>
      <c r="GL19" s="105"/>
      <c r="GM19" s="97">
        <f t="shared" si="31"/>
        <v>0</v>
      </c>
      <c r="GN19" s="105"/>
      <c r="GO19" s="105"/>
      <c r="GP19" s="97">
        <f t="shared" si="32"/>
        <v>0</v>
      </c>
      <c r="GQ19" s="105"/>
      <c r="GR19" s="105"/>
    </row>
    <row r="20" spans="1:200" ht="10.5" customHeight="1" x14ac:dyDescent="0.3">
      <c r="A20" s="265">
        <f t="shared" si="28"/>
        <v>13</v>
      </c>
      <c r="B20" s="56" t="s">
        <v>1012</v>
      </c>
      <c r="C20" s="99" t="s">
        <v>46</v>
      </c>
      <c r="D20" s="99" t="s">
        <v>46</v>
      </c>
      <c r="E20" s="99" t="s">
        <v>46</v>
      </c>
      <c r="F20" s="99" t="s">
        <v>46</v>
      </c>
      <c r="G20" s="99" t="s">
        <v>46</v>
      </c>
      <c r="H20" s="99" t="s">
        <v>46</v>
      </c>
      <c r="I20" s="99" t="s">
        <v>46</v>
      </c>
      <c r="J20" s="99" t="s">
        <v>46</v>
      </c>
      <c r="K20" s="99" t="s">
        <v>46</v>
      </c>
      <c r="L20" s="99" t="s">
        <v>46</v>
      </c>
      <c r="M20" s="99" t="s">
        <v>46</v>
      </c>
      <c r="N20" s="99" t="s">
        <v>46</v>
      </c>
      <c r="O20" s="99" t="s">
        <v>46</v>
      </c>
      <c r="P20" s="99" t="s">
        <v>46</v>
      </c>
      <c r="Q20" s="97">
        <v>28</v>
      </c>
      <c r="R20" s="97">
        <v>27</v>
      </c>
      <c r="S20" s="97">
        <v>26</v>
      </c>
      <c r="T20" s="97">
        <v>25</v>
      </c>
      <c r="U20" s="97">
        <v>24</v>
      </c>
      <c r="V20" s="97">
        <v>23</v>
      </c>
      <c r="W20" s="97">
        <v>21</v>
      </c>
      <c r="X20" s="97">
        <v>22</v>
      </c>
      <c r="Y20" s="97">
        <v>23</v>
      </c>
      <c r="Z20" s="97">
        <v>24</v>
      </c>
      <c r="AA20" s="97">
        <v>23</v>
      </c>
      <c r="AB20" s="97">
        <v>24</v>
      </c>
      <c r="AC20" s="97">
        <v>23</v>
      </c>
      <c r="AD20" s="97">
        <v>23</v>
      </c>
      <c r="AE20" s="97">
        <v>23</v>
      </c>
      <c r="AF20" s="97">
        <v>24</v>
      </c>
      <c r="AG20" s="97">
        <v>27</v>
      </c>
      <c r="AH20" s="97">
        <v>28</v>
      </c>
      <c r="AI20" s="97">
        <v>33</v>
      </c>
      <c r="AJ20" s="97">
        <v>39</v>
      </c>
      <c r="AK20" s="97">
        <v>37</v>
      </c>
      <c r="AL20" s="97">
        <v>41</v>
      </c>
      <c r="AM20" s="97">
        <v>43</v>
      </c>
      <c r="AN20" s="97">
        <v>43</v>
      </c>
      <c r="AO20" s="97">
        <v>42</v>
      </c>
      <c r="AP20" s="97">
        <v>44</v>
      </c>
      <c r="AQ20" s="97">
        <v>46</v>
      </c>
      <c r="AR20" s="97">
        <v>49</v>
      </c>
      <c r="AS20" s="97">
        <v>51</v>
      </c>
      <c r="AT20" s="97">
        <v>51</v>
      </c>
      <c r="AU20" s="97">
        <v>55</v>
      </c>
      <c r="AV20" s="97">
        <v>59</v>
      </c>
      <c r="AW20" s="97">
        <v>60</v>
      </c>
      <c r="AX20" s="97">
        <v>57</v>
      </c>
      <c r="AY20" s="97">
        <v>57</v>
      </c>
      <c r="AZ20" s="97">
        <v>56</v>
      </c>
      <c r="BA20" s="97">
        <v>56</v>
      </c>
      <c r="BB20" s="97">
        <v>56</v>
      </c>
      <c r="BC20" s="97">
        <v>56</v>
      </c>
      <c r="BD20" s="97">
        <v>56</v>
      </c>
      <c r="BE20" s="97">
        <v>58</v>
      </c>
      <c r="BF20" s="97">
        <v>61</v>
      </c>
      <c r="BG20" s="97">
        <v>62</v>
      </c>
      <c r="BH20" s="97">
        <v>66</v>
      </c>
      <c r="BI20" s="97">
        <v>69</v>
      </c>
      <c r="BJ20" s="97">
        <v>73</v>
      </c>
      <c r="BK20" s="97">
        <v>77</v>
      </c>
      <c r="BL20" s="97">
        <v>100</v>
      </c>
      <c r="BM20" s="38">
        <v>150</v>
      </c>
      <c r="BN20" s="97">
        <v>205</v>
      </c>
      <c r="BO20" s="97">
        <v>192</v>
      </c>
      <c r="BP20" s="97">
        <v>190</v>
      </c>
      <c r="BQ20" s="97">
        <v>206</v>
      </c>
      <c r="BR20" s="97">
        <v>234</v>
      </c>
      <c r="BS20" s="97">
        <v>265</v>
      </c>
      <c r="BT20" s="97">
        <v>289</v>
      </c>
      <c r="BU20" s="97">
        <v>291</v>
      </c>
      <c r="BV20" s="97">
        <v>280</v>
      </c>
      <c r="BW20" s="97">
        <v>276</v>
      </c>
      <c r="BX20" s="97">
        <v>283</v>
      </c>
      <c r="BY20" s="97">
        <v>289</v>
      </c>
      <c r="BZ20" s="97">
        <v>284</v>
      </c>
      <c r="CA20" s="97">
        <v>278</v>
      </c>
      <c r="CB20" s="97">
        <v>290</v>
      </c>
      <c r="CC20" s="97">
        <v>289</v>
      </c>
      <c r="CD20" s="97">
        <v>298</v>
      </c>
      <c r="CE20" s="97">
        <v>297</v>
      </c>
      <c r="CF20" s="97">
        <v>299.5</v>
      </c>
      <c r="CG20" s="97">
        <v>306</v>
      </c>
      <c r="CH20" s="97">
        <v>308</v>
      </c>
      <c r="CI20" s="97">
        <v>309.5</v>
      </c>
      <c r="CJ20" s="97">
        <v>316</v>
      </c>
      <c r="CK20" s="97">
        <v>329</v>
      </c>
      <c r="CL20" s="97">
        <v>322.5</v>
      </c>
      <c r="CM20" s="97">
        <v>316</v>
      </c>
      <c r="CN20" s="97">
        <v>329</v>
      </c>
      <c r="CO20" s="97">
        <v>332.25</v>
      </c>
      <c r="CP20" s="97">
        <v>355</v>
      </c>
      <c r="CQ20" s="97">
        <v>360</v>
      </c>
      <c r="CR20" s="97">
        <v>367</v>
      </c>
      <c r="CS20" s="97">
        <v>393</v>
      </c>
      <c r="CT20" s="97">
        <v>424</v>
      </c>
      <c r="CU20" s="97">
        <v>416</v>
      </c>
      <c r="CV20" s="97">
        <v>423</v>
      </c>
      <c r="CW20" s="97">
        <v>442</v>
      </c>
      <c r="CX20" s="97">
        <v>445.25</v>
      </c>
      <c r="CY20" s="97">
        <v>474</v>
      </c>
      <c r="CZ20" s="97">
        <v>452</v>
      </c>
      <c r="DA20" s="97">
        <v>462.5</v>
      </c>
      <c r="DB20" s="97">
        <v>472</v>
      </c>
      <c r="DC20" s="97">
        <v>472</v>
      </c>
      <c r="DD20" s="97">
        <v>472.5</v>
      </c>
      <c r="DE20" s="97">
        <v>474</v>
      </c>
      <c r="DF20" s="97">
        <v>468</v>
      </c>
      <c r="DG20" s="97">
        <f t="shared" si="2"/>
        <v>470.75</v>
      </c>
      <c r="DH20" s="97">
        <v>473</v>
      </c>
      <c r="DI20" s="99">
        <v>478</v>
      </c>
      <c r="DJ20" s="99">
        <f t="shared" si="3"/>
        <v>473.25</v>
      </c>
      <c r="DK20" s="97">
        <v>464</v>
      </c>
      <c r="DL20" s="97">
        <v>472</v>
      </c>
      <c r="DM20" s="97">
        <f t="shared" si="4"/>
        <v>470.5</v>
      </c>
      <c r="DN20" s="97">
        <v>474</v>
      </c>
      <c r="DO20" s="97">
        <v>493</v>
      </c>
      <c r="DP20" s="97">
        <f t="shared" si="33"/>
        <v>489</v>
      </c>
      <c r="DQ20" s="97">
        <v>496</v>
      </c>
      <c r="DR20" s="97">
        <v>508</v>
      </c>
      <c r="DS20" s="97">
        <f t="shared" si="6"/>
        <v>505</v>
      </c>
      <c r="DT20" s="97">
        <v>508</v>
      </c>
      <c r="DU20" s="97">
        <v>518</v>
      </c>
      <c r="DV20" s="97">
        <f t="shared" si="7"/>
        <v>514.5</v>
      </c>
      <c r="DW20" s="97">
        <v>514</v>
      </c>
      <c r="DX20" s="97">
        <v>541</v>
      </c>
      <c r="DY20" s="97">
        <f t="shared" si="8"/>
        <v>534.25</v>
      </c>
      <c r="DZ20" s="87">
        <v>541</v>
      </c>
      <c r="EA20" s="97">
        <v>554</v>
      </c>
      <c r="EB20" s="97">
        <f t="shared" si="9"/>
        <v>552.82249999999999</v>
      </c>
      <c r="EC20" s="54">
        <v>562.29</v>
      </c>
      <c r="ED20" s="54">
        <v>601</v>
      </c>
      <c r="EE20" s="97">
        <f t="shared" si="10"/>
        <v>591.07249999999999</v>
      </c>
      <c r="EF20" s="54">
        <v>600</v>
      </c>
      <c r="EG20" s="274">
        <v>603.65390730000001</v>
      </c>
      <c r="EH20" s="97">
        <f t="shared" si="11"/>
        <v>604.54445365000004</v>
      </c>
      <c r="EI20" s="54">
        <v>610.87</v>
      </c>
      <c r="EJ20" s="54">
        <v>643</v>
      </c>
      <c r="EK20" s="97">
        <f t="shared" si="12"/>
        <v>637.46749999999997</v>
      </c>
      <c r="EL20" s="54">
        <v>653</v>
      </c>
      <c r="EM20" s="54">
        <v>665</v>
      </c>
      <c r="EN20" s="97">
        <f t="shared" si="13"/>
        <v>663.75</v>
      </c>
      <c r="EO20" s="54">
        <v>672</v>
      </c>
      <c r="EP20" s="54">
        <v>686</v>
      </c>
      <c r="EQ20" s="97">
        <f t="shared" si="14"/>
        <v>677</v>
      </c>
      <c r="ER20" s="269">
        <v>664</v>
      </c>
      <c r="ES20" s="269">
        <v>677.95</v>
      </c>
      <c r="ET20" s="97">
        <f t="shared" si="15"/>
        <v>676.72500000000002</v>
      </c>
      <c r="EU20" s="269">
        <v>687</v>
      </c>
      <c r="EV20" s="269">
        <v>697</v>
      </c>
      <c r="EW20" s="97">
        <f t="shared" si="16"/>
        <v>695.25</v>
      </c>
      <c r="EX20" s="269">
        <v>700</v>
      </c>
      <c r="EY20" s="269">
        <v>699.56</v>
      </c>
      <c r="EZ20" s="97">
        <f t="shared" si="17"/>
        <v>693.53</v>
      </c>
      <c r="FA20" s="269">
        <v>675</v>
      </c>
      <c r="FB20" s="269">
        <v>675</v>
      </c>
      <c r="FC20" s="97">
        <f t="shared" si="18"/>
        <v>673.75</v>
      </c>
      <c r="FD20" s="269">
        <v>670</v>
      </c>
      <c r="FE20" s="269">
        <v>658</v>
      </c>
      <c r="FF20" s="97">
        <f t="shared" si="19"/>
        <v>665.5</v>
      </c>
      <c r="FG20" s="270">
        <v>676</v>
      </c>
      <c r="FH20" s="269">
        <v>678</v>
      </c>
      <c r="FI20" s="97">
        <f t="shared" si="20"/>
        <v>675.5</v>
      </c>
      <c r="FJ20" s="269">
        <v>670</v>
      </c>
      <c r="FK20" s="269">
        <v>730</v>
      </c>
      <c r="FL20" s="97">
        <f t="shared" si="21"/>
        <v>698.75</v>
      </c>
      <c r="FM20" s="269">
        <v>665</v>
      </c>
      <c r="FN20" s="269">
        <v>668</v>
      </c>
      <c r="FO20" s="97">
        <f t="shared" si="22"/>
        <v>672</v>
      </c>
      <c r="FP20" s="269">
        <v>687</v>
      </c>
      <c r="FQ20" s="269">
        <v>693</v>
      </c>
      <c r="FR20" s="97">
        <f t="shared" si="23"/>
        <v>718</v>
      </c>
      <c r="FS20" s="269">
        <v>799</v>
      </c>
      <c r="FT20" s="269">
        <v>798</v>
      </c>
      <c r="FU20" s="97">
        <f t="shared" si="24"/>
        <v>775.25</v>
      </c>
      <c r="FV20" s="269">
        <v>706</v>
      </c>
      <c r="FW20" s="269">
        <v>705</v>
      </c>
      <c r="FX20" s="97">
        <f t="shared" si="25"/>
        <v>720.5</v>
      </c>
      <c r="FY20" s="269">
        <v>766</v>
      </c>
      <c r="FZ20" s="269">
        <v>757</v>
      </c>
      <c r="GA20" s="97">
        <f t="shared" si="26"/>
        <v>762.25</v>
      </c>
      <c r="GB20" s="270">
        <v>769</v>
      </c>
      <c r="GC20" s="269"/>
      <c r="GD20" s="272">
        <f t="shared" si="29"/>
        <v>769</v>
      </c>
      <c r="GE20" s="269"/>
      <c r="GF20" s="275"/>
      <c r="GG20" s="97">
        <f t="shared" si="27"/>
        <v>0</v>
      </c>
      <c r="GH20" s="105"/>
      <c r="GI20" s="105"/>
      <c r="GJ20" s="97">
        <f t="shared" si="30"/>
        <v>0</v>
      </c>
      <c r="GK20" s="105"/>
      <c r="GL20" s="105"/>
      <c r="GM20" s="97">
        <f t="shared" si="31"/>
        <v>0</v>
      </c>
      <c r="GN20" s="105"/>
      <c r="GO20" s="105"/>
      <c r="GP20" s="97">
        <f t="shared" si="32"/>
        <v>0</v>
      </c>
      <c r="GQ20" s="105"/>
      <c r="GR20" s="105"/>
    </row>
    <row r="21" spans="1:200" ht="10.5" customHeight="1" x14ac:dyDescent="0.3">
      <c r="A21" s="265">
        <f t="shared" si="28"/>
        <v>14</v>
      </c>
      <c r="B21" s="56" t="s">
        <v>1013</v>
      </c>
      <c r="C21" s="97">
        <v>7</v>
      </c>
      <c r="D21" s="97">
        <v>7</v>
      </c>
      <c r="E21" s="97">
        <v>7</v>
      </c>
      <c r="F21" s="97">
        <v>7</v>
      </c>
      <c r="G21" s="97">
        <v>7</v>
      </c>
      <c r="H21" s="97">
        <v>9</v>
      </c>
      <c r="I21" s="97">
        <v>10</v>
      </c>
      <c r="J21" s="97">
        <v>12</v>
      </c>
      <c r="K21" s="97">
        <v>12</v>
      </c>
      <c r="L21" s="97">
        <v>11</v>
      </c>
      <c r="M21" s="97">
        <v>12</v>
      </c>
      <c r="N21" s="97">
        <v>12</v>
      </c>
      <c r="O21" s="97">
        <v>12</v>
      </c>
      <c r="P21" s="97">
        <v>13</v>
      </c>
      <c r="Q21" s="97">
        <v>10</v>
      </c>
      <c r="R21" s="97">
        <v>9</v>
      </c>
      <c r="S21" s="97">
        <v>9</v>
      </c>
      <c r="T21" s="97">
        <v>9</v>
      </c>
      <c r="U21" s="97">
        <v>9</v>
      </c>
      <c r="V21" s="97">
        <v>8</v>
      </c>
      <c r="W21" s="97">
        <v>8</v>
      </c>
      <c r="X21" s="97">
        <v>9</v>
      </c>
      <c r="Y21" s="97">
        <v>10</v>
      </c>
      <c r="Z21" s="97">
        <v>11</v>
      </c>
      <c r="AA21" s="97">
        <v>11</v>
      </c>
      <c r="AB21" s="97">
        <v>12</v>
      </c>
      <c r="AC21" s="97">
        <v>12</v>
      </c>
      <c r="AD21" s="97">
        <v>12</v>
      </c>
      <c r="AE21" s="97">
        <v>13</v>
      </c>
      <c r="AF21" s="97">
        <v>16</v>
      </c>
      <c r="AG21" s="97">
        <v>17</v>
      </c>
      <c r="AH21" s="97">
        <v>19</v>
      </c>
      <c r="AI21" s="97">
        <v>22</v>
      </c>
      <c r="AJ21" s="97">
        <v>23</v>
      </c>
      <c r="AK21" s="97">
        <v>25</v>
      </c>
      <c r="AL21" s="97">
        <v>35</v>
      </c>
      <c r="AM21" s="97">
        <v>37</v>
      </c>
      <c r="AN21" s="97">
        <v>34</v>
      </c>
      <c r="AO21" s="97">
        <v>36</v>
      </c>
      <c r="AP21" s="97">
        <v>41</v>
      </c>
      <c r="AQ21" s="97">
        <v>42</v>
      </c>
      <c r="AR21" s="97">
        <v>42</v>
      </c>
      <c r="AS21" s="97">
        <v>42</v>
      </c>
      <c r="AT21" s="97">
        <v>42</v>
      </c>
      <c r="AU21" s="97">
        <v>49</v>
      </c>
      <c r="AV21" s="97">
        <v>50</v>
      </c>
      <c r="AW21" s="97">
        <v>47</v>
      </c>
      <c r="AX21" s="97">
        <v>46</v>
      </c>
      <c r="AY21" s="97">
        <v>46</v>
      </c>
      <c r="AZ21" s="97">
        <v>44</v>
      </c>
      <c r="BA21" s="97">
        <v>44</v>
      </c>
      <c r="BB21" s="97">
        <v>44</v>
      </c>
      <c r="BC21" s="97">
        <v>44</v>
      </c>
      <c r="BD21" s="97">
        <v>45</v>
      </c>
      <c r="BE21" s="97">
        <v>47</v>
      </c>
      <c r="BF21" s="97">
        <v>46</v>
      </c>
      <c r="BG21" s="97">
        <v>44</v>
      </c>
      <c r="BH21" s="97">
        <v>50</v>
      </c>
      <c r="BI21" s="97">
        <v>65</v>
      </c>
      <c r="BJ21" s="97">
        <v>60</v>
      </c>
      <c r="BK21" s="97">
        <v>58</v>
      </c>
      <c r="BL21" s="97">
        <v>100</v>
      </c>
      <c r="BM21" s="38">
        <v>162</v>
      </c>
      <c r="BN21" s="97">
        <v>157</v>
      </c>
      <c r="BO21" s="97">
        <v>146</v>
      </c>
      <c r="BP21" s="97">
        <v>155</v>
      </c>
      <c r="BQ21" s="97">
        <v>161</v>
      </c>
      <c r="BR21" s="97">
        <v>223</v>
      </c>
      <c r="BS21" s="97">
        <v>244</v>
      </c>
      <c r="BT21" s="97">
        <v>252</v>
      </c>
      <c r="BU21" s="97">
        <v>249</v>
      </c>
      <c r="BV21" s="97">
        <v>240</v>
      </c>
      <c r="BW21" s="97">
        <v>243</v>
      </c>
      <c r="BX21" s="97">
        <v>230</v>
      </c>
      <c r="BY21" s="97">
        <v>228</v>
      </c>
      <c r="BZ21" s="97">
        <v>226</v>
      </c>
      <c r="CA21" s="97">
        <v>226</v>
      </c>
      <c r="CB21" s="97">
        <v>252</v>
      </c>
      <c r="CC21" s="97">
        <v>250.25</v>
      </c>
      <c r="CD21" s="97">
        <v>271</v>
      </c>
      <c r="CE21" s="97">
        <v>291</v>
      </c>
      <c r="CF21" s="97">
        <v>290.5</v>
      </c>
      <c r="CG21" s="97">
        <v>309</v>
      </c>
      <c r="CH21" s="97">
        <v>329</v>
      </c>
      <c r="CI21" s="97">
        <v>332.5</v>
      </c>
      <c r="CJ21" s="97">
        <v>363</v>
      </c>
      <c r="CK21" s="97">
        <v>369</v>
      </c>
      <c r="CL21" s="97">
        <v>366</v>
      </c>
      <c r="CM21" s="97">
        <v>363</v>
      </c>
      <c r="CN21" s="97">
        <v>369</v>
      </c>
      <c r="CO21" s="97">
        <v>381.25</v>
      </c>
      <c r="CP21" s="97">
        <v>424</v>
      </c>
      <c r="CQ21" s="97">
        <v>414</v>
      </c>
      <c r="CR21" s="97">
        <v>418.5</v>
      </c>
      <c r="CS21" s="97">
        <v>422</v>
      </c>
      <c r="CT21" s="97">
        <v>444</v>
      </c>
      <c r="CU21" s="97">
        <v>440.5</v>
      </c>
      <c r="CV21" s="97">
        <v>452</v>
      </c>
      <c r="CW21" s="97">
        <v>473</v>
      </c>
      <c r="CX21" s="97">
        <v>464</v>
      </c>
      <c r="CY21" s="97">
        <v>458</v>
      </c>
      <c r="CZ21" s="97">
        <v>465</v>
      </c>
      <c r="DA21" s="97">
        <v>465.5</v>
      </c>
      <c r="DB21" s="97">
        <v>474</v>
      </c>
      <c r="DC21" s="97">
        <v>482</v>
      </c>
      <c r="DD21" s="97">
        <v>476.5</v>
      </c>
      <c r="DE21" s="97">
        <v>468</v>
      </c>
      <c r="DF21" s="97">
        <v>445</v>
      </c>
      <c r="DG21" s="97">
        <f t="shared" si="2"/>
        <v>442.75</v>
      </c>
      <c r="DH21" s="97">
        <v>413</v>
      </c>
      <c r="DI21" s="99">
        <v>413</v>
      </c>
      <c r="DJ21" s="99">
        <f t="shared" si="3"/>
        <v>412.5</v>
      </c>
      <c r="DK21" s="97">
        <v>411</v>
      </c>
      <c r="DL21" s="97">
        <v>416</v>
      </c>
      <c r="DM21" s="97">
        <f t="shared" si="4"/>
        <v>417</v>
      </c>
      <c r="DN21" s="97">
        <v>425</v>
      </c>
      <c r="DO21" s="97">
        <v>437</v>
      </c>
      <c r="DP21" s="97">
        <f t="shared" si="33"/>
        <v>436.75</v>
      </c>
      <c r="DQ21" s="97">
        <v>448</v>
      </c>
      <c r="DR21" s="97">
        <v>431</v>
      </c>
      <c r="DS21" s="97">
        <f t="shared" si="6"/>
        <v>432.5</v>
      </c>
      <c r="DT21" s="97">
        <v>420</v>
      </c>
      <c r="DU21" s="97">
        <v>423</v>
      </c>
      <c r="DV21" s="97">
        <f t="shared" si="7"/>
        <v>410.5</v>
      </c>
      <c r="DW21" s="97">
        <v>376</v>
      </c>
      <c r="DX21" s="97">
        <v>379</v>
      </c>
      <c r="DY21" s="97">
        <f t="shared" si="8"/>
        <v>393.5</v>
      </c>
      <c r="DZ21" s="87">
        <v>440</v>
      </c>
      <c r="EA21" s="97">
        <v>435</v>
      </c>
      <c r="EB21" s="97">
        <f t="shared" si="9"/>
        <v>440.28</v>
      </c>
      <c r="EC21" s="54">
        <v>451.12</v>
      </c>
      <c r="ED21" s="54">
        <v>456</v>
      </c>
      <c r="EE21" s="97">
        <f t="shared" si="10"/>
        <v>462.53</v>
      </c>
      <c r="EF21" s="54">
        <v>487</v>
      </c>
      <c r="EG21" s="274">
        <v>470.62904272969797</v>
      </c>
      <c r="EH21" s="97">
        <f t="shared" si="11"/>
        <v>472.94202136484898</v>
      </c>
      <c r="EI21" s="54">
        <v>463.51</v>
      </c>
      <c r="EJ21" s="54">
        <v>486</v>
      </c>
      <c r="EK21" s="97">
        <f t="shared" si="12"/>
        <v>488.3775</v>
      </c>
      <c r="EL21" s="54">
        <v>518</v>
      </c>
      <c r="EM21" s="54">
        <v>501</v>
      </c>
      <c r="EN21" s="97">
        <f t="shared" si="13"/>
        <v>500.5</v>
      </c>
      <c r="EO21" s="54">
        <v>482</v>
      </c>
      <c r="EP21" s="54">
        <v>465</v>
      </c>
      <c r="EQ21" s="97">
        <f t="shared" si="14"/>
        <v>464.5</v>
      </c>
      <c r="ER21" s="269">
        <v>446</v>
      </c>
      <c r="ES21" s="269">
        <v>445.75</v>
      </c>
      <c r="ET21" s="97">
        <f t="shared" si="15"/>
        <v>447.375</v>
      </c>
      <c r="EU21" s="269">
        <v>452</v>
      </c>
      <c r="EV21" s="269">
        <v>453</v>
      </c>
      <c r="EW21" s="97">
        <f t="shared" si="16"/>
        <v>455.5</v>
      </c>
      <c r="EX21" s="269">
        <v>464</v>
      </c>
      <c r="EY21" s="269">
        <v>465.59</v>
      </c>
      <c r="EZ21" s="97">
        <f t="shared" si="17"/>
        <v>458.79499999999996</v>
      </c>
      <c r="FA21" s="269">
        <v>440</v>
      </c>
      <c r="FB21" s="269">
        <v>434</v>
      </c>
      <c r="FC21" s="97">
        <f t="shared" si="18"/>
        <v>441.5</v>
      </c>
      <c r="FD21" s="269">
        <v>458</v>
      </c>
      <c r="FE21" s="269">
        <v>448</v>
      </c>
      <c r="FF21" s="97">
        <f t="shared" si="19"/>
        <v>452.75</v>
      </c>
      <c r="FG21" s="270">
        <v>457</v>
      </c>
      <c r="FH21" s="269">
        <v>458</v>
      </c>
      <c r="FI21" s="97">
        <f t="shared" si="20"/>
        <v>457.25</v>
      </c>
      <c r="FJ21" s="269">
        <v>456</v>
      </c>
      <c r="FK21" s="269">
        <v>451</v>
      </c>
      <c r="FL21" s="97">
        <f t="shared" si="21"/>
        <v>452</v>
      </c>
      <c r="FM21" s="269">
        <v>450</v>
      </c>
      <c r="FN21" s="269">
        <v>450</v>
      </c>
      <c r="FO21" s="97">
        <f t="shared" si="22"/>
        <v>451.5</v>
      </c>
      <c r="FP21" s="269">
        <v>456</v>
      </c>
      <c r="FQ21" s="269">
        <v>456</v>
      </c>
      <c r="FR21" s="97">
        <f t="shared" si="23"/>
        <v>469</v>
      </c>
      <c r="FS21" s="269">
        <v>508</v>
      </c>
      <c r="FT21" s="269">
        <v>512</v>
      </c>
      <c r="FU21" s="97">
        <f t="shared" si="24"/>
        <v>516.75</v>
      </c>
      <c r="FV21" s="269">
        <v>535</v>
      </c>
      <c r="FW21" s="269">
        <v>536</v>
      </c>
      <c r="FX21" s="97">
        <f t="shared" si="25"/>
        <v>542.75</v>
      </c>
      <c r="FY21" s="269">
        <v>564</v>
      </c>
      <c r="FZ21" s="269">
        <v>564</v>
      </c>
      <c r="GA21" s="97">
        <f t="shared" si="26"/>
        <v>569</v>
      </c>
      <c r="GB21" s="270">
        <v>584</v>
      </c>
      <c r="GC21" s="269"/>
      <c r="GD21" s="272">
        <f t="shared" si="29"/>
        <v>584</v>
      </c>
      <c r="GE21" s="269"/>
      <c r="GF21" s="275"/>
      <c r="GG21" s="97">
        <f t="shared" si="27"/>
        <v>0</v>
      </c>
      <c r="GH21" s="105"/>
      <c r="GI21" s="105"/>
      <c r="GJ21" s="97">
        <f t="shared" si="30"/>
        <v>0</v>
      </c>
      <c r="GK21" s="105"/>
      <c r="GL21" s="105"/>
      <c r="GM21" s="97">
        <f t="shared" si="31"/>
        <v>0</v>
      </c>
      <c r="GN21" s="105"/>
      <c r="GO21" s="105"/>
      <c r="GP21" s="97">
        <f t="shared" si="32"/>
        <v>0</v>
      </c>
      <c r="GQ21" s="105"/>
      <c r="GR21" s="105"/>
    </row>
    <row r="22" spans="1:200" ht="10.5" customHeight="1" x14ac:dyDescent="0.3">
      <c r="A22" s="265">
        <f t="shared" si="28"/>
        <v>15</v>
      </c>
      <c r="B22" s="56" t="s">
        <v>1014</v>
      </c>
      <c r="C22" s="97">
        <v>12</v>
      </c>
      <c r="D22" s="97">
        <v>12</v>
      </c>
      <c r="E22" s="97">
        <v>12</v>
      </c>
      <c r="F22" s="97">
        <v>14</v>
      </c>
      <c r="G22" s="97">
        <v>15</v>
      </c>
      <c r="H22" s="97">
        <v>19</v>
      </c>
      <c r="I22" s="97">
        <v>22</v>
      </c>
      <c r="J22" s="97">
        <v>23</v>
      </c>
      <c r="K22" s="97">
        <v>22</v>
      </c>
      <c r="L22" s="97">
        <v>22</v>
      </c>
      <c r="M22" s="97">
        <v>21</v>
      </c>
      <c r="N22" s="97">
        <v>21</v>
      </c>
      <c r="O22" s="97">
        <v>20</v>
      </c>
      <c r="P22" s="97">
        <v>20</v>
      </c>
      <c r="Q22" s="97">
        <v>18</v>
      </c>
      <c r="R22" s="97">
        <v>17</v>
      </c>
      <c r="S22" s="97">
        <v>16</v>
      </c>
      <c r="T22" s="97">
        <v>16</v>
      </c>
      <c r="U22" s="97">
        <v>15</v>
      </c>
      <c r="V22" s="97">
        <v>14</v>
      </c>
      <c r="W22" s="97">
        <v>14</v>
      </c>
      <c r="X22" s="97">
        <v>15</v>
      </c>
      <c r="Y22" s="97">
        <v>17</v>
      </c>
      <c r="Z22" s="97">
        <v>17</v>
      </c>
      <c r="AA22" s="97">
        <v>17</v>
      </c>
      <c r="AB22" s="97">
        <v>18</v>
      </c>
      <c r="AC22" s="97">
        <v>19</v>
      </c>
      <c r="AD22" s="97">
        <v>18</v>
      </c>
      <c r="AE22" s="97">
        <v>17</v>
      </c>
      <c r="AF22" s="97">
        <v>17</v>
      </c>
      <c r="AG22" s="97">
        <v>17</v>
      </c>
      <c r="AH22" s="97">
        <v>18</v>
      </c>
      <c r="AI22" s="97">
        <v>18</v>
      </c>
      <c r="AJ22" s="97">
        <v>18</v>
      </c>
      <c r="AK22" s="97">
        <v>19</v>
      </c>
      <c r="AL22" s="97">
        <v>29</v>
      </c>
      <c r="AM22" s="97">
        <v>35</v>
      </c>
      <c r="AN22" s="97">
        <v>38</v>
      </c>
      <c r="AO22" s="97">
        <v>40</v>
      </c>
      <c r="AP22" s="97">
        <v>42</v>
      </c>
      <c r="AQ22" s="97">
        <v>43</v>
      </c>
      <c r="AR22" s="97">
        <v>51</v>
      </c>
      <c r="AS22" s="97">
        <v>54</v>
      </c>
      <c r="AT22" s="97">
        <v>55</v>
      </c>
      <c r="AU22" s="97">
        <v>58</v>
      </c>
      <c r="AV22" s="97">
        <v>62</v>
      </c>
      <c r="AW22" s="97">
        <v>63</v>
      </c>
      <c r="AX22" s="97">
        <v>63</v>
      </c>
      <c r="AY22" s="97">
        <v>63</v>
      </c>
      <c r="AZ22" s="97">
        <v>63</v>
      </c>
      <c r="BA22" s="97">
        <v>63</v>
      </c>
      <c r="BB22" s="97">
        <v>63</v>
      </c>
      <c r="BC22" s="97">
        <v>63</v>
      </c>
      <c r="BD22" s="97">
        <v>63</v>
      </c>
      <c r="BE22" s="97">
        <v>63</v>
      </c>
      <c r="BF22" s="97">
        <v>63</v>
      </c>
      <c r="BG22" s="97">
        <v>63</v>
      </c>
      <c r="BH22" s="97">
        <v>64</v>
      </c>
      <c r="BI22" s="97">
        <v>72</v>
      </c>
      <c r="BJ22" s="97">
        <v>86</v>
      </c>
      <c r="BK22" s="97">
        <v>97</v>
      </c>
      <c r="BL22" s="97">
        <v>100</v>
      </c>
      <c r="BM22" s="38">
        <v>133</v>
      </c>
      <c r="BN22" s="97">
        <v>153</v>
      </c>
      <c r="BO22" s="97">
        <v>151</v>
      </c>
      <c r="BP22" s="97">
        <v>162</v>
      </c>
      <c r="BQ22" s="97">
        <v>178</v>
      </c>
      <c r="BR22" s="97">
        <v>205</v>
      </c>
      <c r="BS22" s="97">
        <v>214</v>
      </c>
      <c r="BT22" s="97">
        <v>244</v>
      </c>
      <c r="BU22" s="97">
        <v>254</v>
      </c>
      <c r="BV22" s="97">
        <v>236</v>
      </c>
      <c r="BW22" s="97">
        <v>227</v>
      </c>
      <c r="BX22" s="97">
        <v>233</v>
      </c>
      <c r="BY22" s="97">
        <v>233</v>
      </c>
      <c r="BZ22" s="97">
        <v>235</v>
      </c>
      <c r="CA22" s="97">
        <v>241</v>
      </c>
      <c r="CB22" s="97">
        <v>251</v>
      </c>
      <c r="CC22" s="97">
        <v>249</v>
      </c>
      <c r="CD22" s="97">
        <v>253</v>
      </c>
      <c r="CE22" s="97">
        <v>253</v>
      </c>
      <c r="CF22" s="97">
        <v>253</v>
      </c>
      <c r="CG22" s="97">
        <v>253</v>
      </c>
      <c r="CH22" s="97">
        <v>252</v>
      </c>
      <c r="CI22" s="97">
        <v>252.25</v>
      </c>
      <c r="CJ22" s="97">
        <v>252</v>
      </c>
      <c r="CK22" s="97">
        <v>252</v>
      </c>
      <c r="CL22" s="97">
        <v>252</v>
      </c>
      <c r="CM22" s="97">
        <v>252</v>
      </c>
      <c r="CN22" s="97">
        <v>252</v>
      </c>
      <c r="CO22" s="97">
        <v>251.25</v>
      </c>
      <c r="CP22" s="97">
        <v>249</v>
      </c>
      <c r="CQ22" s="97">
        <v>254</v>
      </c>
      <c r="CR22" s="97">
        <v>252.5</v>
      </c>
      <c r="CS22" s="97">
        <v>253</v>
      </c>
      <c r="CT22" s="97">
        <v>254</v>
      </c>
      <c r="CU22" s="97">
        <v>253.75</v>
      </c>
      <c r="CV22" s="97">
        <v>254</v>
      </c>
      <c r="CW22" s="97">
        <v>254</v>
      </c>
      <c r="CX22" s="97">
        <v>254.75</v>
      </c>
      <c r="CY22" s="97">
        <v>257</v>
      </c>
      <c r="CZ22" s="97">
        <v>253</v>
      </c>
      <c r="DA22" s="97">
        <v>260.5</v>
      </c>
      <c r="DB22" s="97">
        <v>279</v>
      </c>
      <c r="DC22" s="97">
        <v>279</v>
      </c>
      <c r="DD22" s="97">
        <v>279.5</v>
      </c>
      <c r="DE22" s="97">
        <v>281</v>
      </c>
      <c r="DF22" s="97">
        <v>330</v>
      </c>
      <c r="DG22" s="97">
        <f t="shared" si="2"/>
        <v>314</v>
      </c>
      <c r="DH22" s="97">
        <v>315</v>
      </c>
      <c r="DI22" s="99">
        <v>312</v>
      </c>
      <c r="DJ22" s="99">
        <f t="shared" si="3"/>
        <v>313</v>
      </c>
      <c r="DK22" s="97">
        <v>313</v>
      </c>
      <c r="DL22" s="97">
        <v>319</v>
      </c>
      <c r="DM22" s="97">
        <f t="shared" si="4"/>
        <v>317.5</v>
      </c>
      <c r="DN22" s="97">
        <v>319</v>
      </c>
      <c r="DO22" s="97">
        <v>231</v>
      </c>
      <c r="DP22" s="97">
        <f t="shared" si="33"/>
        <v>248.5</v>
      </c>
      <c r="DQ22" s="97">
        <v>213</v>
      </c>
      <c r="DR22" s="97">
        <v>222</v>
      </c>
      <c r="DS22" s="97">
        <f t="shared" si="6"/>
        <v>219.75</v>
      </c>
      <c r="DT22" s="97">
        <v>222</v>
      </c>
      <c r="DU22" s="97">
        <v>228</v>
      </c>
      <c r="DV22" s="97">
        <f t="shared" si="7"/>
        <v>226.5</v>
      </c>
      <c r="DW22" s="97">
        <v>228</v>
      </c>
      <c r="DX22" s="97">
        <v>276</v>
      </c>
      <c r="DY22" s="97">
        <f t="shared" si="8"/>
        <v>270.5</v>
      </c>
      <c r="DZ22" s="87">
        <v>302</v>
      </c>
      <c r="EA22" s="97">
        <v>302</v>
      </c>
      <c r="EB22" s="97">
        <f t="shared" si="9"/>
        <v>301.685</v>
      </c>
      <c r="EC22" s="54">
        <v>300.74</v>
      </c>
      <c r="ED22" s="54">
        <v>280</v>
      </c>
      <c r="EE22" s="97">
        <f t="shared" si="10"/>
        <v>295.935</v>
      </c>
      <c r="EF22" s="54">
        <v>323</v>
      </c>
      <c r="EG22" s="274">
        <v>322.61098349999997</v>
      </c>
      <c r="EH22" s="97">
        <f t="shared" si="11"/>
        <v>329.76549174999997</v>
      </c>
      <c r="EI22" s="54">
        <v>350.84</v>
      </c>
      <c r="EJ22" s="54">
        <v>381</v>
      </c>
      <c r="EK22" s="97">
        <f t="shared" si="12"/>
        <v>415.21</v>
      </c>
      <c r="EL22" s="54">
        <v>548</v>
      </c>
      <c r="EM22" s="54">
        <v>536</v>
      </c>
      <c r="EN22" s="97">
        <f t="shared" si="13"/>
        <v>542.5</v>
      </c>
      <c r="EO22" s="54">
        <v>550</v>
      </c>
      <c r="EP22" s="54">
        <v>405</v>
      </c>
      <c r="EQ22" s="97">
        <f t="shared" si="14"/>
        <v>441.25</v>
      </c>
      <c r="ER22" s="269">
        <v>405</v>
      </c>
      <c r="ES22" s="269">
        <v>405.44</v>
      </c>
      <c r="ET22" s="97">
        <f t="shared" si="15"/>
        <v>404.97</v>
      </c>
      <c r="EU22" s="269">
        <v>404</v>
      </c>
      <c r="EV22" s="269">
        <v>423</v>
      </c>
      <c r="EW22" s="97">
        <f t="shared" si="16"/>
        <v>418.25</v>
      </c>
      <c r="EX22" s="269">
        <v>423</v>
      </c>
      <c r="EY22" s="269">
        <v>487.96</v>
      </c>
      <c r="EZ22" s="97">
        <f t="shared" si="17"/>
        <v>464.23</v>
      </c>
      <c r="FA22" s="269">
        <v>458</v>
      </c>
      <c r="FB22" s="269">
        <v>486</v>
      </c>
      <c r="FC22" s="97">
        <f t="shared" si="18"/>
        <v>479</v>
      </c>
      <c r="FD22" s="269">
        <v>486</v>
      </c>
      <c r="FE22" s="269">
        <v>486</v>
      </c>
      <c r="FF22" s="97">
        <f t="shared" si="19"/>
        <v>486</v>
      </c>
      <c r="FG22" s="270">
        <v>486</v>
      </c>
      <c r="FH22" s="269">
        <v>486</v>
      </c>
      <c r="FI22" s="97">
        <f t="shared" si="20"/>
        <v>493.25</v>
      </c>
      <c r="FJ22" s="269">
        <v>515</v>
      </c>
      <c r="FK22" s="269">
        <v>515</v>
      </c>
      <c r="FL22" s="97">
        <f t="shared" si="21"/>
        <v>515</v>
      </c>
      <c r="FM22" s="269">
        <v>515</v>
      </c>
      <c r="FN22" s="269">
        <v>515</v>
      </c>
      <c r="FO22" s="97">
        <f t="shared" si="22"/>
        <v>521.5</v>
      </c>
      <c r="FP22" s="269">
        <v>541</v>
      </c>
      <c r="FQ22" s="269">
        <v>541</v>
      </c>
      <c r="FR22" s="97">
        <f t="shared" si="23"/>
        <v>561.5</v>
      </c>
      <c r="FS22" s="269">
        <v>623</v>
      </c>
      <c r="FT22" s="269">
        <v>623</v>
      </c>
      <c r="FU22" s="97">
        <f t="shared" si="24"/>
        <v>635</v>
      </c>
      <c r="FV22" s="269">
        <v>671</v>
      </c>
      <c r="FW22" s="269">
        <v>671</v>
      </c>
      <c r="FX22" s="97">
        <f t="shared" si="25"/>
        <v>655.75</v>
      </c>
      <c r="FY22" s="269">
        <v>610</v>
      </c>
      <c r="FZ22" s="269">
        <v>769</v>
      </c>
      <c r="GA22" s="97">
        <f t="shared" si="26"/>
        <v>729.25</v>
      </c>
      <c r="GB22" s="270">
        <v>769</v>
      </c>
      <c r="GC22" s="269"/>
      <c r="GD22" s="272">
        <f t="shared" si="29"/>
        <v>769</v>
      </c>
      <c r="GE22" s="269"/>
      <c r="GF22" s="275"/>
      <c r="GG22" s="97">
        <f t="shared" si="27"/>
        <v>0</v>
      </c>
      <c r="GH22" s="105"/>
      <c r="GI22" s="105"/>
      <c r="GJ22" s="97"/>
      <c r="GK22" s="105"/>
      <c r="GL22" s="105"/>
      <c r="GM22" s="97"/>
      <c r="GN22" s="105"/>
      <c r="GO22" s="105"/>
      <c r="GP22" s="97"/>
      <c r="GQ22" s="105"/>
      <c r="GR22" s="105"/>
    </row>
    <row r="23" spans="1:200" ht="10.5" customHeight="1" x14ac:dyDescent="0.3">
      <c r="A23" s="265">
        <f t="shared" si="28"/>
        <v>16</v>
      </c>
      <c r="B23" s="56" t="s">
        <v>1015</v>
      </c>
      <c r="C23" s="99" t="s">
        <v>46</v>
      </c>
      <c r="D23" s="99" t="s">
        <v>46</v>
      </c>
      <c r="E23" s="99" t="s">
        <v>46</v>
      </c>
      <c r="F23" s="99" t="s">
        <v>46</v>
      </c>
      <c r="G23" s="99" t="s">
        <v>46</v>
      </c>
      <c r="H23" s="99" t="s">
        <v>46</v>
      </c>
      <c r="I23" s="99" t="s">
        <v>46</v>
      </c>
      <c r="J23" s="99" t="s">
        <v>46</v>
      </c>
      <c r="K23" s="99" t="s">
        <v>46</v>
      </c>
      <c r="L23" s="99" t="s">
        <v>46</v>
      </c>
      <c r="M23" s="99" t="s">
        <v>46</v>
      </c>
      <c r="N23" s="99" t="s">
        <v>46</v>
      </c>
      <c r="O23" s="99" t="s">
        <v>46</v>
      </c>
      <c r="P23" s="99" t="s">
        <v>46</v>
      </c>
      <c r="Q23" s="99" t="s">
        <v>46</v>
      </c>
      <c r="R23" s="99" t="s">
        <v>46</v>
      </c>
      <c r="S23" s="99" t="s">
        <v>46</v>
      </c>
      <c r="T23" s="99" t="s">
        <v>46</v>
      </c>
      <c r="U23" s="99" t="s">
        <v>46</v>
      </c>
      <c r="V23" s="99" t="s">
        <v>46</v>
      </c>
      <c r="W23" s="99" t="s">
        <v>46</v>
      </c>
      <c r="X23" s="99" t="s">
        <v>46</v>
      </c>
      <c r="Y23" s="99" t="s">
        <v>46</v>
      </c>
      <c r="Z23" s="99" t="s">
        <v>46</v>
      </c>
      <c r="AA23" s="99" t="s">
        <v>46</v>
      </c>
      <c r="AB23" s="99" t="s">
        <v>46</v>
      </c>
      <c r="AC23" s="99" t="s">
        <v>46</v>
      </c>
      <c r="AD23" s="99" t="s">
        <v>46</v>
      </c>
      <c r="AE23" s="99" t="s">
        <v>46</v>
      </c>
      <c r="AF23" s="99" t="s">
        <v>46</v>
      </c>
      <c r="AG23" s="99" t="s">
        <v>46</v>
      </c>
      <c r="AH23" s="99" t="s">
        <v>46</v>
      </c>
      <c r="AI23" s="99" t="s">
        <v>46</v>
      </c>
      <c r="AJ23" s="99" t="s">
        <v>46</v>
      </c>
      <c r="AK23" s="99" t="s">
        <v>46</v>
      </c>
      <c r="AL23" s="99" t="s">
        <v>46</v>
      </c>
      <c r="AM23" s="99" t="s">
        <v>46</v>
      </c>
      <c r="AN23" s="99" t="s">
        <v>46</v>
      </c>
      <c r="AO23" s="99" t="s">
        <v>46</v>
      </c>
      <c r="AP23" s="99" t="s">
        <v>46</v>
      </c>
      <c r="AQ23" s="99" t="s">
        <v>46</v>
      </c>
      <c r="AR23" s="99" t="s">
        <v>46</v>
      </c>
      <c r="AS23" s="99" t="s">
        <v>46</v>
      </c>
      <c r="AT23" s="99" t="s">
        <v>46</v>
      </c>
      <c r="AU23" s="99" t="s">
        <v>46</v>
      </c>
      <c r="AV23" s="99" t="s">
        <v>46</v>
      </c>
      <c r="AW23" s="99" t="s">
        <v>46</v>
      </c>
      <c r="AX23" s="99" t="s">
        <v>46</v>
      </c>
      <c r="AY23" s="97">
        <v>82</v>
      </c>
      <c r="AZ23" s="97">
        <v>86</v>
      </c>
      <c r="BA23" s="97">
        <v>86</v>
      </c>
      <c r="BB23" s="97">
        <v>86</v>
      </c>
      <c r="BC23" s="97">
        <v>86</v>
      </c>
      <c r="BD23" s="97">
        <v>84</v>
      </c>
      <c r="BE23" s="97">
        <v>76</v>
      </c>
      <c r="BF23" s="97">
        <v>71</v>
      </c>
      <c r="BG23" s="97">
        <v>72</v>
      </c>
      <c r="BH23" s="97">
        <v>78</v>
      </c>
      <c r="BI23" s="97">
        <v>83</v>
      </c>
      <c r="BJ23" s="97">
        <v>82</v>
      </c>
      <c r="BK23" s="97">
        <v>85</v>
      </c>
      <c r="BL23" s="97">
        <v>100</v>
      </c>
      <c r="BM23" s="38">
        <v>119</v>
      </c>
      <c r="BN23" s="97">
        <v>130</v>
      </c>
      <c r="BO23" s="97">
        <v>133</v>
      </c>
      <c r="BP23" s="97">
        <v>149</v>
      </c>
      <c r="BQ23" s="97">
        <v>173</v>
      </c>
      <c r="BR23" s="97">
        <v>203</v>
      </c>
      <c r="BS23" s="97">
        <v>218</v>
      </c>
      <c r="BT23" s="97">
        <v>235</v>
      </c>
      <c r="BU23" s="97">
        <v>175</v>
      </c>
      <c r="BV23" s="97">
        <v>210</v>
      </c>
      <c r="BW23" s="97">
        <v>231</v>
      </c>
      <c r="BX23" s="97">
        <v>225</v>
      </c>
      <c r="BY23" s="97">
        <v>221</v>
      </c>
      <c r="BZ23" s="97">
        <v>225</v>
      </c>
      <c r="CA23" s="97">
        <v>230</v>
      </c>
      <c r="CB23" s="97">
        <v>269</v>
      </c>
      <c r="CC23" s="97">
        <v>301.25</v>
      </c>
      <c r="CD23" s="97">
        <v>437</v>
      </c>
      <c r="CE23" s="97">
        <v>500</v>
      </c>
      <c r="CF23" s="97">
        <v>470</v>
      </c>
      <c r="CG23" s="97">
        <v>443</v>
      </c>
      <c r="CH23" s="97">
        <v>382</v>
      </c>
      <c r="CI23" s="97">
        <v>378.5</v>
      </c>
      <c r="CJ23" s="97">
        <v>307</v>
      </c>
      <c r="CK23" s="97">
        <v>213</v>
      </c>
      <c r="CL23" s="97">
        <v>260</v>
      </c>
      <c r="CM23" s="97">
        <v>307</v>
      </c>
      <c r="CN23" s="97">
        <v>213</v>
      </c>
      <c r="CO23" s="97">
        <v>230.25</v>
      </c>
      <c r="CP23" s="97">
        <v>188</v>
      </c>
      <c r="CQ23" s="97">
        <v>199</v>
      </c>
      <c r="CR23" s="97">
        <v>198.25</v>
      </c>
      <c r="CS23" s="97">
        <v>207</v>
      </c>
      <c r="CT23" s="97">
        <v>220</v>
      </c>
      <c r="CU23" s="97">
        <v>221.5</v>
      </c>
      <c r="CV23" s="97">
        <v>239</v>
      </c>
      <c r="CW23" s="97">
        <v>233</v>
      </c>
      <c r="CX23" s="97">
        <v>227.75</v>
      </c>
      <c r="CY23" s="97">
        <v>206</v>
      </c>
      <c r="CZ23" s="97">
        <v>200</v>
      </c>
      <c r="DA23" s="97">
        <v>203.75</v>
      </c>
      <c r="DB23" s="97">
        <v>209</v>
      </c>
      <c r="DC23" s="97">
        <v>214</v>
      </c>
      <c r="DD23" s="97">
        <v>208.75</v>
      </c>
      <c r="DE23" s="97">
        <v>198</v>
      </c>
      <c r="DF23" s="97">
        <v>198</v>
      </c>
      <c r="DG23" s="97">
        <f t="shared" si="2"/>
        <v>199.25</v>
      </c>
      <c r="DH23" s="97">
        <v>203</v>
      </c>
      <c r="DI23" s="99">
        <v>220</v>
      </c>
      <c r="DJ23" s="99">
        <f t="shared" si="3"/>
        <v>225.25</v>
      </c>
      <c r="DK23" s="97">
        <v>258</v>
      </c>
      <c r="DL23" s="97">
        <v>240</v>
      </c>
      <c r="DM23" s="97">
        <f t="shared" si="4"/>
        <v>246</v>
      </c>
      <c r="DN23" s="97">
        <v>246</v>
      </c>
      <c r="DO23" s="97">
        <v>217</v>
      </c>
      <c r="DP23" s="97">
        <f t="shared" si="33"/>
        <v>225.5</v>
      </c>
      <c r="DQ23" s="97">
        <v>222</v>
      </c>
      <c r="DR23" s="97">
        <v>293</v>
      </c>
      <c r="DS23" s="97">
        <f t="shared" si="6"/>
        <v>275.25</v>
      </c>
      <c r="DT23" s="97">
        <v>293</v>
      </c>
      <c r="DU23" s="97">
        <v>238</v>
      </c>
      <c r="DV23" s="97">
        <f t="shared" si="7"/>
        <v>251.75</v>
      </c>
      <c r="DW23" s="97">
        <v>238</v>
      </c>
      <c r="DX23" s="97">
        <v>239</v>
      </c>
      <c r="DY23" s="97">
        <f t="shared" si="8"/>
        <v>250</v>
      </c>
      <c r="DZ23" s="87">
        <v>284</v>
      </c>
      <c r="EA23" s="97">
        <v>284</v>
      </c>
      <c r="EB23" s="97">
        <f t="shared" si="9"/>
        <v>321.06</v>
      </c>
      <c r="EC23" s="54">
        <v>432.24</v>
      </c>
      <c r="ED23" s="54">
        <v>432</v>
      </c>
      <c r="EE23" s="97">
        <f t="shared" si="10"/>
        <v>439.06</v>
      </c>
      <c r="EF23" s="54">
        <v>460</v>
      </c>
      <c r="EG23" s="274">
        <v>390.25514280000004</v>
      </c>
      <c r="EH23" s="97">
        <f t="shared" si="11"/>
        <v>412.91757140000004</v>
      </c>
      <c r="EI23" s="54">
        <v>411.16</v>
      </c>
      <c r="EJ23" s="54">
        <v>420</v>
      </c>
      <c r="EK23" s="97">
        <f t="shared" si="12"/>
        <v>429.79</v>
      </c>
      <c r="EL23" s="54">
        <v>468</v>
      </c>
      <c r="EM23" s="54">
        <v>468</v>
      </c>
      <c r="EN23" s="97">
        <f t="shared" si="13"/>
        <v>446</v>
      </c>
      <c r="EO23" s="54">
        <v>380</v>
      </c>
      <c r="EP23" s="54">
        <v>380</v>
      </c>
      <c r="EQ23" s="97">
        <f t="shared" si="14"/>
        <v>382.5</v>
      </c>
      <c r="ER23" s="269">
        <v>390</v>
      </c>
      <c r="ES23" s="269">
        <v>389.5</v>
      </c>
      <c r="ET23" s="97">
        <f t="shared" si="15"/>
        <v>397</v>
      </c>
      <c r="EU23" s="269">
        <v>419</v>
      </c>
      <c r="EV23" s="269">
        <v>419</v>
      </c>
      <c r="EW23" s="97">
        <f t="shared" si="16"/>
        <v>418.5</v>
      </c>
      <c r="EX23" s="269">
        <v>417</v>
      </c>
      <c r="EY23" s="269">
        <v>416.52</v>
      </c>
      <c r="EZ23" s="97">
        <f t="shared" si="17"/>
        <v>436.76</v>
      </c>
      <c r="FA23" s="269">
        <v>497</v>
      </c>
      <c r="FB23" s="269">
        <v>497</v>
      </c>
      <c r="FC23" s="97">
        <f t="shared" si="18"/>
        <v>491.5</v>
      </c>
      <c r="FD23" s="269">
        <v>475</v>
      </c>
      <c r="FE23" s="269">
        <v>475</v>
      </c>
      <c r="FF23" s="97">
        <f t="shared" si="19"/>
        <v>463.75</v>
      </c>
      <c r="FG23" s="270">
        <v>430</v>
      </c>
      <c r="FH23" s="269">
        <v>430</v>
      </c>
      <c r="FI23" s="97">
        <f t="shared" si="20"/>
        <v>425.5</v>
      </c>
      <c r="FJ23" s="269">
        <v>412</v>
      </c>
      <c r="FK23" s="269">
        <v>412</v>
      </c>
      <c r="FL23" s="97">
        <f t="shared" si="21"/>
        <v>436.75</v>
      </c>
      <c r="FM23" s="269">
        <v>511</v>
      </c>
      <c r="FN23" s="269">
        <v>511</v>
      </c>
      <c r="FO23" s="97">
        <f t="shared" si="22"/>
        <v>514</v>
      </c>
      <c r="FP23" s="269">
        <v>523</v>
      </c>
      <c r="FQ23" s="269">
        <v>523</v>
      </c>
      <c r="FR23" s="97">
        <f t="shared" si="23"/>
        <v>523.5</v>
      </c>
      <c r="FS23" s="269">
        <v>525</v>
      </c>
      <c r="FT23" s="269">
        <v>525</v>
      </c>
      <c r="FU23" s="97">
        <f t="shared" si="24"/>
        <v>495.5</v>
      </c>
      <c r="FV23" s="269">
        <v>407</v>
      </c>
      <c r="FW23" s="269">
        <v>407</v>
      </c>
      <c r="FX23" s="97">
        <f t="shared" si="25"/>
        <v>462</v>
      </c>
      <c r="FY23" s="269">
        <v>627</v>
      </c>
      <c r="FZ23" s="269">
        <v>627</v>
      </c>
      <c r="GA23" s="97">
        <f t="shared" si="26"/>
        <v>781.75</v>
      </c>
      <c r="GB23" s="270">
        <v>1246</v>
      </c>
      <c r="GC23" s="269"/>
      <c r="GD23" s="272">
        <f t="shared" si="29"/>
        <v>1246</v>
      </c>
      <c r="GE23" s="269"/>
      <c r="GF23" s="275"/>
      <c r="GG23" s="97">
        <f t="shared" si="27"/>
        <v>0</v>
      </c>
      <c r="GH23" s="105"/>
      <c r="GI23" s="105"/>
      <c r="GJ23" s="97"/>
      <c r="GK23" s="105"/>
      <c r="GL23" s="105"/>
      <c r="GM23" s="97"/>
      <c r="GN23" s="105"/>
      <c r="GO23" s="105"/>
      <c r="GP23" s="97"/>
      <c r="GQ23" s="105"/>
      <c r="GR23" s="105"/>
    </row>
    <row r="24" spans="1:200" ht="10.5" customHeight="1" x14ac:dyDescent="0.3">
      <c r="A24" s="265">
        <f t="shared" si="28"/>
        <v>17</v>
      </c>
      <c r="B24" s="56" t="s">
        <v>1016</v>
      </c>
      <c r="C24" s="99" t="s">
        <v>46</v>
      </c>
      <c r="D24" s="99" t="s">
        <v>46</v>
      </c>
      <c r="E24" s="99" t="s">
        <v>46</v>
      </c>
      <c r="F24" s="99" t="s">
        <v>46</v>
      </c>
      <c r="G24" s="99" t="s">
        <v>46</v>
      </c>
      <c r="H24" s="99" t="s">
        <v>46</v>
      </c>
      <c r="I24" s="99" t="s">
        <v>46</v>
      </c>
      <c r="J24" s="99" t="s">
        <v>46</v>
      </c>
      <c r="K24" s="99" t="s">
        <v>46</v>
      </c>
      <c r="L24" s="99" t="s">
        <v>46</v>
      </c>
      <c r="M24" s="99" t="s">
        <v>46</v>
      </c>
      <c r="N24" s="99" t="s">
        <v>46</v>
      </c>
      <c r="O24" s="99" t="s">
        <v>46</v>
      </c>
      <c r="P24" s="99" t="s">
        <v>46</v>
      </c>
      <c r="Q24" s="99" t="s">
        <v>46</v>
      </c>
      <c r="R24" s="99" t="s">
        <v>46</v>
      </c>
      <c r="S24" s="99" t="s">
        <v>46</v>
      </c>
      <c r="T24" s="99" t="s">
        <v>46</v>
      </c>
      <c r="U24" s="99" t="s">
        <v>46</v>
      </c>
      <c r="V24" s="99" t="s">
        <v>46</v>
      </c>
      <c r="W24" s="99" t="s">
        <v>46</v>
      </c>
      <c r="X24" s="99" t="s">
        <v>46</v>
      </c>
      <c r="Y24" s="99" t="s">
        <v>46</v>
      </c>
      <c r="Z24" s="99" t="s">
        <v>46</v>
      </c>
      <c r="AA24" s="99" t="s">
        <v>46</v>
      </c>
      <c r="AB24" s="99" t="s">
        <v>46</v>
      </c>
      <c r="AC24" s="99" t="s">
        <v>46</v>
      </c>
      <c r="AD24" s="99" t="s">
        <v>46</v>
      </c>
      <c r="AE24" s="99" t="s">
        <v>46</v>
      </c>
      <c r="AF24" s="99" t="s">
        <v>46</v>
      </c>
      <c r="AG24" s="99" t="s">
        <v>46</v>
      </c>
      <c r="AH24" s="99" t="s">
        <v>46</v>
      </c>
      <c r="AI24" s="99" t="s">
        <v>46</v>
      </c>
      <c r="AJ24" s="99" t="s">
        <v>46</v>
      </c>
      <c r="AK24" s="99" t="s">
        <v>46</v>
      </c>
      <c r="AL24" s="99" t="s">
        <v>46</v>
      </c>
      <c r="AM24" s="99" t="s">
        <v>46</v>
      </c>
      <c r="AN24" s="99" t="s">
        <v>46</v>
      </c>
      <c r="AO24" s="99" t="s">
        <v>46</v>
      </c>
      <c r="AP24" s="99" t="s">
        <v>46</v>
      </c>
      <c r="AQ24" s="97">
        <v>179</v>
      </c>
      <c r="AR24" s="97">
        <v>170</v>
      </c>
      <c r="AS24" s="97">
        <v>170</v>
      </c>
      <c r="AT24" s="97">
        <v>157</v>
      </c>
      <c r="AU24" s="97">
        <v>159</v>
      </c>
      <c r="AV24" s="97">
        <v>159</v>
      </c>
      <c r="AW24" s="97">
        <v>154</v>
      </c>
      <c r="AX24" s="97">
        <v>154</v>
      </c>
      <c r="AY24" s="97">
        <v>154</v>
      </c>
      <c r="AZ24" s="97">
        <v>150</v>
      </c>
      <c r="BA24" s="97">
        <v>146</v>
      </c>
      <c r="BB24" s="97">
        <v>146</v>
      </c>
      <c r="BC24" s="97">
        <v>143</v>
      </c>
      <c r="BD24" s="97">
        <v>139</v>
      </c>
      <c r="BE24" s="97">
        <v>141</v>
      </c>
      <c r="BF24" s="97">
        <v>136</v>
      </c>
      <c r="BG24" s="97">
        <v>116</v>
      </c>
      <c r="BH24" s="97">
        <v>105</v>
      </c>
      <c r="BI24" s="97">
        <v>100</v>
      </c>
      <c r="BJ24" s="97">
        <v>98</v>
      </c>
      <c r="BK24" s="97">
        <v>100</v>
      </c>
      <c r="BL24" s="97">
        <v>100</v>
      </c>
      <c r="BM24" s="38">
        <v>118</v>
      </c>
      <c r="BN24" s="97">
        <v>133</v>
      </c>
      <c r="BO24" s="97">
        <v>129</v>
      </c>
      <c r="BP24" s="97">
        <v>144</v>
      </c>
      <c r="BQ24" s="97">
        <v>161</v>
      </c>
      <c r="BR24" s="97">
        <v>187</v>
      </c>
      <c r="BS24" s="97">
        <v>199</v>
      </c>
      <c r="BT24" s="97">
        <v>190</v>
      </c>
      <c r="BU24" s="97">
        <v>158</v>
      </c>
      <c r="BV24" s="97">
        <v>183</v>
      </c>
      <c r="BW24" s="97">
        <v>197</v>
      </c>
      <c r="BX24" s="97">
        <v>189</v>
      </c>
      <c r="BY24" s="97">
        <v>188</v>
      </c>
      <c r="BZ24" s="97">
        <v>199</v>
      </c>
      <c r="CA24" s="97">
        <v>230</v>
      </c>
      <c r="CB24" s="97">
        <v>247</v>
      </c>
      <c r="CC24" s="97">
        <v>279.5</v>
      </c>
      <c r="CD24" s="97">
        <v>394</v>
      </c>
      <c r="CE24" s="97">
        <v>423</v>
      </c>
      <c r="CF24" s="97">
        <v>408.5</v>
      </c>
      <c r="CG24" s="97">
        <v>394</v>
      </c>
      <c r="CH24" s="97">
        <v>366</v>
      </c>
      <c r="CI24" s="97">
        <v>365.75</v>
      </c>
      <c r="CJ24" s="97">
        <v>337</v>
      </c>
      <c r="CK24" s="97">
        <v>294</v>
      </c>
      <c r="CL24" s="97">
        <v>315.5</v>
      </c>
      <c r="CM24" s="97">
        <v>337</v>
      </c>
      <c r="CN24" s="97">
        <v>294</v>
      </c>
      <c r="CO24" s="97">
        <v>289.25</v>
      </c>
      <c r="CP24" s="97">
        <v>232</v>
      </c>
      <c r="CQ24" s="97">
        <v>237</v>
      </c>
      <c r="CR24" s="97">
        <v>237.25</v>
      </c>
      <c r="CS24" s="97">
        <v>243</v>
      </c>
      <c r="CT24" s="97">
        <v>249</v>
      </c>
      <c r="CU24" s="97">
        <v>251.25</v>
      </c>
      <c r="CV24" s="97">
        <v>264</v>
      </c>
      <c r="CW24" s="97">
        <v>261</v>
      </c>
      <c r="CX24" s="97">
        <v>259.5</v>
      </c>
      <c r="CY24" s="97">
        <v>252</v>
      </c>
      <c r="CZ24" s="97">
        <v>249</v>
      </c>
      <c r="DA24" s="97">
        <v>251.5</v>
      </c>
      <c r="DB24" s="97">
        <v>256</v>
      </c>
      <c r="DC24" s="97">
        <v>258</v>
      </c>
      <c r="DD24" s="97">
        <v>255.5</v>
      </c>
      <c r="DE24" s="97">
        <v>250</v>
      </c>
      <c r="DF24" s="97">
        <v>250</v>
      </c>
      <c r="DG24" s="97">
        <f t="shared" si="2"/>
        <v>251.25</v>
      </c>
      <c r="DH24" s="97">
        <v>255</v>
      </c>
      <c r="DI24" s="99">
        <v>263</v>
      </c>
      <c r="DJ24" s="99">
        <f t="shared" si="3"/>
        <v>265.5</v>
      </c>
      <c r="DK24" s="97">
        <v>281</v>
      </c>
      <c r="DL24" s="97">
        <v>273</v>
      </c>
      <c r="DM24" s="97">
        <f t="shared" si="4"/>
        <v>281.25</v>
      </c>
      <c r="DN24" s="97">
        <v>298</v>
      </c>
      <c r="DO24" s="97">
        <v>285</v>
      </c>
      <c r="DP24" s="97">
        <f t="shared" si="33"/>
        <v>290.75</v>
      </c>
      <c r="DQ24" s="97">
        <v>295</v>
      </c>
      <c r="DR24" s="97">
        <v>327</v>
      </c>
      <c r="DS24" s="97">
        <f t="shared" si="6"/>
        <v>319.25</v>
      </c>
      <c r="DT24" s="97">
        <v>328</v>
      </c>
      <c r="DU24" s="97">
        <v>302</v>
      </c>
      <c r="DV24" s="97">
        <f t="shared" si="7"/>
        <v>311</v>
      </c>
      <c r="DW24" s="97">
        <v>312</v>
      </c>
      <c r="DX24" s="97">
        <v>312</v>
      </c>
      <c r="DY24" s="97">
        <f t="shared" si="8"/>
        <v>322.5</v>
      </c>
      <c r="DZ24" s="87">
        <v>354</v>
      </c>
      <c r="EA24" s="97">
        <v>354</v>
      </c>
      <c r="EB24" s="97">
        <f t="shared" si="9"/>
        <v>377.32249999999999</v>
      </c>
      <c r="EC24" s="54">
        <v>447.29</v>
      </c>
      <c r="ED24" s="54">
        <v>447</v>
      </c>
      <c r="EE24" s="97">
        <f t="shared" si="10"/>
        <v>467.07249999999999</v>
      </c>
      <c r="EF24" s="54">
        <v>527</v>
      </c>
      <c r="EG24" s="274">
        <v>495.49643500000002</v>
      </c>
      <c r="EH24" s="97">
        <f t="shared" si="11"/>
        <v>509.8832175</v>
      </c>
      <c r="EI24" s="54">
        <v>521.54</v>
      </c>
      <c r="EJ24" s="54">
        <v>526</v>
      </c>
      <c r="EK24" s="97">
        <f t="shared" si="12"/>
        <v>545.63499999999999</v>
      </c>
      <c r="EL24" s="54">
        <v>609</v>
      </c>
      <c r="EM24" s="54">
        <v>609</v>
      </c>
      <c r="EN24" s="97">
        <f t="shared" si="13"/>
        <v>572.5</v>
      </c>
      <c r="EO24" s="54">
        <v>463</v>
      </c>
      <c r="EP24" s="54">
        <v>463</v>
      </c>
      <c r="EQ24" s="97">
        <f t="shared" si="14"/>
        <v>464.25</v>
      </c>
      <c r="ER24" s="269">
        <v>468</v>
      </c>
      <c r="ES24" s="269">
        <v>468.45</v>
      </c>
      <c r="ET24" s="97">
        <f t="shared" si="15"/>
        <v>481.47500000000002</v>
      </c>
      <c r="EU24" s="269">
        <v>521</v>
      </c>
      <c r="EV24" s="269">
        <v>521</v>
      </c>
      <c r="EW24" s="97">
        <f t="shared" si="16"/>
        <v>510</v>
      </c>
      <c r="EX24" s="269">
        <v>477</v>
      </c>
      <c r="EY24" s="269">
        <v>477.18</v>
      </c>
      <c r="EZ24" s="97">
        <f t="shared" si="17"/>
        <v>477.34000000000003</v>
      </c>
      <c r="FA24" s="269">
        <v>478</v>
      </c>
      <c r="FB24" s="269">
        <v>478</v>
      </c>
      <c r="FC24" s="97">
        <f t="shared" si="18"/>
        <v>478.25</v>
      </c>
      <c r="FD24" s="269">
        <v>479</v>
      </c>
      <c r="FE24" s="269">
        <v>479</v>
      </c>
      <c r="FF24" s="97">
        <f t="shared" si="19"/>
        <v>476.25</v>
      </c>
      <c r="FG24" s="270">
        <v>468</v>
      </c>
      <c r="FH24" s="269">
        <v>468</v>
      </c>
      <c r="FI24" s="97">
        <f t="shared" si="20"/>
        <v>464</v>
      </c>
      <c r="FJ24" s="269">
        <v>452</v>
      </c>
      <c r="FK24" s="269">
        <v>452</v>
      </c>
      <c r="FL24" s="97">
        <f t="shared" si="21"/>
        <v>467.5</v>
      </c>
      <c r="FM24" s="269">
        <v>514</v>
      </c>
      <c r="FN24" s="269">
        <v>514</v>
      </c>
      <c r="FO24" s="97">
        <f t="shared" si="22"/>
        <v>515.75</v>
      </c>
      <c r="FP24" s="269">
        <v>521</v>
      </c>
      <c r="FQ24" s="269">
        <v>521</v>
      </c>
      <c r="FR24" s="97">
        <f t="shared" si="23"/>
        <v>528</v>
      </c>
      <c r="FS24" s="269">
        <v>549</v>
      </c>
      <c r="FT24" s="269">
        <v>549</v>
      </c>
      <c r="FU24" s="97">
        <f t="shared" si="24"/>
        <v>564.5</v>
      </c>
      <c r="FV24" s="269">
        <v>611</v>
      </c>
      <c r="FW24" s="269">
        <v>611</v>
      </c>
      <c r="FX24" s="97">
        <f t="shared" si="25"/>
        <v>635.25</v>
      </c>
      <c r="FY24" s="269">
        <v>708</v>
      </c>
      <c r="FZ24" s="269">
        <v>708</v>
      </c>
      <c r="GA24" s="97">
        <f t="shared" si="26"/>
        <v>790.5</v>
      </c>
      <c r="GB24" s="270">
        <v>1038</v>
      </c>
      <c r="GC24" s="269"/>
      <c r="GD24" s="272">
        <f t="shared" si="29"/>
        <v>1038</v>
      </c>
      <c r="GE24" s="269"/>
      <c r="GF24" s="275"/>
      <c r="GG24" s="97">
        <f t="shared" si="27"/>
        <v>0</v>
      </c>
      <c r="GH24" s="105"/>
      <c r="GI24" s="105"/>
      <c r="GJ24" s="97">
        <f t="shared" si="30"/>
        <v>0</v>
      </c>
      <c r="GK24" s="105"/>
      <c r="GL24" s="105"/>
      <c r="GM24" s="97">
        <f t="shared" si="31"/>
        <v>0</v>
      </c>
      <c r="GN24" s="105"/>
      <c r="GO24" s="105"/>
      <c r="GP24" s="97">
        <f t="shared" si="32"/>
        <v>0</v>
      </c>
      <c r="GQ24" s="105"/>
      <c r="GR24" s="105"/>
    </row>
    <row r="25" spans="1:200" ht="10.5" customHeight="1" x14ac:dyDescent="0.3">
      <c r="A25" s="265">
        <f t="shared" si="28"/>
        <v>18</v>
      </c>
      <c r="B25" s="56" t="s">
        <v>1017</v>
      </c>
      <c r="C25" s="99" t="s">
        <v>46</v>
      </c>
      <c r="D25" s="99" t="s">
        <v>46</v>
      </c>
      <c r="E25" s="99" t="s">
        <v>46</v>
      </c>
      <c r="F25" s="99" t="s">
        <v>46</v>
      </c>
      <c r="G25" s="99" t="s">
        <v>46</v>
      </c>
      <c r="H25" s="99" t="s">
        <v>46</v>
      </c>
      <c r="I25" s="99" t="s">
        <v>46</v>
      </c>
      <c r="J25" s="99" t="s">
        <v>46</v>
      </c>
      <c r="K25" s="99" t="s">
        <v>46</v>
      </c>
      <c r="L25" s="99" t="s">
        <v>46</v>
      </c>
      <c r="M25" s="99" t="s">
        <v>46</v>
      </c>
      <c r="N25" s="99" t="s">
        <v>46</v>
      </c>
      <c r="O25" s="97">
        <v>27</v>
      </c>
      <c r="P25" s="97">
        <v>26</v>
      </c>
      <c r="Q25" s="97">
        <v>26</v>
      </c>
      <c r="R25" s="97">
        <v>23</v>
      </c>
      <c r="S25" s="97">
        <v>26</v>
      </c>
      <c r="T25" s="97">
        <v>27</v>
      </c>
      <c r="U25" s="97">
        <v>28</v>
      </c>
      <c r="V25" s="97">
        <v>29</v>
      </c>
      <c r="W25" s="97">
        <v>29</v>
      </c>
      <c r="X25" s="97">
        <v>29</v>
      </c>
      <c r="Y25" s="97">
        <v>30</v>
      </c>
      <c r="Z25" s="97">
        <v>30</v>
      </c>
      <c r="AA25" s="97">
        <v>30</v>
      </c>
      <c r="AB25" s="97">
        <v>30</v>
      </c>
      <c r="AC25" s="97">
        <v>30</v>
      </c>
      <c r="AD25" s="97">
        <v>30</v>
      </c>
      <c r="AE25" s="97">
        <v>30</v>
      </c>
      <c r="AF25" s="97">
        <v>30</v>
      </c>
      <c r="AG25" s="97">
        <v>31</v>
      </c>
      <c r="AH25" s="97">
        <v>31</v>
      </c>
      <c r="AI25" s="97">
        <v>31</v>
      </c>
      <c r="AJ25" s="97">
        <v>31</v>
      </c>
      <c r="AK25" s="97">
        <v>32</v>
      </c>
      <c r="AL25" s="97">
        <v>40</v>
      </c>
      <c r="AM25" s="97">
        <v>44</v>
      </c>
      <c r="AN25" s="97">
        <v>48</v>
      </c>
      <c r="AO25" s="97">
        <v>47</v>
      </c>
      <c r="AP25" s="97">
        <v>53</v>
      </c>
      <c r="AQ25" s="97">
        <v>52</v>
      </c>
      <c r="AR25" s="97">
        <v>51</v>
      </c>
      <c r="AS25" s="97">
        <v>59</v>
      </c>
      <c r="AT25" s="97">
        <v>59</v>
      </c>
      <c r="AU25" s="97">
        <v>60</v>
      </c>
      <c r="AV25" s="97">
        <v>66</v>
      </c>
      <c r="AW25" s="97">
        <v>68</v>
      </c>
      <c r="AX25" s="97">
        <v>68</v>
      </c>
      <c r="AY25" s="97">
        <v>68</v>
      </c>
      <c r="AZ25" s="97">
        <v>67</v>
      </c>
      <c r="BA25" s="97">
        <v>67</v>
      </c>
      <c r="BB25" s="97">
        <v>66</v>
      </c>
      <c r="BC25" s="97">
        <v>67</v>
      </c>
      <c r="BD25" s="97">
        <v>66</v>
      </c>
      <c r="BE25" s="97">
        <v>72</v>
      </c>
      <c r="BF25" s="97">
        <v>82</v>
      </c>
      <c r="BG25" s="97">
        <v>74</v>
      </c>
      <c r="BH25" s="97">
        <v>78</v>
      </c>
      <c r="BI25" s="97">
        <v>94</v>
      </c>
      <c r="BJ25" s="97">
        <v>101</v>
      </c>
      <c r="BK25" s="97">
        <v>102</v>
      </c>
      <c r="BL25" s="97">
        <v>100</v>
      </c>
      <c r="BM25" s="38">
        <v>125</v>
      </c>
      <c r="BN25" s="97">
        <v>173</v>
      </c>
      <c r="BO25" s="97">
        <v>194</v>
      </c>
      <c r="BP25" s="97">
        <v>211</v>
      </c>
      <c r="BQ25" s="97">
        <v>234</v>
      </c>
      <c r="BR25" s="97">
        <v>263</v>
      </c>
      <c r="BS25" s="97">
        <v>288</v>
      </c>
      <c r="BT25" s="97">
        <v>314</v>
      </c>
      <c r="BU25" s="97">
        <v>333</v>
      </c>
      <c r="BV25" s="97">
        <v>326</v>
      </c>
      <c r="BW25" s="97">
        <v>343</v>
      </c>
      <c r="BX25" s="97">
        <v>358</v>
      </c>
      <c r="BY25" s="97">
        <v>352</v>
      </c>
      <c r="BZ25" s="97">
        <v>321</v>
      </c>
      <c r="CA25" s="97">
        <v>317</v>
      </c>
      <c r="CB25" s="97">
        <v>319</v>
      </c>
      <c r="CC25" s="97">
        <v>320.75</v>
      </c>
      <c r="CD25" s="97">
        <v>328</v>
      </c>
      <c r="CE25" s="97">
        <v>334</v>
      </c>
      <c r="CF25" s="97">
        <v>334</v>
      </c>
      <c r="CG25" s="97">
        <v>340</v>
      </c>
      <c r="CH25" s="97">
        <v>345</v>
      </c>
      <c r="CI25" s="97">
        <v>344.75</v>
      </c>
      <c r="CJ25" s="97">
        <v>349</v>
      </c>
      <c r="CK25" s="97">
        <v>356</v>
      </c>
      <c r="CL25" s="97">
        <v>352.5</v>
      </c>
      <c r="CM25" s="97">
        <v>349</v>
      </c>
      <c r="CN25" s="97">
        <v>356</v>
      </c>
      <c r="CO25" s="97">
        <v>360.75</v>
      </c>
      <c r="CP25" s="97">
        <v>382</v>
      </c>
      <c r="CQ25" s="97">
        <v>388</v>
      </c>
      <c r="CR25" s="97">
        <v>389</v>
      </c>
      <c r="CS25" s="97">
        <v>398</v>
      </c>
      <c r="CT25" s="97">
        <v>411</v>
      </c>
      <c r="CU25" s="97">
        <v>408.25</v>
      </c>
      <c r="CV25" s="97">
        <v>413</v>
      </c>
      <c r="CW25" s="97">
        <v>431</v>
      </c>
      <c r="CX25" s="97">
        <v>429.5</v>
      </c>
      <c r="CY25" s="97">
        <v>443</v>
      </c>
      <c r="CZ25" s="97">
        <v>462</v>
      </c>
      <c r="DA25" s="97">
        <v>460.25</v>
      </c>
      <c r="DB25" s="97">
        <v>474</v>
      </c>
      <c r="DC25" s="97">
        <v>470</v>
      </c>
      <c r="DD25" s="97">
        <v>471</v>
      </c>
      <c r="DE25" s="97">
        <v>470</v>
      </c>
      <c r="DF25" s="97">
        <v>467</v>
      </c>
      <c r="DG25" s="97">
        <f t="shared" si="2"/>
        <v>468.75</v>
      </c>
      <c r="DH25" s="97">
        <v>471</v>
      </c>
      <c r="DI25" s="99">
        <v>471</v>
      </c>
      <c r="DJ25" s="99">
        <f t="shared" si="3"/>
        <v>471.75</v>
      </c>
      <c r="DK25" s="97">
        <v>474</v>
      </c>
      <c r="DL25" s="97">
        <v>478</v>
      </c>
      <c r="DM25" s="97">
        <f t="shared" si="4"/>
        <v>479</v>
      </c>
      <c r="DN25" s="97">
        <v>486</v>
      </c>
      <c r="DO25" s="97">
        <v>492</v>
      </c>
      <c r="DP25" s="97">
        <f t="shared" si="33"/>
        <v>492.25</v>
      </c>
      <c r="DQ25" s="97">
        <v>499</v>
      </c>
      <c r="DR25" s="97">
        <v>526</v>
      </c>
      <c r="DS25" s="97">
        <f t="shared" si="6"/>
        <v>529.25</v>
      </c>
      <c r="DT25" s="97">
        <v>566</v>
      </c>
      <c r="DU25" s="97">
        <v>573</v>
      </c>
      <c r="DV25" s="97">
        <f t="shared" si="7"/>
        <v>571.25</v>
      </c>
      <c r="DW25" s="97">
        <v>573</v>
      </c>
      <c r="DX25" s="97">
        <v>579</v>
      </c>
      <c r="DY25" s="97">
        <f t="shared" si="8"/>
        <v>583</v>
      </c>
      <c r="DZ25" s="87">
        <v>601</v>
      </c>
      <c r="EA25" s="97">
        <v>615</v>
      </c>
      <c r="EB25" s="97">
        <f t="shared" si="9"/>
        <v>617.08749999999998</v>
      </c>
      <c r="EC25" s="54">
        <v>637.35</v>
      </c>
      <c r="ED25" s="54">
        <v>774</v>
      </c>
      <c r="EE25" s="97">
        <f t="shared" si="10"/>
        <v>748.33749999999998</v>
      </c>
      <c r="EF25" s="54">
        <v>808</v>
      </c>
      <c r="EG25" s="274">
        <v>825.59288106030738</v>
      </c>
      <c r="EH25" s="97">
        <f t="shared" si="11"/>
        <v>824.58894053015365</v>
      </c>
      <c r="EI25" s="54">
        <v>839.17</v>
      </c>
      <c r="EJ25" s="54">
        <v>899</v>
      </c>
      <c r="EK25" s="97">
        <f t="shared" si="12"/>
        <v>915.29250000000002</v>
      </c>
      <c r="EL25" s="54">
        <v>1024</v>
      </c>
      <c r="EM25" s="54">
        <v>1053</v>
      </c>
      <c r="EN25" s="97">
        <f t="shared" si="13"/>
        <v>1054.25</v>
      </c>
      <c r="EO25" s="54">
        <v>1087</v>
      </c>
      <c r="EP25" s="54">
        <v>972</v>
      </c>
      <c r="EQ25" s="97">
        <f t="shared" si="14"/>
        <v>1005.25</v>
      </c>
      <c r="ER25" s="269">
        <v>990</v>
      </c>
      <c r="ES25" s="269">
        <v>1034.31</v>
      </c>
      <c r="ET25" s="97">
        <f t="shared" si="15"/>
        <v>1027.655</v>
      </c>
      <c r="EU25" s="269">
        <v>1052</v>
      </c>
      <c r="EV25" s="269">
        <v>1079</v>
      </c>
      <c r="EW25" s="97">
        <f t="shared" si="16"/>
        <v>1067.75</v>
      </c>
      <c r="EX25" s="269">
        <v>1061</v>
      </c>
      <c r="EY25" s="269">
        <v>1076.8900000000001</v>
      </c>
      <c r="EZ25" s="97">
        <f t="shared" si="17"/>
        <v>1051.1950000000002</v>
      </c>
      <c r="FA25" s="269">
        <v>990</v>
      </c>
      <c r="FB25" s="269">
        <v>993</v>
      </c>
      <c r="FC25" s="97">
        <f t="shared" si="18"/>
        <v>989.25</v>
      </c>
      <c r="FD25" s="269">
        <v>981</v>
      </c>
      <c r="FE25" s="269">
        <v>1018</v>
      </c>
      <c r="FF25" s="97">
        <f t="shared" si="19"/>
        <v>1000.75</v>
      </c>
      <c r="FG25" s="270">
        <v>986</v>
      </c>
      <c r="FH25" s="269">
        <v>981</v>
      </c>
      <c r="FI25" s="97">
        <f t="shared" si="20"/>
        <v>986.5</v>
      </c>
      <c r="FJ25" s="269">
        <v>998</v>
      </c>
      <c r="FK25" s="269">
        <v>942</v>
      </c>
      <c r="FL25" s="97">
        <f t="shared" si="21"/>
        <v>961.5</v>
      </c>
      <c r="FM25" s="269">
        <v>964</v>
      </c>
      <c r="FN25" s="269">
        <v>1008</v>
      </c>
      <c r="FO25" s="97">
        <f t="shared" si="22"/>
        <v>1027.5</v>
      </c>
      <c r="FP25" s="269">
        <v>1130</v>
      </c>
      <c r="FQ25" s="269">
        <v>1085</v>
      </c>
      <c r="FR25" s="97">
        <f t="shared" si="23"/>
        <v>1122</v>
      </c>
      <c r="FS25" s="269">
        <v>1188</v>
      </c>
      <c r="FT25" s="269">
        <v>1206</v>
      </c>
      <c r="FU25" s="97">
        <f t="shared" si="24"/>
        <v>1161.5</v>
      </c>
      <c r="FV25" s="269">
        <v>1046</v>
      </c>
      <c r="FW25" s="269">
        <v>1055</v>
      </c>
      <c r="FX25" s="97">
        <f t="shared" si="25"/>
        <v>1077.5</v>
      </c>
      <c r="FY25" s="269">
        <v>1154</v>
      </c>
      <c r="FZ25" s="269">
        <v>1267</v>
      </c>
      <c r="GA25" s="97">
        <f t="shared" si="26"/>
        <v>1263.75</v>
      </c>
      <c r="GB25" s="270">
        <v>1367</v>
      </c>
      <c r="GC25" s="269"/>
      <c r="GD25" s="272">
        <f t="shared" si="29"/>
        <v>1367</v>
      </c>
      <c r="GE25" s="269"/>
      <c r="GF25" s="275"/>
      <c r="GG25" s="97">
        <f t="shared" si="27"/>
        <v>0</v>
      </c>
      <c r="GH25" s="105"/>
      <c r="GI25" s="105"/>
      <c r="GJ25" s="97">
        <f t="shared" si="30"/>
        <v>0</v>
      </c>
      <c r="GK25" s="105"/>
      <c r="GL25" s="105"/>
      <c r="GM25" s="97">
        <f t="shared" si="31"/>
        <v>0</v>
      </c>
      <c r="GN25" s="105"/>
      <c r="GO25" s="105"/>
      <c r="GP25" s="97">
        <f t="shared" si="32"/>
        <v>0</v>
      </c>
      <c r="GQ25" s="105"/>
      <c r="GR25" s="105"/>
    </row>
    <row r="26" spans="1:200" ht="10.5" customHeight="1" x14ac:dyDescent="0.3">
      <c r="A26" s="265">
        <f t="shared" si="28"/>
        <v>19</v>
      </c>
      <c r="B26" s="56" t="s">
        <v>1018</v>
      </c>
      <c r="C26" s="97">
        <v>23</v>
      </c>
      <c r="D26" s="97">
        <v>23</v>
      </c>
      <c r="E26" s="97">
        <v>23</v>
      </c>
      <c r="F26" s="97">
        <v>30</v>
      </c>
      <c r="G26" s="97">
        <v>36</v>
      </c>
      <c r="H26" s="97">
        <v>42</v>
      </c>
      <c r="I26" s="97">
        <v>48</v>
      </c>
      <c r="J26" s="97">
        <v>51</v>
      </c>
      <c r="K26" s="97">
        <v>49</v>
      </c>
      <c r="L26" s="97">
        <v>37</v>
      </c>
      <c r="M26" s="97">
        <v>29</v>
      </c>
      <c r="N26" s="97">
        <v>33</v>
      </c>
      <c r="O26" s="97">
        <v>31</v>
      </c>
      <c r="P26" s="97">
        <v>34</v>
      </c>
      <c r="Q26" s="97">
        <v>33</v>
      </c>
      <c r="R26" s="97">
        <v>30</v>
      </c>
      <c r="S26" s="97">
        <v>27</v>
      </c>
      <c r="T26" s="97">
        <v>29</v>
      </c>
      <c r="U26" s="97">
        <v>26</v>
      </c>
      <c r="V26" s="97">
        <v>21</v>
      </c>
      <c r="W26" s="97">
        <v>19</v>
      </c>
      <c r="X26" s="97">
        <v>23</v>
      </c>
      <c r="Y26" s="97">
        <v>26</v>
      </c>
      <c r="Z26" s="97">
        <v>27</v>
      </c>
      <c r="AA26" s="97">
        <v>29</v>
      </c>
      <c r="AB26" s="97">
        <v>35</v>
      </c>
      <c r="AC26" s="97">
        <v>29</v>
      </c>
      <c r="AD26" s="97">
        <v>26</v>
      </c>
      <c r="AE26" s="97">
        <v>31</v>
      </c>
      <c r="AF26" s="97">
        <v>39</v>
      </c>
      <c r="AG26" s="97">
        <v>40</v>
      </c>
      <c r="AH26" s="97">
        <v>40</v>
      </c>
      <c r="AI26" s="97">
        <v>40</v>
      </c>
      <c r="AJ26" s="97">
        <v>40</v>
      </c>
      <c r="AK26" s="97">
        <v>48</v>
      </c>
      <c r="AL26" s="97">
        <v>56</v>
      </c>
      <c r="AM26" s="97">
        <v>65</v>
      </c>
      <c r="AN26" s="97">
        <v>66</v>
      </c>
      <c r="AO26" s="97">
        <v>66</v>
      </c>
      <c r="AP26" s="97">
        <v>75</v>
      </c>
      <c r="AQ26" s="97">
        <v>77</v>
      </c>
      <c r="AR26" s="97">
        <v>74</v>
      </c>
      <c r="AS26" s="97">
        <v>71</v>
      </c>
      <c r="AT26" s="97">
        <v>68</v>
      </c>
      <c r="AU26" s="97">
        <v>72</v>
      </c>
      <c r="AV26" s="97">
        <v>65</v>
      </c>
      <c r="AW26" s="97">
        <v>50</v>
      </c>
      <c r="AX26" s="97">
        <v>50</v>
      </c>
      <c r="AY26" s="97">
        <v>40</v>
      </c>
      <c r="AZ26" s="97">
        <v>38</v>
      </c>
      <c r="BA26" s="97">
        <v>40</v>
      </c>
      <c r="BB26" s="97">
        <v>40</v>
      </c>
      <c r="BC26" s="97">
        <v>44</v>
      </c>
      <c r="BD26" s="97">
        <v>55</v>
      </c>
      <c r="BE26" s="97">
        <v>67</v>
      </c>
      <c r="BF26" s="97">
        <v>72</v>
      </c>
      <c r="BG26" s="97">
        <v>81</v>
      </c>
      <c r="BH26" s="97">
        <v>86</v>
      </c>
      <c r="BI26" s="97">
        <v>84</v>
      </c>
      <c r="BJ26" s="97">
        <v>74</v>
      </c>
      <c r="BK26" s="97">
        <v>86</v>
      </c>
      <c r="BL26" s="97">
        <v>100</v>
      </c>
      <c r="BM26" s="38">
        <v>115</v>
      </c>
      <c r="BN26" s="97">
        <v>95</v>
      </c>
      <c r="BO26" s="97">
        <v>97</v>
      </c>
      <c r="BP26" s="97">
        <v>95</v>
      </c>
      <c r="BQ26" s="97">
        <v>101</v>
      </c>
      <c r="BR26" s="97">
        <v>109</v>
      </c>
      <c r="BS26" s="97">
        <v>135</v>
      </c>
      <c r="BT26" s="97">
        <v>142</v>
      </c>
      <c r="BU26" s="97">
        <v>132</v>
      </c>
      <c r="BV26" s="97">
        <v>131</v>
      </c>
      <c r="BW26" s="97">
        <v>123</v>
      </c>
      <c r="BX26" s="97">
        <v>107</v>
      </c>
      <c r="BY26" s="97">
        <v>110</v>
      </c>
      <c r="BZ26" s="97">
        <v>123</v>
      </c>
      <c r="CA26" s="97">
        <v>153</v>
      </c>
      <c r="CB26" s="97">
        <v>117</v>
      </c>
      <c r="CC26" s="97">
        <v>137.25</v>
      </c>
      <c r="CD26" s="97">
        <v>162</v>
      </c>
      <c r="CE26" s="97">
        <v>133</v>
      </c>
      <c r="CF26" s="97">
        <v>138.75</v>
      </c>
      <c r="CG26" s="97">
        <v>127</v>
      </c>
      <c r="CH26" s="97">
        <v>141</v>
      </c>
      <c r="CI26" s="97">
        <v>136</v>
      </c>
      <c r="CJ26" s="97">
        <v>135</v>
      </c>
      <c r="CK26" s="97">
        <v>124</v>
      </c>
      <c r="CL26" s="97">
        <v>129.5</v>
      </c>
      <c r="CM26" s="97">
        <v>135</v>
      </c>
      <c r="CN26" s="97">
        <v>124</v>
      </c>
      <c r="CO26" s="97">
        <v>126</v>
      </c>
      <c r="CP26" s="97">
        <v>121</v>
      </c>
      <c r="CQ26" s="97">
        <v>118</v>
      </c>
      <c r="CR26" s="97">
        <v>118.5</v>
      </c>
      <c r="CS26" s="97">
        <v>117</v>
      </c>
      <c r="CT26" s="97">
        <v>120</v>
      </c>
      <c r="CU26" s="97">
        <v>121</v>
      </c>
      <c r="CV26" s="97">
        <v>127</v>
      </c>
      <c r="CW26" s="97">
        <v>127</v>
      </c>
      <c r="CX26" s="97">
        <v>126.5</v>
      </c>
      <c r="CY26" s="97">
        <v>125</v>
      </c>
      <c r="CZ26" s="97">
        <v>123</v>
      </c>
      <c r="DA26" s="97">
        <v>121</v>
      </c>
      <c r="DB26" s="97">
        <v>113</v>
      </c>
      <c r="DC26" s="97">
        <v>127</v>
      </c>
      <c r="DD26" s="97">
        <v>121</v>
      </c>
      <c r="DE26" s="97">
        <v>117</v>
      </c>
      <c r="DF26" s="97">
        <v>123</v>
      </c>
      <c r="DG26" s="97">
        <f t="shared" si="2"/>
        <v>119</v>
      </c>
      <c r="DH26" s="97">
        <v>113</v>
      </c>
      <c r="DI26" s="99">
        <v>114</v>
      </c>
      <c r="DJ26" s="99">
        <f t="shared" si="3"/>
        <v>111.75</v>
      </c>
      <c r="DK26" s="97">
        <v>106</v>
      </c>
      <c r="DL26" s="97">
        <v>109</v>
      </c>
      <c r="DM26" s="97">
        <f t="shared" si="4"/>
        <v>109.5</v>
      </c>
      <c r="DN26" s="97">
        <v>114</v>
      </c>
      <c r="DO26" s="97">
        <v>107</v>
      </c>
      <c r="DP26" s="97">
        <f t="shared" si="33"/>
        <v>108.25</v>
      </c>
      <c r="DQ26" s="97">
        <v>105</v>
      </c>
      <c r="DR26" s="97">
        <v>105</v>
      </c>
      <c r="DS26" s="97">
        <f t="shared" si="6"/>
        <v>102.75</v>
      </c>
      <c r="DT26" s="97">
        <v>96</v>
      </c>
      <c r="DU26" s="97">
        <v>99</v>
      </c>
      <c r="DV26" s="97">
        <f t="shared" si="7"/>
        <v>99.75</v>
      </c>
      <c r="DW26" s="97">
        <v>105</v>
      </c>
      <c r="DX26" s="97">
        <v>105</v>
      </c>
      <c r="DY26" s="97">
        <f t="shared" si="8"/>
        <v>111.75</v>
      </c>
      <c r="DZ26" s="87">
        <v>132</v>
      </c>
      <c r="EA26" s="97">
        <v>137</v>
      </c>
      <c r="EB26" s="97">
        <f t="shared" si="9"/>
        <v>141.36250000000001</v>
      </c>
      <c r="EC26" s="54">
        <v>159.44999999999999</v>
      </c>
      <c r="ED26" s="54">
        <v>187</v>
      </c>
      <c r="EE26" s="97">
        <f t="shared" si="10"/>
        <v>199.11250000000001</v>
      </c>
      <c r="EF26" s="54">
        <v>263</v>
      </c>
      <c r="EG26" s="274">
        <v>265.13504712179997</v>
      </c>
      <c r="EH26" s="97">
        <f t="shared" si="11"/>
        <v>258.87502356089999</v>
      </c>
      <c r="EI26" s="54">
        <v>242.23</v>
      </c>
      <c r="EJ26" s="54">
        <v>250</v>
      </c>
      <c r="EK26" s="97">
        <f t="shared" si="12"/>
        <v>242.5575</v>
      </c>
      <c r="EL26" s="54">
        <v>228</v>
      </c>
      <c r="EM26" s="54">
        <v>234</v>
      </c>
      <c r="EN26" s="97">
        <f t="shared" si="13"/>
        <v>227.25</v>
      </c>
      <c r="EO26" s="54">
        <v>213</v>
      </c>
      <c r="EP26" s="54">
        <v>220</v>
      </c>
      <c r="EQ26" s="97">
        <f t="shared" si="14"/>
        <v>224.5</v>
      </c>
      <c r="ER26" s="269">
        <v>245</v>
      </c>
      <c r="ES26" s="269">
        <v>251.14</v>
      </c>
      <c r="ET26" s="97">
        <f t="shared" si="15"/>
        <v>253.82</v>
      </c>
      <c r="EU26" s="269">
        <v>268</v>
      </c>
      <c r="EV26" s="269">
        <v>270</v>
      </c>
      <c r="EW26" s="97">
        <f t="shared" si="16"/>
        <v>269.75</v>
      </c>
      <c r="EX26" s="269">
        <v>271</v>
      </c>
      <c r="EY26" s="269">
        <v>269.63</v>
      </c>
      <c r="EZ26" s="97">
        <f t="shared" si="17"/>
        <v>269.315</v>
      </c>
      <c r="FA26" s="269">
        <v>267</v>
      </c>
      <c r="FB26" s="269">
        <v>254</v>
      </c>
      <c r="FC26" s="97">
        <f t="shared" si="18"/>
        <v>258.25</v>
      </c>
      <c r="FD26" s="269">
        <v>258</v>
      </c>
      <c r="FE26" s="269">
        <v>253</v>
      </c>
      <c r="FF26" s="97">
        <f t="shared" si="19"/>
        <v>247</v>
      </c>
      <c r="FG26" s="270">
        <v>224</v>
      </c>
      <c r="FH26" s="269">
        <v>221</v>
      </c>
      <c r="FI26" s="97">
        <f t="shared" si="20"/>
        <v>222.75</v>
      </c>
      <c r="FJ26" s="269">
        <v>225</v>
      </c>
      <c r="FK26" s="269">
        <v>228</v>
      </c>
      <c r="FL26" s="97">
        <f t="shared" si="21"/>
        <v>231.75</v>
      </c>
      <c r="FM26" s="269">
        <v>246</v>
      </c>
      <c r="FN26" s="269">
        <v>253</v>
      </c>
      <c r="FO26" s="97">
        <f t="shared" si="22"/>
        <v>251.75</v>
      </c>
      <c r="FP26" s="269">
        <v>255</v>
      </c>
      <c r="FQ26" s="269">
        <v>257</v>
      </c>
      <c r="FR26" s="97">
        <f t="shared" si="23"/>
        <v>257.5</v>
      </c>
      <c r="FS26" s="269">
        <v>261</v>
      </c>
      <c r="FT26" s="269">
        <v>259</v>
      </c>
      <c r="FU26" s="97">
        <f t="shared" si="24"/>
        <v>270.5</v>
      </c>
      <c r="FV26" s="269">
        <v>303</v>
      </c>
      <c r="FW26" s="269">
        <v>322</v>
      </c>
      <c r="FX26" s="97">
        <f t="shared" si="25"/>
        <v>332.25</v>
      </c>
      <c r="FY26" s="269">
        <v>382</v>
      </c>
      <c r="FZ26" s="269">
        <v>411</v>
      </c>
      <c r="GA26" s="97">
        <f t="shared" si="26"/>
        <v>403</v>
      </c>
      <c r="GB26" s="270">
        <v>408</v>
      </c>
      <c r="GC26" s="269"/>
      <c r="GD26" s="272">
        <f t="shared" si="29"/>
        <v>408</v>
      </c>
      <c r="GE26" s="269"/>
      <c r="GF26" s="275"/>
      <c r="GG26" s="97">
        <f t="shared" si="27"/>
        <v>0</v>
      </c>
      <c r="GH26" s="105"/>
      <c r="GI26" s="105"/>
      <c r="GJ26" s="97">
        <f t="shared" si="30"/>
        <v>0</v>
      </c>
      <c r="GK26" s="105"/>
      <c r="GL26" s="105"/>
      <c r="GM26" s="97">
        <f t="shared" si="31"/>
        <v>0</v>
      </c>
      <c r="GN26" s="105"/>
      <c r="GO26" s="105"/>
      <c r="GP26" s="97">
        <f t="shared" si="32"/>
        <v>0</v>
      </c>
      <c r="GQ26" s="105"/>
      <c r="GR26" s="105"/>
    </row>
    <row r="27" spans="1:200" ht="10.5" customHeight="1" x14ac:dyDescent="0.3">
      <c r="A27" s="265">
        <f t="shared" si="28"/>
        <v>20</v>
      </c>
      <c r="B27" s="56" t="s">
        <v>1019</v>
      </c>
      <c r="C27" s="97">
        <v>28</v>
      </c>
      <c r="D27" s="97">
        <v>26</v>
      </c>
      <c r="E27" s="97">
        <v>23</v>
      </c>
      <c r="F27" s="97">
        <v>25</v>
      </c>
      <c r="G27" s="97">
        <v>45</v>
      </c>
      <c r="H27" s="97">
        <v>49</v>
      </c>
      <c r="I27" s="97">
        <v>54</v>
      </c>
      <c r="J27" s="97">
        <v>53</v>
      </c>
      <c r="K27" s="97">
        <v>51</v>
      </c>
      <c r="L27" s="97">
        <v>31</v>
      </c>
      <c r="M27" s="97">
        <v>28</v>
      </c>
      <c r="N27" s="97">
        <v>32</v>
      </c>
      <c r="O27" s="97">
        <v>31</v>
      </c>
      <c r="P27" s="97">
        <v>32</v>
      </c>
      <c r="Q27" s="97">
        <v>29</v>
      </c>
      <c r="R27" s="97">
        <v>27</v>
      </c>
      <c r="S27" s="97">
        <v>32</v>
      </c>
      <c r="T27" s="97">
        <v>38</v>
      </c>
      <c r="U27" s="97">
        <v>26</v>
      </c>
      <c r="V27" s="97">
        <v>22</v>
      </c>
      <c r="W27" s="97">
        <v>19</v>
      </c>
      <c r="X27" s="97">
        <v>23</v>
      </c>
      <c r="Y27" s="97">
        <v>28</v>
      </c>
      <c r="Z27" s="97">
        <v>27</v>
      </c>
      <c r="AA27" s="97">
        <v>29</v>
      </c>
      <c r="AB27" s="97">
        <v>32</v>
      </c>
      <c r="AC27" s="97">
        <v>27</v>
      </c>
      <c r="AD27" s="97">
        <v>27</v>
      </c>
      <c r="AE27" s="97">
        <v>29</v>
      </c>
      <c r="AF27" s="97">
        <v>28</v>
      </c>
      <c r="AG27" s="97">
        <v>31</v>
      </c>
      <c r="AH27" s="97">
        <v>32</v>
      </c>
      <c r="AI27" s="97">
        <v>32</v>
      </c>
      <c r="AJ27" s="97">
        <v>32</v>
      </c>
      <c r="AK27" s="97">
        <v>40</v>
      </c>
      <c r="AL27" s="97">
        <v>48</v>
      </c>
      <c r="AM27" s="97">
        <v>52</v>
      </c>
      <c r="AN27" s="97">
        <v>48</v>
      </c>
      <c r="AO27" s="97">
        <v>52</v>
      </c>
      <c r="AP27" s="97">
        <v>59</v>
      </c>
      <c r="AQ27" s="97">
        <v>63</v>
      </c>
      <c r="AR27" s="97">
        <v>69</v>
      </c>
      <c r="AS27" s="97">
        <v>67</v>
      </c>
      <c r="AT27" s="97">
        <v>73</v>
      </c>
      <c r="AU27" s="97">
        <v>80</v>
      </c>
      <c r="AV27" s="97">
        <v>81</v>
      </c>
      <c r="AW27" s="97">
        <v>79</v>
      </c>
      <c r="AX27" s="97">
        <v>72</v>
      </c>
      <c r="AY27" s="97">
        <v>73</v>
      </c>
      <c r="AZ27" s="97">
        <v>73</v>
      </c>
      <c r="BA27" s="97">
        <v>74</v>
      </c>
      <c r="BB27" s="97">
        <v>63</v>
      </c>
      <c r="BC27" s="97">
        <v>69</v>
      </c>
      <c r="BD27" s="97">
        <v>73</v>
      </c>
      <c r="BE27" s="97">
        <v>76</v>
      </c>
      <c r="BF27" s="97">
        <v>78</v>
      </c>
      <c r="BG27" s="97">
        <v>75</v>
      </c>
      <c r="BH27" s="97">
        <v>84</v>
      </c>
      <c r="BI27" s="97">
        <v>97</v>
      </c>
      <c r="BJ27" s="97">
        <v>107</v>
      </c>
      <c r="BK27" s="97">
        <v>103</v>
      </c>
      <c r="BL27" s="97">
        <v>100</v>
      </c>
      <c r="BM27" s="38">
        <v>121</v>
      </c>
      <c r="BN27" s="97">
        <v>167</v>
      </c>
      <c r="BO27" s="97">
        <v>204</v>
      </c>
      <c r="BP27" s="97">
        <v>220</v>
      </c>
      <c r="BQ27" s="97">
        <v>189</v>
      </c>
      <c r="BR27" s="97">
        <v>201</v>
      </c>
      <c r="BS27" s="97">
        <v>232</v>
      </c>
      <c r="BT27" s="97">
        <v>250</v>
      </c>
      <c r="BU27" s="97">
        <v>247</v>
      </c>
      <c r="BV27" s="97">
        <v>271</v>
      </c>
      <c r="BW27" s="97">
        <v>246</v>
      </c>
      <c r="BX27" s="97">
        <v>242</v>
      </c>
      <c r="BY27" s="97">
        <v>242</v>
      </c>
      <c r="BZ27" s="97">
        <v>218</v>
      </c>
      <c r="CA27" s="97">
        <v>268</v>
      </c>
      <c r="CB27" s="97">
        <v>392</v>
      </c>
      <c r="CC27" s="97">
        <v>359</v>
      </c>
      <c r="CD27" s="97">
        <v>384</v>
      </c>
      <c r="CE27" s="97">
        <v>366</v>
      </c>
      <c r="CF27" s="97">
        <v>365.5</v>
      </c>
      <c r="CG27" s="97">
        <v>346</v>
      </c>
      <c r="CH27" s="97">
        <v>375</v>
      </c>
      <c r="CI27" s="97">
        <v>354.75</v>
      </c>
      <c r="CJ27" s="97">
        <v>323</v>
      </c>
      <c r="CK27" s="97">
        <v>420</v>
      </c>
      <c r="CL27" s="97">
        <v>371.5</v>
      </c>
      <c r="CM27" s="97">
        <v>323</v>
      </c>
      <c r="CN27" s="97">
        <v>420</v>
      </c>
      <c r="CO27" s="97">
        <v>378.5</v>
      </c>
      <c r="CP27" s="97">
        <v>351</v>
      </c>
      <c r="CQ27" s="97">
        <v>324</v>
      </c>
      <c r="CR27" s="97">
        <v>333.75</v>
      </c>
      <c r="CS27" s="97">
        <v>336</v>
      </c>
      <c r="CT27" s="97">
        <v>340</v>
      </c>
      <c r="CU27" s="97">
        <v>352.25</v>
      </c>
      <c r="CV27" s="97">
        <v>393</v>
      </c>
      <c r="CW27" s="97">
        <v>400</v>
      </c>
      <c r="CX27" s="97">
        <v>399.25</v>
      </c>
      <c r="CY27" s="97">
        <v>404</v>
      </c>
      <c r="CZ27" s="97">
        <v>398</v>
      </c>
      <c r="DA27" s="97">
        <v>401.75</v>
      </c>
      <c r="DB27" s="97">
        <v>407</v>
      </c>
      <c r="DC27" s="97">
        <v>394</v>
      </c>
      <c r="DD27" s="97">
        <v>404.5</v>
      </c>
      <c r="DE27" s="97">
        <v>423</v>
      </c>
      <c r="DF27" s="97">
        <v>423</v>
      </c>
      <c r="DG27" s="97">
        <f t="shared" si="2"/>
        <v>420.25</v>
      </c>
      <c r="DH27" s="97">
        <v>412</v>
      </c>
      <c r="DI27" s="99">
        <v>335</v>
      </c>
      <c r="DJ27" s="99">
        <f t="shared" si="3"/>
        <v>354.25</v>
      </c>
      <c r="DK27" s="97">
        <v>335</v>
      </c>
      <c r="DL27" s="97">
        <v>419</v>
      </c>
      <c r="DM27" s="97">
        <f t="shared" si="4"/>
        <v>398</v>
      </c>
      <c r="DN27" s="97">
        <v>419</v>
      </c>
      <c r="DO27" s="97">
        <v>428</v>
      </c>
      <c r="DP27" s="97">
        <f t="shared" si="33"/>
        <v>425.75</v>
      </c>
      <c r="DQ27" s="97">
        <v>428</v>
      </c>
      <c r="DR27" s="97">
        <v>402</v>
      </c>
      <c r="DS27" s="97">
        <f t="shared" si="6"/>
        <v>408.5</v>
      </c>
      <c r="DT27" s="97">
        <v>402</v>
      </c>
      <c r="DU27" s="97">
        <v>402</v>
      </c>
      <c r="DV27" s="97">
        <f t="shared" si="7"/>
        <v>404</v>
      </c>
      <c r="DW27" s="97">
        <v>410</v>
      </c>
      <c r="DX27" s="97">
        <v>463</v>
      </c>
      <c r="DY27" s="97">
        <f t="shared" si="8"/>
        <v>456.75</v>
      </c>
      <c r="DZ27" s="87">
        <v>491</v>
      </c>
      <c r="EA27" s="97">
        <v>540</v>
      </c>
      <c r="EB27" s="97">
        <f t="shared" si="9"/>
        <v>551.08500000000004</v>
      </c>
      <c r="EC27" s="54">
        <v>633.34</v>
      </c>
      <c r="ED27" s="54">
        <v>698</v>
      </c>
      <c r="EE27" s="97">
        <f t="shared" si="10"/>
        <v>692.83500000000004</v>
      </c>
      <c r="EF27" s="54">
        <v>742</v>
      </c>
      <c r="EG27" s="274">
        <v>769.62542663999989</v>
      </c>
      <c r="EH27" s="97">
        <f t="shared" si="11"/>
        <v>785.43021331999989</v>
      </c>
      <c r="EI27" s="54">
        <v>860.47</v>
      </c>
      <c r="EJ27" s="54">
        <v>985</v>
      </c>
      <c r="EK27" s="97">
        <f t="shared" si="12"/>
        <v>953.86750000000006</v>
      </c>
      <c r="EL27" s="54">
        <v>985</v>
      </c>
      <c r="EM27" s="54">
        <v>553</v>
      </c>
      <c r="EN27" s="97">
        <f t="shared" si="13"/>
        <v>697.75</v>
      </c>
      <c r="EO27" s="54">
        <v>700</v>
      </c>
      <c r="EP27" s="54">
        <v>714</v>
      </c>
      <c r="EQ27" s="97">
        <f t="shared" si="14"/>
        <v>700.75</v>
      </c>
      <c r="ER27" s="269">
        <v>675</v>
      </c>
      <c r="ES27" s="269">
        <v>781.9</v>
      </c>
      <c r="ET27" s="97">
        <f t="shared" si="15"/>
        <v>722.2</v>
      </c>
      <c r="EU27" s="269">
        <v>650</v>
      </c>
      <c r="EV27" s="269">
        <v>659</v>
      </c>
      <c r="EW27" s="97">
        <f t="shared" si="16"/>
        <v>667.25</v>
      </c>
      <c r="EX27" s="269">
        <v>701</v>
      </c>
      <c r="EY27" s="269">
        <v>728.9</v>
      </c>
      <c r="EZ27" s="97">
        <f t="shared" si="17"/>
        <v>721.95</v>
      </c>
      <c r="FA27" s="269">
        <v>729</v>
      </c>
      <c r="FB27" s="269">
        <v>740</v>
      </c>
      <c r="FC27" s="97">
        <f t="shared" si="18"/>
        <v>738</v>
      </c>
      <c r="FD27" s="269">
        <v>743</v>
      </c>
      <c r="FE27" s="269">
        <v>743</v>
      </c>
      <c r="FF27" s="97">
        <f t="shared" si="19"/>
        <v>751.5</v>
      </c>
      <c r="FG27" s="270">
        <v>777</v>
      </c>
      <c r="FH27" s="269">
        <v>777</v>
      </c>
      <c r="FI27" s="97">
        <f t="shared" si="20"/>
        <v>767.75</v>
      </c>
      <c r="FJ27" s="269">
        <v>740</v>
      </c>
      <c r="FK27" s="269">
        <v>740</v>
      </c>
      <c r="FL27" s="97">
        <f t="shared" si="21"/>
        <v>764.5</v>
      </c>
      <c r="FM27" s="269">
        <v>838</v>
      </c>
      <c r="FN27" s="269">
        <v>838</v>
      </c>
      <c r="FO27" s="97">
        <f t="shared" si="22"/>
        <v>849.75</v>
      </c>
      <c r="FP27" s="269">
        <v>885</v>
      </c>
      <c r="FQ27" s="269">
        <v>885</v>
      </c>
      <c r="FR27" s="97">
        <f t="shared" si="23"/>
        <v>893.5</v>
      </c>
      <c r="FS27" s="269">
        <v>919</v>
      </c>
      <c r="FT27" s="269">
        <v>919</v>
      </c>
      <c r="FU27" s="97">
        <f t="shared" si="24"/>
        <v>810</v>
      </c>
      <c r="FV27" s="269">
        <v>483</v>
      </c>
      <c r="FW27" s="269">
        <v>483</v>
      </c>
      <c r="FX27" s="97">
        <f t="shared" si="25"/>
        <v>513.5</v>
      </c>
      <c r="FY27" s="269">
        <v>605</v>
      </c>
      <c r="FZ27" s="269">
        <v>605</v>
      </c>
      <c r="GA27" s="97">
        <f t="shared" si="26"/>
        <v>779.75</v>
      </c>
      <c r="GB27" s="270">
        <v>1304</v>
      </c>
      <c r="GC27" s="269"/>
      <c r="GD27" s="272">
        <f t="shared" si="29"/>
        <v>1304</v>
      </c>
      <c r="GE27" s="269"/>
      <c r="GF27" s="275"/>
      <c r="GG27" s="97">
        <f t="shared" si="27"/>
        <v>0</v>
      </c>
      <c r="GH27" s="105"/>
      <c r="GI27" s="105"/>
      <c r="GJ27" s="97"/>
      <c r="GK27" s="105"/>
      <c r="GL27" s="105"/>
      <c r="GM27" s="97"/>
      <c r="GN27" s="105"/>
      <c r="GO27" s="105"/>
      <c r="GP27" s="97"/>
      <c r="GQ27" s="105"/>
      <c r="GR27" s="105"/>
    </row>
    <row r="28" spans="1:200" ht="10.5" customHeight="1" x14ac:dyDescent="0.3">
      <c r="A28" s="265">
        <f t="shared" si="28"/>
        <v>21</v>
      </c>
      <c r="B28" s="56" t="s">
        <v>1020</v>
      </c>
      <c r="C28" s="97">
        <v>15</v>
      </c>
      <c r="D28" s="97">
        <v>13</v>
      </c>
      <c r="E28" s="97">
        <v>12</v>
      </c>
      <c r="F28" s="97">
        <v>12</v>
      </c>
      <c r="G28" s="97">
        <v>19</v>
      </c>
      <c r="H28" s="97">
        <v>22</v>
      </c>
      <c r="I28" s="97">
        <v>25</v>
      </c>
      <c r="J28" s="97">
        <v>27</v>
      </c>
      <c r="K28" s="97">
        <v>26</v>
      </c>
      <c r="L28" s="97">
        <v>21</v>
      </c>
      <c r="M28" s="97">
        <v>21</v>
      </c>
      <c r="N28" s="97">
        <v>26</v>
      </c>
      <c r="O28" s="97">
        <v>23</v>
      </c>
      <c r="P28" s="97">
        <v>23</v>
      </c>
      <c r="Q28" s="97">
        <v>22</v>
      </c>
      <c r="R28" s="97">
        <v>21</v>
      </c>
      <c r="S28" s="97">
        <v>23</v>
      </c>
      <c r="T28" s="97">
        <v>27</v>
      </c>
      <c r="U28" s="97">
        <v>20</v>
      </c>
      <c r="V28" s="97">
        <v>19</v>
      </c>
      <c r="W28" s="97">
        <v>19</v>
      </c>
      <c r="X28" s="97">
        <v>21</v>
      </c>
      <c r="Y28" s="97">
        <v>23</v>
      </c>
      <c r="Z28" s="97">
        <v>23</v>
      </c>
      <c r="AA28" s="97">
        <v>25</v>
      </c>
      <c r="AB28" s="97">
        <v>27</v>
      </c>
      <c r="AC28" s="97">
        <v>24</v>
      </c>
      <c r="AD28" s="97">
        <v>24</v>
      </c>
      <c r="AE28" s="97">
        <v>25</v>
      </c>
      <c r="AF28" s="97">
        <v>29</v>
      </c>
      <c r="AG28" s="97">
        <v>30</v>
      </c>
      <c r="AH28" s="97">
        <v>29</v>
      </c>
      <c r="AI28" s="97">
        <v>28</v>
      </c>
      <c r="AJ28" s="97">
        <v>28</v>
      </c>
      <c r="AK28" s="97">
        <v>34</v>
      </c>
      <c r="AL28" s="97">
        <v>41</v>
      </c>
      <c r="AM28" s="97">
        <v>50</v>
      </c>
      <c r="AN28" s="97">
        <v>56</v>
      </c>
      <c r="AO28" s="97">
        <v>56</v>
      </c>
      <c r="AP28" s="97">
        <v>59</v>
      </c>
      <c r="AQ28" s="97">
        <v>61</v>
      </c>
      <c r="AR28" s="97">
        <v>59</v>
      </c>
      <c r="AS28" s="97">
        <v>60</v>
      </c>
      <c r="AT28" s="97">
        <v>65</v>
      </c>
      <c r="AU28" s="97">
        <v>72</v>
      </c>
      <c r="AV28" s="97">
        <v>65</v>
      </c>
      <c r="AW28" s="97">
        <v>63</v>
      </c>
      <c r="AX28" s="97">
        <v>65</v>
      </c>
      <c r="AY28" s="97">
        <v>66</v>
      </c>
      <c r="AZ28" s="97">
        <v>64</v>
      </c>
      <c r="BA28" s="97">
        <v>63</v>
      </c>
      <c r="BB28" s="97">
        <v>63</v>
      </c>
      <c r="BC28" s="97">
        <v>69</v>
      </c>
      <c r="BD28" s="97">
        <v>77</v>
      </c>
      <c r="BE28" s="97">
        <v>77</v>
      </c>
      <c r="BF28" s="97">
        <v>79</v>
      </c>
      <c r="BG28" s="97">
        <v>76</v>
      </c>
      <c r="BH28" s="97">
        <v>82</v>
      </c>
      <c r="BI28" s="97">
        <v>86</v>
      </c>
      <c r="BJ28" s="97">
        <v>83</v>
      </c>
      <c r="BK28" s="97">
        <v>89</v>
      </c>
      <c r="BL28" s="97">
        <v>100</v>
      </c>
      <c r="BM28" s="38">
        <v>149</v>
      </c>
      <c r="BN28" s="97">
        <v>142</v>
      </c>
      <c r="BO28" s="97">
        <v>142</v>
      </c>
      <c r="BP28" s="97">
        <v>154</v>
      </c>
      <c r="BQ28" s="97">
        <v>148</v>
      </c>
      <c r="BR28" s="97">
        <v>188</v>
      </c>
      <c r="BS28" s="97">
        <v>238</v>
      </c>
      <c r="BT28" s="97">
        <v>259</v>
      </c>
      <c r="BU28" s="97">
        <v>270</v>
      </c>
      <c r="BV28" s="97">
        <v>268</v>
      </c>
      <c r="BW28" s="97">
        <v>256</v>
      </c>
      <c r="BX28" s="97">
        <v>242</v>
      </c>
      <c r="BY28" s="97">
        <v>277</v>
      </c>
      <c r="BZ28" s="97">
        <v>281</v>
      </c>
      <c r="CA28" s="97">
        <v>275</v>
      </c>
      <c r="CB28" s="97">
        <v>311</v>
      </c>
      <c r="CC28" s="97">
        <v>297.5</v>
      </c>
      <c r="CD28" s="97">
        <v>293</v>
      </c>
      <c r="CE28" s="97">
        <v>327</v>
      </c>
      <c r="CF28" s="97">
        <v>328</v>
      </c>
      <c r="CG28" s="97">
        <v>365</v>
      </c>
      <c r="CH28" s="97">
        <v>406</v>
      </c>
      <c r="CI28" s="97">
        <v>405.25</v>
      </c>
      <c r="CJ28" s="97">
        <v>444</v>
      </c>
      <c r="CK28" s="97">
        <v>477</v>
      </c>
      <c r="CL28" s="97">
        <v>460.5</v>
      </c>
      <c r="CM28" s="97">
        <v>444</v>
      </c>
      <c r="CN28" s="97">
        <v>477</v>
      </c>
      <c r="CO28" s="97">
        <v>468.75</v>
      </c>
      <c r="CP28" s="97">
        <v>477</v>
      </c>
      <c r="CQ28" s="97">
        <v>477</v>
      </c>
      <c r="CR28" s="97">
        <v>477</v>
      </c>
      <c r="CS28" s="97">
        <v>477</v>
      </c>
      <c r="CT28" s="97">
        <v>477</v>
      </c>
      <c r="CU28" s="97">
        <v>477</v>
      </c>
      <c r="CV28" s="97">
        <v>477</v>
      </c>
      <c r="CW28" s="97">
        <v>487</v>
      </c>
      <c r="CX28" s="97">
        <v>484.5</v>
      </c>
      <c r="CY28" s="97">
        <v>487</v>
      </c>
      <c r="CZ28" s="97">
        <v>487</v>
      </c>
      <c r="DA28" s="97">
        <v>487</v>
      </c>
      <c r="DB28" s="97">
        <v>487</v>
      </c>
      <c r="DC28" s="97">
        <v>487</v>
      </c>
      <c r="DD28" s="97">
        <v>487</v>
      </c>
      <c r="DE28" s="97">
        <v>487</v>
      </c>
      <c r="DF28" s="97">
        <v>487</v>
      </c>
      <c r="DG28" s="97">
        <f t="shared" si="2"/>
        <v>487</v>
      </c>
      <c r="DH28" s="97">
        <v>487</v>
      </c>
      <c r="DI28" s="99">
        <v>503</v>
      </c>
      <c r="DJ28" s="99">
        <f t="shared" si="3"/>
        <v>493.25</v>
      </c>
      <c r="DK28" s="97">
        <v>480</v>
      </c>
      <c r="DL28" s="97">
        <v>482</v>
      </c>
      <c r="DM28" s="97">
        <f t="shared" si="4"/>
        <v>484.75</v>
      </c>
      <c r="DN28" s="97">
        <v>495</v>
      </c>
      <c r="DO28" s="97">
        <v>459</v>
      </c>
      <c r="DP28" s="97">
        <f t="shared" si="33"/>
        <v>468</v>
      </c>
      <c r="DQ28" s="97">
        <v>459</v>
      </c>
      <c r="DR28" s="97">
        <v>462</v>
      </c>
      <c r="DS28" s="97">
        <f t="shared" si="6"/>
        <v>461.25</v>
      </c>
      <c r="DT28" s="97">
        <v>462</v>
      </c>
      <c r="DU28" s="97">
        <v>462</v>
      </c>
      <c r="DV28" s="97">
        <f t="shared" si="7"/>
        <v>462</v>
      </c>
      <c r="DW28" s="97">
        <v>462</v>
      </c>
      <c r="DX28" s="97">
        <v>539</v>
      </c>
      <c r="DY28" s="97">
        <f t="shared" si="8"/>
        <v>519</v>
      </c>
      <c r="DZ28" s="87">
        <v>536</v>
      </c>
      <c r="EA28" s="97">
        <v>559</v>
      </c>
      <c r="EB28" s="97">
        <f t="shared" si="9"/>
        <v>567.14250000000004</v>
      </c>
      <c r="EC28" s="54">
        <v>614.57000000000005</v>
      </c>
      <c r="ED28" s="54">
        <v>615</v>
      </c>
      <c r="EE28" s="97">
        <f t="shared" si="10"/>
        <v>614.89250000000004</v>
      </c>
      <c r="EF28" s="54">
        <v>615</v>
      </c>
      <c r="EG28" s="274">
        <v>614.57295859527005</v>
      </c>
      <c r="EH28" s="97">
        <f t="shared" si="11"/>
        <v>680.22147929763503</v>
      </c>
      <c r="EI28" s="54">
        <v>876.74</v>
      </c>
      <c r="EJ28" s="54">
        <v>927</v>
      </c>
      <c r="EK28" s="97">
        <f t="shared" si="12"/>
        <v>912.43499999999995</v>
      </c>
      <c r="EL28" s="54">
        <v>919</v>
      </c>
      <c r="EM28" s="54">
        <v>929</v>
      </c>
      <c r="EN28" s="97">
        <f t="shared" si="13"/>
        <v>920.75</v>
      </c>
      <c r="EO28" s="54">
        <v>906</v>
      </c>
      <c r="EP28" s="54">
        <v>885</v>
      </c>
      <c r="EQ28" s="97">
        <f t="shared" si="14"/>
        <v>912.25</v>
      </c>
      <c r="ER28" s="269">
        <v>973</v>
      </c>
      <c r="ES28" s="269">
        <v>970.95</v>
      </c>
      <c r="ET28" s="97">
        <f t="shared" si="15"/>
        <v>972.97500000000002</v>
      </c>
      <c r="EU28" s="269">
        <v>977</v>
      </c>
      <c r="EV28" s="269">
        <v>1016</v>
      </c>
      <c r="EW28" s="97">
        <f t="shared" si="16"/>
        <v>1008.75</v>
      </c>
      <c r="EX28" s="269">
        <v>1026</v>
      </c>
      <c r="EY28" s="269">
        <v>1051.6500000000001</v>
      </c>
      <c r="EZ28" s="97">
        <f t="shared" si="17"/>
        <v>1053.075</v>
      </c>
      <c r="FA28" s="269">
        <v>1083</v>
      </c>
      <c r="FB28" s="269">
        <v>1093</v>
      </c>
      <c r="FC28" s="97">
        <f t="shared" si="18"/>
        <v>1091</v>
      </c>
      <c r="FD28" s="269">
        <v>1095</v>
      </c>
      <c r="FE28" s="269">
        <v>1103</v>
      </c>
      <c r="FF28" s="97">
        <f t="shared" si="19"/>
        <v>1102.25</v>
      </c>
      <c r="FG28" s="270">
        <v>1108</v>
      </c>
      <c r="FH28" s="269">
        <v>1108</v>
      </c>
      <c r="FI28" s="97">
        <f t="shared" si="20"/>
        <v>1109.25</v>
      </c>
      <c r="FJ28" s="269">
        <v>1113</v>
      </c>
      <c r="FK28" s="269">
        <v>1180</v>
      </c>
      <c r="FL28" s="97">
        <f t="shared" si="21"/>
        <v>1181.25</v>
      </c>
      <c r="FM28" s="269">
        <v>1252</v>
      </c>
      <c r="FN28" s="269">
        <v>1271</v>
      </c>
      <c r="FO28" s="97">
        <f t="shared" si="22"/>
        <v>1280.75</v>
      </c>
      <c r="FP28" s="269">
        <v>1329</v>
      </c>
      <c r="FQ28" s="269">
        <v>1329</v>
      </c>
      <c r="FR28" s="97">
        <f t="shared" si="23"/>
        <v>1331.5</v>
      </c>
      <c r="FS28" s="269">
        <v>1339</v>
      </c>
      <c r="FT28" s="269">
        <v>1385</v>
      </c>
      <c r="FU28" s="97">
        <f t="shared" si="24"/>
        <v>1386</v>
      </c>
      <c r="FV28" s="269">
        <v>1435</v>
      </c>
      <c r="FW28" s="269">
        <v>1613</v>
      </c>
      <c r="FX28" s="97">
        <f t="shared" si="25"/>
        <v>1640.75</v>
      </c>
      <c r="FY28" s="269">
        <v>1902</v>
      </c>
      <c r="FZ28" s="269">
        <v>1864</v>
      </c>
      <c r="GA28" s="97">
        <f t="shared" si="26"/>
        <v>1991</v>
      </c>
      <c r="GB28" s="270">
        <v>2334</v>
      </c>
      <c r="GC28" s="269"/>
      <c r="GD28" s="272">
        <f t="shared" si="29"/>
        <v>2334</v>
      </c>
      <c r="GE28" s="269"/>
      <c r="GF28" s="275"/>
      <c r="GG28" s="97">
        <f t="shared" si="27"/>
        <v>0</v>
      </c>
      <c r="GH28" s="105"/>
      <c r="GI28" s="105"/>
      <c r="GJ28" s="97"/>
      <c r="GK28" s="105"/>
      <c r="GL28" s="105"/>
      <c r="GM28" s="97"/>
      <c r="GN28" s="105"/>
      <c r="GO28" s="105"/>
      <c r="GP28" s="97"/>
      <c r="GQ28" s="105"/>
      <c r="GR28" s="105"/>
    </row>
    <row r="29" spans="1:200" ht="10.5" customHeight="1" x14ac:dyDescent="0.3">
      <c r="A29" s="265">
        <f t="shared" si="28"/>
        <v>22</v>
      </c>
      <c r="B29" s="56" t="s">
        <v>1021</v>
      </c>
      <c r="C29" s="97">
        <v>25</v>
      </c>
      <c r="D29" s="97">
        <v>23</v>
      </c>
      <c r="E29" s="97">
        <v>20</v>
      </c>
      <c r="F29" s="97">
        <v>23</v>
      </c>
      <c r="G29" s="97">
        <v>40</v>
      </c>
      <c r="H29" s="97">
        <v>43</v>
      </c>
      <c r="I29" s="97">
        <v>48</v>
      </c>
      <c r="J29" s="97">
        <v>47</v>
      </c>
      <c r="K29" s="97">
        <v>45</v>
      </c>
      <c r="L29" s="97">
        <v>28</v>
      </c>
      <c r="M29" s="97">
        <v>25</v>
      </c>
      <c r="N29" s="97">
        <v>28</v>
      </c>
      <c r="O29" s="97">
        <v>28</v>
      </c>
      <c r="P29" s="97">
        <v>29</v>
      </c>
      <c r="Q29" s="97">
        <v>26</v>
      </c>
      <c r="R29" s="97">
        <v>24</v>
      </c>
      <c r="S29" s="97">
        <v>28</v>
      </c>
      <c r="T29" s="97">
        <v>34</v>
      </c>
      <c r="U29" s="97">
        <v>23</v>
      </c>
      <c r="V29" s="97">
        <v>19</v>
      </c>
      <c r="W29" s="97">
        <v>17</v>
      </c>
      <c r="X29" s="97">
        <v>20</v>
      </c>
      <c r="Y29" s="97">
        <v>25</v>
      </c>
      <c r="Z29" s="97">
        <v>24</v>
      </c>
      <c r="AA29" s="97">
        <v>26</v>
      </c>
      <c r="AB29" s="97">
        <v>28</v>
      </c>
      <c r="AC29" s="97">
        <v>24</v>
      </c>
      <c r="AD29" s="97">
        <v>24</v>
      </c>
      <c r="AE29" s="97">
        <v>26</v>
      </c>
      <c r="AF29" s="97">
        <v>25</v>
      </c>
      <c r="AG29" s="97">
        <v>27</v>
      </c>
      <c r="AH29" s="97">
        <v>28</v>
      </c>
      <c r="AI29" s="97">
        <v>28</v>
      </c>
      <c r="AJ29" s="97">
        <v>28</v>
      </c>
      <c r="AK29" s="97">
        <v>35</v>
      </c>
      <c r="AL29" s="97">
        <v>43</v>
      </c>
      <c r="AM29" s="97">
        <v>46</v>
      </c>
      <c r="AN29" s="97">
        <v>43</v>
      </c>
      <c r="AO29" s="97">
        <v>46</v>
      </c>
      <c r="AP29" s="97">
        <v>52</v>
      </c>
      <c r="AQ29" s="97">
        <v>56</v>
      </c>
      <c r="AR29" s="97">
        <v>61</v>
      </c>
      <c r="AS29" s="97">
        <v>59</v>
      </c>
      <c r="AT29" s="97">
        <v>67</v>
      </c>
      <c r="AU29" s="97">
        <v>72</v>
      </c>
      <c r="AV29" s="97">
        <v>63</v>
      </c>
      <c r="AW29" s="97">
        <v>58</v>
      </c>
      <c r="AX29" s="97">
        <v>63</v>
      </c>
      <c r="AY29" s="97">
        <v>64</v>
      </c>
      <c r="AZ29" s="97">
        <v>62</v>
      </c>
      <c r="BA29" s="97">
        <v>62</v>
      </c>
      <c r="BB29" s="97">
        <v>62</v>
      </c>
      <c r="BC29" s="97">
        <v>64</v>
      </c>
      <c r="BD29" s="97">
        <v>71</v>
      </c>
      <c r="BE29" s="97">
        <v>75</v>
      </c>
      <c r="BF29" s="97">
        <v>78</v>
      </c>
      <c r="BG29" s="97">
        <v>75</v>
      </c>
      <c r="BH29" s="97">
        <v>84</v>
      </c>
      <c r="BI29" s="97">
        <v>97</v>
      </c>
      <c r="BJ29" s="97">
        <v>107</v>
      </c>
      <c r="BK29" s="97">
        <v>102</v>
      </c>
      <c r="BL29" s="97">
        <v>100</v>
      </c>
      <c r="BM29" s="38">
        <v>121</v>
      </c>
      <c r="BN29" s="97">
        <v>166</v>
      </c>
      <c r="BO29" s="97">
        <v>203</v>
      </c>
      <c r="BP29" s="97">
        <v>220</v>
      </c>
      <c r="BQ29" s="97">
        <v>192</v>
      </c>
      <c r="BR29" s="97">
        <v>210</v>
      </c>
      <c r="BS29" s="97">
        <v>246</v>
      </c>
      <c r="BT29" s="97">
        <v>257</v>
      </c>
      <c r="BU29" s="97">
        <v>252</v>
      </c>
      <c r="BV29" s="97">
        <v>266</v>
      </c>
      <c r="BW29" s="97">
        <v>259</v>
      </c>
      <c r="BX29" s="97">
        <v>249</v>
      </c>
      <c r="BY29" s="97">
        <v>244</v>
      </c>
      <c r="BZ29" s="97">
        <v>229</v>
      </c>
      <c r="CA29" s="97">
        <v>270</v>
      </c>
      <c r="CB29" s="97">
        <v>373</v>
      </c>
      <c r="CC29" s="97">
        <v>348.75</v>
      </c>
      <c r="CD29" s="97">
        <v>379</v>
      </c>
      <c r="CE29" s="97">
        <v>368</v>
      </c>
      <c r="CF29" s="97">
        <v>365.5</v>
      </c>
      <c r="CG29" s="97">
        <v>347</v>
      </c>
      <c r="CH29" s="97">
        <v>370</v>
      </c>
      <c r="CI29" s="97">
        <v>353.5</v>
      </c>
      <c r="CJ29" s="97">
        <v>327</v>
      </c>
      <c r="CK29" s="97">
        <v>399</v>
      </c>
      <c r="CL29" s="97">
        <v>363</v>
      </c>
      <c r="CM29" s="97">
        <v>327</v>
      </c>
      <c r="CN29" s="97">
        <v>399</v>
      </c>
      <c r="CO29" s="97">
        <v>366</v>
      </c>
      <c r="CP29" s="97">
        <v>339</v>
      </c>
      <c r="CQ29" s="97">
        <v>313</v>
      </c>
      <c r="CR29" s="97">
        <v>322.25</v>
      </c>
      <c r="CS29" s="97">
        <v>324</v>
      </c>
      <c r="CT29" s="97">
        <v>331</v>
      </c>
      <c r="CU29" s="97">
        <v>340.75</v>
      </c>
      <c r="CV29" s="97">
        <v>377</v>
      </c>
      <c r="CW29" s="97">
        <v>387</v>
      </c>
      <c r="CX29" s="97">
        <v>385.75</v>
      </c>
      <c r="CY29" s="97">
        <v>392</v>
      </c>
      <c r="CZ29" s="97">
        <v>382</v>
      </c>
      <c r="DA29" s="97">
        <v>386</v>
      </c>
      <c r="DB29" s="97">
        <v>388</v>
      </c>
      <c r="DC29" s="97">
        <v>378</v>
      </c>
      <c r="DD29" s="97">
        <v>386.5</v>
      </c>
      <c r="DE29" s="97">
        <v>402</v>
      </c>
      <c r="DF29" s="97">
        <v>402</v>
      </c>
      <c r="DG29" s="97">
        <f t="shared" si="2"/>
        <v>398.5</v>
      </c>
      <c r="DH29" s="97">
        <v>388</v>
      </c>
      <c r="DI29" s="99">
        <v>330</v>
      </c>
      <c r="DJ29" s="99">
        <f t="shared" si="3"/>
        <v>344.75</v>
      </c>
      <c r="DK29" s="97">
        <v>331</v>
      </c>
      <c r="DL29" s="97">
        <v>397</v>
      </c>
      <c r="DM29" s="97">
        <f t="shared" si="4"/>
        <v>380.75</v>
      </c>
      <c r="DN29" s="97">
        <v>398</v>
      </c>
      <c r="DO29" s="97">
        <v>405</v>
      </c>
      <c r="DP29" s="97">
        <f t="shared" si="33"/>
        <v>403.25</v>
      </c>
      <c r="DQ29" s="97">
        <v>405</v>
      </c>
      <c r="DR29" s="97">
        <v>382</v>
      </c>
      <c r="DS29" s="97">
        <f t="shared" si="6"/>
        <v>388.25</v>
      </c>
      <c r="DT29" s="97">
        <v>384</v>
      </c>
      <c r="DU29" s="97">
        <v>385</v>
      </c>
      <c r="DV29" s="97">
        <f t="shared" si="7"/>
        <v>387.25</v>
      </c>
      <c r="DW29" s="97">
        <v>395</v>
      </c>
      <c r="DX29" s="97">
        <v>443</v>
      </c>
      <c r="DY29" s="97">
        <f t="shared" si="8"/>
        <v>437</v>
      </c>
      <c r="DZ29" s="87">
        <v>467</v>
      </c>
      <c r="EA29" s="97">
        <v>515</v>
      </c>
      <c r="EB29" s="97">
        <f t="shared" si="9"/>
        <v>524.31999999999994</v>
      </c>
      <c r="EC29" s="54">
        <v>600.28</v>
      </c>
      <c r="ED29" s="54">
        <v>648</v>
      </c>
      <c r="EE29" s="97">
        <f t="shared" si="10"/>
        <v>647.06999999999994</v>
      </c>
      <c r="EF29" s="54">
        <v>692</v>
      </c>
      <c r="EG29" s="274">
        <v>715.1959119748667</v>
      </c>
      <c r="EH29" s="97">
        <f t="shared" si="11"/>
        <v>728.89295598743331</v>
      </c>
      <c r="EI29" s="54">
        <v>793.18</v>
      </c>
      <c r="EJ29" s="54">
        <v>898</v>
      </c>
      <c r="EK29" s="97">
        <f t="shared" si="12"/>
        <v>871.79499999999996</v>
      </c>
      <c r="EL29" s="54">
        <v>898</v>
      </c>
      <c r="EM29" s="54">
        <v>539</v>
      </c>
      <c r="EN29" s="97">
        <f t="shared" si="13"/>
        <v>659.25</v>
      </c>
      <c r="EO29" s="54">
        <v>661</v>
      </c>
      <c r="EP29" s="54">
        <v>682</v>
      </c>
      <c r="EQ29" s="97">
        <f t="shared" si="14"/>
        <v>674.25</v>
      </c>
      <c r="ER29" s="269">
        <v>672</v>
      </c>
      <c r="ES29" s="269">
        <v>771.76</v>
      </c>
      <c r="ET29" s="97">
        <f t="shared" si="15"/>
        <v>715.63</v>
      </c>
      <c r="EU29" s="269">
        <v>647</v>
      </c>
      <c r="EV29" s="269">
        <v>656</v>
      </c>
      <c r="EW29" s="97">
        <f t="shared" si="16"/>
        <v>661.25</v>
      </c>
      <c r="EX29" s="269">
        <v>686</v>
      </c>
      <c r="EY29" s="269">
        <v>709.84</v>
      </c>
      <c r="EZ29" s="97">
        <f t="shared" si="17"/>
        <v>705.42000000000007</v>
      </c>
      <c r="FA29" s="269">
        <v>716</v>
      </c>
      <c r="FB29" s="269">
        <v>735</v>
      </c>
      <c r="FC29" s="97">
        <f t="shared" si="18"/>
        <v>733.25</v>
      </c>
      <c r="FD29" s="269">
        <v>747</v>
      </c>
      <c r="FE29" s="269">
        <v>750</v>
      </c>
      <c r="FF29" s="97">
        <f t="shared" si="19"/>
        <v>753.75</v>
      </c>
      <c r="FG29" s="270">
        <v>768</v>
      </c>
      <c r="FH29" s="269">
        <v>768</v>
      </c>
      <c r="FI29" s="97">
        <f t="shared" si="20"/>
        <v>761.25</v>
      </c>
      <c r="FJ29" s="269">
        <v>741</v>
      </c>
      <c r="FK29" s="269">
        <v>745</v>
      </c>
      <c r="FL29" s="97">
        <f t="shared" si="21"/>
        <v>754</v>
      </c>
      <c r="FM29" s="269">
        <v>785</v>
      </c>
      <c r="FN29" s="269">
        <v>801</v>
      </c>
      <c r="FO29" s="97">
        <f t="shared" si="22"/>
        <v>801.25</v>
      </c>
      <c r="FP29" s="269">
        <v>818</v>
      </c>
      <c r="FQ29" s="269">
        <v>834</v>
      </c>
      <c r="FR29" s="97">
        <f t="shared" si="23"/>
        <v>838.5</v>
      </c>
      <c r="FS29" s="269">
        <v>868</v>
      </c>
      <c r="FT29" s="269">
        <v>868</v>
      </c>
      <c r="FU29" s="97">
        <f t="shared" si="24"/>
        <v>785.75</v>
      </c>
      <c r="FV29" s="269">
        <v>539</v>
      </c>
      <c r="FW29" s="269">
        <v>540</v>
      </c>
      <c r="FX29" s="97">
        <f t="shared" si="25"/>
        <v>561.75</v>
      </c>
      <c r="FY29" s="269">
        <v>628</v>
      </c>
      <c r="FZ29" s="269">
        <v>630</v>
      </c>
      <c r="GA29" s="97">
        <f t="shared" si="26"/>
        <v>814.25</v>
      </c>
      <c r="GB29" s="270">
        <v>1369</v>
      </c>
      <c r="GC29" s="269"/>
      <c r="GD29" s="272">
        <f t="shared" si="29"/>
        <v>1369</v>
      </c>
      <c r="GE29" s="269"/>
      <c r="GF29" s="275"/>
      <c r="GG29" s="97">
        <f t="shared" si="27"/>
        <v>0</v>
      </c>
      <c r="GH29" s="105"/>
      <c r="GI29" s="105"/>
      <c r="GJ29" s="97">
        <f t="shared" si="30"/>
        <v>0</v>
      </c>
      <c r="GK29" s="105"/>
      <c r="GL29" s="105"/>
      <c r="GM29" s="97">
        <f t="shared" si="31"/>
        <v>0</v>
      </c>
      <c r="GN29" s="105"/>
      <c r="GO29" s="105"/>
      <c r="GP29" s="97">
        <f t="shared" si="32"/>
        <v>0</v>
      </c>
      <c r="GQ29" s="105"/>
      <c r="GR29" s="105"/>
    </row>
    <row r="30" spans="1:200" ht="10.5" customHeight="1" x14ac:dyDescent="0.3">
      <c r="A30" s="265">
        <f t="shared" si="28"/>
        <v>23</v>
      </c>
      <c r="B30" s="56" t="s">
        <v>1022</v>
      </c>
      <c r="C30" s="97">
        <v>16</v>
      </c>
      <c r="D30" s="97">
        <v>15</v>
      </c>
      <c r="E30" s="97">
        <v>14</v>
      </c>
      <c r="F30" s="97">
        <v>14</v>
      </c>
      <c r="G30" s="97">
        <v>22</v>
      </c>
      <c r="H30" s="97">
        <v>25</v>
      </c>
      <c r="I30" s="97">
        <v>28</v>
      </c>
      <c r="J30" s="97">
        <v>30</v>
      </c>
      <c r="K30" s="97">
        <v>29</v>
      </c>
      <c r="L30" s="97">
        <v>22</v>
      </c>
      <c r="M30" s="97">
        <v>22</v>
      </c>
      <c r="N30" s="97">
        <v>28</v>
      </c>
      <c r="O30" s="97">
        <v>25</v>
      </c>
      <c r="P30" s="97">
        <v>25</v>
      </c>
      <c r="Q30" s="97">
        <v>24</v>
      </c>
      <c r="R30" s="97">
        <v>22</v>
      </c>
      <c r="S30" s="97">
        <v>25</v>
      </c>
      <c r="T30" s="97">
        <v>29</v>
      </c>
      <c r="U30" s="97">
        <v>22</v>
      </c>
      <c r="V30" s="97">
        <v>21</v>
      </c>
      <c r="W30" s="97">
        <v>20</v>
      </c>
      <c r="X30" s="97">
        <v>22</v>
      </c>
      <c r="Y30" s="97">
        <v>25</v>
      </c>
      <c r="Z30" s="97">
        <v>25</v>
      </c>
      <c r="AA30" s="97">
        <v>27</v>
      </c>
      <c r="AB30" s="97">
        <v>29</v>
      </c>
      <c r="AC30" s="97">
        <v>26</v>
      </c>
      <c r="AD30" s="97">
        <v>26</v>
      </c>
      <c r="AE30" s="97">
        <v>27</v>
      </c>
      <c r="AF30" s="97">
        <v>31</v>
      </c>
      <c r="AG30" s="97">
        <v>32</v>
      </c>
      <c r="AH30" s="97">
        <v>32</v>
      </c>
      <c r="AI30" s="97">
        <v>31</v>
      </c>
      <c r="AJ30" s="97">
        <v>31</v>
      </c>
      <c r="AK30" s="97">
        <v>36</v>
      </c>
      <c r="AL30" s="97">
        <v>44</v>
      </c>
      <c r="AM30" s="97">
        <v>54</v>
      </c>
      <c r="AN30" s="97">
        <v>59</v>
      </c>
      <c r="AO30" s="97">
        <v>59</v>
      </c>
      <c r="AP30" s="97">
        <v>63</v>
      </c>
      <c r="AQ30" s="97">
        <v>64</v>
      </c>
      <c r="AR30" s="97">
        <v>64</v>
      </c>
      <c r="AS30" s="97">
        <v>64</v>
      </c>
      <c r="AT30" s="97">
        <v>71</v>
      </c>
      <c r="AU30" s="97">
        <v>78</v>
      </c>
      <c r="AV30" s="97">
        <v>69</v>
      </c>
      <c r="AW30" s="97">
        <v>67</v>
      </c>
      <c r="AX30" s="97">
        <v>70</v>
      </c>
      <c r="AY30" s="97">
        <v>71</v>
      </c>
      <c r="AZ30" s="97">
        <v>69</v>
      </c>
      <c r="BA30" s="97">
        <v>67</v>
      </c>
      <c r="BB30" s="97">
        <v>68</v>
      </c>
      <c r="BC30" s="97">
        <v>74</v>
      </c>
      <c r="BD30" s="97">
        <v>82</v>
      </c>
      <c r="BE30" s="97">
        <v>83</v>
      </c>
      <c r="BF30" s="97">
        <v>85</v>
      </c>
      <c r="BG30" s="97">
        <v>76</v>
      </c>
      <c r="BH30" s="97">
        <v>86</v>
      </c>
      <c r="BI30" s="97">
        <v>94</v>
      </c>
      <c r="BJ30" s="97">
        <v>92</v>
      </c>
      <c r="BK30" s="97">
        <v>100</v>
      </c>
      <c r="BL30" s="97">
        <v>100</v>
      </c>
      <c r="BM30" s="38">
        <v>135</v>
      </c>
      <c r="BN30" s="97">
        <v>130</v>
      </c>
      <c r="BO30" s="97">
        <v>132</v>
      </c>
      <c r="BP30" s="97">
        <v>140</v>
      </c>
      <c r="BQ30" s="97">
        <v>148</v>
      </c>
      <c r="BR30" s="97">
        <v>196</v>
      </c>
      <c r="BS30" s="97">
        <v>231</v>
      </c>
      <c r="BT30" s="97">
        <v>222</v>
      </c>
      <c r="BU30" s="97">
        <v>206</v>
      </c>
      <c r="BV30" s="97">
        <v>201</v>
      </c>
      <c r="BW30" s="97">
        <v>196</v>
      </c>
      <c r="BX30" s="97">
        <v>202</v>
      </c>
      <c r="BY30" s="97">
        <v>216</v>
      </c>
      <c r="BZ30" s="97">
        <v>222</v>
      </c>
      <c r="CA30" s="97">
        <v>230</v>
      </c>
      <c r="CB30" s="97">
        <v>213</v>
      </c>
      <c r="CC30" s="97">
        <v>223</v>
      </c>
      <c r="CD30" s="97">
        <v>236</v>
      </c>
      <c r="CE30" s="97">
        <v>238</v>
      </c>
      <c r="CF30" s="97">
        <v>242.5</v>
      </c>
      <c r="CG30" s="97">
        <v>258</v>
      </c>
      <c r="CH30" s="97">
        <v>252</v>
      </c>
      <c r="CI30" s="97">
        <v>254.25</v>
      </c>
      <c r="CJ30" s="97">
        <v>255</v>
      </c>
      <c r="CK30" s="97">
        <v>261</v>
      </c>
      <c r="CL30" s="97">
        <v>258</v>
      </c>
      <c r="CM30" s="97">
        <v>255</v>
      </c>
      <c r="CN30" s="97">
        <v>261</v>
      </c>
      <c r="CO30" s="97">
        <v>259</v>
      </c>
      <c r="CP30" s="97">
        <v>259</v>
      </c>
      <c r="CQ30" s="97">
        <v>253</v>
      </c>
      <c r="CR30" s="97">
        <v>254.25</v>
      </c>
      <c r="CS30" s="97">
        <v>252</v>
      </c>
      <c r="CT30" s="97">
        <v>252</v>
      </c>
      <c r="CU30" s="97">
        <v>252.75</v>
      </c>
      <c r="CV30" s="97">
        <v>255</v>
      </c>
      <c r="CW30" s="97">
        <v>266</v>
      </c>
      <c r="CX30" s="97">
        <v>263</v>
      </c>
      <c r="CY30" s="97">
        <v>265</v>
      </c>
      <c r="CZ30" s="97">
        <v>267</v>
      </c>
      <c r="DA30" s="97">
        <v>265.5</v>
      </c>
      <c r="DB30" s="97">
        <v>263</v>
      </c>
      <c r="DC30" s="97">
        <v>262</v>
      </c>
      <c r="DD30" s="97">
        <v>262.5</v>
      </c>
      <c r="DE30" s="97">
        <v>263</v>
      </c>
      <c r="DF30" s="97">
        <v>265</v>
      </c>
      <c r="DG30" s="97">
        <f t="shared" si="2"/>
        <v>265</v>
      </c>
      <c r="DH30" s="97">
        <v>267</v>
      </c>
      <c r="DI30" s="99">
        <v>272</v>
      </c>
      <c r="DJ30" s="99">
        <f t="shared" si="3"/>
        <v>268.25</v>
      </c>
      <c r="DK30" s="97">
        <v>262</v>
      </c>
      <c r="DL30" s="97">
        <v>270</v>
      </c>
      <c r="DM30" s="97">
        <f t="shared" si="4"/>
        <v>269.75</v>
      </c>
      <c r="DN30" s="97">
        <v>277</v>
      </c>
      <c r="DO30" s="97">
        <v>250</v>
      </c>
      <c r="DP30" s="97">
        <f t="shared" si="33"/>
        <v>256.75</v>
      </c>
      <c r="DQ30" s="97">
        <v>250</v>
      </c>
      <c r="DR30" s="97">
        <v>246</v>
      </c>
      <c r="DS30" s="97">
        <f t="shared" si="6"/>
        <v>245.25</v>
      </c>
      <c r="DT30" s="97">
        <v>239</v>
      </c>
      <c r="DU30" s="97">
        <v>240</v>
      </c>
      <c r="DV30" s="97">
        <f t="shared" si="7"/>
        <v>238.75</v>
      </c>
      <c r="DW30" s="97">
        <v>236</v>
      </c>
      <c r="DX30" s="97">
        <v>262</v>
      </c>
      <c r="DY30" s="97">
        <f t="shared" si="8"/>
        <v>263.75</v>
      </c>
      <c r="DZ30" s="87">
        <v>295</v>
      </c>
      <c r="EA30" s="97">
        <v>308</v>
      </c>
      <c r="EB30" s="97">
        <f t="shared" si="9"/>
        <v>313.31</v>
      </c>
      <c r="EC30" s="54">
        <v>342.24</v>
      </c>
      <c r="ED30" s="54">
        <v>343</v>
      </c>
      <c r="EE30" s="97">
        <f t="shared" si="10"/>
        <v>371.31</v>
      </c>
      <c r="EF30" s="54">
        <v>457</v>
      </c>
      <c r="EG30" s="274">
        <v>459.10226390780997</v>
      </c>
      <c r="EH30" s="97">
        <f t="shared" si="11"/>
        <v>468.42613195390499</v>
      </c>
      <c r="EI30" s="54">
        <v>498.5</v>
      </c>
      <c r="EJ30" s="54">
        <v>541</v>
      </c>
      <c r="EK30" s="97">
        <f t="shared" si="12"/>
        <v>552.875</v>
      </c>
      <c r="EL30" s="54">
        <v>631</v>
      </c>
      <c r="EM30" s="54">
        <v>609</v>
      </c>
      <c r="EN30" s="97">
        <f t="shared" si="13"/>
        <v>591</v>
      </c>
      <c r="EO30" s="54">
        <v>515</v>
      </c>
      <c r="EP30" s="54">
        <v>518</v>
      </c>
      <c r="EQ30" s="97">
        <f t="shared" si="14"/>
        <v>528.5</v>
      </c>
      <c r="ER30" s="269">
        <v>563</v>
      </c>
      <c r="ES30" s="269">
        <v>577.20000000000005</v>
      </c>
      <c r="ET30" s="97">
        <f t="shared" si="15"/>
        <v>584.6</v>
      </c>
      <c r="EU30" s="269">
        <v>621</v>
      </c>
      <c r="EV30" s="269">
        <v>647</v>
      </c>
      <c r="EW30" s="97">
        <f t="shared" si="16"/>
        <v>633</v>
      </c>
      <c r="EX30" s="269">
        <v>617</v>
      </c>
      <c r="EY30" s="269">
        <v>654.08000000000004</v>
      </c>
      <c r="EZ30" s="97">
        <f t="shared" si="17"/>
        <v>639.04</v>
      </c>
      <c r="FA30" s="269">
        <v>631</v>
      </c>
      <c r="FB30" s="269">
        <v>645</v>
      </c>
      <c r="FC30" s="97">
        <f t="shared" si="18"/>
        <v>635.75</v>
      </c>
      <c r="FD30" s="269">
        <v>622</v>
      </c>
      <c r="FE30" s="269">
        <v>637</v>
      </c>
      <c r="FF30" s="97">
        <f t="shared" si="19"/>
        <v>621.25</v>
      </c>
      <c r="FG30" s="270">
        <v>589</v>
      </c>
      <c r="FH30" s="269">
        <v>589</v>
      </c>
      <c r="FI30" s="97">
        <f t="shared" si="20"/>
        <v>576.5</v>
      </c>
      <c r="FJ30" s="269">
        <v>539</v>
      </c>
      <c r="FK30" s="269">
        <v>562</v>
      </c>
      <c r="FL30" s="97">
        <f t="shared" si="21"/>
        <v>556</v>
      </c>
      <c r="FM30" s="269">
        <v>561</v>
      </c>
      <c r="FN30" s="269">
        <v>572</v>
      </c>
      <c r="FO30" s="97">
        <f t="shared" si="22"/>
        <v>577.5</v>
      </c>
      <c r="FP30" s="269">
        <v>605</v>
      </c>
      <c r="FQ30" s="269">
        <v>605</v>
      </c>
      <c r="FR30" s="97">
        <f t="shared" si="23"/>
        <v>609.25</v>
      </c>
      <c r="FS30" s="269">
        <v>622</v>
      </c>
      <c r="FT30" s="269">
        <v>650</v>
      </c>
      <c r="FU30" s="97">
        <f t="shared" si="24"/>
        <v>656</v>
      </c>
      <c r="FV30" s="269">
        <v>702</v>
      </c>
      <c r="FW30" s="269">
        <v>751</v>
      </c>
      <c r="FX30" s="97">
        <f t="shared" si="25"/>
        <v>755</v>
      </c>
      <c r="FY30" s="269">
        <v>816</v>
      </c>
      <c r="FZ30" s="269">
        <v>695</v>
      </c>
      <c r="GA30" s="97">
        <f t="shared" si="26"/>
        <v>838</v>
      </c>
      <c r="GB30" s="270">
        <v>1146</v>
      </c>
      <c r="GC30" s="269"/>
      <c r="GD30" s="272">
        <f t="shared" si="29"/>
        <v>1146</v>
      </c>
      <c r="GE30" s="269"/>
      <c r="GF30" s="275"/>
      <c r="GG30" s="97">
        <f t="shared" si="27"/>
        <v>0</v>
      </c>
      <c r="GH30" s="105"/>
      <c r="GI30" s="105"/>
      <c r="GJ30" s="97">
        <f t="shared" si="30"/>
        <v>0</v>
      </c>
      <c r="GK30" s="105"/>
      <c r="GL30" s="105"/>
      <c r="GM30" s="97">
        <f t="shared" si="31"/>
        <v>0</v>
      </c>
      <c r="GN30" s="105"/>
      <c r="GO30" s="105"/>
      <c r="GP30" s="97">
        <f t="shared" si="32"/>
        <v>0</v>
      </c>
      <c r="GQ30" s="105"/>
      <c r="GR30" s="105"/>
    </row>
    <row r="31" spans="1:200" ht="10.5" customHeight="1" x14ac:dyDescent="0.3">
      <c r="A31" s="265">
        <f t="shared" si="28"/>
        <v>24</v>
      </c>
      <c r="B31" s="56" t="s">
        <v>1023</v>
      </c>
      <c r="C31" s="99" t="s">
        <v>46</v>
      </c>
      <c r="D31" s="99" t="s">
        <v>46</v>
      </c>
      <c r="E31" s="99" t="s">
        <v>46</v>
      </c>
      <c r="F31" s="99" t="s">
        <v>46</v>
      </c>
      <c r="G31" s="99" t="s">
        <v>46</v>
      </c>
      <c r="H31" s="99" t="s">
        <v>46</v>
      </c>
      <c r="I31" s="99" t="s">
        <v>46</v>
      </c>
      <c r="J31" s="99" t="s">
        <v>46</v>
      </c>
      <c r="K31" s="99" t="s">
        <v>46</v>
      </c>
      <c r="L31" s="99" t="s">
        <v>46</v>
      </c>
      <c r="M31" s="99" t="s">
        <v>46</v>
      </c>
      <c r="N31" s="99" t="s">
        <v>46</v>
      </c>
      <c r="O31" s="99" t="s">
        <v>46</v>
      </c>
      <c r="P31" s="99" t="s">
        <v>46</v>
      </c>
      <c r="Q31" s="99" t="s">
        <v>46</v>
      </c>
      <c r="R31" s="99" t="s">
        <v>46</v>
      </c>
      <c r="S31" s="99" t="s">
        <v>46</v>
      </c>
      <c r="T31" s="99" t="s">
        <v>46</v>
      </c>
      <c r="U31" s="99" t="s">
        <v>46</v>
      </c>
      <c r="V31" s="99" t="s">
        <v>46</v>
      </c>
      <c r="W31" s="99" t="s">
        <v>46</v>
      </c>
      <c r="X31" s="99" t="s">
        <v>46</v>
      </c>
      <c r="Y31" s="99" t="s">
        <v>46</v>
      </c>
      <c r="Z31" s="99" t="s">
        <v>46</v>
      </c>
      <c r="AA31" s="99" t="s">
        <v>46</v>
      </c>
      <c r="AB31" s="99" t="s">
        <v>46</v>
      </c>
      <c r="AC31" s="99" t="s">
        <v>46</v>
      </c>
      <c r="AD31" s="99" t="s">
        <v>46</v>
      </c>
      <c r="AE31" s="99" t="s">
        <v>46</v>
      </c>
      <c r="AF31" s="99" t="s">
        <v>46</v>
      </c>
      <c r="AG31" s="99" t="s">
        <v>46</v>
      </c>
      <c r="AH31" s="99" t="s">
        <v>46</v>
      </c>
      <c r="AI31" s="99" t="s">
        <v>46</v>
      </c>
      <c r="AJ31" s="99" t="s">
        <v>46</v>
      </c>
      <c r="AK31" s="99" t="s">
        <v>46</v>
      </c>
      <c r="AL31" s="99" t="s">
        <v>46</v>
      </c>
      <c r="AM31" s="99" t="s">
        <v>46</v>
      </c>
      <c r="AN31" s="99" t="s">
        <v>46</v>
      </c>
      <c r="AO31" s="99" t="s">
        <v>46</v>
      </c>
      <c r="AP31" s="99" t="s">
        <v>46</v>
      </c>
      <c r="AQ31" s="99" t="s">
        <v>46</v>
      </c>
      <c r="AR31" s="99" t="s">
        <v>46</v>
      </c>
      <c r="AS31" s="99" t="s">
        <v>46</v>
      </c>
      <c r="AT31" s="99" t="s">
        <v>46</v>
      </c>
      <c r="AU31" s="97">
        <v>93</v>
      </c>
      <c r="AV31" s="97">
        <v>89</v>
      </c>
      <c r="AW31" s="97">
        <v>74</v>
      </c>
      <c r="AX31" s="97">
        <v>69</v>
      </c>
      <c r="AY31" s="97">
        <v>68</v>
      </c>
      <c r="AZ31" s="97">
        <v>69</v>
      </c>
      <c r="BA31" s="97">
        <v>67</v>
      </c>
      <c r="BB31" s="97">
        <v>62</v>
      </c>
      <c r="BC31" s="97">
        <v>66</v>
      </c>
      <c r="BD31" s="97">
        <v>68</v>
      </c>
      <c r="BE31" s="97">
        <v>71</v>
      </c>
      <c r="BF31" s="97">
        <v>74</v>
      </c>
      <c r="BG31" s="97">
        <v>71</v>
      </c>
      <c r="BH31" s="97">
        <v>77</v>
      </c>
      <c r="BI31" s="97">
        <v>92</v>
      </c>
      <c r="BJ31" s="97">
        <v>98</v>
      </c>
      <c r="BK31" s="97">
        <v>99</v>
      </c>
      <c r="BL31" s="97">
        <v>100</v>
      </c>
      <c r="BM31" s="38">
        <v>105</v>
      </c>
      <c r="BN31" s="97">
        <v>124</v>
      </c>
      <c r="BO31" s="97">
        <v>126</v>
      </c>
      <c r="BP31" s="97">
        <v>131</v>
      </c>
      <c r="BQ31" s="97">
        <v>149</v>
      </c>
      <c r="BR31" s="97">
        <v>183</v>
      </c>
      <c r="BS31" s="97">
        <v>221</v>
      </c>
      <c r="BT31" s="97">
        <v>217</v>
      </c>
      <c r="BU31" s="97">
        <v>207</v>
      </c>
      <c r="BV31" s="97">
        <v>198</v>
      </c>
      <c r="BW31" s="97">
        <v>229</v>
      </c>
      <c r="BX31" s="97">
        <v>209</v>
      </c>
      <c r="BY31" s="97">
        <v>194</v>
      </c>
      <c r="BZ31" s="97">
        <v>201</v>
      </c>
      <c r="CA31" s="97">
        <v>214</v>
      </c>
      <c r="CB31" s="97">
        <v>250</v>
      </c>
      <c r="CC31" s="97">
        <v>249.75</v>
      </c>
      <c r="CD31" s="97">
        <v>285</v>
      </c>
      <c r="CE31" s="97">
        <v>292</v>
      </c>
      <c r="CF31" s="97">
        <v>285.25</v>
      </c>
      <c r="CG31" s="97">
        <v>272</v>
      </c>
      <c r="CH31" s="97">
        <v>275</v>
      </c>
      <c r="CI31" s="97">
        <v>271.25</v>
      </c>
      <c r="CJ31" s="97">
        <v>263</v>
      </c>
      <c r="CK31" s="97">
        <v>264</v>
      </c>
      <c r="CL31" s="97">
        <v>263.5</v>
      </c>
      <c r="CM31" s="97">
        <v>263</v>
      </c>
      <c r="CN31" s="97">
        <v>264</v>
      </c>
      <c r="CO31" s="97">
        <v>257.75</v>
      </c>
      <c r="CP31" s="97">
        <v>240</v>
      </c>
      <c r="CQ31" s="97">
        <v>222</v>
      </c>
      <c r="CR31" s="97">
        <v>227.25</v>
      </c>
      <c r="CS31" s="97">
        <v>225</v>
      </c>
      <c r="CT31" s="97">
        <v>238</v>
      </c>
      <c r="CU31" s="97">
        <v>239.5</v>
      </c>
      <c r="CV31" s="97">
        <v>257</v>
      </c>
      <c r="CW31" s="97">
        <v>273</v>
      </c>
      <c r="CX31" s="97">
        <v>270.75</v>
      </c>
      <c r="CY31" s="97">
        <v>280</v>
      </c>
      <c r="CZ31" s="97">
        <v>263</v>
      </c>
      <c r="DA31" s="97">
        <v>267</v>
      </c>
      <c r="DB31" s="97">
        <v>262</v>
      </c>
      <c r="DC31" s="97">
        <v>262</v>
      </c>
      <c r="DD31" s="97">
        <v>263.5</v>
      </c>
      <c r="DE31" s="97">
        <v>268</v>
      </c>
      <c r="DF31" s="97">
        <v>268</v>
      </c>
      <c r="DG31" s="97">
        <f t="shared" si="2"/>
        <v>263.75</v>
      </c>
      <c r="DH31" s="97">
        <v>251</v>
      </c>
      <c r="DI31" s="99">
        <v>247</v>
      </c>
      <c r="DJ31" s="99">
        <f t="shared" si="3"/>
        <v>248.5</v>
      </c>
      <c r="DK31" s="97">
        <v>249</v>
      </c>
      <c r="DL31" s="97">
        <v>263</v>
      </c>
      <c r="DM31" s="97">
        <f t="shared" si="4"/>
        <v>259.75</v>
      </c>
      <c r="DN31" s="97">
        <v>264</v>
      </c>
      <c r="DO31" s="97">
        <v>264</v>
      </c>
      <c r="DP31" s="97">
        <f t="shared" si="33"/>
        <v>264.5</v>
      </c>
      <c r="DQ31" s="97">
        <v>266</v>
      </c>
      <c r="DR31" s="97">
        <v>254</v>
      </c>
      <c r="DS31" s="97">
        <f t="shared" si="6"/>
        <v>258.5</v>
      </c>
      <c r="DT31" s="97">
        <v>260</v>
      </c>
      <c r="DU31" s="97">
        <v>264</v>
      </c>
      <c r="DV31" s="97">
        <f t="shared" si="7"/>
        <v>265.5</v>
      </c>
      <c r="DW31" s="97">
        <v>274</v>
      </c>
      <c r="DX31" s="97">
        <v>300</v>
      </c>
      <c r="DY31" s="97">
        <f t="shared" si="8"/>
        <v>296.75</v>
      </c>
      <c r="DZ31" s="87">
        <v>313</v>
      </c>
      <c r="EA31" s="97">
        <v>347</v>
      </c>
      <c r="EB31" s="97">
        <f t="shared" si="9"/>
        <v>350.7475</v>
      </c>
      <c r="EC31" s="54">
        <v>395.99</v>
      </c>
      <c r="ED31" s="54">
        <v>396</v>
      </c>
      <c r="EE31" s="97">
        <f t="shared" si="10"/>
        <v>404.9975</v>
      </c>
      <c r="EF31" s="54">
        <v>432</v>
      </c>
      <c r="EG31" s="274">
        <v>439.10935146000003</v>
      </c>
      <c r="EH31" s="97">
        <f t="shared" si="11"/>
        <v>445.53717573</v>
      </c>
      <c r="EI31" s="54">
        <v>471.93</v>
      </c>
      <c r="EJ31" s="54">
        <v>510</v>
      </c>
      <c r="EK31" s="97">
        <f t="shared" si="12"/>
        <v>500.73250000000002</v>
      </c>
      <c r="EL31" s="54">
        <v>511</v>
      </c>
      <c r="EM31" s="54">
        <v>390</v>
      </c>
      <c r="EN31" s="97">
        <f t="shared" si="13"/>
        <v>430.25</v>
      </c>
      <c r="EO31" s="54">
        <v>430</v>
      </c>
      <c r="EP31" s="54">
        <v>460</v>
      </c>
      <c r="EQ31" s="97">
        <f t="shared" si="14"/>
        <v>466.5</v>
      </c>
      <c r="ER31" s="269">
        <v>516</v>
      </c>
      <c r="ES31" s="269">
        <v>579.42999999999995</v>
      </c>
      <c r="ET31" s="97">
        <f t="shared" si="15"/>
        <v>542.96499999999992</v>
      </c>
      <c r="EU31" s="269">
        <v>497</v>
      </c>
      <c r="EV31" s="269">
        <v>505</v>
      </c>
      <c r="EW31" s="97">
        <f t="shared" si="16"/>
        <v>502.25</v>
      </c>
      <c r="EX31" s="269">
        <v>502</v>
      </c>
      <c r="EY31" s="269">
        <v>511.78</v>
      </c>
      <c r="EZ31" s="97">
        <f t="shared" si="17"/>
        <v>513.89</v>
      </c>
      <c r="FA31" s="269">
        <v>530</v>
      </c>
      <c r="FB31" s="269">
        <v>562</v>
      </c>
      <c r="FC31" s="97">
        <f t="shared" si="18"/>
        <v>561.5</v>
      </c>
      <c r="FD31" s="269">
        <v>592</v>
      </c>
      <c r="FE31" s="269">
        <v>600</v>
      </c>
      <c r="FF31" s="97">
        <f t="shared" si="19"/>
        <v>593</v>
      </c>
      <c r="FG31" s="270">
        <v>580</v>
      </c>
      <c r="FH31" s="269">
        <v>578</v>
      </c>
      <c r="FI31" s="97">
        <f t="shared" si="20"/>
        <v>579</v>
      </c>
      <c r="FJ31" s="269">
        <v>580</v>
      </c>
      <c r="FK31" s="269">
        <v>593</v>
      </c>
      <c r="FL31" s="97">
        <f t="shared" si="21"/>
        <v>565.5</v>
      </c>
      <c r="FM31" s="269">
        <v>496</v>
      </c>
      <c r="FN31" s="269">
        <v>544</v>
      </c>
      <c r="FO31" s="97">
        <f t="shared" si="22"/>
        <v>518.5</v>
      </c>
      <c r="FP31" s="269">
        <v>490</v>
      </c>
      <c r="FQ31" s="269">
        <v>540</v>
      </c>
      <c r="FR31" s="97">
        <f t="shared" si="23"/>
        <v>534.25</v>
      </c>
      <c r="FS31" s="269">
        <v>567</v>
      </c>
      <c r="FT31" s="269">
        <v>564</v>
      </c>
      <c r="FU31" s="97">
        <f t="shared" si="24"/>
        <v>559</v>
      </c>
      <c r="FV31" s="269">
        <v>541</v>
      </c>
      <c r="FW31" s="269">
        <v>545</v>
      </c>
      <c r="FX31" s="97">
        <f t="shared" si="25"/>
        <v>542.75</v>
      </c>
      <c r="FY31" s="269">
        <v>540</v>
      </c>
      <c r="FZ31" s="269">
        <v>546</v>
      </c>
      <c r="GA31" s="97">
        <f t="shared" si="26"/>
        <v>709.75</v>
      </c>
      <c r="GB31" s="270">
        <v>1207</v>
      </c>
      <c r="GC31" s="269"/>
      <c r="GD31" s="272">
        <f t="shared" si="29"/>
        <v>1207</v>
      </c>
      <c r="GE31" s="269"/>
      <c r="GF31" s="275"/>
      <c r="GG31" s="97">
        <f t="shared" si="27"/>
        <v>0</v>
      </c>
      <c r="GH31" s="105"/>
      <c r="GI31" s="105"/>
      <c r="GJ31" s="97">
        <f t="shared" si="30"/>
        <v>0</v>
      </c>
      <c r="GK31" s="105"/>
      <c r="GL31" s="105"/>
      <c r="GM31" s="97">
        <f t="shared" si="31"/>
        <v>0</v>
      </c>
      <c r="GN31" s="105"/>
      <c r="GO31" s="105"/>
      <c r="GP31" s="97">
        <f t="shared" si="32"/>
        <v>0</v>
      </c>
      <c r="GQ31" s="105"/>
      <c r="GR31" s="105"/>
    </row>
    <row r="32" spans="1:200" ht="10.5" customHeight="1" x14ac:dyDescent="0.3">
      <c r="A32" s="265">
        <f t="shared" si="28"/>
        <v>25</v>
      </c>
      <c r="B32" s="56" t="s">
        <v>1024</v>
      </c>
      <c r="C32" s="97">
        <v>7</v>
      </c>
      <c r="D32" s="97">
        <v>7</v>
      </c>
      <c r="E32" s="97">
        <v>7</v>
      </c>
      <c r="F32" s="97">
        <v>7</v>
      </c>
      <c r="G32" s="97">
        <v>11</v>
      </c>
      <c r="H32" s="97">
        <v>13</v>
      </c>
      <c r="I32" s="97">
        <v>20</v>
      </c>
      <c r="J32" s="97">
        <v>21</v>
      </c>
      <c r="K32" s="97">
        <v>21</v>
      </c>
      <c r="L32" s="97">
        <v>20</v>
      </c>
      <c r="M32" s="97">
        <v>17</v>
      </c>
      <c r="N32" s="97">
        <v>17</v>
      </c>
      <c r="O32" s="97">
        <v>18</v>
      </c>
      <c r="P32" s="97">
        <v>18</v>
      </c>
      <c r="Q32" s="97">
        <v>18</v>
      </c>
      <c r="R32" s="97">
        <v>16</v>
      </c>
      <c r="S32" s="97">
        <v>15</v>
      </c>
      <c r="T32" s="97">
        <v>19</v>
      </c>
      <c r="U32" s="97">
        <v>20</v>
      </c>
      <c r="V32" s="97">
        <v>19</v>
      </c>
      <c r="W32" s="97">
        <v>18</v>
      </c>
      <c r="X32" s="97">
        <v>19</v>
      </c>
      <c r="Y32" s="97">
        <v>21</v>
      </c>
      <c r="Z32" s="97">
        <v>24</v>
      </c>
      <c r="AA32" s="97">
        <v>24</v>
      </c>
      <c r="AB32" s="97">
        <v>27</v>
      </c>
      <c r="AC32" s="97">
        <v>27</v>
      </c>
      <c r="AD32" s="97">
        <v>27</v>
      </c>
      <c r="AE32" s="97">
        <v>27</v>
      </c>
      <c r="AF32" s="97">
        <v>27</v>
      </c>
      <c r="AG32" s="97">
        <v>27</v>
      </c>
      <c r="AH32" s="97">
        <v>27</v>
      </c>
      <c r="AI32" s="97">
        <v>26</v>
      </c>
      <c r="AJ32" s="97">
        <v>27</v>
      </c>
      <c r="AK32" s="97">
        <v>30</v>
      </c>
      <c r="AL32" s="97">
        <v>32</v>
      </c>
      <c r="AM32" s="97">
        <v>33</v>
      </c>
      <c r="AN32" s="97">
        <v>36</v>
      </c>
      <c r="AO32" s="97">
        <v>37</v>
      </c>
      <c r="AP32" s="97">
        <v>40</v>
      </c>
      <c r="AQ32" s="97">
        <v>40</v>
      </c>
      <c r="AR32" s="97">
        <v>43</v>
      </c>
      <c r="AS32" s="97">
        <v>44</v>
      </c>
      <c r="AT32" s="97">
        <v>45</v>
      </c>
      <c r="AU32" s="97">
        <v>48</v>
      </c>
      <c r="AV32" s="97">
        <v>53</v>
      </c>
      <c r="AW32" s="97">
        <v>56</v>
      </c>
      <c r="AX32" s="97">
        <v>56</v>
      </c>
      <c r="AY32" s="97">
        <v>56</v>
      </c>
      <c r="AZ32" s="97">
        <v>56</v>
      </c>
      <c r="BA32" s="97">
        <v>56</v>
      </c>
      <c r="BB32" s="97">
        <v>57</v>
      </c>
      <c r="BC32" s="97">
        <v>61</v>
      </c>
      <c r="BD32" s="97">
        <v>65</v>
      </c>
      <c r="BE32" s="97">
        <v>71</v>
      </c>
      <c r="BF32" s="97">
        <v>75</v>
      </c>
      <c r="BG32" s="97">
        <v>80</v>
      </c>
      <c r="BH32" s="97">
        <v>84</v>
      </c>
      <c r="BI32" s="97">
        <v>89</v>
      </c>
      <c r="BJ32" s="97">
        <v>94</v>
      </c>
      <c r="BK32" s="97">
        <v>99</v>
      </c>
      <c r="BL32" s="97">
        <v>100</v>
      </c>
      <c r="BM32" s="38">
        <v>109</v>
      </c>
      <c r="BN32" s="97">
        <v>128</v>
      </c>
      <c r="BO32" s="97">
        <v>142</v>
      </c>
      <c r="BP32" s="97">
        <v>157</v>
      </c>
      <c r="BQ32" s="97">
        <v>171</v>
      </c>
      <c r="BR32" s="97">
        <v>189</v>
      </c>
      <c r="BS32" s="97">
        <v>209</v>
      </c>
      <c r="BT32" s="97">
        <v>229</v>
      </c>
      <c r="BU32" s="97">
        <v>247</v>
      </c>
      <c r="BV32" s="97">
        <v>256</v>
      </c>
      <c r="BW32" s="97">
        <v>257</v>
      </c>
      <c r="BX32" s="97">
        <v>247</v>
      </c>
      <c r="BY32" s="97">
        <v>222</v>
      </c>
      <c r="BZ32" s="97">
        <v>239</v>
      </c>
      <c r="CA32" s="97">
        <v>258</v>
      </c>
      <c r="CB32" s="97">
        <v>265</v>
      </c>
      <c r="CC32" s="97">
        <v>263.25</v>
      </c>
      <c r="CD32" s="97">
        <v>265</v>
      </c>
      <c r="CE32" s="97">
        <v>268</v>
      </c>
      <c r="CF32" s="97">
        <v>268</v>
      </c>
      <c r="CG32" s="97">
        <v>271</v>
      </c>
      <c r="CH32" s="97">
        <v>265</v>
      </c>
      <c r="CI32" s="97">
        <v>268</v>
      </c>
      <c r="CJ32" s="97">
        <v>271</v>
      </c>
      <c r="CK32" s="97">
        <v>268</v>
      </c>
      <c r="CL32" s="97">
        <v>269.5</v>
      </c>
      <c r="CM32" s="97">
        <v>271</v>
      </c>
      <c r="CN32" s="97">
        <v>268</v>
      </c>
      <c r="CO32" s="97">
        <v>269.75</v>
      </c>
      <c r="CP32" s="97">
        <v>272</v>
      </c>
      <c r="CQ32" s="97">
        <v>276</v>
      </c>
      <c r="CR32" s="97">
        <v>274.5</v>
      </c>
      <c r="CS32" s="97">
        <v>274</v>
      </c>
      <c r="CT32" s="97">
        <v>286</v>
      </c>
      <c r="CU32" s="97">
        <v>288.25</v>
      </c>
      <c r="CV32" s="97">
        <v>307</v>
      </c>
      <c r="CW32" s="97">
        <v>310</v>
      </c>
      <c r="CX32" s="97">
        <v>307.75</v>
      </c>
      <c r="CY32" s="97">
        <v>304</v>
      </c>
      <c r="CZ32" s="97">
        <v>305</v>
      </c>
      <c r="DA32" s="97">
        <v>304.75</v>
      </c>
      <c r="DB32" s="97">
        <v>305</v>
      </c>
      <c r="DC32" s="97">
        <v>305</v>
      </c>
      <c r="DD32" s="97">
        <v>305.75</v>
      </c>
      <c r="DE32" s="97">
        <v>308</v>
      </c>
      <c r="DF32" s="97">
        <v>311</v>
      </c>
      <c r="DG32" s="97">
        <f t="shared" si="2"/>
        <v>308.75</v>
      </c>
      <c r="DH32" s="97">
        <v>305</v>
      </c>
      <c r="DI32" s="99">
        <v>286</v>
      </c>
      <c r="DJ32" s="99">
        <f t="shared" si="3"/>
        <v>290</v>
      </c>
      <c r="DK32" s="97">
        <v>283</v>
      </c>
      <c r="DL32" s="97">
        <v>283</v>
      </c>
      <c r="DM32" s="97">
        <f t="shared" si="4"/>
        <v>284</v>
      </c>
      <c r="DN32" s="97">
        <v>287</v>
      </c>
      <c r="DO32" s="97">
        <v>286</v>
      </c>
      <c r="DP32" s="97">
        <f t="shared" si="33"/>
        <v>287</v>
      </c>
      <c r="DQ32" s="97">
        <v>289</v>
      </c>
      <c r="DR32" s="97">
        <v>292</v>
      </c>
      <c r="DS32" s="97">
        <f t="shared" si="6"/>
        <v>291</v>
      </c>
      <c r="DT32" s="97">
        <v>291</v>
      </c>
      <c r="DU32" s="97">
        <v>305</v>
      </c>
      <c r="DV32" s="97">
        <f t="shared" si="7"/>
        <v>303.75</v>
      </c>
      <c r="DW32" s="97">
        <v>314</v>
      </c>
      <c r="DX32" s="97">
        <v>400</v>
      </c>
      <c r="DY32" s="97">
        <f t="shared" si="8"/>
        <v>388.25</v>
      </c>
      <c r="DZ32" s="87">
        <v>439</v>
      </c>
      <c r="EA32" s="97">
        <v>433</v>
      </c>
      <c r="EB32" s="97">
        <f t="shared" si="9"/>
        <v>438.0675</v>
      </c>
      <c r="EC32" s="54">
        <v>447.27</v>
      </c>
      <c r="ED32" s="54">
        <v>465</v>
      </c>
      <c r="EE32" s="97">
        <f t="shared" si="10"/>
        <v>460.8175</v>
      </c>
      <c r="EF32" s="54">
        <v>466</v>
      </c>
      <c r="EG32" s="274">
        <v>506.34458500000005</v>
      </c>
      <c r="EH32" s="97">
        <f t="shared" si="11"/>
        <v>493.74229250000002</v>
      </c>
      <c r="EI32" s="54">
        <v>496.28</v>
      </c>
      <c r="EJ32" s="54">
        <v>603</v>
      </c>
      <c r="EK32" s="97">
        <f t="shared" si="12"/>
        <v>554.56999999999994</v>
      </c>
      <c r="EL32" s="54">
        <v>516</v>
      </c>
      <c r="EM32" s="54">
        <v>462</v>
      </c>
      <c r="EN32" s="97">
        <f t="shared" si="13"/>
        <v>478.25</v>
      </c>
      <c r="EO32" s="54">
        <v>473</v>
      </c>
      <c r="EP32" s="54">
        <v>525</v>
      </c>
      <c r="EQ32" s="97">
        <f t="shared" si="14"/>
        <v>512.5</v>
      </c>
      <c r="ER32" s="269">
        <v>527</v>
      </c>
      <c r="ES32" s="269">
        <v>575.41</v>
      </c>
      <c r="ET32" s="97">
        <f t="shared" si="15"/>
        <v>564.45499999999993</v>
      </c>
      <c r="EU32" s="269">
        <v>580</v>
      </c>
      <c r="EV32" s="269">
        <v>566</v>
      </c>
      <c r="EW32" s="97">
        <f t="shared" si="16"/>
        <v>569.75</v>
      </c>
      <c r="EX32" s="269">
        <v>567</v>
      </c>
      <c r="EY32" s="269">
        <v>527.82000000000005</v>
      </c>
      <c r="EZ32" s="97">
        <f t="shared" si="17"/>
        <v>539.66000000000008</v>
      </c>
      <c r="FA32" s="269">
        <v>536</v>
      </c>
      <c r="FB32" s="269">
        <v>549</v>
      </c>
      <c r="FC32" s="97">
        <f t="shared" si="18"/>
        <v>545.25</v>
      </c>
      <c r="FD32" s="269">
        <v>547</v>
      </c>
      <c r="FE32" s="269">
        <v>551</v>
      </c>
      <c r="FF32" s="97">
        <f t="shared" si="19"/>
        <v>542.25</v>
      </c>
      <c r="FG32" s="270">
        <v>520</v>
      </c>
      <c r="FH32" s="269">
        <v>535</v>
      </c>
      <c r="FI32" s="97">
        <f t="shared" si="20"/>
        <v>531.5</v>
      </c>
      <c r="FJ32" s="269">
        <v>536</v>
      </c>
      <c r="FK32" s="269">
        <v>510</v>
      </c>
      <c r="FL32" s="97">
        <f t="shared" si="21"/>
        <v>518</v>
      </c>
      <c r="FM32" s="269">
        <v>516</v>
      </c>
      <c r="FN32" s="269">
        <v>569</v>
      </c>
      <c r="FO32" s="97">
        <f t="shared" si="22"/>
        <v>559.25</v>
      </c>
      <c r="FP32" s="269">
        <v>583</v>
      </c>
      <c r="FQ32" s="269">
        <v>574</v>
      </c>
      <c r="FR32" s="97">
        <f t="shared" si="23"/>
        <v>560</v>
      </c>
      <c r="FS32" s="269">
        <v>509</v>
      </c>
      <c r="FT32" s="269">
        <v>566</v>
      </c>
      <c r="FU32" s="97">
        <f t="shared" si="24"/>
        <v>561.25</v>
      </c>
      <c r="FV32" s="269">
        <v>604</v>
      </c>
      <c r="FW32" s="269">
        <v>698</v>
      </c>
      <c r="FX32" s="97">
        <f t="shared" si="25"/>
        <v>696.25</v>
      </c>
      <c r="FY32" s="269">
        <v>785</v>
      </c>
      <c r="FZ32" s="269">
        <v>835</v>
      </c>
      <c r="GA32" s="97">
        <f t="shared" si="26"/>
        <v>806.625</v>
      </c>
      <c r="GB32" s="270">
        <v>771.5</v>
      </c>
      <c r="GC32" s="269"/>
      <c r="GD32" s="272">
        <f t="shared" si="29"/>
        <v>771.5</v>
      </c>
      <c r="GE32" s="269"/>
      <c r="GF32" s="275"/>
      <c r="GG32" s="97">
        <f t="shared" si="27"/>
        <v>0</v>
      </c>
      <c r="GH32" s="105"/>
      <c r="GI32" s="105"/>
      <c r="GJ32" s="97">
        <f t="shared" si="30"/>
        <v>0</v>
      </c>
      <c r="GK32" s="105"/>
      <c r="GL32" s="105"/>
      <c r="GM32" s="97">
        <f t="shared" si="31"/>
        <v>0</v>
      </c>
      <c r="GN32" s="105"/>
      <c r="GO32" s="105"/>
      <c r="GP32" s="97">
        <f t="shared" si="32"/>
        <v>0</v>
      </c>
      <c r="GQ32" s="105"/>
      <c r="GR32" s="105"/>
    </row>
    <row r="33" spans="1:200" ht="10.5" customHeight="1" x14ac:dyDescent="0.3">
      <c r="A33" s="265">
        <f t="shared" si="28"/>
        <v>26</v>
      </c>
      <c r="B33" s="56" t="s">
        <v>704</v>
      </c>
      <c r="C33" s="97">
        <v>9</v>
      </c>
      <c r="D33" s="97">
        <v>9</v>
      </c>
      <c r="E33" s="97">
        <v>9</v>
      </c>
      <c r="F33" s="97">
        <v>9</v>
      </c>
      <c r="G33" s="97">
        <v>13</v>
      </c>
      <c r="H33" s="97">
        <v>13</v>
      </c>
      <c r="I33" s="97">
        <v>17</v>
      </c>
      <c r="J33" s="97">
        <v>18</v>
      </c>
      <c r="K33" s="97">
        <v>21</v>
      </c>
      <c r="L33" s="97">
        <v>23</v>
      </c>
      <c r="M33" s="97">
        <v>20</v>
      </c>
      <c r="N33" s="97">
        <v>19</v>
      </c>
      <c r="O33" s="97">
        <v>19</v>
      </c>
      <c r="P33" s="97">
        <v>19</v>
      </c>
      <c r="Q33" s="97">
        <v>19</v>
      </c>
      <c r="R33" s="97">
        <v>19</v>
      </c>
      <c r="S33" s="97">
        <v>20</v>
      </c>
      <c r="T33" s="97">
        <v>21</v>
      </c>
      <c r="U33" s="97">
        <v>22</v>
      </c>
      <c r="V33" s="97">
        <v>22</v>
      </c>
      <c r="W33" s="97">
        <v>21</v>
      </c>
      <c r="X33" s="97">
        <v>22</v>
      </c>
      <c r="Y33" s="97">
        <v>25</v>
      </c>
      <c r="Z33" s="97">
        <v>25</v>
      </c>
      <c r="AA33" s="97">
        <v>26</v>
      </c>
      <c r="AB33" s="97">
        <v>29</v>
      </c>
      <c r="AC33" s="97">
        <v>30</v>
      </c>
      <c r="AD33" s="97">
        <v>30</v>
      </c>
      <c r="AE33" s="97">
        <v>30</v>
      </c>
      <c r="AF33" s="97">
        <v>30</v>
      </c>
      <c r="AG33" s="97">
        <v>30</v>
      </c>
      <c r="AH33" s="97">
        <v>30</v>
      </c>
      <c r="AI33" s="97">
        <v>30</v>
      </c>
      <c r="AJ33" s="97">
        <v>31</v>
      </c>
      <c r="AK33" s="97">
        <v>36</v>
      </c>
      <c r="AL33" s="97">
        <v>44</v>
      </c>
      <c r="AM33" s="97">
        <v>47</v>
      </c>
      <c r="AN33" s="97">
        <v>49</v>
      </c>
      <c r="AO33" s="97">
        <v>49</v>
      </c>
      <c r="AP33" s="97">
        <v>54</v>
      </c>
      <c r="AQ33" s="97">
        <v>54</v>
      </c>
      <c r="AR33" s="97">
        <v>58</v>
      </c>
      <c r="AS33" s="97">
        <v>59</v>
      </c>
      <c r="AT33" s="97">
        <v>61</v>
      </c>
      <c r="AU33" s="97">
        <v>72</v>
      </c>
      <c r="AV33" s="97">
        <v>80</v>
      </c>
      <c r="AW33" s="97">
        <v>84</v>
      </c>
      <c r="AX33" s="97">
        <v>84</v>
      </c>
      <c r="AY33" s="97">
        <v>78</v>
      </c>
      <c r="AZ33" s="97">
        <v>72</v>
      </c>
      <c r="BA33" s="97">
        <v>70</v>
      </c>
      <c r="BB33" s="97">
        <v>70</v>
      </c>
      <c r="BC33" s="97">
        <v>70</v>
      </c>
      <c r="BD33" s="97">
        <v>71</v>
      </c>
      <c r="BE33" s="97">
        <v>72</v>
      </c>
      <c r="BF33" s="97">
        <v>73</v>
      </c>
      <c r="BG33" s="97">
        <v>72</v>
      </c>
      <c r="BH33" s="97">
        <v>75</v>
      </c>
      <c r="BI33" s="97">
        <v>81</v>
      </c>
      <c r="BJ33" s="97">
        <v>89</v>
      </c>
      <c r="BK33" s="97">
        <v>96</v>
      </c>
      <c r="BL33" s="97">
        <v>100</v>
      </c>
      <c r="BM33" s="38">
        <v>111</v>
      </c>
      <c r="BN33" s="97">
        <v>131</v>
      </c>
      <c r="BO33" s="97">
        <v>144</v>
      </c>
      <c r="BP33" s="97">
        <v>158</v>
      </c>
      <c r="BQ33" s="97">
        <v>170</v>
      </c>
      <c r="BR33" s="97">
        <v>188</v>
      </c>
      <c r="BS33" s="97">
        <v>206</v>
      </c>
      <c r="BT33" s="97">
        <v>230</v>
      </c>
      <c r="BU33" s="97">
        <v>242</v>
      </c>
      <c r="BV33" s="97">
        <v>256</v>
      </c>
      <c r="BW33" s="97">
        <v>266</v>
      </c>
      <c r="BX33" s="97">
        <v>270</v>
      </c>
      <c r="BY33" s="97">
        <v>270</v>
      </c>
      <c r="BZ33" s="97">
        <v>274</v>
      </c>
      <c r="CA33" s="97">
        <v>284</v>
      </c>
      <c r="CB33" s="97">
        <v>292</v>
      </c>
      <c r="CC33" s="97">
        <v>291.75</v>
      </c>
      <c r="CD33" s="97">
        <v>299</v>
      </c>
      <c r="CE33" s="97">
        <v>301</v>
      </c>
      <c r="CF33" s="97">
        <v>302.25</v>
      </c>
      <c r="CG33" s="97">
        <v>308</v>
      </c>
      <c r="CH33" s="97">
        <v>303</v>
      </c>
      <c r="CI33" s="97">
        <v>306</v>
      </c>
      <c r="CJ33" s="97">
        <v>310</v>
      </c>
      <c r="CK33" s="97">
        <v>313</v>
      </c>
      <c r="CL33" s="97">
        <v>311.5</v>
      </c>
      <c r="CM33" s="97">
        <v>310</v>
      </c>
      <c r="CN33" s="97">
        <v>313</v>
      </c>
      <c r="CO33" s="97">
        <v>314.5</v>
      </c>
      <c r="CP33" s="97">
        <v>322</v>
      </c>
      <c r="CQ33" s="97">
        <v>322</v>
      </c>
      <c r="CR33" s="97">
        <v>325</v>
      </c>
      <c r="CS33" s="97">
        <v>334</v>
      </c>
      <c r="CT33" s="97">
        <v>328</v>
      </c>
      <c r="CU33" s="97">
        <v>332.75</v>
      </c>
      <c r="CV33" s="97">
        <v>341</v>
      </c>
      <c r="CW33" s="97">
        <v>346</v>
      </c>
      <c r="CX33" s="97">
        <v>343.25</v>
      </c>
      <c r="CY33" s="97">
        <v>340</v>
      </c>
      <c r="CZ33" s="97">
        <v>345</v>
      </c>
      <c r="DA33" s="97">
        <v>348.25</v>
      </c>
      <c r="DB33" s="97">
        <v>363</v>
      </c>
      <c r="DC33" s="97">
        <v>360</v>
      </c>
      <c r="DD33" s="97">
        <v>364</v>
      </c>
      <c r="DE33" s="97">
        <v>373</v>
      </c>
      <c r="DF33" s="97">
        <v>371</v>
      </c>
      <c r="DG33" s="97">
        <f t="shared" si="2"/>
        <v>369.25</v>
      </c>
      <c r="DH33" s="97">
        <v>362</v>
      </c>
      <c r="DI33" s="99">
        <v>369</v>
      </c>
      <c r="DJ33" s="99">
        <f t="shared" si="3"/>
        <v>371.25</v>
      </c>
      <c r="DK33" s="97">
        <v>385</v>
      </c>
      <c r="DL33" s="97">
        <v>385</v>
      </c>
      <c r="DM33" s="97">
        <f t="shared" si="4"/>
        <v>386.5</v>
      </c>
      <c r="DN33" s="97">
        <v>391</v>
      </c>
      <c r="DO33" s="97">
        <v>360</v>
      </c>
      <c r="DP33" s="97">
        <f t="shared" si="33"/>
        <v>371.5</v>
      </c>
      <c r="DQ33" s="97">
        <v>375</v>
      </c>
      <c r="DR33" s="97">
        <v>378</v>
      </c>
      <c r="DS33" s="97">
        <f t="shared" si="6"/>
        <v>379.5</v>
      </c>
      <c r="DT33" s="97">
        <v>387</v>
      </c>
      <c r="DU33" s="97">
        <v>395</v>
      </c>
      <c r="DV33" s="97">
        <f t="shared" si="7"/>
        <v>394.5</v>
      </c>
      <c r="DW33" s="97">
        <v>401</v>
      </c>
      <c r="DX33" s="97">
        <v>387</v>
      </c>
      <c r="DY33" s="97">
        <f t="shared" si="8"/>
        <v>396.5</v>
      </c>
      <c r="DZ33" s="87">
        <v>411</v>
      </c>
      <c r="EA33" s="97">
        <v>400</v>
      </c>
      <c r="EB33" s="97">
        <f t="shared" si="9"/>
        <v>403.20249999999999</v>
      </c>
      <c r="EC33" s="54">
        <v>401.81</v>
      </c>
      <c r="ED33" s="54">
        <v>424</v>
      </c>
      <c r="EE33" s="97">
        <f t="shared" si="10"/>
        <v>422.45249999999999</v>
      </c>
      <c r="EF33" s="54">
        <v>440</v>
      </c>
      <c r="EG33" s="274">
        <v>452.35306600000001</v>
      </c>
      <c r="EH33" s="97">
        <f t="shared" si="11"/>
        <v>450.436533</v>
      </c>
      <c r="EI33" s="54">
        <v>457.04</v>
      </c>
      <c r="EJ33" s="54">
        <v>538</v>
      </c>
      <c r="EK33" s="97">
        <f t="shared" si="12"/>
        <v>500.26</v>
      </c>
      <c r="EL33" s="54">
        <v>468</v>
      </c>
      <c r="EM33" s="54">
        <v>417</v>
      </c>
      <c r="EN33" s="97">
        <f t="shared" si="13"/>
        <v>435.25</v>
      </c>
      <c r="EO33" s="54">
        <v>439</v>
      </c>
      <c r="EP33" s="54">
        <v>488</v>
      </c>
      <c r="EQ33" s="97">
        <f t="shared" si="14"/>
        <v>472.25</v>
      </c>
      <c r="ER33" s="269">
        <v>474</v>
      </c>
      <c r="ES33" s="269">
        <v>500.51</v>
      </c>
      <c r="ET33" s="97">
        <f t="shared" si="15"/>
        <v>493.255</v>
      </c>
      <c r="EU33" s="269">
        <v>498</v>
      </c>
      <c r="EV33" s="269">
        <v>487</v>
      </c>
      <c r="EW33" s="97">
        <f t="shared" si="16"/>
        <v>509</v>
      </c>
      <c r="EX33" s="269">
        <v>564</v>
      </c>
      <c r="EY33" s="269">
        <v>480.45</v>
      </c>
      <c r="EZ33" s="97">
        <f t="shared" si="17"/>
        <v>500.72500000000002</v>
      </c>
      <c r="FA33" s="269">
        <v>478</v>
      </c>
      <c r="FB33" s="269">
        <v>483</v>
      </c>
      <c r="FC33" s="97">
        <f t="shared" si="18"/>
        <v>482.25</v>
      </c>
      <c r="FD33" s="269">
        <v>485</v>
      </c>
      <c r="FE33" s="269">
        <v>551</v>
      </c>
      <c r="FF33" s="97">
        <f t="shared" si="19"/>
        <v>531.25</v>
      </c>
      <c r="FG33" s="270">
        <v>538</v>
      </c>
      <c r="FH33" s="269">
        <v>561</v>
      </c>
      <c r="FI33" s="97">
        <f t="shared" si="20"/>
        <v>559.75</v>
      </c>
      <c r="FJ33" s="269">
        <v>579</v>
      </c>
      <c r="FK33" s="269">
        <v>506</v>
      </c>
      <c r="FL33" s="97">
        <f t="shared" si="21"/>
        <v>524.5</v>
      </c>
      <c r="FM33" s="269">
        <v>507</v>
      </c>
      <c r="FN33" s="269">
        <v>537</v>
      </c>
      <c r="FO33" s="97">
        <f t="shared" si="22"/>
        <v>535.25</v>
      </c>
      <c r="FP33" s="269">
        <v>560</v>
      </c>
      <c r="FQ33" s="269">
        <v>548</v>
      </c>
      <c r="FR33" s="97">
        <f t="shared" si="23"/>
        <v>529.5</v>
      </c>
      <c r="FS33" s="269">
        <v>462</v>
      </c>
      <c r="FT33" s="269">
        <v>562</v>
      </c>
      <c r="FU33" s="97">
        <f t="shared" si="24"/>
        <v>548.25</v>
      </c>
      <c r="FV33" s="269">
        <v>607</v>
      </c>
      <c r="FW33" s="269">
        <v>742</v>
      </c>
      <c r="FX33" s="97">
        <f t="shared" si="25"/>
        <v>737.5</v>
      </c>
      <c r="FY33" s="269">
        <v>859</v>
      </c>
      <c r="FZ33" s="269">
        <v>799</v>
      </c>
      <c r="GA33" s="97">
        <f t="shared" si="26"/>
        <v>782.25</v>
      </c>
      <c r="GB33" s="270">
        <v>672</v>
      </c>
      <c r="GC33" s="269"/>
      <c r="GD33" s="272">
        <f t="shared" si="29"/>
        <v>672</v>
      </c>
      <c r="GE33" s="269"/>
      <c r="GF33" s="275"/>
      <c r="GG33" s="97">
        <f t="shared" si="27"/>
        <v>0</v>
      </c>
      <c r="GH33" s="105"/>
      <c r="GI33" s="105"/>
      <c r="GJ33" s="97"/>
      <c r="GK33" s="105"/>
      <c r="GL33" s="105"/>
      <c r="GM33" s="97"/>
      <c r="GN33" s="105"/>
      <c r="GO33" s="105"/>
      <c r="GP33" s="97"/>
      <c r="GQ33" s="105"/>
      <c r="GR33" s="105"/>
    </row>
    <row r="34" spans="1:200" ht="10.5" customHeight="1" x14ac:dyDescent="0.3">
      <c r="A34" s="265">
        <f t="shared" si="28"/>
        <v>27</v>
      </c>
      <c r="B34" s="5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38"/>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f t="shared" si="9"/>
        <v>0</v>
      </c>
      <c r="EC34" s="54"/>
      <c r="ED34" s="54"/>
      <c r="EE34" s="97">
        <f t="shared" si="10"/>
        <v>0</v>
      </c>
      <c r="EF34" s="54"/>
      <c r="EG34" s="274"/>
      <c r="EH34" s="97">
        <f t="shared" si="11"/>
        <v>0</v>
      </c>
      <c r="EI34" s="54"/>
      <c r="EJ34" s="54"/>
      <c r="EK34" s="97">
        <f t="shared" si="12"/>
        <v>0</v>
      </c>
      <c r="EL34" s="54"/>
      <c r="EM34" s="54"/>
      <c r="EN34" s="97">
        <f t="shared" si="13"/>
        <v>0</v>
      </c>
      <c r="EO34" s="54"/>
      <c r="EP34" s="54"/>
      <c r="EQ34" s="97">
        <f t="shared" si="14"/>
        <v>0</v>
      </c>
      <c r="ER34" s="269"/>
      <c r="ES34" s="269"/>
      <c r="ET34" s="97">
        <f t="shared" si="15"/>
        <v>0</v>
      </c>
      <c r="EU34" s="269"/>
      <c r="EV34" s="269"/>
      <c r="EW34" s="97">
        <f t="shared" si="16"/>
        <v>0</v>
      </c>
      <c r="EX34" s="269"/>
      <c r="EY34" s="269"/>
      <c r="EZ34" s="97">
        <f t="shared" si="17"/>
        <v>0</v>
      </c>
      <c r="FA34" s="269"/>
      <c r="FB34" s="269"/>
      <c r="FC34" s="97">
        <f t="shared" si="18"/>
        <v>0</v>
      </c>
      <c r="FD34" s="269"/>
      <c r="FE34" s="269"/>
      <c r="FF34" s="97">
        <f t="shared" si="19"/>
        <v>0</v>
      </c>
      <c r="FG34" s="270"/>
      <c r="FH34" s="269"/>
      <c r="FI34" s="97">
        <f t="shared" si="20"/>
        <v>0</v>
      </c>
      <c r="FJ34" s="269"/>
      <c r="FK34" s="269"/>
      <c r="FL34" s="97">
        <f t="shared" si="21"/>
        <v>0</v>
      </c>
      <c r="FM34" s="269"/>
      <c r="FN34" s="269"/>
      <c r="FO34" s="97">
        <f t="shared" si="22"/>
        <v>0</v>
      </c>
      <c r="FP34" s="269"/>
      <c r="FQ34" s="269"/>
      <c r="FR34" s="97">
        <f t="shared" si="23"/>
        <v>0</v>
      </c>
      <c r="FS34" s="269"/>
      <c r="FT34" s="269"/>
      <c r="FU34" s="97">
        <f t="shared" si="24"/>
        <v>0</v>
      </c>
      <c r="FV34" s="269"/>
      <c r="FW34" s="269"/>
      <c r="FX34" s="97">
        <f t="shared" si="25"/>
        <v>0</v>
      </c>
      <c r="FY34" s="269"/>
      <c r="FZ34" s="269"/>
      <c r="GA34" s="97">
        <f t="shared" si="26"/>
        <v>0</v>
      </c>
      <c r="GB34" s="270"/>
      <c r="GC34" s="269"/>
      <c r="GD34" s="272">
        <f t="shared" si="29"/>
        <v>0</v>
      </c>
      <c r="GE34" s="269"/>
      <c r="GF34" s="275"/>
      <c r="GG34" s="97">
        <f t="shared" si="27"/>
        <v>0</v>
      </c>
      <c r="GH34" s="105"/>
      <c r="GI34" s="105"/>
      <c r="GJ34" s="97"/>
      <c r="GK34" s="105"/>
      <c r="GL34" s="105"/>
      <c r="GM34" s="97"/>
      <c r="GN34" s="105"/>
      <c r="GO34" s="105"/>
      <c r="GP34" s="97"/>
      <c r="GQ34" s="105"/>
      <c r="GR34" s="105"/>
    </row>
    <row r="35" spans="1:200" ht="10.5" customHeight="1" x14ac:dyDescent="0.3">
      <c r="A35" s="265">
        <f t="shared" si="28"/>
        <v>28</v>
      </c>
      <c r="B35" s="56" t="s">
        <v>1025</v>
      </c>
      <c r="C35" s="97">
        <v>18</v>
      </c>
      <c r="D35" s="97">
        <v>18</v>
      </c>
      <c r="E35" s="97">
        <v>18</v>
      </c>
      <c r="F35" s="97">
        <v>18</v>
      </c>
      <c r="G35" s="97">
        <v>18</v>
      </c>
      <c r="H35" s="97">
        <v>19</v>
      </c>
      <c r="I35" s="97">
        <v>25</v>
      </c>
      <c r="J35" s="97">
        <v>25</v>
      </c>
      <c r="K35" s="97">
        <v>27</v>
      </c>
      <c r="L35" s="97">
        <v>26</v>
      </c>
      <c r="M35" s="97">
        <v>25</v>
      </c>
      <c r="N35" s="97">
        <v>25</v>
      </c>
      <c r="O35" s="97">
        <v>25</v>
      </c>
      <c r="P35" s="97">
        <v>25</v>
      </c>
      <c r="Q35" s="97">
        <v>24</v>
      </c>
      <c r="R35" s="97">
        <v>23</v>
      </c>
      <c r="S35" s="97">
        <v>24</v>
      </c>
      <c r="T35" s="97">
        <v>24</v>
      </c>
      <c r="U35" s="97">
        <v>24</v>
      </c>
      <c r="V35" s="97">
        <v>24</v>
      </c>
      <c r="W35" s="97">
        <v>24</v>
      </c>
      <c r="X35" s="97">
        <v>24</v>
      </c>
      <c r="Y35" s="97">
        <v>24</v>
      </c>
      <c r="Z35" s="97">
        <v>24</v>
      </c>
      <c r="AA35" s="97">
        <v>23</v>
      </c>
      <c r="AB35" s="97">
        <v>23</v>
      </c>
      <c r="AC35" s="97">
        <v>23</v>
      </c>
      <c r="AD35" s="97">
        <v>23</v>
      </c>
      <c r="AE35" s="97">
        <v>24</v>
      </c>
      <c r="AF35" s="97">
        <v>25</v>
      </c>
      <c r="AG35" s="97">
        <v>27</v>
      </c>
      <c r="AH35" s="97">
        <v>27</v>
      </c>
      <c r="AI35" s="97">
        <v>26</v>
      </c>
      <c r="AJ35" s="97">
        <v>28</v>
      </c>
      <c r="AK35" s="97">
        <v>31</v>
      </c>
      <c r="AL35" s="97">
        <v>31</v>
      </c>
      <c r="AM35" s="97">
        <v>35</v>
      </c>
      <c r="AN35" s="97">
        <v>40</v>
      </c>
      <c r="AO35" s="97">
        <v>40</v>
      </c>
      <c r="AP35" s="97">
        <v>41</v>
      </c>
      <c r="AQ35" s="97">
        <v>42</v>
      </c>
      <c r="AR35" s="97">
        <v>43</v>
      </c>
      <c r="AS35" s="97">
        <v>44</v>
      </c>
      <c r="AT35" s="97">
        <v>46</v>
      </c>
      <c r="AU35" s="97">
        <v>49</v>
      </c>
      <c r="AV35" s="97">
        <v>54</v>
      </c>
      <c r="AW35" s="97">
        <v>58</v>
      </c>
      <c r="AX35" s="97">
        <v>61</v>
      </c>
      <c r="AY35" s="97">
        <v>61</v>
      </c>
      <c r="AZ35" s="97">
        <v>61</v>
      </c>
      <c r="BA35" s="97">
        <v>61</v>
      </c>
      <c r="BB35" s="97">
        <v>64</v>
      </c>
      <c r="BC35" s="97">
        <v>68</v>
      </c>
      <c r="BD35" s="97">
        <v>73</v>
      </c>
      <c r="BE35" s="97">
        <v>74</v>
      </c>
      <c r="BF35" s="97">
        <v>78</v>
      </c>
      <c r="BG35" s="97">
        <v>84</v>
      </c>
      <c r="BH35" s="97">
        <v>88</v>
      </c>
      <c r="BI35" s="97">
        <v>91</v>
      </c>
      <c r="BJ35" s="97">
        <v>91</v>
      </c>
      <c r="BK35" s="97">
        <v>90</v>
      </c>
      <c r="BL35" s="97">
        <v>100</v>
      </c>
      <c r="BM35" s="38">
        <v>120</v>
      </c>
      <c r="BN35" s="97">
        <v>150</v>
      </c>
      <c r="BO35" s="97">
        <v>161</v>
      </c>
      <c r="BP35" s="97">
        <v>172</v>
      </c>
      <c r="BQ35" s="97">
        <v>188</v>
      </c>
      <c r="BR35" s="97">
        <v>213</v>
      </c>
      <c r="BS35" s="97">
        <v>237</v>
      </c>
      <c r="BT35" s="97">
        <v>265</v>
      </c>
      <c r="BU35" s="97">
        <v>280</v>
      </c>
      <c r="BV35" s="97">
        <v>284</v>
      </c>
      <c r="BW35" s="97">
        <v>295</v>
      </c>
      <c r="BX35" s="97">
        <v>301</v>
      </c>
      <c r="BY35" s="97">
        <v>303</v>
      </c>
      <c r="BZ35" s="97">
        <v>307</v>
      </c>
      <c r="CA35" s="97">
        <v>311</v>
      </c>
      <c r="CB35" s="97">
        <v>323</v>
      </c>
      <c r="CC35" s="97">
        <v>324.5</v>
      </c>
      <c r="CD35" s="97">
        <v>341</v>
      </c>
      <c r="CE35" s="97">
        <v>357</v>
      </c>
      <c r="CF35" s="97">
        <v>353.5</v>
      </c>
      <c r="CG35" s="97">
        <v>359</v>
      </c>
      <c r="CH35" s="97">
        <v>377</v>
      </c>
      <c r="CI35" s="97">
        <v>371</v>
      </c>
      <c r="CJ35" s="97">
        <v>371</v>
      </c>
      <c r="CK35" s="97">
        <v>405</v>
      </c>
      <c r="CL35" s="97">
        <v>388</v>
      </c>
      <c r="CM35" s="97">
        <v>371</v>
      </c>
      <c r="CN35" s="97">
        <v>405</v>
      </c>
      <c r="CO35" s="97">
        <v>404.75</v>
      </c>
      <c r="CP35" s="97">
        <v>438</v>
      </c>
      <c r="CQ35" s="97">
        <v>437</v>
      </c>
      <c r="CR35" s="97">
        <v>438.25</v>
      </c>
      <c r="CS35" s="97">
        <v>441</v>
      </c>
      <c r="CT35" s="97">
        <v>447</v>
      </c>
      <c r="CU35" s="97">
        <v>446</v>
      </c>
      <c r="CV35" s="97">
        <v>449</v>
      </c>
      <c r="CW35" s="97">
        <v>454</v>
      </c>
      <c r="CX35" s="97">
        <v>454.5</v>
      </c>
      <c r="CY35" s="97">
        <v>461</v>
      </c>
      <c r="CZ35" s="97">
        <v>461</v>
      </c>
      <c r="DA35" s="97">
        <v>461</v>
      </c>
      <c r="DB35" s="97">
        <v>461</v>
      </c>
      <c r="DC35" s="97">
        <v>473</v>
      </c>
      <c r="DD35" s="97">
        <v>470</v>
      </c>
      <c r="DE35" s="97">
        <v>473</v>
      </c>
      <c r="DF35" s="97">
        <v>479</v>
      </c>
      <c r="DG35" s="97">
        <f t="shared" ref="DG35:DG40" si="34">(DE35+DF35*2+DH35)/4</f>
        <v>477.5</v>
      </c>
      <c r="DH35" s="97">
        <v>479</v>
      </c>
      <c r="DI35" s="99">
        <v>479</v>
      </c>
      <c r="DJ35" s="99">
        <f t="shared" ref="DJ35:DJ40" si="35">(DH35+DI35*2+DK35)/4</f>
        <v>479.5</v>
      </c>
      <c r="DK35" s="97">
        <v>481</v>
      </c>
      <c r="DL35" s="97">
        <v>484</v>
      </c>
      <c r="DM35" s="97">
        <f t="shared" ref="DM35:DM40" si="36">(DK35+DL35*2+DN35)/4</f>
        <v>483.25</v>
      </c>
      <c r="DN35" s="97">
        <v>484</v>
      </c>
      <c r="DO35" s="97">
        <v>485</v>
      </c>
      <c r="DP35" s="97">
        <f t="shared" si="33"/>
        <v>487</v>
      </c>
      <c r="DQ35" s="97">
        <v>494</v>
      </c>
      <c r="DR35" s="97">
        <v>496</v>
      </c>
      <c r="DS35" s="97">
        <f t="shared" si="6"/>
        <v>495.25</v>
      </c>
      <c r="DT35" s="97">
        <v>495</v>
      </c>
      <c r="DU35" s="97">
        <v>496</v>
      </c>
      <c r="DV35" s="97">
        <f t="shared" si="7"/>
        <v>497</v>
      </c>
      <c r="DW35" s="97">
        <v>501</v>
      </c>
      <c r="DX35" s="97">
        <v>502</v>
      </c>
      <c r="DY35" s="97">
        <f t="shared" si="8"/>
        <v>502.75</v>
      </c>
      <c r="DZ35" s="87">
        <v>506</v>
      </c>
      <c r="EA35" s="97">
        <v>586</v>
      </c>
      <c r="EB35" s="97">
        <f t="shared" si="9"/>
        <v>553.32249999999999</v>
      </c>
      <c r="EC35" s="54">
        <v>535.29</v>
      </c>
      <c r="ED35" s="54">
        <v>544</v>
      </c>
      <c r="EE35" s="97">
        <f t="shared" si="10"/>
        <v>545.07249999999999</v>
      </c>
      <c r="EF35" s="54">
        <v>557</v>
      </c>
      <c r="EG35" s="274">
        <v>574.07397225650675</v>
      </c>
      <c r="EH35" s="97">
        <f t="shared" si="11"/>
        <v>571.42198612825337</v>
      </c>
      <c r="EI35" s="54">
        <v>580.54</v>
      </c>
      <c r="EJ35" s="54">
        <v>603</v>
      </c>
      <c r="EK35" s="97">
        <f t="shared" si="12"/>
        <v>601.88499999999999</v>
      </c>
      <c r="EL35" s="54">
        <v>621</v>
      </c>
      <c r="EM35" s="54">
        <v>626</v>
      </c>
      <c r="EN35" s="97">
        <f t="shared" si="13"/>
        <v>624.5</v>
      </c>
      <c r="EO35" s="54">
        <v>625</v>
      </c>
      <c r="EP35" s="54">
        <v>631</v>
      </c>
      <c r="EQ35" s="97">
        <f t="shared" si="14"/>
        <v>630</v>
      </c>
      <c r="ER35" s="269">
        <v>633</v>
      </c>
      <c r="ES35" s="269">
        <v>656.34</v>
      </c>
      <c r="ET35" s="97">
        <f t="shared" si="15"/>
        <v>651.92000000000007</v>
      </c>
      <c r="EU35" s="269">
        <v>662</v>
      </c>
      <c r="EV35" s="269">
        <v>677</v>
      </c>
      <c r="EW35" s="97">
        <f t="shared" si="16"/>
        <v>672.5</v>
      </c>
      <c r="EX35" s="269">
        <v>674</v>
      </c>
      <c r="EY35" s="269">
        <v>691.89</v>
      </c>
      <c r="EZ35" s="97">
        <f t="shared" si="17"/>
        <v>687.69499999999994</v>
      </c>
      <c r="FA35" s="269">
        <v>693</v>
      </c>
      <c r="FB35" s="269">
        <v>707</v>
      </c>
      <c r="FC35" s="97">
        <f t="shared" si="18"/>
        <v>705</v>
      </c>
      <c r="FD35" s="269">
        <v>713</v>
      </c>
      <c r="FE35" s="269">
        <v>720</v>
      </c>
      <c r="FF35" s="97">
        <f t="shared" si="19"/>
        <v>718.75</v>
      </c>
      <c r="FG35" s="270">
        <v>722</v>
      </c>
      <c r="FH35" s="269">
        <v>727</v>
      </c>
      <c r="FI35" s="97">
        <f t="shared" si="20"/>
        <v>726</v>
      </c>
      <c r="FJ35" s="269">
        <v>728</v>
      </c>
      <c r="FK35" s="269">
        <v>735</v>
      </c>
      <c r="FL35" s="97">
        <f t="shared" si="21"/>
        <v>736.25</v>
      </c>
      <c r="FM35" s="269">
        <v>747</v>
      </c>
      <c r="FN35" s="269">
        <v>759</v>
      </c>
      <c r="FO35" s="97">
        <f t="shared" si="22"/>
        <v>761</v>
      </c>
      <c r="FP35" s="269">
        <v>779</v>
      </c>
      <c r="FQ35" s="269">
        <v>783</v>
      </c>
      <c r="FR35" s="97">
        <f t="shared" si="23"/>
        <v>783</v>
      </c>
      <c r="FS35" s="269">
        <v>787</v>
      </c>
      <c r="FT35" s="269">
        <v>795</v>
      </c>
      <c r="FU35" s="97">
        <f t="shared" si="24"/>
        <v>792.5</v>
      </c>
      <c r="FV35" s="269">
        <v>793</v>
      </c>
      <c r="FW35" s="269">
        <v>816</v>
      </c>
      <c r="FX35" s="97">
        <f t="shared" si="25"/>
        <v>819.5</v>
      </c>
      <c r="FY35" s="269">
        <v>853</v>
      </c>
      <c r="FZ35" s="269">
        <v>952</v>
      </c>
      <c r="GA35" s="97">
        <f t="shared" si="26"/>
        <v>936.5</v>
      </c>
      <c r="GB35" s="270">
        <v>989</v>
      </c>
      <c r="GC35" s="269"/>
      <c r="GD35" s="272">
        <f t="shared" si="29"/>
        <v>989</v>
      </c>
      <c r="GE35" s="269"/>
      <c r="GF35" s="275"/>
      <c r="GG35" s="97">
        <f t="shared" si="27"/>
        <v>0</v>
      </c>
      <c r="GH35" s="105"/>
      <c r="GI35" s="105"/>
      <c r="GJ35" s="97">
        <f t="shared" si="30"/>
        <v>0</v>
      </c>
      <c r="GK35" s="105"/>
      <c r="GL35" s="105"/>
      <c r="GM35" s="97">
        <f t="shared" si="31"/>
        <v>0</v>
      </c>
      <c r="GN35" s="105"/>
      <c r="GO35" s="105"/>
      <c r="GP35" s="97">
        <f t="shared" si="32"/>
        <v>0</v>
      </c>
      <c r="GQ35" s="105"/>
      <c r="GR35" s="105"/>
    </row>
    <row r="36" spans="1:200" ht="10.5" customHeight="1" x14ac:dyDescent="0.3">
      <c r="A36" s="265">
        <f t="shared" si="28"/>
        <v>29</v>
      </c>
      <c r="B36" s="56" t="s">
        <v>1026</v>
      </c>
      <c r="C36" s="97">
        <v>23</v>
      </c>
      <c r="D36" s="97">
        <v>24</v>
      </c>
      <c r="E36" s="97">
        <v>23</v>
      </c>
      <c r="F36" s="97">
        <v>24</v>
      </c>
      <c r="G36" s="97">
        <v>34</v>
      </c>
      <c r="H36" s="97">
        <v>44</v>
      </c>
      <c r="I36" s="97">
        <v>44</v>
      </c>
      <c r="J36" s="97">
        <v>45</v>
      </c>
      <c r="K36" s="97">
        <v>44</v>
      </c>
      <c r="L36" s="97">
        <v>43</v>
      </c>
      <c r="M36" s="97">
        <v>40</v>
      </c>
      <c r="N36" s="97">
        <v>41</v>
      </c>
      <c r="O36" s="97">
        <v>43</v>
      </c>
      <c r="P36" s="97">
        <v>43</v>
      </c>
      <c r="Q36" s="97">
        <v>43</v>
      </c>
      <c r="R36" s="97">
        <v>43</v>
      </c>
      <c r="S36" s="97">
        <v>43</v>
      </c>
      <c r="T36" s="97">
        <v>43</v>
      </c>
      <c r="U36" s="97">
        <v>43</v>
      </c>
      <c r="V36" s="97">
        <v>43</v>
      </c>
      <c r="W36" s="97">
        <v>42</v>
      </c>
      <c r="X36" s="97">
        <v>35</v>
      </c>
      <c r="Y36" s="97">
        <v>35</v>
      </c>
      <c r="Z36" s="97">
        <v>35</v>
      </c>
      <c r="AA36" s="97">
        <v>34</v>
      </c>
      <c r="AB36" s="97">
        <v>35</v>
      </c>
      <c r="AC36" s="97">
        <v>34</v>
      </c>
      <c r="AD36" s="97">
        <v>34</v>
      </c>
      <c r="AE36" s="97">
        <v>34</v>
      </c>
      <c r="AF36" s="97">
        <v>34</v>
      </c>
      <c r="AG36" s="97">
        <v>34</v>
      </c>
      <c r="AH36" s="97">
        <v>34</v>
      </c>
      <c r="AI36" s="97">
        <v>34</v>
      </c>
      <c r="AJ36" s="97">
        <v>34</v>
      </c>
      <c r="AK36" s="97">
        <v>36</v>
      </c>
      <c r="AL36" s="97">
        <v>41</v>
      </c>
      <c r="AM36" s="97">
        <v>44</v>
      </c>
      <c r="AN36" s="97">
        <v>48</v>
      </c>
      <c r="AO36" s="97">
        <v>50</v>
      </c>
      <c r="AP36" s="97">
        <v>51</v>
      </c>
      <c r="AQ36" s="97">
        <v>52</v>
      </c>
      <c r="AR36" s="97">
        <v>54</v>
      </c>
      <c r="AS36" s="97">
        <v>55</v>
      </c>
      <c r="AT36" s="97">
        <v>56</v>
      </c>
      <c r="AU36" s="97">
        <v>59</v>
      </c>
      <c r="AV36" s="97">
        <v>65</v>
      </c>
      <c r="AW36" s="97">
        <v>67</v>
      </c>
      <c r="AX36" s="97">
        <v>69</v>
      </c>
      <c r="AY36" s="97">
        <v>69</v>
      </c>
      <c r="AZ36" s="97">
        <v>69</v>
      </c>
      <c r="BA36" s="97">
        <v>69</v>
      </c>
      <c r="BB36" s="97">
        <v>69</v>
      </c>
      <c r="BC36" s="97">
        <v>71</v>
      </c>
      <c r="BD36" s="97">
        <v>71</v>
      </c>
      <c r="BE36" s="97">
        <v>71</v>
      </c>
      <c r="BF36" s="97">
        <v>72</v>
      </c>
      <c r="BG36" s="97">
        <v>75</v>
      </c>
      <c r="BH36" s="97">
        <v>80</v>
      </c>
      <c r="BI36" s="97">
        <v>83</v>
      </c>
      <c r="BJ36" s="97">
        <v>89</v>
      </c>
      <c r="BK36" s="97">
        <v>98</v>
      </c>
      <c r="BL36" s="97">
        <v>100</v>
      </c>
      <c r="BM36" s="38">
        <v>122</v>
      </c>
      <c r="BN36" s="97">
        <v>145</v>
      </c>
      <c r="BO36" s="97">
        <v>172</v>
      </c>
      <c r="BP36" s="97">
        <v>187</v>
      </c>
      <c r="BQ36" s="97">
        <v>212</v>
      </c>
      <c r="BR36" s="97">
        <v>225</v>
      </c>
      <c r="BS36" s="97">
        <v>253</v>
      </c>
      <c r="BT36" s="97">
        <v>290</v>
      </c>
      <c r="BU36" s="97">
        <v>315</v>
      </c>
      <c r="BV36" s="97">
        <v>271</v>
      </c>
      <c r="BW36" s="97">
        <v>262</v>
      </c>
      <c r="BX36" s="97">
        <v>254</v>
      </c>
      <c r="BY36" s="97">
        <v>265</v>
      </c>
      <c r="BZ36" s="97">
        <v>272</v>
      </c>
      <c r="CA36" s="97">
        <v>287</v>
      </c>
      <c r="CB36" s="97">
        <v>312</v>
      </c>
      <c r="CC36" s="97">
        <v>300.5</v>
      </c>
      <c r="CD36" s="97">
        <v>291</v>
      </c>
      <c r="CE36" s="97">
        <v>302</v>
      </c>
      <c r="CF36" s="97">
        <v>297.5</v>
      </c>
      <c r="CG36" s="97">
        <v>295</v>
      </c>
      <c r="CH36" s="97">
        <v>259</v>
      </c>
      <c r="CI36" s="97">
        <v>269</v>
      </c>
      <c r="CJ36" s="97">
        <v>263</v>
      </c>
      <c r="CK36" s="97">
        <v>250</v>
      </c>
      <c r="CL36" s="97">
        <v>256.5</v>
      </c>
      <c r="CM36" s="97">
        <v>263</v>
      </c>
      <c r="CN36" s="97">
        <v>250</v>
      </c>
      <c r="CO36" s="97">
        <v>249.75</v>
      </c>
      <c r="CP36" s="97">
        <v>236</v>
      </c>
      <c r="CQ36" s="97">
        <v>231</v>
      </c>
      <c r="CR36" s="97">
        <v>233.25</v>
      </c>
      <c r="CS36" s="97">
        <v>235</v>
      </c>
      <c r="CT36" s="97">
        <v>233</v>
      </c>
      <c r="CU36" s="97">
        <v>235</v>
      </c>
      <c r="CV36" s="97">
        <v>239</v>
      </c>
      <c r="CW36" s="97">
        <v>232</v>
      </c>
      <c r="CX36" s="97">
        <v>242.75</v>
      </c>
      <c r="CY36" s="97">
        <v>268</v>
      </c>
      <c r="CZ36" s="97">
        <v>269</v>
      </c>
      <c r="DA36" s="97">
        <v>268.75</v>
      </c>
      <c r="DB36" s="97">
        <v>269</v>
      </c>
      <c r="DC36" s="97">
        <v>272</v>
      </c>
      <c r="DD36" s="97">
        <v>272</v>
      </c>
      <c r="DE36" s="97">
        <v>275</v>
      </c>
      <c r="DF36" s="97">
        <v>275</v>
      </c>
      <c r="DG36" s="97">
        <f t="shared" si="34"/>
        <v>272.75</v>
      </c>
      <c r="DH36" s="97">
        <v>266</v>
      </c>
      <c r="DI36" s="99">
        <v>266</v>
      </c>
      <c r="DJ36" s="99">
        <f t="shared" si="35"/>
        <v>267</v>
      </c>
      <c r="DK36" s="97">
        <v>270</v>
      </c>
      <c r="DL36" s="97">
        <v>261</v>
      </c>
      <c r="DM36" s="97">
        <f t="shared" si="36"/>
        <v>263.25</v>
      </c>
      <c r="DN36" s="97">
        <v>261</v>
      </c>
      <c r="DO36" s="97">
        <v>258</v>
      </c>
      <c r="DP36" s="97">
        <f t="shared" si="33"/>
        <v>258.25</v>
      </c>
      <c r="DQ36" s="97">
        <v>256</v>
      </c>
      <c r="DR36" s="97">
        <v>255</v>
      </c>
      <c r="DS36" s="97">
        <f t="shared" si="6"/>
        <v>255.5</v>
      </c>
      <c r="DT36" s="97">
        <v>256</v>
      </c>
      <c r="DU36" s="97">
        <v>257</v>
      </c>
      <c r="DV36" s="97">
        <f t="shared" si="7"/>
        <v>256.75</v>
      </c>
      <c r="DW36" s="97">
        <v>257</v>
      </c>
      <c r="DX36" s="97">
        <v>400</v>
      </c>
      <c r="DY36" s="97">
        <f t="shared" si="8"/>
        <v>376.5</v>
      </c>
      <c r="DZ36" s="87">
        <v>449</v>
      </c>
      <c r="EA36" s="97">
        <v>452</v>
      </c>
      <c r="EB36" s="97">
        <f t="shared" si="9"/>
        <v>448.34000000000003</v>
      </c>
      <c r="EC36" s="54">
        <v>440.36</v>
      </c>
      <c r="ED36" s="54">
        <v>460</v>
      </c>
      <c r="EE36" s="97">
        <f t="shared" si="10"/>
        <v>471.34000000000003</v>
      </c>
      <c r="EF36" s="54">
        <v>525</v>
      </c>
      <c r="EG36" s="274">
        <v>481.97044755664001</v>
      </c>
      <c r="EH36" s="97">
        <f t="shared" si="11"/>
        <v>497.73772377832</v>
      </c>
      <c r="EI36" s="54">
        <v>502.01</v>
      </c>
      <c r="EJ36" s="54">
        <v>604</v>
      </c>
      <c r="EK36" s="97">
        <f t="shared" si="12"/>
        <v>577.50250000000005</v>
      </c>
      <c r="EL36" s="54">
        <v>600</v>
      </c>
      <c r="EM36" s="54">
        <v>510</v>
      </c>
      <c r="EN36" s="97">
        <f t="shared" si="13"/>
        <v>516</v>
      </c>
      <c r="EO36" s="54">
        <v>444</v>
      </c>
      <c r="EP36" s="54">
        <v>506</v>
      </c>
      <c r="EQ36" s="97">
        <f t="shared" si="14"/>
        <v>491.5</v>
      </c>
      <c r="ER36" s="269">
        <v>510</v>
      </c>
      <c r="ES36" s="269">
        <v>525.11</v>
      </c>
      <c r="ET36" s="97">
        <f t="shared" si="15"/>
        <v>536.55500000000006</v>
      </c>
      <c r="EU36" s="269">
        <v>586</v>
      </c>
      <c r="EV36" s="269">
        <v>616</v>
      </c>
      <c r="EW36" s="97">
        <f t="shared" si="16"/>
        <v>590</v>
      </c>
      <c r="EX36" s="269">
        <v>542</v>
      </c>
      <c r="EY36" s="269">
        <v>534.57000000000005</v>
      </c>
      <c r="EZ36" s="97">
        <f t="shared" si="17"/>
        <v>559.28500000000008</v>
      </c>
      <c r="FA36" s="269">
        <v>626</v>
      </c>
      <c r="FB36" s="269">
        <v>627</v>
      </c>
      <c r="FC36" s="97">
        <f t="shared" si="18"/>
        <v>624</v>
      </c>
      <c r="FD36" s="269">
        <v>616</v>
      </c>
      <c r="FE36" s="269">
        <v>589</v>
      </c>
      <c r="FF36" s="97">
        <f t="shared" si="19"/>
        <v>582.25</v>
      </c>
      <c r="FG36" s="270">
        <v>535</v>
      </c>
      <c r="FH36" s="269">
        <v>544</v>
      </c>
      <c r="FI36" s="97">
        <f t="shared" si="20"/>
        <v>548.25</v>
      </c>
      <c r="FJ36" s="269">
        <v>570</v>
      </c>
      <c r="FK36" s="269">
        <v>601</v>
      </c>
      <c r="FL36" s="97">
        <f t="shared" si="21"/>
        <v>596.75</v>
      </c>
      <c r="FM36" s="269">
        <v>615</v>
      </c>
      <c r="FN36" s="269">
        <v>693</v>
      </c>
      <c r="FO36" s="97">
        <f t="shared" si="22"/>
        <v>679.25</v>
      </c>
      <c r="FP36" s="269">
        <v>716</v>
      </c>
      <c r="FQ36" s="269">
        <v>689</v>
      </c>
      <c r="FR36" s="97">
        <f t="shared" si="23"/>
        <v>693.5</v>
      </c>
      <c r="FS36" s="269">
        <v>680</v>
      </c>
      <c r="FT36" s="269">
        <v>639</v>
      </c>
      <c r="FU36" s="97">
        <f t="shared" si="24"/>
        <v>672.75</v>
      </c>
      <c r="FV36" s="269">
        <v>733</v>
      </c>
      <c r="FW36" s="269">
        <v>996</v>
      </c>
      <c r="FX36" s="97">
        <f t="shared" si="25"/>
        <v>977.5</v>
      </c>
      <c r="FY36" s="269">
        <v>1185</v>
      </c>
      <c r="FZ36" s="269">
        <v>1227</v>
      </c>
      <c r="GA36" s="97">
        <f t="shared" si="26"/>
        <v>1192.75</v>
      </c>
      <c r="GB36" s="270">
        <v>1132</v>
      </c>
      <c r="GC36" s="269"/>
      <c r="GD36" s="272">
        <f t="shared" si="29"/>
        <v>1132</v>
      </c>
      <c r="GE36" s="269"/>
      <c r="GF36" s="275"/>
      <c r="GG36" s="97">
        <f t="shared" si="27"/>
        <v>0</v>
      </c>
      <c r="GH36" s="105"/>
      <c r="GI36" s="105"/>
      <c r="GJ36" s="97">
        <f t="shared" si="30"/>
        <v>0</v>
      </c>
      <c r="GK36" s="105"/>
      <c r="GL36" s="105"/>
      <c r="GM36" s="97">
        <f t="shared" si="31"/>
        <v>0</v>
      </c>
      <c r="GN36" s="105"/>
      <c r="GO36" s="105"/>
      <c r="GP36" s="97">
        <f t="shared" si="32"/>
        <v>0</v>
      </c>
      <c r="GQ36" s="105"/>
      <c r="GR36" s="105"/>
    </row>
    <row r="37" spans="1:200" ht="10.5" customHeight="1" x14ac:dyDescent="0.3">
      <c r="A37" s="265">
        <f t="shared" si="28"/>
        <v>30</v>
      </c>
      <c r="B37" s="56" t="s">
        <v>1027</v>
      </c>
      <c r="C37" s="97">
        <v>15</v>
      </c>
      <c r="D37" s="97">
        <v>16</v>
      </c>
      <c r="E37" s="97">
        <v>16</v>
      </c>
      <c r="F37" s="97">
        <v>17</v>
      </c>
      <c r="G37" s="97">
        <v>24</v>
      </c>
      <c r="H37" s="97">
        <v>36</v>
      </c>
      <c r="I37" s="97">
        <v>40</v>
      </c>
      <c r="J37" s="97">
        <v>36</v>
      </c>
      <c r="K37" s="97">
        <v>34</v>
      </c>
      <c r="L37" s="97">
        <v>32</v>
      </c>
      <c r="M37" s="97">
        <v>28</v>
      </c>
      <c r="N37" s="97">
        <v>30</v>
      </c>
      <c r="O37" s="97">
        <v>31</v>
      </c>
      <c r="P37" s="97">
        <v>31</v>
      </c>
      <c r="Q37" s="97">
        <v>31</v>
      </c>
      <c r="R37" s="97">
        <v>31</v>
      </c>
      <c r="S37" s="97">
        <v>31</v>
      </c>
      <c r="T37" s="97">
        <v>31</v>
      </c>
      <c r="U37" s="97">
        <v>30</v>
      </c>
      <c r="V37" s="97">
        <v>29</v>
      </c>
      <c r="W37" s="97">
        <v>29</v>
      </c>
      <c r="X37" s="97">
        <v>26</v>
      </c>
      <c r="Y37" s="97">
        <v>29</v>
      </c>
      <c r="Z37" s="97">
        <v>29</v>
      </c>
      <c r="AA37" s="97">
        <v>26</v>
      </c>
      <c r="AB37" s="97">
        <v>28</v>
      </c>
      <c r="AC37" s="97">
        <v>26</v>
      </c>
      <c r="AD37" s="97">
        <v>25</v>
      </c>
      <c r="AE37" s="97">
        <v>25</v>
      </c>
      <c r="AF37" s="97">
        <v>25</v>
      </c>
      <c r="AG37" s="97">
        <v>25</v>
      </c>
      <c r="AH37" s="97">
        <v>25</v>
      </c>
      <c r="AI37" s="97">
        <v>25</v>
      </c>
      <c r="AJ37" s="97">
        <v>25</v>
      </c>
      <c r="AK37" s="97">
        <v>28</v>
      </c>
      <c r="AL37" s="97">
        <v>33</v>
      </c>
      <c r="AM37" s="97">
        <v>37</v>
      </c>
      <c r="AN37" s="97">
        <v>41</v>
      </c>
      <c r="AO37" s="97">
        <v>43</v>
      </c>
      <c r="AP37" s="97">
        <v>46</v>
      </c>
      <c r="AQ37" s="97">
        <v>47</v>
      </c>
      <c r="AR37" s="97">
        <v>52</v>
      </c>
      <c r="AS37" s="97">
        <v>54</v>
      </c>
      <c r="AT37" s="97">
        <v>56</v>
      </c>
      <c r="AU37" s="97">
        <v>60</v>
      </c>
      <c r="AV37" s="97">
        <v>68</v>
      </c>
      <c r="AW37" s="97">
        <v>69</v>
      </c>
      <c r="AX37" s="97">
        <v>71</v>
      </c>
      <c r="AY37" s="97">
        <v>71</v>
      </c>
      <c r="AZ37" s="97">
        <v>71</v>
      </c>
      <c r="BA37" s="97">
        <v>71</v>
      </c>
      <c r="BB37" s="97">
        <v>71</v>
      </c>
      <c r="BC37" s="97">
        <v>71</v>
      </c>
      <c r="BD37" s="97">
        <v>71</v>
      </c>
      <c r="BE37" s="97">
        <v>71</v>
      </c>
      <c r="BF37" s="97">
        <v>73</v>
      </c>
      <c r="BG37" s="97">
        <v>73</v>
      </c>
      <c r="BH37" s="97">
        <v>76</v>
      </c>
      <c r="BI37" s="97">
        <v>82</v>
      </c>
      <c r="BJ37" s="97">
        <v>89</v>
      </c>
      <c r="BK37" s="97">
        <v>97</v>
      </c>
      <c r="BL37" s="97">
        <v>100</v>
      </c>
      <c r="BM37" s="38">
        <v>127</v>
      </c>
      <c r="BN37" s="97">
        <v>142</v>
      </c>
      <c r="BO37" s="97">
        <v>155</v>
      </c>
      <c r="BP37" s="97">
        <v>170</v>
      </c>
      <c r="BQ37" s="97">
        <v>194</v>
      </c>
      <c r="BR37" s="97">
        <v>213</v>
      </c>
      <c r="BS37" s="97">
        <v>225</v>
      </c>
      <c r="BT37" s="97">
        <v>254</v>
      </c>
      <c r="BU37" s="97">
        <v>268</v>
      </c>
      <c r="BV37" s="97">
        <v>270</v>
      </c>
      <c r="BW37" s="97">
        <v>282</v>
      </c>
      <c r="BX37" s="97">
        <v>272</v>
      </c>
      <c r="BY37" s="97">
        <v>237</v>
      </c>
      <c r="BZ37" s="97">
        <v>250</v>
      </c>
      <c r="CA37" s="97">
        <v>269</v>
      </c>
      <c r="CB37" s="97">
        <v>293</v>
      </c>
      <c r="CC37" s="97">
        <v>290.5</v>
      </c>
      <c r="CD37" s="97">
        <v>307</v>
      </c>
      <c r="CE37" s="97">
        <v>319</v>
      </c>
      <c r="CF37" s="97">
        <v>315.5</v>
      </c>
      <c r="CG37" s="97">
        <v>317</v>
      </c>
      <c r="CH37" s="97">
        <v>317</v>
      </c>
      <c r="CI37" s="97">
        <v>318</v>
      </c>
      <c r="CJ37" s="97">
        <v>321</v>
      </c>
      <c r="CK37" s="97">
        <v>325</v>
      </c>
      <c r="CL37" s="97">
        <v>323</v>
      </c>
      <c r="CM37" s="97">
        <v>321</v>
      </c>
      <c r="CN37" s="97">
        <v>325</v>
      </c>
      <c r="CO37" s="97">
        <v>323.25</v>
      </c>
      <c r="CP37" s="97">
        <v>322</v>
      </c>
      <c r="CQ37" s="97">
        <v>310</v>
      </c>
      <c r="CR37" s="97">
        <v>326.75</v>
      </c>
      <c r="CS37" s="97">
        <v>365</v>
      </c>
      <c r="CT37" s="97">
        <v>363</v>
      </c>
      <c r="CU37" s="97">
        <v>369.75</v>
      </c>
      <c r="CV37" s="97">
        <v>388</v>
      </c>
      <c r="CW37" s="97">
        <v>388</v>
      </c>
      <c r="CX37" s="97">
        <v>381.25</v>
      </c>
      <c r="CY37" s="97">
        <v>361</v>
      </c>
      <c r="CZ37" s="97">
        <v>379</v>
      </c>
      <c r="DA37" s="97">
        <v>375.5</v>
      </c>
      <c r="DB37" s="97">
        <v>383</v>
      </c>
      <c r="DC37" s="97">
        <v>389</v>
      </c>
      <c r="DD37" s="97">
        <v>387.5</v>
      </c>
      <c r="DE37" s="97">
        <v>389</v>
      </c>
      <c r="DF37" s="97">
        <v>389</v>
      </c>
      <c r="DG37" s="97">
        <f t="shared" si="34"/>
        <v>389</v>
      </c>
      <c r="DH37" s="97">
        <v>389</v>
      </c>
      <c r="DI37" s="99">
        <v>389</v>
      </c>
      <c r="DJ37" s="99">
        <f t="shared" si="35"/>
        <v>399.25</v>
      </c>
      <c r="DK37" s="97">
        <v>430</v>
      </c>
      <c r="DL37" s="97">
        <v>427</v>
      </c>
      <c r="DM37" s="97">
        <f t="shared" si="36"/>
        <v>427.75</v>
      </c>
      <c r="DN37" s="97">
        <v>427</v>
      </c>
      <c r="DO37" s="97">
        <v>422</v>
      </c>
      <c r="DP37" s="97">
        <f t="shared" si="33"/>
        <v>423.5</v>
      </c>
      <c r="DQ37" s="97">
        <v>423</v>
      </c>
      <c r="DR37" s="97">
        <v>418</v>
      </c>
      <c r="DS37" s="97">
        <f t="shared" si="6"/>
        <v>420.5</v>
      </c>
      <c r="DT37" s="97">
        <v>423</v>
      </c>
      <c r="DU37" s="97">
        <v>424</v>
      </c>
      <c r="DV37" s="97">
        <f t="shared" si="7"/>
        <v>448</v>
      </c>
      <c r="DW37" s="97">
        <v>521</v>
      </c>
      <c r="DX37" s="97">
        <v>576</v>
      </c>
      <c r="DY37" s="97">
        <f t="shared" si="8"/>
        <v>637</v>
      </c>
      <c r="DZ37" s="87">
        <v>875</v>
      </c>
      <c r="EA37" s="97">
        <v>855</v>
      </c>
      <c r="EB37" s="97">
        <f t="shared" si="9"/>
        <v>877.34249999999997</v>
      </c>
      <c r="EC37" s="54">
        <v>924.37</v>
      </c>
      <c r="ED37" s="54">
        <v>954</v>
      </c>
      <c r="EE37" s="97">
        <f t="shared" si="10"/>
        <v>915.34249999999997</v>
      </c>
      <c r="EF37" s="54">
        <v>829</v>
      </c>
      <c r="EG37" s="274">
        <v>838.93144954743013</v>
      </c>
      <c r="EH37" s="97">
        <f t="shared" si="11"/>
        <v>834.86322477371505</v>
      </c>
      <c r="EI37" s="54">
        <v>832.59</v>
      </c>
      <c r="EJ37" s="54">
        <v>1122</v>
      </c>
      <c r="EK37" s="97">
        <f t="shared" si="12"/>
        <v>1023.8975</v>
      </c>
      <c r="EL37" s="54">
        <v>1019</v>
      </c>
      <c r="EM37" s="54">
        <v>929</v>
      </c>
      <c r="EN37" s="97">
        <f t="shared" si="13"/>
        <v>947</v>
      </c>
      <c r="EO37" s="54">
        <v>911</v>
      </c>
      <c r="EP37" s="54">
        <v>987</v>
      </c>
      <c r="EQ37" s="97">
        <f t="shared" si="14"/>
        <v>991.5</v>
      </c>
      <c r="ER37" s="269">
        <v>1081</v>
      </c>
      <c r="ES37" s="269">
        <v>1122.51</v>
      </c>
      <c r="ET37" s="97">
        <f t="shared" si="15"/>
        <v>1169.0050000000001</v>
      </c>
      <c r="EU37" s="269">
        <v>1350</v>
      </c>
      <c r="EV37" s="269">
        <v>1327</v>
      </c>
      <c r="EW37" s="97">
        <f t="shared" si="16"/>
        <v>1327.25</v>
      </c>
      <c r="EX37" s="269">
        <v>1305</v>
      </c>
      <c r="EY37" s="269">
        <v>1275.8900000000001</v>
      </c>
      <c r="EZ37" s="97">
        <f t="shared" si="17"/>
        <v>1277.4450000000002</v>
      </c>
      <c r="FA37" s="269">
        <v>1253</v>
      </c>
      <c r="FB37" s="269">
        <v>1266</v>
      </c>
      <c r="FC37" s="97">
        <f t="shared" si="18"/>
        <v>1257</v>
      </c>
      <c r="FD37" s="269">
        <v>1243</v>
      </c>
      <c r="FE37" s="269">
        <v>1189</v>
      </c>
      <c r="FF37" s="97">
        <f t="shared" si="19"/>
        <v>1177.25</v>
      </c>
      <c r="FG37" s="270">
        <v>1088</v>
      </c>
      <c r="FH37" s="269">
        <v>1116</v>
      </c>
      <c r="FI37" s="97">
        <f t="shared" si="20"/>
        <v>1123.75</v>
      </c>
      <c r="FJ37" s="269">
        <v>1175</v>
      </c>
      <c r="FK37" s="269">
        <v>1247</v>
      </c>
      <c r="FL37" s="97">
        <f t="shared" si="21"/>
        <v>1221.75</v>
      </c>
      <c r="FM37" s="269">
        <v>1218</v>
      </c>
      <c r="FN37" s="269">
        <v>1382</v>
      </c>
      <c r="FO37" s="97">
        <f t="shared" si="22"/>
        <v>1353.5</v>
      </c>
      <c r="FP37" s="269">
        <v>1432</v>
      </c>
      <c r="FQ37" s="269">
        <v>1394</v>
      </c>
      <c r="FR37" s="97">
        <f t="shared" si="23"/>
        <v>1452.5</v>
      </c>
      <c r="FS37" s="269">
        <v>1590</v>
      </c>
      <c r="FT37" s="269">
        <v>1555</v>
      </c>
      <c r="FU37" s="97">
        <f t="shared" si="24"/>
        <v>1566</v>
      </c>
      <c r="FV37" s="269">
        <v>1564</v>
      </c>
      <c r="FW37" s="269">
        <v>2067</v>
      </c>
      <c r="FX37" s="97">
        <f t="shared" si="25"/>
        <v>2000.5</v>
      </c>
      <c r="FY37" s="269">
        <v>2304</v>
      </c>
      <c r="FZ37" s="269">
        <v>2276</v>
      </c>
      <c r="GA37" s="97">
        <f t="shared" si="26"/>
        <v>2526</v>
      </c>
      <c r="GB37" s="270">
        <v>3248</v>
      </c>
      <c r="GC37" s="269"/>
      <c r="GD37" s="272">
        <f t="shared" si="29"/>
        <v>3248</v>
      </c>
      <c r="GE37" s="269"/>
      <c r="GF37" s="275"/>
      <c r="GG37" s="97">
        <f t="shared" si="27"/>
        <v>0</v>
      </c>
      <c r="GH37" s="105"/>
      <c r="GI37" s="105"/>
      <c r="GJ37" s="97">
        <f t="shared" si="30"/>
        <v>0</v>
      </c>
      <c r="GK37" s="105"/>
      <c r="GL37" s="105"/>
      <c r="GM37" s="97">
        <f t="shared" si="31"/>
        <v>0</v>
      </c>
      <c r="GN37" s="105"/>
      <c r="GO37" s="105"/>
      <c r="GP37" s="97">
        <f t="shared" si="32"/>
        <v>0</v>
      </c>
      <c r="GQ37" s="105"/>
      <c r="GR37" s="105"/>
    </row>
    <row r="38" spans="1:200" ht="10.5" customHeight="1" x14ac:dyDescent="0.3">
      <c r="A38" s="265">
        <f t="shared" si="28"/>
        <v>31</v>
      </c>
      <c r="B38" s="56" t="s">
        <v>1028</v>
      </c>
      <c r="C38" s="99" t="s">
        <v>46</v>
      </c>
      <c r="D38" s="99" t="s">
        <v>46</v>
      </c>
      <c r="E38" s="99" t="s">
        <v>46</v>
      </c>
      <c r="F38" s="99" t="s">
        <v>46</v>
      </c>
      <c r="G38" s="99" t="s">
        <v>46</v>
      </c>
      <c r="H38" s="99" t="s">
        <v>46</v>
      </c>
      <c r="I38" s="99" t="s">
        <v>46</v>
      </c>
      <c r="J38" s="99" t="s">
        <v>46</v>
      </c>
      <c r="K38" s="99" t="s">
        <v>46</v>
      </c>
      <c r="L38" s="99" t="s">
        <v>46</v>
      </c>
      <c r="M38" s="99" t="s">
        <v>46</v>
      </c>
      <c r="N38" s="99" t="s">
        <v>46</v>
      </c>
      <c r="O38" s="99" t="s">
        <v>46</v>
      </c>
      <c r="P38" s="99" t="s">
        <v>46</v>
      </c>
      <c r="Q38" s="99" t="s">
        <v>46</v>
      </c>
      <c r="R38" s="99" t="s">
        <v>46</v>
      </c>
      <c r="S38" s="99" t="s">
        <v>46</v>
      </c>
      <c r="T38" s="99" t="s">
        <v>46</v>
      </c>
      <c r="U38" s="99" t="s">
        <v>46</v>
      </c>
      <c r="V38" s="99" t="s">
        <v>46</v>
      </c>
      <c r="W38" s="99" t="s">
        <v>46</v>
      </c>
      <c r="X38" s="99" t="s">
        <v>46</v>
      </c>
      <c r="Y38" s="99" t="s">
        <v>46</v>
      </c>
      <c r="Z38" s="99" t="s">
        <v>46</v>
      </c>
      <c r="AA38" s="99" t="s">
        <v>46</v>
      </c>
      <c r="AB38" s="99" t="s">
        <v>46</v>
      </c>
      <c r="AC38" s="99" t="s">
        <v>46</v>
      </c>
      <c r="AD38" s="99" t="s">
        <v>46</v>
      </c>
      <c r="AE38" s="99" t="s">
        <v>46</v>
      </c>
      <c r="AF38" s="99" t="s">
        <v>46</v>
      </c>
      <c r="AG38" s="99" t="s">
        <v>46</v>
      </c>
      <c r="AH38" s="99" t="s">
        <v>46</v>
      </c>
      <c r="AI38" s="99" t="s">
        <v>46</v>
      </c>
      <c r="AJ38" s="99" t="s">
        <v>46</v>
      </c>
      <c r="AK38" s="99" t="s">
        <v>46</v>
      </c>
      <c r="AL38" s="99" t="s">
        <v>46</v>
      </c>
      <c r="AM38" s="99" t="s">
        <v>46</v>
      </c>
      <c r="AN38" s="99" t="s">
        <v>46</v>
      </c>
      <c r="AO38" s="99" t="s">
        <v>46</v>
      </c>
      <c r="AP38" s="99" t="s">
        <v>46</v>
      </c>
      <c r="AQ38" s="97">
        <v>175</v>
      </c>
      <c r="AR38" s="97">
        <v>175</v>
      </c>
      <c r="AS38" s="97">
        <v>154</v>
      </c>
      <c r="AT38" s="97">
        <v>147</v>
      </c>
      <c r="AU38" s="97">
        <v>146</v>
      </c>
      <c r="AV38" s="97">
        <v>142</v>
      </c>
      <c r="AW38" s="97">
        <v>140</v>
      </c>
      <c r="AX38" s="97">
        <v>139</v>
      </c>
      <c r="AY38" s="97">
        <v>137</v>
      </c>
      <c r="AZ38" s="97">
        <v>133</v>
      </c>
      <c r="BA38" s="97">
        <v>132</v>
      </c>
      <c r="BB38" s="97">
        <v>132</v>
      </c>
      <c r="BC38" s="97">
        <v>128</v>
      </c>
      <c r="BD38" s="97">
        <v>123</v>
      </c>
      <c r="BE38" s="97">
        <v>126</v>
      </c>
      <c r="BF38" s="97">
        <v>126</v>
      </c>
      <c r="BG38" s="97">
        <v>123</v>
      </c>
      <c r="BH38" s="97">
        <v>111</v>
      </c>
      <c r="BI38" s="97">
        <v>98</v>
      </c>
      <c r="BJ38" s="97">
        <v>96</v>
      </c>
      <c r="BK38" s="97">
        <v>100</v>
      </c>
      <c r="BL38" s="97">
        <v>100</v>
      </c>
      <c r="BM38" s="38">
        <v>112</v>
      </c>
      <c r="BN38" s="97">
        <v>116</v>
      </c>
      <c r="BO38" s="97">
        <v>120</v>
      </c>
      <c r="BP38" s="97">
        <v>125</v>
      </c>
      <c r="BQ38" s="97">
        <v>129</v>
      </c>
      <c r="BR38" s="97">
        <v>142</v>
      </c>
      <c r="BS38" s="97">
        <v>152</v>
      </c>
      <c r="BT38" s="97">
        <v>142</v>
      </c>
      <c r="BU38" s="97">
        <v>132</v>
      </c>
      <c r="BV38" s="97">
        <v>149</v>
      </c>
      <c r="BW38" s="97">
        <v>157</v>
      </c>
      <c r="BX38" s="97">
        <v>146</v>
      </c>
      <c r="BY38" s="97">
        <v>146</v>
      </c>
      <c r="BZ38" s="97">
        <v>159</v>
      </c>
      <c r="CA38" s="97">
        <v>196</v>
      </c>
      <c r="CB38" s="97">
        <v>196</v>
      </c>
      <c r="CC38" s="97">
        <v>217.75</v>
      </c>
      <c r="CD38" s="97">
        <v>283</v>
      </c>
      <c r="CE38" s="97">
        <v>283</v>
      </c>
      <c r="CF38" s="97">
        <v>283</v>
      </c>
      <c r="CG38" s="97">
        <v>283</v>
      </c>
      <c r="CH38" s="97">
        <v>283</v>
      </c>
      <c r="CI38" s="97">
        <v>284.75</v>
      </c>
      <c r="CJ38" s="97">
        <v>290</v>
      </c>
      <c r="CK38" s="97">
        <v>290</v>
      </c>
      <c r="CL38" s="97">
        <v>290</v>
      </c>
      <c r="CM38" s="97">
        <v>290</v>
      </c>
      <c r="CN38" s="97">
        <v>290</v>
      </c>
      <c r="CO38" s="97">
        <v>274.75</v>
      </c>
      <c r="CP38" s="97">
        <v>229</v>
      </c>
      <c r="CQ38" s="97">
        <v>229</v>
      </c>
      <c r="CR38" s="97">
        <v>230</v>
      </c>
      <c r="CS38" s="97">
        <v>233</v>
      </c>
      <c r="CT38" s="97">
        <v>233</v>
      </c>
      <c r="CU38" s="97">
        <v>235.25</v>
      </c>
      <c r="CV38" s="97">
        <v>242</v>
      </c>
      <c r="CW38" s="97">
        <v>242</v>
      </c>
      <c r="CX38" s="97">
        <v>243.5</v>
      </c>
      <c r="CY38" s="97">
        <v>248</v>
      </c>
      <c r="CZ38" s="97">
        <v>248</v>
      </c>
      <c r="DA38" s="97">
        <v>248.75</v>
      </c>
      <c r="DB38" s="97">
        <v>251</v>
      </c>
      <c r="DC38" s="97">
        <v>251</v>
      </c>
      <c r="DD38" s="97">
        <v>251</v>
      </c>
      <c r="DE38" s="97">
        <v>251</v>
      </c>
      <c r="DF38" s="97">
        <v>251</v>
      </c>
      <c r="DG38" s="97">
        <f t="shared" si="34"/>
        <v>251.75</v>
      </c>
      <c r="DH38" s="97">
        <v>254</v>
      </c>
      <c r="DI38" s="99">
        <v>254</v>
      </c>
      <c r="DJ38" s="99">
        <f t="shared" si="35"/>
        <v>254.5</v>
      </c>
      <c r="DK38" s="97">
        <v>256</v>
      </c>
      <c r="DL38" s="97">
        <v>256</v>
      </c>
      <c r="DM38" s="97">
        <f t="shared" si="36"/>
        <v>265</v>
      </c>
      <c r="DN38" s="97">
        <v>292</v>
      </c>
      <c r="DO38" s="97">
        <v>292</v>
      </c>
      <c r="DP38" s="97">
        <f t="shared" si="33"/>
        <v>295</v>
      </c>
      <c r="DQ38" s="97">
        <v>304</v>
      </c>
      <c r="DR38" s="97">
        <v>304</v>
      </c>
      <c r="DS38" s="97">
        <f t="shared" si="6"/>
        <v>304.25</v>
      </c>
      <c r="DT38" s="97">
        <v>305</v>
      </c>
      <c r="DU38" s="97">
        <v>305</v>
      </c>
      <c r="DV38" s="97">
        <f t="shared" si="7"/>
        <v>307.75</v>
      </c>
      <c r="DW38" s="97">
        <v>316</v>
      </c>
      <c r="DX38" s="97">
        <v>316</v>
      </c>
      <c r="DY38" s="97">
        <f t="shared" si="8"/>
        <v>324.75</v>
      </c>
      <c r="DZ38" s="87">
        <v>351</v>
      </c>
      <c r="EA38" s="97">
        <v>351</v>
      </c>
      <c r="EB38" s="97">
        <f t="shared" si="9"/>
        <v>361.495</v>
      </c>
      <c r="EC38" s="54">
        <v>392.98</v>
      </c>
      <c r="ED38" s="54">
        <v>393</v>
      </c>
      <c r="EE38" s="97">
        <f t="shared" si="10"/>
        <v>421.995</v>
      </c>
      <c r="EF38" s="54">
        <v>509</v>
      </c>
      <c r="EG38" s="274">
        <v>508.94327999999996</v>
      </c>
      <c r="EH38" s="97">
        <f t="shared" si="11"/>
        <v>517.00914</v>
      </c>
      <c r="EI38" s="54">
        <v>541.15</v>
      </c>
      <c r="EJ38" s="54">
        <v>541</v>
      </c>
      <c r="EK38" s="97">
        <f t="shared" si="12"/>
        <v>566.78750000000002</v>
      </c>
      <c r="EL38" s="54">
        <v>644</v>
      </c>
      <c r="EM38" s="54">
        <v>644</v>
      </c>
      <c r="EN38" s="97">
        <f t="shared" si="13"/>
        <v>599</v>
      </c>
      <c r="EO38" s="54">
        <v>464</v>
      </c>
      <c r="EP38" s="54">
        <v>464</v>
      </c>
      <c r="EQ38" s="97">
        <f t="shared" si="14"/>
        <v>465.5</v>
      </c>
      <c r="ER38" s="269">
        <v>470</v>
      </c>
      <c r="ES38" s="269">
        <v>470.29</v>
      </c>
      <c r="ET38" s="97">
        <f t="shared" si="15"/>
        <v>486.39499999999998</v>
      </c>
      <c r="EU38" s="269">
        <v>535</v>
      </c>
      <c r="EV38" s="269">
        <v>535</v>
      </c>
      <c r="EW38" s="97">
        <f t="shared" si="16"/>
        <v>517.25</v>
      </c>
      <c r="EX38" s="269">
        <v>464</v>
      </c>
      <c r="EY38" s="269">
        <v>463.85</v>
      </c>
      <c r="EZ38" s="97">
        <f t="shared" si="17"/>
        <v>448.67500000000001</v>
      </c>
      <c r="FA38" s="269">
        <v>403</v>
      </c>
      <c r="FB38" s="269">
        <v>403</v>
      </c>
      <c r="FC38" s="97">
        <f t="shared" si="18"/>
        <v>403</v>
      </c>
      <c r="FD38" s="269">
        <v>403</v>
      </c>
      <c r="FE38" s="269">
        <v>403</v>
      </c>
      <c r="FF38" s="97">
        <f t="shared" si="19"/>
        <v>403</v>
      </c>
      <c r="FG38" s="270">
        <v>403</v>
      </c>
      <c r="FH38" s="269">
        <v>403</v>
      </c>
      <c r="FI38" s="97">
        <f t="shared" si="20"/>
        <v>400.75</v>
      </c>
      <c r="FJ38" s="269">
        <v>394</v>
      </c>
      <c r="FK38" s="269">
        <v>394</v>
      </c>
      <c r="FL38" s="97">
        <f t="shared" si="21"/>
        <v>398</v>
      </c>
      <c r="FM38" s="269">
        <v>410</v>
      </c>
      <c r="FN38" s="269">
        <v>410</v>
      </c>
      <c r="FO38" s="97">
        <f t="shared" si="22"/>
        <v>410.75</v>
      </c>
      <c r="FP38" s="269">
        <v>413</v>
      </c>
      <c r="FQ38" s="269">
        <v>413</v>
      </c>
      <c r="FR38" s="97">
        <f t="shared" si="23"/>
        <v>421.5</v>
      </c>
      <c r="FS38" s="269">
        <v>447</v>
      </c>
      <c r="FT38" s="269">
        <v>447</v>
      </c>
      <c r="FU38" s="97">
        <f t="shared" si="24"/>
        <v>475</v>
      </c>
      <c r="FV38" s="269">
        <v>559</v>
      </c>
      <c r="FW38" s="269">
        <v>559</v>
      </c>
      <c r="FX38" s="97">
        <f t="shared" si="25"/>
        <v>570</v>
      </c>
      <c r="FY38" s="269">
        <v>603</v>
      </c>
      <c r="FZ38" s="269">
        <v>603</v>
      </c>
      <c r="GA38" s="97">
        <f t="shared" si="26"/>
        <v>644</v>
      </c>
      <c r="GB38" s="270">
        <v>767</v>
      </c>
      <c r="GC38" s="269"/>
      <c r="GD38" s="272">
        <f t="shared" si="29"/>
        <v>767</v>
      </c>
      <c r="GE38" s="269"/>
      <c r="GF38" s="275"/>
      <c r="GG38" s="97">
        <f t="shared" si="27"/>
        <v>0</v>
      </c>
      <c r="GH38" s="105"/>
      <c r="GI38" s="105"/>
      <c r="GJ38" s="97"/>
      <c r="GK38" s="105"/>
      <c r="GL38" s="105"/>
      <c r="GM38" s="97"/>
      <c r="GN38" s="105"/>
      <c r="GO38" s="105"/>
      <c r="GP38" s="97"/>
      <c r="GQ38" s="105"/>
      <c r="GR38" s="105"/>
    </row>
    <row r="39" spans="1:200" ht="10.5" customHeight="1" x14ac:dyDescent="0.3">
      <c r="A39" s="265">
        <f t="shared" si="28"/>
        <v>32</v>
      </c>
      <c r="B39" s="56" t="s">
        <v>1029</v>
      </c>
      <c r="C39" s="97">
        <v>17</v>
      </c>
      <c r="D39" s="97">
        <v>18</v>
      </c>
      <c r="E39" s="97">
        <v>18</v>
      </c>
      <c r="F39" s="97">
        <v>18</v>
      </c>
      <c r="G39" s="97">
        <v>19</v>
      </c>
      <c r="H39" s="97">
        <v>23</v>
      </c>
      <c r="I39" s="97">
        <v>33</v>
      </c>
      <c r="J39" s="97">
        <v>33</v>
      </c>
      <c r="K39" s="97">
        <v>32</v>
      </c>
      <c r="L39" s="97">
        <v>33</v>
      </c>
      <c r="M39" s="97">
        <v>30</v>
      </c>
      <c r="N39" s="97">
        <v>30</v>
      </c>
      <c r="O39" s="97">
        <v>28</v>
      </c>
      <c r="P39" s="97">
        <v>27</v>
      </c>
      <c r="Q39" s="97">
        <v>27</v>
      </c>
      <c r="R39" s="97">
        <v>27</v>
      </c>
      <c r="S39" s="97">
        <v>27</v>
      </c>
      <c r="T39" s="97">
        <v>27</v>
      </c>
      <c r="U39" s="97">
        <v>27</v>
      </c>
      <c r="V39" s="97">
        <v>26</v>
      </c>
      <c r="W39" s="97">
        <v>25</v>
      </c>
      <c r="X39" s="97">
        <v>25</v>
      </c>
      <c r="Y39" s="97">
        <v>25</v>
      </c>
      <c r="Z39" s="97">
        <v>25</v>
      </c>
      <c r="AA39" s="97">
        <v>25</v>
      </c>
      <c r="AB39" s="97">
        <v>26</v>
      </c>
      <c r="AC39" s="97">
        <v>26</v>
      </c>
      <c r="AD39" s="97">
        <v>26</v>
      </c>
      <c r="AE39" s="97">
        <v>26</v>
      </c>
      <c r="AF39" s="97">
        <v>26</v>
      </c>
      <c r="AG39" s="97">
        <v>26</v>
      </c>
      <c r="AH39" s="97">
        <v>26</v>
      </c>
      <c r="AI39" s="97">
        <v>26</v>
      </c>
      <c r="AJ39" s="97">
        <v>26</v>
      </c>
      <c r="AK39" s="97">
        <v>33</v>
      </c>
      <c r="AL39" s="97">
        <v>41</v>
      </c>
      <c r="AM39" s="97">
        <v>42</v>
      </c>
      <c r="AN39" s="97">
        <v>45</v>
      </c>
      <c r="AO39" s="97">
        <v>48</v>
      </c>
      <c r="AP39" s="97">
        <v>55</v>
      </c>
      <c r="AQ39" s="97">
        <v>55</v>
      </c>
      <c r="AR39" s="97">
        <v>55</v>
      </c>
      <c r="AS39" s="97">
        <v>55</v>
      </c>
      <c r="AT39" s="97">
        <v>56</v>
      </c>
      <c r="AU39" s="97">
        <v>63</v>
      </c>
      <c r="AV39" s="97">
        <v>66</v>
      </c>
      <c r="AW39" s="97">
        <v>71</v>
      </c>
      <c r="AX39" s="97">
        <v>71</v>
      </c>
      <c r="AY39" s="97">
        <v>71</v>
      </c>
      <c r="AZ39" s="97">
        <v>73</v>
      </c>
      <c r="BA39" s="97">
        <v>79</v>
      </c>
      <c r="BB39" s="97">
        <v>79</v>
      </c>
      <c r="BC39" s="97">
        <v>79</v>
      </c>
      <c r="BD39" s="97">
        <v>79</v>
      </c>
      <c r="BE39" s="97">
        <v>86</v>
      </c>
      <c r="BF39" s="97">
        <v>88</v>
      </c>
      <c r="BG39" s="97">
        <v>88</v>
      </c>
      <c r="BH39" s="97">
        <v>89</v>
      </c>
      <c r="BI39" s="97">
        <v>94</v>
      </c>
      <c r="BJ39" s="97">
        <v>100</v>
      </c>
      <c r="BK39" s="97">
        <v>100</v>
      </c>
      <c r="BL39" s="97">
        <v>100</v>
      </c>
      <c r="BM39" s="38">
        <v>111</v>
      </c>
      <c r="BN39" s="97">
        <v>128</v>
      </c>
      <c r="BO39" s="97">
        <v>131</v>
      </c>
      <c r="BP39" s="97">
        <v>136</v>
      </c>
      <c r="BQ39" s="97">
        <v>139</v>
      </c>
      <c r="BR39" s="97">
        <v>143</v>
      </c>
      <c r="BS39" s="97">
        <v>149</v>
      </c>
      <c r="BT39" s="97">
        <v>158</v>
      </c>
      <c r="BU39" s="97">
        <v>158</v>
      </c>
      <c r="BV39" s="97">
        <v>146</v>
      </c>
      <c r="BW39" s="97">
        <v>147</v>
      </c>
      <c r="BX39" s="97">
        <v>158</v>
      </c>
      <c r="BY39" s="97">
        <v>166</v>
      </c>
      <c r="BZ39" s="97">
        <v>165</v>
      </c>
      <c r="CA39" s="97">
        <v>168</v>
      </c>
      <c r="CB39" s="97">
        <v>170</v>
      </c>
      <c r="CC39" s="97">
        <v>170.25</v>
      </c>
      <c r="CD39" s="97">
        <v>173</v>
      </c>
      <c r="CE39" s="97">
        <v>175</v>
      </c>
      <c r="CF39" s="97">
        <v>176.75</v>
      </c>
      <c r="CG39" s="97">
        <v>184</v>
      </c>
      <c r="CH39" s="97">
        <v>184</v>
      </c>
      <c r="CI39" s="97">
        <v>185</v>
      </c>
      <c r="CJ39" s="97">
        <v>188</v>
      </c>
      <c r="CK39" s="97">
        <v>191</v>
      </c>
      <c r="CL39" s="97">
        <v>189.5</v>
      </c>
      <c r="CM39" s="97">
        <v>188</v>
      </c>
      <c r="CN39" s="97">
        <v>191</v>
      </c>
      <c r="CO39" s="97">
        <v>190.25</v>
      </c>
      <c r="CP39" s="97">
        <v>191</v>
      </c>
      <c r="CQ39" s="97">
        <v>191</v>
      </c>
      <c r="CR39" s="97">
        <v>190.5</v>
      </c>
      <c r="CS39" s="97">
        <v>189</v>
      </c>
      <c r="CT39" s="97">
        <v>188</v>
      </c>
      <c r="CU39" s="97">
        <v>188.5</v>
      </c>
      <c r="CV39" s="97">
        <v>189</v>
      </c>
      <c r="CW39" s="97">
        <v>190</v>
      </c>
      <c r="CX39" s="97">
        <v>190</v>
      </c>
      <c r="CY39" s="97">
        <v>191</v>
      </c>
      <c r="CZ39" s="97">
        <v>193</v>
      </c>
      <c r="DA39" s="97">
        <v>191.75</v>
      </c>
      <c r="DB39" s="97">
        <v>190</v>
      </c>
      <c r="DC39" s="97">
        <v>197</v>
      </c>
      <c r="DD39" s="97">
        <v>195.5</v>
      </c>
      <c r="DE39" s="97">
        <v>198</v>
      </c>
      <c r="DF39" s="97">
        <v>196</v>
      </c>
      <c r="DG39" s="97">
        <f t="shared" si="34"/>
        <v>196</v>
      </c>
      <c r="DH39" s="97">
        <v>194</v>
      </c>
      <c r="DI39" s="99">
        <v>184</v>
      </c>
      <c r="DJ39" s="99">
        <f t="shared" si="35"/>
        <v>190.75</v>
      </c>
      <c r="DK39" s="97">
        <v>201</v>
      </c>
      <c r="DL39" s="97">
        <v>202</v>
      </c>
      <c r="DM39" s="97">
        <f t="shared" si="36"/>
        <v>201.75</v>
      </c>
      <c r="DN39" s="97">
        <v>202</v>
      </c>
      <c r="DO39" s="97">
        <v>210</v>
      </c>
      <c r="DP39" s="97">
        <f t="shared" si="33"/>
        <v>209.25</v>
      </c>
      <c r="DQ39" s="97">
        <v>215</v>
      </c>
      <c r="DR39" s="97">
        <v>197</v>
      </c>
      <c r="DS39" s="97">
        <f t="shared" si="6"/>
        <v>201.5</v>
      </c>
      <c r="DT39" s="97">
        <v>197</v>
      </c>
      <c r="DU39" s="97">
        <v>197</v>
      </c>
      <c r="DV39" s="97">
        <f t="shared" si="7"/>
        <v>192.75</v>
      </c>
      <c r="DW39" s="97">
        <v>180</v>
      </c>
      <c r="DX39" s="97">
        <v>183</v>
      </c>
      <c r="DY39" s="97">
        <f t="shared" si="8"/>
        <v>182.75</v>
      </c>
      <c r="DZ39" s="87">
        <v>185</v>
      </c>
      <c r="EA39" s="97">
        <v>184</v>
      </c>
      <c r="EB39" s="97">
        <f t="shared" si="9"/>
        <v>185.14500000000001</v>
      </c>
      <c r="EC39" s="54">
        <v>187.58</v>
      </c>
      <c r="ED39" s="54">
        <v>197</v>
      </c>
      <c r="EE39" s="97">
        <f t="shared" si="10"/>
        <v>196.64500000000001</v>
      </c>
      <c r="EF39" s="54">
        <v>205</v>
      </c>
      <c r="EG39" s="274">
        <v>231.25789012396282</v>
      </c>
      <c r="EH39" s="97">
        <f t="shared" si="11"/>
        <v>227.07644506198142</v>
      </c>
      <c r="EI39" s="54">
        <v>240.79</v>
      </c>
      <c r="EJ39" s="54">
        <v>250</v>
      </c>
      <c r="EK39" s="97">
        <f t="shared" si="12"/>
        <v>250.44749999999999</v>
      </c>
      <c r="EL39" s="54">
        <v>261</v>
      </c>
      <c r="EM39" s="54">
        <v>252</v>
      </c>
      <c r="EN39" s="97">
        <f t="shared" si="13"/>
        <v>255.5</v>
      </c>
      <c r="EO39" s="54">
        <v>257</v>
      </c>
      <c r="EP39" s="54">
        <v>252</v>
      </c>
      <c r="EQ39" s="97">
        <f t="shared" si="14"/>
        <v>253.25</v>
      </c>
      <c r="ER39" s="269">
        <v>252</v>
      </c>
      <c r="ES39" s="269">
        <v>255.57</v>
      </c>
      <c r="ET39" s="97">
        <f t="shared" si="15"/>
        <v>256.03499999999997</v>
      </c>
      <c r="EU39" s="269">
        <v>261</v>
      </c>
      <c r="EV39" s="269">
        <v>271</v>
      </c>
      <c r="EW39" s="97">
        <f t="shared" si="16"/>
        <v>268.5</v>
      </c>
      <c r="EX39" s="269">
        <v>271</v>
      </c>
      <c r="EY39" s="269">
        <v>272.22000000000003</v>
      </c>
      <c r="EZ39" s="97">
        <f t="shared" si="17"/>
        <v>289.11</v>
      </c>
      <c r="FA39" s="269">
        <v>341</v>
      </c>
      <c r="FB39" s="269">
        <v>342</v>
      </c>
      <c r="FC39" s="97">
        <f t="shared" si="18"/>
        <v>349.25</v>
      </c>
      <c r="FD39" s="269">
        <v>372</v>
      </c>
      <c r="FE39" s="269">
        <v>372</v>
      </c>
      <c r="FF39" s="97">
        <f t="shared" si="19"/>
        <v>376</v>
      </c>
      <c r="FG39" s="270">
        <v>388</v>
      </c>
      <c r="FH39" s="269">
        <v>388</v>
      </c>
      <c r="FI39" s="97">
        <f t="shared" si="20"/>
        <v>401.5</v>
      </c>
      <c r="FJ39" s="269">
        <v>442</v>
      </c>
      <c r="FK39" s="269">
        <v>442</v>
      </c>
      <c r="FL39" s="97">
        <f t="shared" si="21"/>
        <v>450.25</v>
      </c>
      <c r="FM39" s="269">
        <v>475</v>
      </c>
      <c r="FN39" s="269">
        <v>477</v>
      </c>
      <c r="FO39" s="97">
        <f t="shared" si="22"/>
        <v>485</v>
      </c>
      <c r="FP39" s="269">
        <v>511</v>
      </c>
      <c r="FQ39" s="269">
        <v>511</v>
      </c>
      <c r="FR39" s="97">
        <f t="shared" si="23"/>
        <v>505.5</v>
      </c>
      <c r="FS39" s="269">
        <v>489</v>
      </c>
      <c r="FT39" s="269">
        <v>490</v>
      </c>
      <c r="FU39" s="97">
        <f t="shared" si="24"/>
        <v>484.5</v>
      </c>
      <c r="FV39" s="269">
        <v>469</v>
      </c>
      <c r="FW39" s="269">
        <v>469</v>
      </c>
      <c r="FX39" s="97">
        <f t="shared" si="25"/>
        <v>484</v>
      </c>
      <c r="FY39" s="269">
        <v>529</v>
      </c>
      <c r="FZ39" s="269">
        <v>539</v>
      </c>
      <c r="GA39" s="97">
        <f t="shared" si="26"/>
        <v>546.75</v>
      </c>
      <c r="GB39" s="270">
        <v>580</v>
      </c>
      <c r="GC39" s="269"/>
      <c r="GD39" s="272">
        <f t="shared" si="29"/>
        <v>580</v>
      </c>
      <c r="GE39" s="269"/>
      <c r="GF39" s="275"/>
      <c r="GG39" s="97">
        <f t="shared" si="27"/>
        <v>0</v>
      </c>
      <c r="GH39" s="105"/>
      <c r="GI39" s="105"/>
      <c r="GJ39" s="97"/>
      <c r="GK39" s="105"/>
      <c r="GL39" s="105"/>
      <c r="GM39" s="97"/>
      <c r="GN39" s="105"/>
      <c r="GO39" s="105"/>
      <c r="GP39" s="97"/>
      <c r="GQ39" s="105"/>
      <c r="GR39" s="105"/>
    </row>
    <row r="40" spans="1:200" ht="10.5" customHeight="1" x14ac:dyDescent="0.3">
      <c r="A40" s="265">
        <f t="shared" si="28"/>
        <v>33</v>
      </c>
      <c r="B40" s="56" t="s">
        <v>1030</v>
      </c>
      <c r="C40" s="97">
        <v>24</v>
      </c>
      <c r="D40" s="97">
        <v>25</v>
      </c>
      <c r="E40" s="97">
        <v>25</v>
      </c>
      <c r="F40" s="97">
        <v>25</v>
      </c>
      <c r="G40" s="97">
        <v>26</v>
      </c>
      <c r="H40" s="97">
        <v>31</v>
      </c>
      <c r="I40" s="97">
        <v>47</v>
      </c>
      <c r="J40" s="97">
        <v>46</v>
      </c>
      <c r="K40" s="97">
        <v>45</v>
      </c>
      <c r="L40" s="97">
        <v>45</v>
      </c>
      <c r="M40" s="97">
        <v>41</v>
      </c>
      <c r="N40" s="97">
        <v>41</v>
      </c>
      <c r="O40" s="97">
        <v>39</v>
      </c>
      <c r="P40" s="97">
        <v>37</v>
      </c>
      <c r="Q40" s="97">
        <v>37</v>
      </c>
      <c r="R40" s="97">
        <v>38</v>
      </c>
      <c r="S40" s="97">
        <v>38</v>
      </c>
      <c r="T40" s="97">
        <v>38</v>
      </c>
      <c r="U40" s="97">
        <v>37</v>
      </c>
      <c r="V40" s="97">
        <v>36</v>
      </c>
      <c r="W40" s="97">
        <v>34</v>
      </c>
      <c r="X40" s="97">
        <v>34</v>
      </c>
      <c r="Y40" s="97">
        <v>34</v>
      </c>
      <c r="Z40" s="97">
        <v>34</v>
      </c>
      <c r="AA40" s="97">
        <v>34</v>
      </c>
      <c r="AB40" s="97">
        <v>35</v>
      </c>
      <c r="AC40" s="97">
        <v>37</v>
      </c>
      <c r="AD40" s="97">
        <v>40</v>
      </c>
      <c r="AE40" s="97">
        <v>48</v>
      </c>
      <c r="AF40" s="97">
        <v>48</v>
      </c>
      <c r="AG40" s="97">
        <v>48</v>
      </c>
      <c r="AH40" s="97">
        <v>48</v>
      </c>
      <c r="AI40" s="97">
        <v>48</v>
      </c>
      <c r="AJ40" s="97">
        <v>48</v>
      </c>
      <c r="AK40" s="97">
        <v>53</v>
      </c>
      <c r="AL40" s="97">
        <v>63</v>
      </c>
      <c r="AM40" s="97">
        <v>64</v>
      </c>
      <c r="AN40" s="97">
        <v>68</v>
      </c>
      <c r="AO40" s="97">
        <v>69</v>
      </c>
      <c r="AP40" s="97">
        <v>74</v>
      </c>
      <c r="AQ40" s="97">
        <v>74</v>
      </c>
      <c r="AR40" s="97">
        <v>74</v>
      </c>
      <c r="AS40" s="97">
        <v>74</v>
      </c>
      <c r="AT40" s="97">
        <v>74</v>
      </c>
      <c r="AU40" s="97">
        <v>74</v>
      </c>
      <c r="AV40" s="97">
        <v>76</v>
      </c>
      <c r="AW40" s="97">
        <v>80</v>
      </c>
      <c r="AX40" s="97">
        <v>80</v>
      </c>
      <c r="AY40" s="97">
        <v>80</v>
      </c>
      <c r="AZ40" s="97">
        <v>81</v>
      </c>
      <c r="BA40" s="97">
        <v>82</v>
      </c>
      <c r="BB40" s="97">
        <v>82</v>
      </c>
      <c r="BC40" s="97">
        <v>82</v>
      </c>
      <c r="BD40" s="97">
        <v>80</v>
      </c>
      <c r="BE40" s="97">
        <v>80</v>
      </c>
      <c r="BF40" s="97">
        <v>80</v>
      </c>
      <c r="BG40" s="97">
        <v>81</v>
      </c>
      <c r="BH40" s="97">
        <v>83</v>
      </c>
      <c r="BI40" s="97">
        <v>92</v>
      </c>
      <c r="BJ40" s="97">
        <v>98</v>
      </c>
      <c r="BK40" s="97">
        <v>100</v>
      </c>
      <c r="BL40" s="97">
        <v>100</v>
      </c>
      <c r="BM40" s="38">
        <v>106</v>
      </c>
      <c r="BN40" s="97">
        <v>125</v>
      </c>
      <c r="BO40" s="97">
        <v>132</v>
      </c>
      <c r="BP40" s="97">
        <v>136</v>
      </c>
      <c r="BQ40" s="97">
        <v>144</v>
      </c>
      <c r="BR40" s="97">
        <v>171</v>
      </c>
      <c r="BS40" s="97">
        <v>201</v>
      </c>
      <c r="BT40" s="97">
        <v>210</v>
      </c>
      <c r="BU40" s="97">
        <v>217</v>
      </c>
      <c r="BV40" s="97">
        <v>221</v>
      </c>
      <c r="BW40" s="97">
        <v>230</v>
      </c>
      <c r="BX40" s="97">
        <v>237</v>
      </c>
      <c r="BY40" s="97">
        <v>236</v>
      </c>
      <c r="BZ40" s="97">
        <v>243</v>
      </c>
      <c r="CA40" s="97">
        <v>247</v>
      </c>
      <c r="CB40" s="97">
        <v>245</v>
      </c>
      <c r="CC40" s="97">
        <v>246.75</v>
      </c>
      <c r="CD40" s="97">
        <v>250</v>
      </c>
      <c r="CE40" s="97">
        <v>250</v>
      </c>
      <c r="CF40" s="97">
        <v>253</v>
      </c>
      <c r="CG40" s="97">
        <v>262</v>
      </c>
      <c r="CH40" s="97">
        <v>270</v>
      </c>
      <c r="CI40" s="97">
        <v>268.75</v>
      </c>
      <c r="CJ40" s="97">
        <v>273</v>
      </c>
      <c r="CK40" s="97">
        <v>286</v>
      </c>
      <c r="CL40" s="97">
        <v>279.5</v>
      </c>
      <c r="CM40" s="97">
        <v>273</v>
      </c>
      <c r="CN40" s="97">
        <v>286</v>
      </c>
      <c r="CO40" s="97">
        <v>283.25</v>
      </c>
      <c r="CP40" s="97">
        <v>288</v>
      </c>
      <c r="CQ40" s="97">
        <v>299</v>
      </c>
      <c r="CR40" s="97">
        <v>297.25</v>
      </c>
      <c r="CS40" s="97">
        <v>303</v>
      </c>
      <c r="CT40" s="97">
        <v>303</v>
      </c>
      <c r="CU40" s="97">
        <v>303.25</v>
      </c>
      <c r="CV40" s="97">
        <v>304</v>
      </c>
      <c r="CW40" s="97">
        <v>301</v>
      </c>
      <c r="CX40" s="97">
        <v>302.25</v>
      </c>
      <c r="CY40" s="97">
        <v>303</v>
      </c>
      <c r="CZ40" s="97">
        <v>304</v>
      </c>
      <c r="DA40" s="97">
        <v>303.25</v>
      </c>
      <c r="DB40" s="97">
        <v>302</v>
      </c>
      <c r="DC40" s="97">
        <v>302</v>
      </c>
      <c r="DD40" s="97">
        <v>302.75</v>
      </c>
      <c r="DE40" s="97">
        <v>305</v>
      </c>
      <c r="DF40" s="97">
        <v>307</v>
      </c>
      <c r="DG40" s="97">
        <f t="shared" si="34"/>
        <v>306.75</v>
      </c>
      <c r="DH40" s="97">
        <v>308</v>
      </c>
      <c r="DI40" s="99">
        <v>304</v>
      </c>
      <c r="DJ40" s="99">
        <f t="shared" si="35"/>
        <v>305.5</v>
      </c>
      <c r="DK40" s="97">
        <v>306</v>
      </c>
      <c r="DL40" s="97">
        <v>307</v>
      </c>
      <c r="DM40" s="97">
        <f t="shared" si="36"/>
        <v>305.25</v>
      </c>
      <c r="DN40" s="97">
        <v>301</v>
      </c>
      <c r="DO40" s="97">
        <v>313</v>
      </c>
      <c r="DP40" s="97">
        <f t="shared" si="33"/>
        <v>311.75</v>
      </c>
      <c r="DQ40" s="97">
        <v>320</v>
      </c>
      <c r="DR40" s="97">
        <v>318</v>
      </c>
      <c r="DS40" s="97">
        <f t="shared" si="6"/>
        <v>318.5</v>
      </c>
      <c r="DT40" s="97">
        <v>318</v>
      </c>
      <c r="DU40" s="97">
        <v>321</v>
      </c>
      <c r="DV40" s="97">
        <f t="shared" si="7"/>
        <v>317.75</v>
      </c>
      <c r="DW40" s="97">
        <v>311</v>
      </c>
      <c r="DX40" s="97">
        <v>322</v>
      </c>
      <c r="DY40" s="97">
        <f t="shared" si="8"/>
        <v>322.75</v>
      </c>
      <c r="DZ40" s="87">
        <v>336</v>
      </c>
      <c r="EA40" s="97">
        <v>339</v>
      </c>
      <c r="EB40" s="97">
        <f t="shared" si="9"/>
        <v>339.44749999999999</v>
      </c>
      <c r="EC40" s="54">
        <v>343.79</v>
      </c>
      <c r="ED40" s="54">
        <v>356</v>
      </c>
      <c r="EE40" s="97">
        <f t="shared" si="10"/>
        <v>358.19749999999999</v>
      </c>
      <c r="EF40" s="54">
        <v>377</v>
      </c>
      <c r="EG40" s="274">
        <v>377.01615000000004</v>
      </c>
      <c r="EH40" s="97">
        <f t="shared" si="11"/>
        <v>379.54557499999999</v>
      </c>
      <c r="EI40" s="54">
        <v>387.15</v>
      </c>
      <c r="EJ40" s="54">
        <v>392</v>
      </c>
      <c r="EK40" s="97">
        <f t="shared" si="12"/>
        <v>395.78750000000002</v>
      </c>
      <c r="EL40" s="54">
        <v>412</v>
      </c>
      <c r="EM40" s="54">
        <v>400</v>
      </c>
      <c r="EN40" s="97">
        <f t="shared" si="13"/>
        <v>404.5</v>
      </c>
      <c r="EO40" s="54">
        <v>406</v>
      </c>
      <c r="EP40" s="54">
        <v>414</v>
      </c>
      <c r="EQ40" s="97">
        <f t="shared" si="14"/>
        <v>414.75</v>
      </c>
      <c r="ER40" s="269">
        <v>425</v>
      </c>
      <c r="ES40" s="269">
        <v>429.62</v>
      </c>
      <c r="ET40" s="97">
        <f t="shared" si="15"/>
        <v>429.06</v>
      </c>
      <c r="EU40" s="269">
        <v>432</v>
      </c>
      <c r="EV40" s="269">
        <v>438</v>
      </c>
      <c r="EW40" s="97">
        <f t="shared" si="16"/>
        <v>437.75</v>
      </c>
      <c r="EX40" s="269">
        <v>443</v>
      </c>
      <c r="EY40" s="269">
        <v>443.31</v>
      </c>
      <c r="EZ40" s="97">
        <f t="shared" si="17"/>
        <v>445.90499999999997</v>
      </c>
      <c r="FA40" s="269">
        <v>454</v>
      </c>
      <c r="FB40" s="269">
        <v>454</v>
      </c>
      <c r="FC40" s="97">
        <f t="shared" si="18"/>
        <v>457.75</v>
      </c>
      <c r="FD40" s="269">
        <v>469</v>
      </c>
      <c r="FE40" s="269">
        <v>469</v>
      </c>
      <c r="FF40" s="97">
        <f t="shared" si="19"/>
        <v>472</v>
      </c>
      <c r="FG40" s="270">
        <v>481</v>
      </c>
      <c r="FH40" s="269">
        <v>481</v>
      </c>
      <c r="FI40" s="97">
        <f t="shared" si="20"/>
        <v>482.5</v>
      </c>
      <c r="FJ40" s="269">
        <v>487</v>
      </c>
      <c r="FK40" s="269">
        <v>487</v>
      </c>
      <c r="FL40" s="97">
        <f t="shared" si="21"/>
        <v>498.5</v>
      </c>
      <c r="FM40" s="269">
        <v>533</v>
      </c>
      <c r="FN40" s="269">
        <v>533</v>
      </c>
      <c r="FO40" s="97">
        <f t="shared" si="22"/>
        <v>539.25</v>
      </c>
      <c r="FP40" s="269">
        <v>558</v>
      </c>
      <c r="FQ40" s="269">
        <v>565</v>
      </c>
      <c r="FR40" s="97">
        <f t="shared" si="23"/>
        <v>561.75</v>
      </c>
      <c r="FS40" s="269">
        <v>559</v>
      </c>
      <c r="FT40" s="269">
        <v>559</v>
      </c>
      <c r="FU40" s="97">
        <f t="shared" si="24"/>
        <v>556.5</v>
      </c>
      <c r="FV40" s="269">
        <v>549</v>
      </c>
      <c r="FW40" s="269">
        <v>549</v>
      </c>
      <c r="FX40" s="97">
        <f t="shared" si="25"/>
        <v>574.25</v>
      </c>
      <c r="FY40" s="269">
        <v>650</v>
      </c>
      <c r="FZ40" s="269">
        <v>650</v>
      </c>
      <c r="GA40" s="97">
        <f t="shared" si="26"/>
        <v>679.75</v>
      </c>
      <c r="GB40" s="270">
        <v>769</v>
      </c>
      <c r="GC40" s="269"/>
      <c r="GD40" s="272">
        <f t="shared" si="29"/>
        <v>769</v>
      </c>
      <c r="GE40" s="269"/>
      <c r="GF40" s="275"/>
      <c r="GG40" s="97">
        <f t="shared" si="27"/>
        <v>0</v>
      </c>
      <c r="GH40" s="105"/>
      <c r="GI40" s="105"/>
      <c r="GJ40" s="97">
        <f t="shared" si="30"/>
        <v>0</v>
      </c>
      <c r="GK40" s="105"/>
      <c r="GL40" s="105"/>
      <c r="GM40" s="97">
        <f t="shared" si="31"/>
        <v>0</v>
      </c>
      <c r="GN40" s="105"/>
      <c r="GO40" s="105"/>
      <c r="GP40" s="97">
        <f t="shared" si="32"/>
        <v>0</v>
      </c>
      <c r="GQ40" s="105"/>
      <c r="GR40" s="105"/>
    </row>
    <row r="41" spans="1:200" ht="10.5" customHeight="1" x14ac:dyDescent="0.3">
      <c r="A41" s="265">
        <f t="shared" si="28"/>
        <v>34</v>
      </c>
      <c r="B41" s="56"/>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38"/>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f t="shared" si="9"/>
        <v>0</v>
      </c>
      <c r="EC41" s="54"/>
      <c r="ED41" s="54"/>
      <c r="EE41" s="97">
        <f t="shared" si="10"/>
        <v>0</v>
      </c>
      <c r="EF41" s="54"/>
      <c r="EG41" s="274"/>
      <c r="EH41" s="97">
        <f t="shared" si="11"/>
        <v>0</v>
      </c>
      <c r="EI41" s="54"/>
      <c r="EJ41" s="54"/>
      <c r="EK41" s="97">
        <f t="shared" si="12"/>
        <v>0</v>
      </c>
      <c r="EL41" s="54"/>
      <c r="EM41" s="54"/>
      <c r="EN41" s="97">
        <f t="shared" si="13"/>
        <v>0</v>
      </c>
      <c r="EO41" s="54"/>
      <c r="EP41" s="54"/>
      <c r="EQ41" s="97">
        <f t="shared" si="14"/>
        <v>0</v>
      </c>
      <c r="ER41" s="269"/>
      <c r="ES41" s="269"/>
      <c r="ET41" s="97">
        <f t="shared" si="15"/>
        <v>0</v>
      </c>
      <c r="EU41" s="269"/>
      <c r="EV41" s="269"/>
      <c r="EW41" s="97">
        <f t="shared" si="16"/>
        <v>0</v>
      </c>
      <c r="EX41" s="269"/>
      <c r="EY41" s="269"/>
      <c r="EZ41" s="97">
        <f t="shared" si="17"/>
        <v>0</v>
      </c>
      <c r="FA41" s="269"/>
      <c r="FB41" s="269"/>
      <c r="FC41" s="97">
        <f t="shared" si="18"/>
        <v>0</v>
      </c>
      <c r="FD41" s="269"/>
      <c r="FE41" s="269"/>
      <c r="FF41" s="97">
        <f t="shared" si="19"/>
        <v>0</v>
      </c>
      <c r="FG41" s="270"/>
      <c r="FH41" s="269"/>
      <c r="FI41" s="97">
        <f t="shared" si="20"/>
        <v>0</v>
      </c>
      <c r="FJ41" s="269"/>
      <c r="FK41" s="269"/>
      <c r="FL41" s="97">
        <f t="shared" si="21"/>
        <v>0</v>
      </c>
      <c r="FM41" s="269"/>
      <c r="FN41" s="269"/>
      <c r="FO41" s="97">
        <f t="shared" si="22"/>
        <v>0</v>
      </c>
      <c r="FP41" s="269"/>
      <c r="FQ41" s="269"/>
      <c r="FR41" s="97">
        <f t="shared" si="23"/>
        <v>0</v>
      </c>
      <c r="FS41" s="269"/>
      <c r="FT41" s="269"/>
      <c r="FU41" s="97">
        <f t="shared" si="24"/>
        <v>0</v>
      </c>
      <c r="FV41" s="269"/>
      <c r="FW41" s="269"/>
      <c r="FX41" s="97">
        <f t="shared" si="25"/>
        <v>0</v>
      </c>
      <c r="FY41" s="269"/>
      <c r="FZ41" s="269"/>
      <c r="GA41" s="97">
        <f t="shared" si="26"/>
        <v>0</v>
      </c>
      <c r="GB41" s="270"/>
      <c r="GC41" s="269"/>
      <c r="GD41" s="272">
        <f t="shared" si="29"/>
        <v>0</v>
      </c>
      <c r="GE41" s="269"/>
      <c r="GF41" s="275"/>
      <c r="GG41" s="97">
        <f t="shared" si="27"/>
        <v>0</v>
      </c>
      <c r="GH41" s="105"/>
      <c r="GI41" s="105"/>
      <c r="GJ41" s="97">
        <f t="shared" si="30"/>
        <v>0</v>
      </c>
      <c r="GK41" s="105"/>
      <c r="GL41" s="105"/>
      <c r="GM41" s="97">
        <f t="shared" si="31"/>
        <v>0</v>
      </c>
      <c r="GN41" s="105"/>
      <c r="GO41" s="105"/>
      <c r="GP41" s="97">
        <f t="shared" si="32"/>
        <v>0</v>
      </c>
      <c r="GQ41" s="105"/>
      <c r="GR41" s="105"/>
    </row>
    <row r="42" spans="1:200" ht="10.5" customHeight="1" x14ac:dyDescent="0.3">
      <c r="A42" s="265">
        <f t="shared" si="28"/>
        <v>35</v>
      </c>
      <c r="B42" s="56" t="s">
        <v>1031</v>
      </c>
      <c r="C42" s="97">
        <v>16</v>
      </c>
      <c r="D42" s="97">
        <v>17</v>
      </c>
      <c r="E42" s="97">
        <v>16</v>
      </c>
      <c r="F42" s="97">
        <v>17</v>
      </c>
      <c r="G42" s="97">
        <v>23</v>
      </c>
      <c r="H42" s="97">
        <v>40</v>
      </c>
      <c r="I42" s="97">
        <v>44</v>
      </c>
      <c r="J42" s="97">
        <v>48</v>
      </c>
      <c r="K42" s="97">
        <v>53</v>
      </c>
      <c r="L42" s="97">
        <v>44</v>
      </c>
      <c r="M42" s="97">
        <v>39</v>
      </c>
      <c r="N42" s="97">
        <v>45</v>
      </c>
      <c r="O42" s="97">
        <v>47</v>
      </c>
      <c r="P42" s="97">
        <v>40</v>
      </c>
      <c r="Q42" s="97">
        <v>40</v>
      </c>
      <c r="R42" s="97">
        <v>34</v>
      </c>
      <c r="S42" s="97">
        <v>29</v>
      </c>
      <c r="T42" s="97">
        <v>30</v>
      </c>
      <c r="U42" s="97">
        <v>30</v>
      </c>
      <c r="V42" s="97">
        <v>28</v>
      </c>
      <c r="W42" s="97">
        <v>25</v>
      </c>
      <c r="X42" s="97">
        <v>30</v>
      </c>
      <c r="Y42" s="97">
        <v>34</v>
      </c>
      <c r="Z42" s="97">
        <v>35</v>
      </c>
      <c r="AA42" s="97">
        <v>36</v>
      </c>
      <c r="AB42" s="97">
        <v>39</v>
      </c>
      <c r="AC42" s="97">
        <v>39</v>
      </c>
      <c r="AD42" s="97">
        <v>38</v>
      </c>
      <c r="AE42" s="97">
        <v>39</v>
      </c>
      <c r="AF42" s="97">
        <v>39</v>
      </c>
      <c r="AG42" s="97">
        <v>40</v>
      </c>
      <c r="AH42" s="97">
        <v>39</v>
      </c>
      <c r="AI42" s="97">
        <v>39</v>
      </c>
      <c r="AJ42" s="97">
        <v>40</v>
      </c>
      <c r="AK42" s="97">
        <v>45</v>
      </c>
      <c r="AL42" s="97">
        <v>58</v>
      </c>
      <c r="AM42" s="97">
        <v>69</v>
      </c>
      <c r="AN42" s="97">
        <v>68</v>
      </c>
      <c r="AO42" s="97">
        <v>67</v>
      </c>
      <c r="AP42" s="97">
        <v>73</v>
      </c>
      <c r="AQ42" s="97">
        <v>73</v>
      </c>
      <c r="AR42" s="97">
        <v>73</v>
      </c>
      <c r="AS42" s="97">
        <v>79</v>
      </c>
      <c r="AT42" s="97">
        <v>80</v>
      </c>
      <c r="AU42" s="97">
        <v>86</v>
      </c>
      <c r="AV42" s="97">
        <v>91</v>
      </c>
      <c r="AW42" s="97">
        <v>95</v>
      </c>
      <c r="AX42" s="97">
        <v>95</v>
      </c>
      <c r="AY42" s="97">
        <v>95</v>
      </c>
      <c r="AZ42" s="97">
        <v>95</v>
      </c>
      <c r="BA42" s="97">
        <v>95</v>
      </c>
      <c r="BB42" s="97">
        <v>95</v>
      </c>
      <c r="BC42" s="97">
        <v>95</v>
      </c>
      <c r="BD42" s="97">
        <v>95</v>
      </c>
      <c r="BE42" s="97">
        <v>95</v>
      </c>
      <c r="BF42" s="97">
        <v>95</v>
      </c>
      <c r="BG42" s="97">
        <v>95</v>
      </c>
      <c r="BH42" s="97">
        <v>95</v>
      </c>
      <c r="BI42" s="97">
        <v>96</v>
      </c>
      <c r="BJ42" s="97">
        <v>100</v>
      </c>
      <c r="BK42" s="97">
        <v>100</v>
      </c>
      <c r="BL42" s="97">
        <v>100</v>
      </c>
      <c r="BM42" s="38">
        <v>153</v>
      </c>
      <c r="BN42" s="97">
        <v>178</v>
      </c>
      <c r="BO42" s="97">
        <v>180</v>
      </c>
      <c r="BP42" s="97">
        <v>183</v>
      </c>
      <c r="BQ42" s="97">
        <v>195</v>
      </c>
      <c r="BR42" s="97">
        <v>201</v>
      </c>
      <c r="BS42" s="97">
        <v>217</v>
      </c>
      <c r="BT42" s="97">
        <v>235</v>
      </c>
      <c r="BU42" s="97">
        <v>234</v>
      </c>
      <c r="BV42" s="97">
        <v>254</v>
      </c>
      <c r="BW42" s="97">
        <v>247</v>
      </c>
      <c r="BX42" s="97">
        <v>265</v>
      </c>
      <c r="BY42" s="97">
        <v>244</v>
      </c>
      <c r="BZ42" s="97">
        <v>244</v>
      </c>
      <c r="CA42" s="97">
        <v>244</v>
      </c>
      <c r="CB42" s="97">
        <v>268</v>
      </c>
      <c r="CC42" s="97">
        <v>265.75</v>
      </c>
      <c r="CD42" s="97">
        <v>283</v>
      </c>
      <c r="CE42" s="97">
        <v>283</v>
      </c>
      <c r="CF42" s="97">
        <v>282</v>
      </c>
      <c r="CG42" s="97">
        <v>279</v>
      </c>
      <c r="CH42" s="97">
        <v>279</v>
      </c>
      <c r="CI42" s="97">
        <v>278</v>
      </c>
      <c r="CJ42" s="97">
        <v>275</v>
      </c>
      <c r="CK42" s="97">
        <v>275</v>
      </c>
      <c r="CL42" s="97">
        <v>275</v>
      </c>
      <c r="CM42" s="97">
        <v>275</v>
      </c>
      <c r="CN42" s="97">
        <v>275</v>
      </c>
      <c r="CO42" s="97">
        <v>275</v>
      </c>
      <c r="CP42" s="97">
        <v>275</v>
      </c>
      <c r="CQ42" s="97">
        <v>275</v>
      </c>
      <c r="CR42" s="97">
        <v>274.75</v>
      </c>
      <c r="CS42" s="97">
        <v>274</v>
      </c>
      <c r="CT42" s="97">
        <v>279</v>
      </c>
      <c r="CU42" s="97">
        <v>278.25</v>
      </c>
      <c r="CV42" s="97">
        <v>281</v>
      </c>
      <c r="CW42" s="97">
        <v>260</v>
      </c>
      <c r="CX42" s="97">
        <v>266</v>
      </c>
      <c r="CY42" s="97">
        <v>263</v>
      </c>
      <c r="CZ42" s="97">
        <v>265</v>
      </c>
      <c r="DA42" s="97">
        <v>268</v>
      </c>
      <c r="DB42" s="97">
        <v>279</v>
      </c>
      <c r="DC42" s="97">
        <v>279</v>
      </c>
      <c r="DD42" s="97">
        <v>279</v>
      </c>
      <c r="DE42" s="97">
        <v>279</v>
      </c>
      <c r="DF42" s="97">
        <v>279</v>
      </c>
      <c r="DG42" s="97">
        <f t="shared" ref="DG42:DG52" si="37">(DE42+DF42*2+DH42)/4</f>
        <v>280.5</v>
      </c>
      <c r="DH42" s="97">
        <v>285</v>
      </c>
      <c r="DI42" s="99">
        <v>283</v>
      </c>
      <c r="DJ42" s="99">
        <f t="shared" ref="DJ42:DJ52" si="38">(DH42+DI42*2+DK42)/4</f>
        <v>284.5</v>
      </c>
      <c r="DK42" s="97">
        <v>287</v>
      </c>
      <c r="DL42" s="97">
        <v>292</v>
      </c>
      <c r="DM42" s="97">
        <f t="shared" ref="DM42:DM52" si="39">(DK42+DL42*2+DN42)/4</f>
        <v>290.75</v>
      </c>
      <c r="DN42" s="97">
        <v>292</v>
      </c>
      <c r="DO42" s="97">
        <v>299</v>
      </c>
      <c r="DP42" s="97">
        <f t="shared" si="33"/>
        <v>297.25</v>
      </c>
      <c r="DQ42" s="97">
        <v>299</v>
      </c>
      <c r="DR42" s="97">
        <v>299</v>
      </c>
      <c r="DS42" s="97">
        <f t="shared" si="6"/>
        <v>299</v>
      </c>
      <c r="DT42" s="97">
        <v>299</v>
      </c>
      <c r="DU42" s="97">
        <v>299</v>
      </c>
      <c r="DV42" s="97">
        <f t="shared" si="7"/>
        <v>301.25</v>
      </c>
      <c r="DW42" s="97">
        <v>308</v>
      </c>
      <c r="DX42" s="97">
        <v>287</v>
      </c>
      <c r="DY42" s="97">
        <f t="shared" si="8"/>
        <v>305.75</v>
      </c>
      <c r="DZ42" s="87">
        <v>341</v>
      </c>
      <c r="EA42" s="97">
        <v>341</v>
      </c>
      <c r="EB42" s="97">
        <f t="shared" si="9"/>
        <v>342.23</v>
      </c>
      <c r="EC42" s="54">
        <v>345.92</v>
      </c>
      <c r="ED42" s="54">
        <v>346</v>
      </c>
      <c r="EE42" s="97">
        <f t="shared" si="10"/>
        <v>359.98</v>
      </c>
      <c r="EF42" s="54">
        <v>402</v>
      </c>
      <c r="EG42" s="274">
        <v>401.90517006252867</v>
      </c>
      <c r="EH42" s="97">
        <f t="shared" si="11"/>
        <v>406.66258503126431</v>
      </c>
      <c r="EI42" s="54">
        <v>420.84</v>
      </c>
      <c r="EJ42" s="54">
        <v>468</v>
      </c>
      <c r="EK42" s="97">
        <f t="shared" si="12"/>
        <v>474.46</v>
      </c>
      <c r="EL42" s="54">
        <v>541</v>
      </c>
      <c r="EM42" s="54">
        <v>541</v>
      </c>
      <c r="EN42" s="97">
        <f t="shared" si="13"/>
        <v>546.5</v>
      </c>
      <c r="EO42" s="54">
        <v>563</v>
      </c>
      <c r="EP42" s="54">
        <v>563</v>
      </c>
      <c r="EQ42" s="97">
        <f t="shared" si="14"/>
        <v>559.75</v>
      </c>
      <c r="ER42" s="269">
        <v>550</v>
      </c>
      <c r="ES42" s="269">
        <v>550.28</v>
      </c>
      <c r="ET42" s="97">
        <f t="shared" si="15"/>
        <v>553.89</v>
      </c>
      <c r="EU42" s="269">
        <v>565</v>
      </c>
      <c r="EV42" s="269">
        <v>676</v>
      </c>
      <c r="EW42" s="97">
        <f t="shared" si="16"/>
        <v>651.25</v>
      </c>
      <c r="EX42" s="269">
        <v>688</v>
      </c>
      <c r="EY42" s="269">
        <v>696.77</v>
      </c>
      <c r="EZ42" s="97">
        <f t="shared" si="17"/>
        <v>712.88499999999999</v>
      </c>
      <c r="FA42" s="269">
        <v>770</v>
      </c>
      <c r="FB42" s="269">
        <v>778.5</v>
      </c>
      <c r="FC42" s="97">
        <f t="shared" si="18"/>
        <v>771.25</v>
      </c>
      <c r="FD42" s="269">
        <v>758</v>
      </c>
      <c r="FE42" s="269">
        <v>748</v>
      </c>
      <c r="FF42" s="97">
        <f t="shared" si="19"/>
        <v>746.25</v>
      </c>
      <c r="FG42" s="270">
        <v>731</v>
      </c>
      <c r="FH42" s="269">
        <v>731</v>
      </c>
      <c r="FI42" s="97">
        <f t="shared" si="20"/>
        <v>750.5</v>
      </c>
      <c r="FJ42" s="269">
        <v>809</v>
      </c>
      <c r="FK42" s="269">
        <v>808</v>
      </c>
      <c r="FL42" s="97">
        <f t="shared" si="21"/>
        <v>823</v>
      </c>
      <c r="FM42" s="269">
        <v>867</v>
      </c>
      <c r="FN42" s="269">
        <v>868</v>
      </c>
      <c r="FO42" s="97">
        <f t="shared" si="22"/>
        <v>870.25</v>
      </c>
      <c r="FP42" s="269">
        <v>878</v>
      </c>
      <c r="FQ42" s="269">
        <v>881</v>
      </c>
      <c r="FR42" s="97">
        <f t="shared" si="23"/>
        <v>888</v>
      </c>
      <c r="FS42" s="269">
        <v>912</v>
      </c>
      <c r="FT42" s="269">
        <v>877</v>
      </c>
      <c r="FU42" s="97">
        <f t="shared" si="24"/>
        <v>887.75</v>
      </c>
      <c r="FV42" s="269">
        <v>885</v>
      </c>
      <c r="FW42" s="269">
        <v>839</v>
      </c>
      <c r="FX42" s="97">
        <f t="shared" si="25"/>
        <v>859.75</v>
      </c>
      <c r="FY42" s="269">
        <v>876</v>
      </c>
      <c r="FZ42" s="269">
        <v>948</v>
      </c>
      <c r="GA42" s="97">
        <f t="shared" si="26"/>
        <v>940.5</v>
      </c>
      <c r="GB42" s="270">
        <v>990</v>
      </c>
      <c r="GC42" s="269"/>
      <c r="GD42" s="272">
        <f t="shared" si="29"/>
        <v>990</v>
      </c>
      <c r="GE42" s="269"/>
      <c r="GF42" s="275"/>
      <c r="GG42" s="97">
        <f t="shared" si="27"/>
        <v>0</v>
      </c>
      <c r="GH42" s="105"/>
      <c r="GI42" s="105"/>
      <c r="GJ42" s="97">
        <f t="shared" si="30"/>
        <v>0</v>
      </c>
      <c r="GK42" s="105"/>
      <c r="GL42" s="105"/>
      <c r="GM42" s="97">
        <f t="shared" si="31"/>
        <v>0</v>
      </c>
      <c r="GN42" s="105"/>
      <c r="GO42" s="105"/>
      <c r="GP42" s="97">
        <f t="shared" si="32"/>
        <v>0</v>
      </c>
      <c r="GQ42" s="105"/>
      <c r="GR42" s="105"/>
    </row>
    <row r="43" spans="1:200" ht="10.5" customHeight="1" x14ac:dyDescent="0.3">
      <c r="A43" s="265">
        <f t="shared" si="28"/>
        <v>36</v>
      </c>
      <c r="B43" s="56" t="s">
        <v>1032</v>
      </c>
      <c r="C43" s="97">
        <v>10</v>
      </c>
      <c r="D43" s="97">
        <v>10</v>
      </c>
      <c r="E43" s="97">
        <v>10</v>
      </c>
      <c r="F43" s="97">
        <v>13</v>
      </c>
      <c r="G43" s="97">
        <v>13</v>
      </c>
      <c r="H43" s="97">
        <v>24</v>
      </c>
      <c r="I43" s="97">
        <v>27</v>
      </c>
      <c r="J43" s="97">
        <v>25</v>
      </c>
      <c r="K43" s="97">
        <v>34</v>
      </c>
      <c r="L43" s="97">
        <v>29</v>
      </c>
      <c r="M43" s="97">
        <v>25</v>
      </c>
      <c r="N43" s="97">
        <v>25</v>
      </c>
      <c r="O43" s="97">
        <v>25</v>
      </c>
      <c r="P43" s="97">
        <v>27</v>
      </c>
      <c r="Q43" s="97">
        <v>27</v>
      </c>
      <c r="R43" s="97">
        <v>25</v>
      </c>
      <c r="S43" s="97">
        <v>25</v>
      </c>
      <c r="T43" s="97">
        <v>25</v>
      </c>
      <c r="U43" s="97">
        <v>24</v>
      </c>
      <c r="V43" s="97">
        <v>21</v>
      </c>
      <c r="W43" s="97">
        <v>19</v>
      </c>
      <c r="X43" s="97">
        <v>20</v>
      </c>
      <c r="Y43" s="97">
        <v>22</v>
      </c>
      <c r="Z43" s="97">
        <v>23</v>
      </c>
      <c r="AA43" s="97">
        <v>23</v>
      </c>
      <c r="AB43" s="97">
        <v>23</v>
      </c>
      <c r="AC43" s="97">
        <v>24</v>
      </c>
      <c r="AD43" s="97">
        <v>24</v>
      </c>
      <c r="AE43" s="97">
        <v>24</v>
      </c>
      <c r="AF43" s="97">
        <v>26</v>
      </c>
      <c r="AG43" s="97">
        <v>27</v>
      </c>
      <c r="AH43" s="97">
        <v>27</v>
      </c>
      <c r="AI43" s="97">
        <v>27</v>
      </c>
      <c r="AJ43" s="97">
        <v>28</v>
      </c>
      <c r="AK43" s="97">
        <v>33</v>
      </c>
      <c r="AL43" s="97">
        <v>42</v>
      </c>
      <c r="AM43" s="97">
        <v>49</v>
      </c>
      <c r="AN43" s="97">
        <v>48</v>
      </c>
      <c r="AO43" s="97">
        <v>48</v>
      </c>
      <c r="AP43" s="97">
        <v>54</v>
      </c>
      <c r="AQ43" s="97">
        <v>56</v>
      </c>
      <c r="AR43" s="97">
        <v>59</v>
      </c>
      <c r="AS43" s="97">
        <v>62</v>
      </c>
      <c r="AT43" s="97">
        <v>64</v>
      </c>
      <c r="AU43" s="97">
        <v>67</v>
      </c>
      <c r="AV43" s="97">
        <v>69</v>
      </c>
      <c r="AW43" s="97">
        <v>72</v>
      </c>
      <c r="AX43" s="97">
        <v>74</v>
      </c>
      <c r="AY43" s="97">
        <v>74</v>
      </c>
      <c r="AZ43" s="97">
        <v>74</v>
      </c>
      <c r="BA43" s="97">
        <v>73</v>
      </c>
      <c r="BB43" s="97">
        <v>72</v>
      </c>
      <c r="BC43" s="97">
        <v>72</v>
      </c>
      <c r="BD43" s="97">
        <v>72</v>
      </c>
      <c r="BE43" s="97">
        <v>72</v>
      </c>
      <c r="BF43" s="97">
        <v>75</v>
      </c>
      <c r="BG43" s="97">
        <v>77</v>
      </c>
      <c r="BH43" s="97">
        <v>80</v>
      </c>
      <c r="BI43" s="97">
        <v>87</v>
      </c>
      <c r="BJ43" s="97">
        <v>99</v>
      </c>
      <c r="BK43" s="97">
        <v>99</v>
      </c>
      <c r="BL43" s="97">
        <v>100</v>
      </c>
      <c r="BM43" s="38">
        <v>144</v>
      </c>
      <c r="BN43" s="97">
        <v>142</v>
      </c>
      <c r="BO43" s="97">
        <v>148</v>
      </c>
      <c r="BP43" s="97">
        <v>152</v>
      </c>
      <c r="BQ43" s="97">
        <v>163</v>
      </c>
      <c r="BR43" s="97">
        <v>173</v>
      </c>
      <c r="BS43" s="97">
        <v>194</v>
      </c>
      <c r="BT43" s="97">
        <v>209</v>
      </c>
      <c r="BU43" s="97">
        <v>216</v>
      </c>
      <c r="BV43" s="97">
        <v>232</v>
      </c>
      <c r="BW43" s="97">
        <v>229</v>
      </c>
      <c r="BX43" s="97">
        <v>240</v>
      </c>
      <c r="BY43" s="97">
        <v>259</v>
      </c>
      <c r="BZ43" s="97">
        <v>289</v>
      </c>
      <c r="CA43" s="97">
        <v>296</v>
      </c>
      <c r="CB43" s="97">
        <v>296</v>
      </c>
      <c r="CC43" s="97">
        <v>296</v>
      </c>
      <c r="CD43" s="97">
        <v>296</v>
      </c>
      <c r="CE43" s="97">
        <v>324</v>
      </c>
      <c r="CF43" s="97">
        <v>317</v>
      </c>
      <c r="CG43" s="97">
        <v>324</v>
      </c>
      <c r="CH43" s="97">
        <v>324</v>
      </c>
      <c r="CI43" s="97">
        <v>324</v>
      </c>
      <c r="CJ43" s="97">
        <v>324</v>
      </c>
      <c r="CK43" s="97">
        <v>324</v>
      </c>
      <c r="CL43" s="97">
        <v>324</v>
      </c>
      <c r="CM43" s="97">
        <v>324</v>
      </c>
      <c r="CN43" s="97">
        <v>324</v>
      </c>
      <c r="CO43" s="97">
        <v>324</v>
      </c>
      <c r="CP43" s="97">
        <v>324</v>
      </c>
      <c r="CQ43" s="97">
        <v>357</v>
      </c>
      <c r="CR43" s="97">
        <v>349.5</v>
      </c>
      <c r="CS43" s="97">
        <v>360</v>
      </c>
      <c r="CT43" s="97">
        <v>381</v>
      </c>
      <c r="CU43" s="97">
        <v>377</v>
      </c>
      <c r="CV43" s="97">
        <v>386</v>
      </c>
      <c r="CW43" s="97">
        <v>363</v>
      </c>
      <c r="CX43" s="97">
        <v>369.5</v>
      </c>
      <c r="CY43" s="97">
        <v>366</v>
      </c>
      <c r="CZ43" s="97">
        <v>364</v>
      </c>
      <c r="DA43" s="97">
        <v>368</v>
      </c>
      <c r="DB43" s="97">
        <v>378</v>
      </c>
      <c r="DC43" s="97">
        <v>379</v>
      </c>
      <c r="DD43" s="97">
        <v>378.75</v>
      </c>
      <c r="DE43" s="97">
        <v>379</v>
      </c>
      <c r="DF43" s="97">
        <v>379</v>
      </c>
      <c r="DG43" s="97">
        <f t="shared" si="37"/>
        <v>378.75</v>
      </c>
      <c r="DH43" s="97">
        <v>378</v>
      </c>
      <c r="DI43" s="99">
        <v>378</v>
      </c>
      <c r="DJ43" s="99">
        <f t="shared" si="38"/>
        <v>378</v>
      </c>
      <c r="DK43" s="97">
        <v>378</v>
      </c>
      <c r="DL43" s="97">
        <v>378</v>
      </c>
      <c r="DM43" s="97">
        <f t="shared" si="39"/>
        <v>378</v>
      </c>
      <c r="DN43" s="97">
        <v>378</v>
      </c>
      <c r="DO43" s="97">
        <v>378</v>
      </c>
      <c r="DP43" s="97">
        <f t="shared" si="33"/>
        <v>383.5</v>
      </c>
      <c r="DQ43" s="97">
        <v>400</v>
      </c>
      <c r="DR43" s="97">
        <v>496</v>
      </c>
      <c r="DS43" s="97">
        <f t="shared" si="6"/>
        <v>475.5</v>
      </c>
      <c r="DT43" s="97">
        <v>510</v>
      </c>
      <c r="DU43" s="97">
        <v>496</v>
      </c>
      <c r="DV43" s="97">
        <f t="shared" si="7"/>
        <v>499.5</v>
      </c>
      <c r="DW43" s="97">
        <v>496</v>
      </c>
      <c r="DX43" s="97">
        <v>519</v>
      </c>
      <c r="DY43" s="97">
        <f t="shared" si="8"/>
        <v>513.5</v>
      </c>
      <c r="DZ43" s="87">
        <v>520</v>
      </c>
      <c r="EA43" s="97">
        <v>520</v>
      </c>
      <c r="EB43" s="97">
        <f t="shared" si="9"/>
        <v>555.15250000000003</v>
      </c>
      <c r="EC43" s="54">
        <v>660.61</v>
      </c>
      <c r="ED43" s="54">
        <v>690</v>
      </c>
      <c r="EE43" s="97">
        <f t="shared" si="10"/>
        <v>686.65250000000003</v>
      </c>
      <c r="EF43" s="54">
        <v>706</v>
      </c>
      <c r="EG43" s="274">
        <v>720.22634739530895</v>
      </c>
      <c r="EH43" s="97">
        <f t="shared" si="11"/>
        <v>732.32817369765451</v>
      </c>
      <c r="EI43" s="54">
        <v>782.86</v>
      </c>
      <c r="EJ43" s="54">
        <v>837</v>
      </c>
      <c r="EK43" s="97">
        <f t="shared" si="12"/>
        <v>838.46500000000003</v>
      </c>
      <c r="EL43" s="54">
        <v>897</v>
      </c>
      <c r="EM43" s="54">
        <v>909</v>
      </c>
      <c r="EN43" s="97">
        <f t="shared" si="13"/>
        <v>925.25</v>
      </c>
      <c r="EO43" s="54">
        <v>986</v>
      </c>
      <c r="EP43" s="54">
        <v>987</v>
      </c>
      <c r="EQ43" s="97">
        <f t="shared" si="14"/>
        <v>980.25</v>
      </c>
      <c r="ER43" s="269">
        <v>961</v>
      </c>
      <c r="ES43" s="269">
        <v>961.46</v>
      </c>
      <c r="ET43" s="97">
        <f t="shared" si="15"/>
        <v>993.73</v>
      </c>
      <c r="EU43" s="269">
        <v>1091</v>
      </c>
      <c r="EV43" s="269">
        <v>1120</v>
      </c>
      <c r="EW43" s="97">
        <f t="shared" si="16"/>
        <v>1119.75</v>
      </c>
      <c r="EX43" s="269">
        <v>1148</v>
      </c>
      <c r="EY43" s="269">
        <v>1168.06</v>
      </c>
      <c r="EZ43" s="97">
        <f t="shared" si="17"/>
        <v>1178.53</v>
      </c>
      <c r="FA43" s="269">
        <v>1230</v>
      </c>
      <c r="FB43" s="269">
        <v>1395</v>
      </c>
      <c r="FC43" s="97">
        <f t="shared" si="18"/>
        <v>1324.5</v>
      </c>
      <c r="FD43" s="269">
        <v>1278</v>
      </c>
      <c r="FE43" s="269">
        <v>1322</v>
      </c>
      <c r="FF43" s="97">
        <f t="shared" si="19"/>
        <v>1325.5</v>
      </c>
      <c r="FG43" s="270">
        <v>1380</v>
      </c>
      <c r="FH43" s="269">
        <v>1418</v>
      </c>
      <c r="FI43" s="97">
        <f t="shared" si="20"/>
        <v>1423.5</v>
      </c>
      <c r="FJ43" s="269">
        <v>1478</v>
      </c>
      <c r="FK43" s="269">
        <v>1478</v>
      </c>
      <c r="FL43" s="97">
        <f t="shared" si="21"/>
        <v>1478.75</v>
      </c>
      <c r="FM43" s="269">
        <v>1481</v>
      </c>
      <c r="FN43" s="269">
        <v>1565</v>
      </c>
      <c r="FO43" s="97">
        <f t="shared" si="22"/>
        <v>1559.5</v>
      </c>
      <c r="FP43" s="269">
        <v>1627</v>
      </c>
      <c r="FQ43" s="269">
        <v>1736</v>
      </c>
      <c r="FR43" s="97">
        <f t="shared" si="23"/>
        <v>1745.5</v>
      </c>
      <c r="FS43" s="269">
        <v>1883</v>
      </c>
      <c r="FT43" s="269">
        <v>1955</v>
      </c>
      <c r="FU43" s="97">
        <f t="shared" si="24"/>
        <v>1980.75</v>
      </c>
      <c r="FV43" s="269">
        <v>2130</v>
      </c>
      <c r="FW43" s="269">
        <v>2516</v>
      </c>
      <c r="FX43" s="97">
        <f t="shared" si="25"/>
        <v>2541.5</v>
      </c>
      <c r="FY43" s="269">
        <v>3004</v>
      </c>
      <c r="FZ43" s="269">
        <v>3279</v>
      </c>
      <c r="GA43" s="97">
        <f t="shared" si="26"/>
        <v>3355</v>
      </c>
      <c r="GB43" s="270">
        <v>3858</v>
      </c>
      <c r="GC43" s="269"/>
      <c r="GD43" s="272">
        <f t="shared" si="29"/>
        <v>3858</v>
      </c>
      <c r="GE43" s="269"/>
      <c r="GF43" s="275"/>
      <c r="GG43" s="97">
        <f t="shared" si="27"/>
        <v>0</v>
      </c>
      <c r="GH43" s="105"/>
      <c r="GI43" s="105"/>
      <c r="GJ43" s="97">
        <f t="shared" si="30"/>
        <v>0</v>
      </c>
      <c r="GK43" s="105"/>
      <c r="GL43" s="105"/>
      <c r="GM43" s="97">
        <f t="shared" si="31"/>
        <v>0</v>
      </c>
      <c r="GN43" s="105"/>
      <c r="GO43" s="105"/>
      <c r="GP43" s="97">
        <f t="shared" si="32"/>
        <v>0</v>
      </c>
      <c r="GQ43" s="105"/>
      <c r="GR43" s="105"/>
    </row>
    <row r="44" spans="1:200" ht="10.5" customHeight="1" x14ac:dyDescent="0.3">
      <c r="A44" s="265">
        <f t="shared" si="28"/>
        <v>37</v>
      </c>
      <c r="B44" s="56" t="s">
        <v>1033</v>
      </c>
      <c r="C44" s="99" t="s">
        <v>46</v>
      </c>
      <c r="D44" s="99" t="s">
        <v>46</v>
      </c>
      <c r="E44" s="99" t="s">
        <v>46</v>
      </c>
      <c r="F44" s="99" t="s">
        <v>46</v>
      </c>
      <c r="G44" s="99" t="s">
        <v>46</v>
      </c>
      <c r="H44" s="99" t="s">
        <v>46</v>
      </c>
      <c r="I44" s="99" t="s">
        <v>46</v>
      </c>
      <c r="J44" s="99" t="s">
        <v>46</v>
      </c>
      <c r="K44" s="99" t="s">
        <v>46</v>
      </c>
      <c r="L44" s="99" t="s">
        <v>46</v>
      </c>
      <c r="M44" s="99" t="s">
        <v>46</v>
      </c>
      <c r="N44" s="99" t="s">
        <v>46</v>
      </c>
      <c r="O44" s="99" t="s">
        <v>46</v>
      </c>
      <c r="P44" s="99" t="s">
        <v>46</v>
      </c>
      <c r="Q44" s="99" t="s">
        <v>46</v>
      </c>
      <c r="R44" s="99" t="s">
        <v>46</v>
      </c>
      <c r="S44" s="99" t="s">
        <v>46</v>
      </c>
      <c r="T44" s="99" t="s">
        <v>46</v>
      </c>
      <c r="U44" s="99" t="s">
        <v>46</v>
      </c>
      <c r="V44" s="99" t="s">
        <v>46</v>
      </c>
      <c r="W44" s="99" t="s">
        <v>46</v>
      </c>
      <c r="X44" s="99" t="s">
        <v>46</v>
      </c>
      <c r="Y44" s="99" t="s">
        <v>46</v>
      </c>
      <c r="Z44" s="99" t="s">
        <v>46</v>
      </c>
      <c r="AA44" s="99" t="s">
        <v>46</v>
      </c>
      <c r="AB44" s="99" t="s">
        <v>46</v>
      </c>
      <c r="AC44" s="99" t="s">
        <v>46</v>
      </c>
      <c r="AD44" s="99" t="s">
        <v>46</v>
      </c>
      <c r="AE44" s="99" t="s">
        <v>46</v>
      </c>
      <c r="AF44" s="99" t="s">
        <v>46</v>
      </c>
      <c r="AG44" s="99" t="s">
        <v>46</v>
      </c>
      <c r="AH44" s="99" t="s">
        <v>46</v>
      </c>
      <c r="AI44" s="99" t="s">
        <v>46</v>
      </c>
      <c r="AJ44" s="99" t="s">
        <v>46</v>
      </c>
      <c r="AK44" s="99" t="s">
        <v>46</v>
      </c>
      <c r="AL44" s="99" t="s">
        <v>46</v>
      </c>
      <c r="AM44" s="99" t="s">
        <v>46</v>
      </c>
      <c r="AN44" s="99" t="s">
        <v>46</v>
      </c>
      <c r="AO44" s="99" t="s">
        <v>46</v>
      </c>
      <c r="AP44" s="99" t="s">
        <v>46</v>
      </c>
      <c r="AQ44" s="99" t="s">
        <v>46</v>
      </c>
      <c r="AR44" s="99" t="s">
        <v>46</v>
      </c>
      <c r="AS44" s="99" t="s">
        <v>46</v>
      </c>
      <c r="AT44" s="99" t="s">
        <v>46</v>
      </c>
      <c r="AU44" s="99" t="s">
        <v>46</v>
      </c>
      <c r="AV44" s="99" t="s">
        <v>46</v>
      </c>
      <c r="AW44" s="99" t="s">
        <v>46</v>
      </c>
      <c r="AX44" s="99" t="s">
        <v>46</v>
      </c>
      <c r="AY44" s="99" t="s">
        <v>46</v>
      </c>
      <c r="AZ44" s="97">
        <v>96</v>
      </c>
      <c r="BA44" s="97">
        <v>96</v>
      </c>
      <c r="BB44" s="97">
        <v>96</v>
      </c>
      <c r="BC44" s="97">
        <v>96</v>
      </c>
      <c r="BD44" s="97">
        <v>96</v>
      </c>
      <c r="BE44" s="97">
        <v>96</v>
      </c>
      <c r="BF44" s="97">
        <v>96</v>
      </c>
      <c r="BG44" s="97">
        <v>96</v>
      </c>
      <c r="BH44" s="97">
        <v>96</v>
      </c>
      <c r="BI44" s="97">
        <v>97</v>
      </c>
      <c r="BJ44" s="97">
        <v>100</v>
      </c>
      <c r="BK44" s="97">
        <v>100</v>
      </c>
      <c r="BL44" s="97">
        <v>100</v>
      </c>
      <c r="BM44" s="38">
        <v>153</v>
      </c>
      <c r="BN44" s="97">
        <v>182</v>
      </c>
      <c r="BO44" s="97">
        <v>186</v>
      </c>
      <c r="BP44" s="97">
        <v>189</v>
      </c>
      <c r="BQ44" s="97">
        <v>201</v>
      </c>
      <c r="BR44" s="97">
        <v>207</v>
      </c>
      <c r="BS44" s="97">
        <v>215</v>
      </c>
      <c r="BT44" s="97">
        <v>228</v>
      </c>
      <c r="BU44" s="97">
        <v>228</v>
      </c>
      <c r="BV44" s="97">
        <v>262</v>
      </c>
      <c r="BW44" s="97">
        <v>249</v>
      </c>
      <c r="BX44" s="97">
        <v>281</v>
      </c>
      <c r="BY44" s="97">
        <v>246</v>
      </c>
      <c r="BZ44" s="97">
        <v>246</v>
      </c>
      <c r="CA44" s="97">
        <v>246</v>
      </c>
      <c r="CB44" s="97">
        <v>284</v>
      </c>
      <c r="CC44" s="97">
        <v>274.5</v>
      </c>
      <c r="CD44" s="97">
        <v>284</v>
      </c>
      <c r="CE44" s="97">
        <v>278</v>
      </c>
      <c r="CF44" s="97">
        <v>277.75</v>
      </c>
      <c r="CG44" s="97">
        <v>271</v>
      </c>
      <c r="CH44" s="97">
        <v>271</v>
      </c>
      <c r="CI44" s="97">
        <v>271</v>
      </c>
      <c r="CJ44" s="97">
        <v>271</v>
      </c>
      <c r="CK44" s="97">
        <v>271</v>
      </c>
      <c r="CL44" s="97">
        <v>271</v>
      </c>
      <c r="CM44" s="97">
        <v>271</v>
      </c>
      <c r="CN44" s="97">
        <v>271</v>
      </c>
      <c r="CO44" s="97">
        <v>271</v>
      </c>
      <c r="CP44" s="97">
        <v>271</v>
      </c>
      <c r="CQ44" s="97">
        <v>271</v>
      </c>
      <c r="CR44" s="97">
        <v>271</v>
      </c>
      <c r="CS44" s="97">
        <v>271</v>
      </c>
      <c r="CT44" s="97">
        <v>273</v>
      </c>
      <c r="CU44" s="97">
        <v>273.25</v>
      </c>
      <c r="CV44" s="97">
        <v>276</v>
      </c>
      <c r="CW44" s="97">
        <v>240</v>
      </c>
      <c r="CX44" s="97">
        <v>250.25</v>
      </c>
      <c r="CY44" s="97">
        <v>245</v>
      </c>
      <c r="CZ44" s="97">
        <v>245</v>
      </c>
      <c r="DA44" s="97">
        <v>250.75</v>
      </c>
      <c r="DB44" s="97">
        <v>268</v>
      </c>
      <c r="DC44" s="97">
        <v>268</v>
      </c>
      <c r="DD44" s="97">
        <v>268</v>
      </c>
      <c r="DE44" s="97">
        <v>268</v>
      </c>
      <c r="DF44" s="97">
        <v>268</v>
      </c>
      <c r="DG44" s="97">
        <f t="shared" si="37"/>
        <v>270.25</v>
      </c>
      <c r="DH44" s="97">
        <v>277</v>
      </c>
      <c r="DI44" s="99">
        <v>277</v>
      </c>
      <c r="DJ44" s="99">
        <f t="shared" si="38"/>
        <v>278.5</v>
      </c>
      <c r="DK44" s="97">
        <v>283</v>
      </c>
      <c r="DL44" s="97">
        <v>292</v>
      </c>
      <c r="DM44" s="97">
        <f t="shared" si="39"/>
        <v>289.75</v>
      </c>
      <c r="DN44" s="97">
        <v>292</v>
      </c>
      <c r="DO44" s="97">
        <v>292</v>
      </c>
      <c r="DP44" s="97">
        <f t="shared" si="33"/>
        <v>292</v>
      </c>
      <c r="DQ44" s="97">
        <v>292</v>
      </c>
      <c r="DR44" s="97">
        <v>292</v>
      </c>
      <c r="DS44" s="97">
        <f t="shared" si="6"/>
        <v>292</v>
      </c>
      <c r="DT44" s="97">
        <v>292</v>
      </c>
      <c r="DU44" s="97">
        <v>292</v>
      </c>
      <c r="DV44" s="97">
        <f t="shared" si="7"/>
        <v>292</v>
      </c>
      <c r="DW44" s="97">
        <v>292</v>
      </c>
      <c r="DX44" s="97">
        <v>269</v>
      </c>
      <c r="DY44" s="97">
        <f t="shared" si="8"/>
        <v>276</v>
      </c>
      <c r="DZ44" s="87">
        <v>274</v>
      </c>
      <c r="EA44" s="97">
        <v>274</v>
      </c>
      <c r="EB44" s="97">
        <f t="shared" si="9"/>
        <v>276.3</v>
      </c>
      <c r="EC44" s="54">
        <v>283.2</v>
      </c>
      <c r="ED44" s="54">
        <v>283</v>
      </c>
      <c r="EE44" s="97">
        <f t="shared" si="10"/>
        <v>294.05</v>
      </c>
      <c r="EF44" s="54">
        <v>327</v>
      </c>
      <c r="EG44" s="274">
        <v>326.6942487609054</v>
      </c>
      <c r="EH44" s="97">
        <f t="shared" si="11"/>
        <v>335.83962438045273</v>
      </c>
      <c r="EI44" s="54">
        <v>362.97</v>
      </c>
      <c r="EJ44" s="54">
        <v>363</v>
      </c>
      <c r="EK44" s="97">
        <f t="shared" si="12"/>
        <v>393.49250000000001</v>
      </c>
      <c r="EL44" s="54">
        <v>485</v>
      </c>
      <c r="EM44" s="54">
        <v>485</v>
      </c>
      <c r="EN44" s="97">
        <f t="shared" si="13"/>
        <v>494</v>
      </c>
      <c r="EO44" s="54">
        <v>521</v>
      </c>
      <c r="EP44" s="54">
        <v>521</v>
      </c>
      <c r="EQ44" s="97">
        <f t="shared" si="14"/>
        <v>515.75</v>
      </c>
      <c r="ER44" s="269">
        <v>500</v>
      </c>
      <c r="ES44" s="269">
        <v>500.21</v>
      </c>
      <c r="ET44" s="97">
        <f t="shared" si="15"/>
        <v>506.10500000000002</v>
      </c>
      <c r="EU44" s="269">
        <v>524</v>
      </c>
      <c r="EV44" s="269">
        <v>524</v>
      </c>
      <c r="EW44" s="97">
        <f t="shared" si="16"/>
        <v>529.25</v>
      </c>
      <c r="EX44" s="269">
        <v>545</v>
      </c>
      <c r="EY44" s="269">
        <v>544.59</v>
      </c>
      <c r="EZ44" s="97">
        <f t="shared" si="17"/>
        <v>552.17000000000007</v>
      </c>
      <c r="FA44" s="269">
        <v>574.5</v>
      </c>
      <c r="FB44" s="269">
        <v>574.5</v>
      </c>
      <c r="FC44" s="97">
        <f t="shared" si="18"/>
        <v>575.625</v>
      </c>
      <c r="FD44" s="269">
        <v>579</v>
      </c>
      <c r="FE44" s="269">
        <v>579</v>
      </c>
      <c r="FF44" s="97">
        <f t="shared" si="19"/>
        <v>584.25</v>
      </c>
      <c r="FG44" s="270">
        <v>600</v>
      </c>
      <c r="FH44" s="269">
        <v>600</v>
      </c>
      <c r="FI44" s="97">
        <f t="shared" si="20"/>
        <v>605.5</v>
      </c>
      <c r="FJ44" s="269">
        <v>622</v>
      </c>
      <c r="FK44" s="269">
        <v>622</v>
      </c>
      <c r="FL44" s="97">
        <f t="shared" si="21"/>
        <v>645.25</v>
      </c>
      <c r="FM44" s="269">
        <v>715</v>
      </c>
      <c r="FN44" s="269">
        <v>715</v>
      </c>
      <c r="FO44" s="97">
        <f t="shared" si="22"/>
        <v>716.5</v>
      </c>
      <c r="FP44" s="269">
        <v>721</v>
      </c>
      <c r="FQ44" s="269">
        <v>721</v>
      </c>
      <c r="FR44" s="97">
        <f t="shared" si="23"/>
        <v>732.75</v>
      </c>
      <c r="FS44" s="269">
        <v>768</v>
      </c>
      <c r="FT44" s="269">
        <v>768</v>
      </c>
      <c r="FU44" s="97">
        <f t="shared" si="24"/>
        <v>771.25</v>
      </c>
      <c r="FV44" s="269">
        <v>781</v>
      </c>
      <c r="FW44" s="269">
        <v>781</v>
      </c>
      <c r="FX44" s="97">
        <f t="shared" si="25"/>
        <v>781</v>
      </c>
      <c r="FY44" s="269">
        <v>781</v>
      </c>
      <c r="FZ44" s="269">
        <v>781</v>
      </c>
      <c r="GA44" s="97">
        <f t="shared" si="26"/>
        <v>781</v>
      </c>
      <c r="GB44" s="270">
        <v>781</v>
      </c>
      <c r="GC44" s="269"/>
      <c r="GD44" s="272">
        <f t="shared" si="29"/>
        <v>781</v>
      </c>
      <c r="GE44" s="269"/>
      <c r="GF44" s="275"/>
      <c r="GG44" s="97">
        <f t="shared" si="27"/>
        <v>0</v>
      </c>
      <c r="GH44" s="105"/>
      <c r="GI44" s="105"/>
      <c r="GJ44" s="97">
        <f t="shared" si="30"/>
        <v>0</v>
      </c>
      <c r="GK44" s="105"/>
      <c r="GL44" s="105"/>
      <c r="GM44" s="97">
        <f t="shared" si="31"/>
        <v>0</v>
      </c>
      <c r="GN44" s="105"/>
      <c r="GO44" s="105"/>
      <c r="GP44" s="97">
        <f t="shared" si="32"/>
        <v>0</v>
      </c>
      <c r="GQ44" s="105"/>
      <c r="GR44" s="105"/>
    </row>
    <row r="45" spans="1:200" ht="10.5" customHeight="1" x14ac:dyDescent="0.3">
      <c r="A45" s="265">
        <f t="shared" si="28"/>
        <v>38</v>
      </c>
      <c r="B45" s="56" t="s">
        <v>1034</v>
      </c>
      <c r="C45" s="99" t="s">
        <v>46</v>
      </c>
      <c r="D45" s="99" t="s">
        <v>46</v>
      </c>
      <c r="E45" s="99" t="s">
        <v>46</v>
      </c>
      <c r="F45" s="99" t="s">
        <v>46</v>
      </c>
      <c r="G45" s="99" t="s">
        <v>46</v>
      </c>
      <c r="H45" s="99" t="s">
        <v>46</v>
      </c>
      <c r="I45" s="99" t="s">
        <v>46</v>
      </c>
      <c r="J45" s="99" t="s">
        <v>46</v>
      </c>
      <c r="K45" s="99" t="s">
        <v>46</v>
      </c>
      <c r="L45" s="99" t="s">
        <v>46</v>
      </c>
      <c r="M45" s="99" t="s">
        <v>46</v>
      </c>
      <c r="N45" s="99" t="s">
        <v>46</v>
      </c>
      <c r="O45" s="99" t="s">
        <v>46</v>
      </c>
      <c r="P45" s="99" t="s">
        <v>46</v>
      </c>
      <c r="Q45" s="97">
        <v>18</v>
      </c>
      <c r="R45" s="97">
        <v>19</v>
      </c>
      <c r="S45" s="97">
        <v>22</v>
      </c>
      <c r="T45" s="97">
        <v>22</v>
      </c>
      <c r="U45" s="97">
        <v>20</v>
      </c>
      <c r="V45" s="97">
        <v>15</v>
      </c>
      <c r="W45" s="97">
        <v>17</v>
      </c>
      <c r="X45" s="97">
        <v>17</v>
      </c>
      <c r="Y45" s="97">
        <v>17</v>
      </c>
      <c r="Z45" s="97">
        <v>17</v>
      </c>
      <c r="AA45" s="97">
        <v>17</v>
      </c>
      <c r="AB45" s="97">
        <v>17</v>
      </c>
      <c r="AC45" s="97">
        <v>17</v>
      </c>
      <c r="AD45" s="97">
        <v>17</v>
      </c>
      <c r="AE45" s="97">
        <v>17</v>
      </c>
      <c r="AF45" s="97">
        <v>17</v>
      </c>
      <c r="AG45" s="97">
        <v>17</v>
      </c>
      <c r="AH45" s="97">
        <v>17</v>
      </c>
      <c r="AI45" s="97">
        <v>17</v>
      </c>
      <c r="AJ45" s="97">
        <v>18</v>
      </c>
      <c r="AK45" s="97">
        <v>22</v>
      </c>
      <c r="AL45" s="97">
        <v>26</v>
      </c>
      <c r="AM45" s="97">
        <v>31</v>
      </c>
      <c r="AN45" s="97">
        <v>34</v>
      </c>
      <c r="AO45" s="97">
        <v>38</v>
      </c>
      <c r="AP45" s="97">
        <v>40</v>
      </c>
      <c r="AQ45" s="97">
        <v>40</v>
      </c>
      <c r="AR45" s="97">
        <v>40</v>
      </c>
      <c r="AS45" s="97">
        <v>40</v>
      </c>
      <c r="AT45" s="97">
        <v>41</v>
      </c>
      <c r="AU45" s="97">
        <v>45</v>
      </c>
      <c r="AV45" s="97">
        <v>48</v>
      </c>
      <c r="AW45" s="97">
        <v>49</v>
      </c>
      <c r="AX45" s="97">
        <v>54</v>
      </c>
      <c r="AY45" s="97">
        <v>60</v>
      </c>
      <c r="AZ45" s="97">
        <v>60</v>
      </c>
      <c r="BA45" s="97">
        <v>63</v>
      </c>
      <c r="BB45" s="97">
        <v>63</v>
      </c>
      <c r="BC45" s="97">
        <v>64</v>
      </c>
      <c r="BD45" s="97">
        <v>69</v>
      </c>
      <c r="BE45" s="97">
        <v>73</v>
      </c>
      <c r="BF45" s="97">
        <v>77</v>
      </c>
      <c r="BG45" s="97">
        <v>81</v>
      </c>
      <c r="BH45" s="97">
        <v>81</v>
      </c>
      <c r="BI45" s="97">
        <v>86</v>
      </c>
      <c r="BJ45" s="97">
        <v>90</v>
      </c>
      <c r="BK45" s="97">
        <v>92</v>
      </c>
      <c r="BL45" s="97">
        <v>100</v>
      </c>
      <c r="BM45" s="38">
        <v>126</v>
      </c>
      <c r="BN45" s="97">
        <v>180</v>
      </c>
      <c r="BO45" s="97">
        <v>209</v>
      </c>
      <c r="BP45" s="97">
        <v>230</v>
      </c>
      <c r="BQ45" s="97">
        <v>249</v>
      </c>
      <c r="BR45" s="97">
        <v>257</v>
      </c>
      <c r="BS45" s="97">
        <v>287</v>
      </c>
      <c r="BT45" s="97">
        <v>316</v>
      </c>
      <c r="BU45" s="97">
        <v>341</v>
      </c>
      <c r="BV45" s="97">
        <v>353</v>
      </c>
      <c r="BW45" s="97">
        <v>358</v>
      </c>
      <c r="BX45" s="97">
        <v>366</v>
      </c>
      <c r="BY45" s="97">
        <v>373</v>
      </c>
      <c r="BZ45" s="97">
        <v>379</v>
      </c>
      <c r="CA45" s="97">
        <v>390</v>
      </c>
      <c r="CB45" s="97">
        <v>399</v>
      </c>
      <c r="CC45" s="97">
        <v>398</v>
      </c>
      <c r="CD45" s="97">
        <v>404</v>
      </c>
      <c r="CE45" s="97">
        <v>410</v>
      </c>
      <c r="CF45" s="97">
        <v>409.5</v>
      </c>
      <c r="CG45" s="97">
        <v>414</v>
      </c>
      <c r="CH45" s="97">
        <v>425</v>
      </c>
      <c r="CI45" s="97">
        <v>423.5</v>
      </c>
      <c r="CJ45" s="97">
        <v>430</v>
      </c>
      <c r="CK45" s="97">
        <v>430</v>
      </c>
      <c r="CL45" s="97">
        <v>430</v>
      </c>
      <c r="CM45" s="97">
        <v>430</v>
      </c>
      <c r="CN45" s="97">
        <v>430</v>
      </c>
      <c r="CO45" s="97">
        <v>432.25</v>
      </c>
      <c r="CP45" s="97">
        <v>439</v>
      </c>
      <c r="CQ45" s="97">
        <v>444</v>
      </c>
      <c r="CR45" s="97">
        <v>444.25</v>
      </c>
      <c r="CS45" s="97">
        <v>450</v>
      </c>
      <c r="CT45" s="97">
        <v>457</v>
      </c>
      <c r="CU45" s="97">
        <v>452.75</v>
      </c>
      <c r="CV45" s="97">
        <v>447</v>
      </c>
      <c r="CW45" s="97">
        <v>453</v>
      </c>
      <c r="CX45" s="97">
        <v>452.75</v>
      </c>
      <c r="CY45" s="97">
        <v>458</v>
      </c>
      <c r="CZ45" s="97">
        <v>463</v>
      </c>
      <c r="DA45" s="97">
        <v>461.75</v>
      </c>
      <c r="DB45" s="97">
        <v>463</v>
      </c>
      <c r="DC45" s="97">
        <v>466</v>
      </c>
      <c r="DD45" s="97">
        <v>475.5</v>
      </c>
      <c r="DE45" s="97">
        <v>507</v>
      </c>
      <c r="DF45" s="97">
        <v>514</v>
      </c>
      <c r="DG45" s="97">
        <f t="shared" si="37"/>
        <v>513.5</v>
      </c>
      <c r="DH45" s="97">
        <v>519</v>
      </c>
      <c r="DI45" s="99">
        <v>523</v>
      </c>
      <c r="DJ45" s="99">
        <f t="shared" si="38"/>
        <v>522</v>
      </c>
      <c r="DK45" s="97">
        <v>523</v>
      </c>
      <c r="DL45" s="97">
        <v>554</v>
      </c>
      <c r="DM45" s="97">
        <f t="shared" si="39"/>
        <v>546.25</v>
      </c>
      <c r="DN45" s="97">
        <v>554</v>
      </c>
      <c r="DO45" s="97">
        <v>561</v>
      </c>
      <c r="DP45" s="97">
        <f t="shared" si="33"/>
        <v>560.75</v>
      </c>
      <c r="DQ45" s="97">
        <v>567</v>
      </c>
      <c r="DR45" s="97">
        <v>561</v>
      </c>
      <c r="DS45" s="97">
        <f t="shared" si="6"/>
        <v>562.5</v>
      </c>
      <c r="DT45" s="97">
        <v>561</v>
      </c>
      <c r="DU45" s="97">
        <v>561</v>
      </c>
      <c r="DV45" s="97">
        <f t="shared" si="7"/>
        <v>565.5</v>
      </c>
      <c r="DW45" s="97">
        <v>579</v>
      </c>
      <c r="DX45" s="97">
        <v>603</v>
      </c>
      <c r="DY45" s="97">
        <f t="shared" si="8"/>
        <v>606.25</v>
      </c>
      <c r="DZ45" s="87">
        <v>640</v>
      </c>
      <c r="EA45" s="97">
        <v>661</v>
      </c>
      <c r="EB45" s="97">
        <f t="shared" si="9"/>
        <v>657.83749999999998</v>
      </c>
      <c r="EC45" s="54">
        <v>669.35</v>
      </c>
      <c r="ED45" s="54">
        <v>596</v>
      </c>
      <c r="EE45" s="97">
        <f t="shared" si="10"/>
        <v>625.33749999999998</v>
      </c>
      <c r="EF45" s="54">
        <v>640</v>
      </c>
      <c r="EG45" s="274">
        <v>675.93100000000004</v>
      </c>
      <c r="EH45" s="97">
        <f t="shared" si="11"/>
        <v>702.1105</v>
      </c>
      <c r="EI45" s="54">
        <v>816.58</v>
      </c>
      <c r="EJ45" s="54">
        <v>819</v>
      </c>
      <c r="EK45" s="97">
        <f t="shared" si="12"/>
        <v>821.39499999999998</v>
      </c>
      <c r="EL45" s="54">
        <v>831</v>
      </c>
      <c r="EM45" s="54">
        <v>880</v>
      </c>
      <c r="EN45" s="97">
        <f t="shared" si="13"/>
        <v>867.75</v>
      </c>
      <c r="EO45" s="54">
        <v>880</v>
      </c>
      <c r="EP45" s="54">
        <v>880</v>
      </c>
      <c r="EQ45" s="97">
        <f t="shared" si="14"/>
        <v>886.75</v>
      </c>
      <c r="ER45" s="269">
        <v>907</v>
      </c>
      <c r="ES45" s="269">
        <v>908.06</v>
      </c>
      <c r="ET45" s="97">
        <f t="shared" si="15"/>
        <v>947.78</v>
      </c>
      <c r="EU45" s="269">
        <v>1068</v>
      </c>
      <c r="EV45" s="269">
        <v>1086</v>
      </c>
      <c r="EW45" s="97">
        <f t="shared" si="16"/>
        <v>1083</v>
      </c>
      <c r="EX45" s="269">
        <v>1092</v>
      </c>
      <c r="EY45" s="269">
        <v>1203.03</v>
      </c>
      <c r="EZ45" s="97">
        <f t="shared" si="17"/>
        <v>1186.7649999999999</v>
      </c>
      <c r="FA45" s="269">
        <v>1249</v>
      </c>
      <c r="FB45" s="269">
        <v>1249</v>
      </c>
      <c r="FC45" s="97">
        <f t="shared" si="18"/>
        <v>1265.75</v>
      </c>
      <c r="FD45" s="269">
        <v>1316</v>
      </c>
      <c r="FE45" s="269">
        <v>1404</v>
      </c>
      <c r="FF45" s="97">
        <f t="shared" si="19"/>
        <v>1398.75</v>
      </c>
      <c r="FG45" s="270">
        <v>1471</v>
      </c>
      <c r="FH45" s="269">
        <v>1471</v>
      </c>
      <c r="FI45" s="97">
        <f t="shared" si="20"/>
        <v>1477.25</v>
      </c>
      <c r="FJ45" s="269">
        <v>1496</v>
      </c>
      <c r="FK45" s="269">
        <v>1589</v>
      </c>
      <c r="FL45" s="97">
        <f t="shared" si="21"/>
        <v>1573</v>
      </c>
      <c r="FM45" s="269">
        <v>1618</v>
      </c>
      <c r="FN45" s="269">
        <v>1738</v>
      </c>
      <c r="FO45" s="97">
        <f t="shared" si="22"/>
        <v>1721.5</v>
      </c>
      <c r="FP45" s="269">
        <v>1792</v>
      </c>
      <c r="FQ45" s="269">
        <v>1871</v>
      </c>
      <c r="FR45" s="97">
        <f t="shared" si="23"/>
        <v>1888.25</v>
      </c>
      <c r="FS45" s="269">
        <v>2019</v>
      </c>
      <c r="FT45" s="269">
        <v>2106</v>
      </c>
      <c r="FU45" s="97">
        <f t="shared" si="24"/>
        <v>2101.75</v>
      </c>
      <c r="FV45" s="269">
        <v>2176</v>
      </c>
      <c r="FW45" s="269">
        <v>2316</v>
      </c>
      <c r="FX45" s="97">
        <f t="shared" si="25"/>
        <v>2327.75</v>
      </c>
      <c r="FY45" s="269">
        <v>2503</v>
      </c>
      <c r="FZ45" s="269">
        <v>2774</v>
      </c>
      <c r="GA45" s="97">
        <f t="shared" si="26"/>
        <v>2735.75</v>
      </c>
      <c r="GB45" s="270">
        <v>2892</v>
      </c>
      <c r="GC45" s="269"/>
      <c r="GD45" s="272">
        <f t="shared" si="29"/>
        <v>2892</v>
      </c>
      <c r="GE45" s="269"/>
      <c r="GF45" s="275"/>
      <c r="GG45" s="97">
        <f t="shared" si="27"/>
        <v>0</v>
      </c>
      <c r="GH45" s="105"/>
      <c r="GI45" s="105"/>
      <c r="GJ45" s="97">
        <f t="shared" si="30"/>
        <v>0</v>
      </c>
      <c r="GK45" s="105"/>
      <c r="GL45" s="105"/>
      <c r="GM45" s="97">
        <f t="shared" si="31"/>
        <v>0</v>
      </c>
      <c r="GN45" s="105"/>
      <c r="GO45" s="105"/>
      <c r="GP45" s="97">
        <f t="shared" si="32"/>
        <v>0</v>
      </c>
      <c r="GQ45" s="105"/>
      <c r="GR45" s="105"/>
    </row>
    <row r="46" spans="1:200" ht="10.5" customHeight="1" x14ac:dyDescent="0.3">
      <c r="A46" s="265">
        <f t="shared" si="28"/>
        <v>39</v>
      </c>
      <c r="B46" s="56" t="s">
        <v>1035</v>
      </c>
      <c r="C46" s="99" t="s">
        <v>46</v>
      </c>
      <c r="D46" s="99" t="s">
        <v>46</v>
      </c>
      <c r="E46" s="99" t="s">
        <v>46</v>
      </c>
      <c r="F46" s="99" t="s">
        <v>46</v>
      </c>
      <c r="G46" s="99" t="s">
        <v>46</v>
      </c>
      <c r="H46" s="99" t="s">
        <v>46</v>
      </c>
      <c r="I46" s="99" t="s">
        <v>46</v>
      </c>
      <c r="J46" s="99" t="s">
        <v>46</v>
      </c>
      <c r="K46" s="99" t="s">
        <v>46</v>
      </c>
      <c r="L46" s="99" t="s">
        <v>46</v>
      </c>
      <c r="M46" s="99" t="s">
        <v>46</v>
      </c>
      <c r="N46" s="99" t="s">
        <v>46</v>
      </c>
      <c r="O46" s="99" t="s">
        <v>46</v>
      </c>
      <c r="P46" s="99" t="s">
        <v>46</v>
      </c>
      <c r="Q46" s="99" t="s">
        <v>46</v>
      </c>
      <c r="R46" s="99" t="s">
        <v>46</v>
      </c>
      <c r="S46" s="99" t="s">
        <v>46</v>
      </c>
      <c r="T46" s="99" t="s">
        <v>46</v>
      </c>
      <c r="U46" s="99" t="s">
        <v>46</v>
      </c>
      <c r="V46" s="99" t="s">
        <v>46</v>
      </c>
      <c r="W46" s="99" t="s">
        <v>46</v>
      </c>
      <c r="X46" s="99" t="s">
        <v>46</v>
      </c>
      <c r="Y46" s="99" t="s">
        <v>46</v>
      </c>
      <c r="Z46" s="97">
        <v>12</v>
      </c>
      <c r="AA46" s="97">
        <v>12</v>
      </c>
      <c r="AB46" s="97">
        <v>13</v>
      </c>
      <c r="AC46" s="97">
        <v>13</v>
      </c>
      <c r="AD46" s="97">
        <v>13</v>
      </c>
      <c r="AE46" s="97">
        <v>13</v>
      </c>
      <c r="AF46" s="97">
        <v>14</v>
      </c>
      <c r="AG46" s="97">
        <v>15</v>
      </c>
      <c r="AH46" s="97">
        <v>15</v>
      </c>
      <c r="AI46" s="97">
        <v>16</v>
      </c>
      <c r="AJ46" s="97">
        <v>19</v>
      </c>
      <c r="AK46" s="97">
        <v>20</v>
      </c>
      <c r="AL46" s="97">
        <v>24</v>
      </c>
      <c r="AM46" s="97">
        <v>29</v>
      </c>
      <c r="AN46" s="97">
        <v>35</v>
      </c>
      <c r="AO46" s="97">
        <v>40</v>
      </c>
      <c r="AP46" s="97">
        <v>42</v>
      </c>
      <c r="AQ46" s="97">
        <v>42</v>
      </c>
      <c r="AR46" s="97">
        <v>42</v>
      </c>
      <c r="AS46" s="97">
        <v>42</v>
      </c>
      <c r="AT46" s="97">
        <v>44</v>
      </c>
      <c r="AU46" s="97">
        <v>54</v>
      </c>
      <c r="AV46" s="97">
        <v>61</v>
      </c>
      <c r="AW46" s="97">
        <v>68</v>
      </c>
      <c r="AX46" s="97">
        <v>68</v>
      </c>
      <c r="AY46" s="97">
        <v>68</v>
      </c>
      <c r="AZ46" s="97">
        <v>68</v>
      </c>
      <c r="BA46" s="97">
        <v>71</v>
      </c>
      <c r="BB46" s="97">
        <v>72</v>
      </c>
      <c r="BC46" s="97">
        <v>71</v>
      </c>
      <c r="BD46" s="97">
        <v>70</v>
      </c>
      <c r="BE46" s="97">
        <v>72</v>
      </c>
      <c r="BF46" s="97">
        <v>79</v>
      </c>
      <c r="BG46" s="97">
        <v>80</v>
      </c>
      <c r="BH46" s="97">
        <v>81</v>
      </c>
      <c r="BI46" s="97">
        <v>87</v>
      </c>
      <c r="BJ46" s="97">
        <v>92</v>
      </c>
      <c r="BK46" s="97">
        <v>94</v>
      </c>
      <c r="BL46" s="97">
        <v>100</v>
      </c>
      <c r="BM46" s="38">
        <v>125</v>
      </c>
      <c r="BN46" s="97">
        <v>177</v>
      </c>
      <c r="BO46" s="97">
        <v>194</v>
      </c>
      <c r="BP46" s="97">
        <v>195</v>
      </c>
      <c r="BQ46" s="97">
        <v>201</v>
      </c>
      <c r="BR46" s="97">
        <v>212</v>
      </c>
      <c r="BS46" s="97">
        <v>232</v>
      </c>
      <c r="BT46" s="97">
        <v>249</v>
      </c>
      <c r="BU46" s="97">
        <v>273</v>
      </c>
      <c r="BV46" s="97">
        <v>286</v>
      </c>
      <c r="BW46" s="97">
        <v>294</v>
      </c>
      <c r="BX46" s="97">
        <v>306</v>
      </c>
      <c r="BY46" s="97">
        <v>324</v>
      </c>
      <c r="BZ46" s="97">
        <v>341</v>
      </c>
      <c r="CA46" s="97">
        <v>345</v>
      </c>
      <c r="CB46" s="97">
        <v>353</v>
      </c>
      <c r="CC46" s="97">
        <v>352.75</v>
      </c>
      <c r="CD46" s="97">
        <v>360</v>
      </c>
      <c r="CE46" s="97">
        <v>384</v>
      </c>
      <c r="CF46" s="97">
        <v>379.25</v>
      </c>
      <c r="CG46" s="97">
        <v>389</v>
      </c>
      <c r="CH46" s="97">
        <v>401</v>
      </c>
      <c r="CI46" s="97">
        <v>402.25</v>
      </c>
      <c r="CJ46" s="97">
        <v>418</v>
      </c>
      <c r="CK46" s="97">
        <v>418</v>
      </c>
      <c r="CL46" s="97">
        <v>418</v>
      </c>
      <c r="CM46" s="97">
        <v>418</v>
      </c>
      <c r="CN46" s="97">
        <v>418</v>
      </c>
      <c r="CO46" s="97">
        <v>422.5</v>
      </c>
      <c r="CP46" s="97">
        <v>436</v>
      </c>
      <c r="CQ46" s="97">
        <v>439</v>
      </c>
      <c r="CR46" s="97">
        <v>438.25</v>
      </c>
      <c r="CS46" s="97">
        <v>439</v>
      </c>
      <c r="CT46" s="97">
        <v>430</v>
      </c>
      <c r="CU46" s="97">
        <v>436.75</v>
      </c>
      <c r="CV46" s="97">
        <v>448</v>
      </c>
      <c r="CW46" s="97">
        <v>486</v>
      </c>
      <c r="CX46" s="97">
        <v>476.5</v>
      </c>
      <c r="CY46" s="97">
        <v>486</v>
      </c>
      <c r="CZ46" s="97">
        <v>495</v>
      </c>
      <c r="DA46" s="97">
        <v>492.75</v>
      </c>
      <c r="DB46" s="97">
        <v>495</v>
      </c>
      <c r="DC46" s="97">
        <v>507</v>
      </c>
      <c r="DD46" s="97">
        <v>505.5</v>
      </c>
      <c r="DE46" s="97">
        <v>513</v>
      </c>
      <c r="DF46" s="97">
        <v>533</v>
      </c>
      <c r="DG46" s="97">
        <f t="shared" si="37"/>
        <v>537</v>
      </c>
      <c r="DH46" s="97">
        <v>569</v>
      </c>
      <c r="DI46" s="99">
        <v>569</v>
      </c>
      <c r="DJ46" s="99">
        <f t="shared" si="38"/>
        <v>569</v>
      </c>
      <c r="DK46" s="97">
        <v>569</v>
      </c>
      <c r="DL46" s="97">
        <v>560</v>
      </c>
      <c r="DM46" s="97">
        <f t="shared" si="39"/>
        <v>562.25</v>
      </c>
      <c r="DN46" s="97">
        <v>560</v>
      </c>
      <c r="DO46" s="97">
        <v>576</v>
      </c>
      <c r="DP46" s="97">
        <f t="shared" si="33"/>
        <v>581</v>
      </c>
      <c r="DQ46" s="97">
        <v>612</v>
      </c>
      <c r="DR46" s="97">
        <v>612</v>
      </c>
      <c r="DS46" s="97">
        <f t="shared" si="6"/>
        <v>612</v>
      </c>
      <c r="DT46" s="97">
        <v>612</v>
      </c>
      <c r="DU46" s="97">
        <v>612</v>
      </c>
      <c r="DV46" s="97">
        <f t="shared" si="7"/>
        <v>612</v>
      </c>
      <c r="DW46" s="97">
        <v>612</v>
      </c>
      <c r="DX46" s="97">
        <v>600</v>
      </c>
      <c r="DY46" s="97">
        <f t="shared" si="8"/>
        <v>597</v>
      </c>
      <c r="DZ46" s="87">
        <v>576</v>
      </c>
      <c r="EA46" s="97">
        <v>576</v>
      </c>
      <c r="EB46" s="97">
        <f t="shared" si="9"/>
        <v>578.54750000000001</v>
      </c>
      <c r="EC46" s="54">
        <v>586.19000000000005</v>
      </c>
      <c r="ED46" s="54">
        <v>544</v>
      </c>
      <c r="EE46" s="97">
        <f t="shared" si="10"/>
        <v>551.29750000000001</v>
      </c>
      <c r="EF46" s="54">
        <v>531</v>
      </c>
      <c r="EG46" s="274">
        <v>569.72978566839993</v>
      </c>
      <c r="EH46" s="97">
        <f t="shared" si="11"/>
        <v>586.64489283419994</v>
      </c>
      <c r="EI46" s="54">
        <v>676.12</v>
      </c>
      <c r="EJ46" s="54">
        <v>683</v>
      </c>
      <c r="EK46" s="97">
        <f t="shared" si="12"/>
        <v>674.03</v>
      </c>
      <c r="EL46" s="54">
        <v>654</v>
      </c>
      <c r="EM46" s="54">
        <v>700</v>
      </c>
      <c r="EN46" s="97">
        <f t="shared" si="13"/>
        <v>688.5</v>
      </c>
      <c r="EO46" s="54">
        <v>700</v>
      </c>
      <c r="EP46" s="54">
        <v>700</v>
      </c>
      <c r="EQ46" s="97">
        <f t="shared" si="14"/>
        <v>683.25</v>
      </c>
      <c r="ER46" s="269">
        <v>633</v>
      </c>
      <c r="ES46" s="269">
        <v>714.84</v>
      </c>
      <c r="ET46" s="97">
        <f t="shared" si="15"/>
        <v>703.92000000000007</v>
      </c>
      <c r="EU46" s="269">
        <v>753</v>
      </c>
      <c r="EV46" s="269">
        <v>770</v>
      </c>
      <c r="EW46" s="97">
        <f t="shared" si="16"/>
        <v>766.75</v>
      </c>
      <c r="EX46" s="269">
        <v>774</v>
      </c>
      <c r="EY46" s="269">
        <v>803.48</v>
      </c>
      <c r="EZ46" s="97">
        <f t="shared" si="17"/>
        <v>796.49</v>
      </c>
      <c r="FA46" s="269">
        <v>805</v>
      </c>
      <c r="FB46" s="269">
        <v>805</v>
      </c>
      <c r="FC46" s="97">
        <f t="shared" si="18"/>
        <v>805</v>
      </c>
      <c r="FD46" s="269">
        <v>805</v>
      </c>
      <c r="FE46" s="269">
        <v>805</v>
      </c>
      <c r="FF46" s="97">
        <f t="shared" si="19"/>
        <v>814.25</v>
      </c>
      <c r="FG46" s="270">
        <v>842</v>
      </c>
      <c r="FH46" s="269">
        <v>842</v>
      </c>
      <c r="FI46" s="97">
        <f t="shared" si="20"/>
        <v>847.25</v>
      </c>
      <c r="FJ46" s="269">
        <v>863</v>
      </c>
      <c r="FK46" s="269">
        <v>891</v>
      </c>
      <c r="FL46" s="97">
        <f t="shared" si="21"/>
        <v>886.25</v>
      </c>
      <c r="FM46" s="269">
        <v>900</v>
      </c>
      <c r="FN46" s="269">
        <v>939</v>
      </c>
      <c r="FO46" s="97">
        <f t="shared" si="22"/>
        <v>935.75</v>
      </c>
      <c r="FP46" s="269">
        <v>965</v>
      </c>
      <c r="FQ46" s="269">
        <v>990</v>
      </c>
      <c r="FR46" s="97">
        <f t="shared" si="23"/>
        <v>1006.25</v>
      </c>
      <c r="FS46" s="269">
        <v>1080</v>
      </c>
      <c r="FT46" s="269">
        <v>1140</v>
      </c>
      <c r="FU46" s="97">
        <f t="shared" si="24"/>
        <v>1126.25</v>
      </c>
      <c r="FV46" s="269">
        <v>1145</v>
      </c>
      <c r="FW46" s="269">
        <v>1195</v>
      </c>
      <c r="FX46" s="97">
        <f t="shared" si="25"/>
        <v>1210.5</v>
      </c>
      <c r="FY46" s="269">
        <v>1307</v>
      </c>
      <c r="FZ46" s="269">
        <v>1452</v>
      </c>
      <c r="GA46" s="97">
        <f t="shared" si="26"/>
        <v>1434.75</v>
      </c>
      <c r="GB46" s="270">
        <v>1528</v>
      </c>
      <c r="GC46" s="269"/>
      <c r="GD46" s="272">
        <f t="shared" si="29"/>
        <v>1528</v>
      </c>
      <c r="GE46" s="269"/>
      <c r="GF46" s="275"/>
      <c r="GG46" s="97">
        <f t="shared" si="27"/>
        <v>0</v>
      </c>
      <c r="GH46" s="105"/>
      <c r="GI46" s="105"/>
      <c r="GJ46" s="97">
        <f t="shared" si="30"/>
        <v>0</v>
      </c>
      <c r="GK46" s="105"/>
      <c r="GL46" s="105"/>
      <c r="GM46" s="97">
        <f t="shared" si="31"/>
        <v>0</v>
      </c>
      <c r="GN46" s="105"/>
      <c r="GO46" s="105"/>
      <c r="GP46" s="97">
        <f t="shared" si="32"/>
        <v>0</v>
      </c>
      <c r="GQ46" s="105"/>
      <c r="GR46" s="105"/>
    </row>
    <row r="47" spans="1:200" ht="10.5" customHeight="1" x14ac:dyDescent="0.3">
      <c r="A47" s="265">
        <f t="shared" si="28"/>
        <v>40</v>
      </c>
      <c r="B47" s="56" t="s">
        <v>703</v>
      </c>
      <c r="C47" s="97">
        <v>15</v>
      </c>
      <c r="D47" s="97">
        <v>15</v>
      </c>
      <c r="E47" s="97">
        <v>15</v>
      </c>
      <c r="F47" s="97">
        <v>17</v>
      </c>
      <c r="G47" s="97">
        <v>17</v>
      </c>
      <c r="H47" s="97">
        <v>17</v>
      </c>
      <c r="I47" s="97">
        <v>24</v>
      </c>
      <c r="J47" s="97">
        <v>24</v>
      </c>
      <c r="K47" s="97">
        <v>30</v>
      </c>
      <c r="L47" s="97">
        <v>28</v>
      </c>
      <c r="M47" s="97">
        <v>25</v>
      </c>
      <c r="N47" s="97">
        <v>29</v>
      </c>
      <c r="O47" s="97">
        <v>29</v>
      </c>
      <c r="P47" s="97">
        <v>27</v>
      </c>
      <c r="Q47" s="97">
        <v>26</v>
      </c>
      <c r="R47" s="97">
        <v>26</v>
      </c>
      <c r="S47" s="97">
        <v>28</v>
      </c>
      <c r="T47" s="97">
        <v>28</v>
      </c>
      <c r="U47" s="97">
        <v>28</v>
      </c>
      <c r="V47" s="97">
        <v>24</v>
      </c>
      <c r="W47" s="97">
        <v>23</v>
      </c>
      <c r="X47" s="97">
        <v>23</v>
      </c>
      <c r="Y47" s="97">
        <v>22</v>
      </c>
      <c r="Z47" s="97">
        <v>22</v>
      </c>
      <c r="AA47" s="97">
        <v>23</v>
      </c>
      <c r="AB47" s="97">
        <v>25</v>
      </c>
      <c r="AC47" s="97">
        <v>26</v>
      </c>
      <c r="AD47" s="97">
        <v>26</v>
      </c>
      <c r="AE47" s="97">
        <v>26</v>
      </c>
      <c r="AF47" s="97">
        <v>28</v>
      </c>
      <c r="AG47" s="97">
        <v>29</v>
      </c>
      <c r="AH47" s="97">
        <v>29</v>
      </c>
      <c r="AI47" s="97">
        <v>29</v>
      </c>
      <c r="AJ47" s="97">
        <v>29</v>
      </c>
      <c r="AK47" s="97">
        <v>34</v>
      </c>
      <c r="AL47" s="97">
        <v>39</v>
      </c>
      <c r="AM47" s="97">
        <v>42</v>
      </c>
      <c r="AN47" s="97">
        <v>45</v>
      </c>
      <c r="AO47" s="97">
        <v>52</v>
      </c>
      <c r="AP47" s="97">
        <v>57</v>
      </c>
      <c r="AQ47" s="97">
        <v>57</v>
      </c>
      <c r="AR47" s="97">
        <v>57</v>
      </c>
      <c r="AS47" s="97">
        <v>55</v>
      </c>
      <c r="AT47" s="97">
        <v>51</v>
      </c>
      <c r="AU47" s="97">
        <v>57</v>
      </c>
      <c r="AV47" s="97">
        <v>59</v>
      </c>
      <c r="AW47" s="97">
        <v>58</v>
      </c>
      <c r="AX47" s="97">
        <v>58</v>
      </c>
      <c r="AY47" s="97">
        <v>58</v>
      </c>
      <c r="AZ47" s="97">
        <v>59</v>
      </c>
      <c r="BA47" s="97">
        <v>62</v>
      </c>
      <c r="BB47" s="97">
        <v>63</v>
      </c>
      <c r="BC47" s="97">
        <v>62</v>
      </c>
      <c r="BD47" s="97">
        <v>62</v>
      </c>
      <c r="BE47" s="97">
        <v>68</v>
      </c>
      <c r="BF47" s="97">
        <v>72</v>
      </c>
      <c r="BG47" s="97">
        <v>74</v>
      </c>
      <c r="BH47" s="97">
        <v>74</v>
      </c>
      <c r="BI47" s="97">
        <v>79</v>
      </c>
      <c r="BJ47" s="97">
        <v>91</v>
      </c>
      <c r="BK47" s="97">
        <v>96</v>
      </c>
      <c r="BL47" s="97">
        <v>100</v>
      </c>
      <c r="BM47" s="38">
        <v>127</v>
      </c>
      <c r="BN47" s="97">
        <v>160</v>
      </c>
      <c r="BO47" s="97">
        <v>191</v>
      </c>
      <c r="BP47" s="97">
        <v>197</v>
      </c>
      <c r="BQ47" s="97">
        <v>220</v>
      </c>
      <c r="BR47" s="97">
        <v>252</v>
      </c>
      <c r="BS47" s="97">
        <v>270</v>
      </c>
      <c r="BT47" s="97">
        <v>289</v>
      </c>
      <c r="BU47" s="97">
        <v>321</v>
      </c>
      <c r="BV47" s="97">
        <v>358</v>
      </c>
      <c r="BW47" s="97">
        <v>375</v>
      </c>
      <c r="BX47" s="97">
        <v>395</v>
      </c>
      <c r="BY47" s="97">
        <v>417</v>
      </c>
      <c r="BZ47" s="97">
        <v>441</v>
      </c>
      <c r="CA47" s="97">
        <v>453</v>
      </c>
      <c r="CB47" s="97">
        <v>465</v>
      </c>
      <c r="CC47" s="97">
        <v>467.75</v>
      </c>
      <c r="CD47" s="97">
        <v>488</v>
      </c>
      <c r="CE47" s="97">
        <v>527</v>
      </c>
      <c r="CF47" s="97">
        <v>517.25</v>
      </c>
      <c r="CG47" s="97">
        <v>527</v>
      </c>
      <c r="CH47" s="97">
        <v>527</v>
      </c>
      <c r="CI47" s="97">
        <v>530.25</v>
      </c>
      <c r="CJ47" s="97">
        <v>540</v>
      </c>
      <c r="CK47" s="97">
        <v>540</v>
      </c>
      <c r="CL47" s="97">
        <v>540</v>
      </c>
      <c r="CM47" s="97">
        <v>540</v>
      </c>
      <c r="CN47" s="97">
        <v>540</v>
      </c>
      <c r="CO47" s="97">
        <v>547.5</v>
      </c>
      <c r="CP47" s="97">
        <v>570</v>
      </c>
      <c r="CQ47" s="97">
        <v>570</v>
      </c>
      <c r="CR47" s="97">
        <v>561.25</v>
      </c>
      <c r="CS47" s="97">
        <v>535</v>
      </c>
      <c r="CT47" s="97">
        <v>515</v>
      </c>
      <c r="CU47" s="97">
        <v>524</v>
      </c>
      <c r="CV47" s="97">
        <v>531</v>
      </c>
      <c r="CW47" s="97">
        <v>543</v>
      </c>
      <c r="CX47" s="97">
        <v>540</v>
      </c>
      <c r="CY47" s="97">
        <v>543</v>
      </c>
      <c r="CZ47" s="97">
        <v>547</v>
      </c>
      <c r="DA47" s="97">
        <v>553.25</v>
      </c>
      <c r="DB47" s="97">
        <v>576</v>
      </c>
      <c r="DC47" s="97">
        <v>593</v>
      </c>
      <c r="DD47" s="97">
        <v>592</v>
      </c>
      <c r="DE47" s="97">
        <v>606</v>
      </c>
      <c r="DF47" s="97">
        <v>606</v>
      </c>
      <c r="DG47" s="97">
        <f t="shared" si="37"/>
        <v>611</v>
      </c>
      <c r="DH47" s="97">
        <v>626</v>
      </c>
      <c r="DI47" s="99">
        <v>625</v>
      </c>
      <c r="DJ47" s="99">
        <f t="shared" si="38"/>
        <v>630.25</v>
      </c>
      <c r="DK47" s="97">
        <v>645</v>
      </c>
      <c r="DL47" s="97">
        <v>646</v>
      </c>
      <c r="DM47" s="97">
        <f t="shared" si="39"/>
        <v>651.25</v>
      </c>
      <c r="DN47" s="97">
        <v>668</v>
      </c>
      <c r="DO47" s="97">
        <v>691</v>
      </c>
      <c r="DP47" s="97">
        <f t="shared" si="33"/>
        <v>685.25</v>
      </c>
      <c r="DQ47" s="97">
        <v>691</v>
      </c>
      <c r="DR47" s="97">
        <v>691</v>
      </c>
      <c r="DS47" s="97">
        <f t="shared" si="6"/>
        <v>691</v>
      </c>
      <c r="DT47" s="97">
        <v>691</v>
      </c>
      <c r="DU47" s="97">
        <v>691</v>
      </c>
      <c r="DV47" s="97">
        <f t="shared" si="7"/>
        <v>691</v>
      </c>
      <c r="DW47" s="97">
        <v>691</v>
      </c>
      <c r="DX47" s="97">
        <v>703</v>
      </c>
      <c r="DY47" s="97">
        <f t="shared" si="8"/>
        <v>703.75</v>
      </c>
      <c r="DZ47" s="87">
        <v>718</v>
      </c>
      <c r="EA47" s="97">
        <v>718</v>
      </c>
      <c r="EB47" s="97">
        <f t="shared" si="9"/>
        <v>718.09249999999997</v>
      </c>
      <c r="EC47" s="54">
        <v>718.37</v>
      </c>
      <c r="ED47" s="54">
        <v>720</v>
      </c>
      <c r="EE47" s="97">
        <f t="shared" si="10"/>
        <v>719.59249999999997</v>
      </c>
      <c r="EF47" s="54">
        <v>720</v>
      </c>
      <c r="EG47" s="274">
        <v>720.49786700000004</v>
      </c>
      <c r="EH47" s="97">
        <f t="shared" si="11"/>
        <v>724.22143349999999</v>
      </c>
      <c r="EI47" s="54">
        <v>735.89</v>
      </c>
      <c r="EJ47" s="54">
        <v>736</v>
      </c>
      <c r="EK47" s="97">
        <f t="shared" si="12"/>
        <v>741.72249999999997</v>
      </c>
      <c r="EL47" s="54">
        <v>759</v>
      </c>
      <c r="EM47" s="54">
        <v>759</v>
      </c>
      <c r="EN47" s="97">
        <f t="shared" si="13"/>
        <v>753.25</v>
      </c>
      <c r="EO47" s="54">
        <v>736</v>
      </c>
      <c r="EP47" s="54">
        <v>778</v>
      </c>
      <c r="EQ47" s="97">
        <f t="shared" si="14"/>
        <v>763.5</v>
      </c>
      <c r="ER47" s="269">
        <v>762</v>
      </c>
      <c r="ES47" s="269">
        <v>762.13</v>
      </c>
      <c r="ET47" s="97">
        <f t="shared" si="15"/>
        <v>760.31500000000005</v>
      </c>
      <c r="EU47" s="269">
        <v>755</v>
      </c>
      <c r="EV47" s="269">
        <v>755</v>
      </c>
      <c r="EW47" s="97">
        <f t="shared" si="16"/>
        <v>758.75</v>
      </c>
      <c r="EX47" s="269">
        <v>770</v>
      </c>
      <c r="EY47" s="269">
        <v>790.16</v>
      </c>
      <c r="EZ47" s="97">
        <f t="shared" si="17"/>
        <v>788.32999999999993</v>
      </c>
      <c r="FA47" s="269">
        <v>803</v>
      </c>
      <c r="FB47" s="269">
        <v>824</v>
      </c>
      <c r="FC47" s="97">
        <f t="shared" si="18"/>
        <v>816.25</v>
      </c>
      <c r="FD47" s="269">
        <v>814</v>
      </c>
      <c r="FE47" s="269">
        <v>814</v>
      </c>
      <c r="FF47" s="97">
        <f t="shared" si="19"/>
        <v>827.5</v>
      </c>
      <c r="FG47" s="270">
        <v>868</v>
      </c>
      <c r="FH47" s="269">
        <v>868</v>
      </c>
      <c r="FI47" s="97">
        <f t="shared" si="20"/>
        <v>857.25</v>
      </c>
      <c r="FJ47" s="269">
        <v>825</v>
      </c>
      <c r="FK47" s="269">
        <v>825</v>
      </c>
      <c r="FL47" s="97">
        <f t="shared" si="21"/>
        <v>811.5</v>
      </c>
      <c r="FM47" s="269">
        <v>771</v>
      </c>
      <c r="FN47" s="269">
        <v>789</v>
      </c>
      <c r="FO47" s="97">
        <f t="shared" si="22"/>
        <v>790.25</v>
      </c>
      <c r="FP47" s="269">
        <v>812</v>
      </c>
      <c r="FQ47" s="269">
        <v>832</v>
      </c>
      <c r="FR47" s="97">
        <f t="shared" si="23"/>
        <v>834.75</v>
      </c>
      <c r="FS47" s="269">
        <v>863</v>
      </c>
      <c r="FT47" s="269">
        <v>863</v>
      </c>
      <c r="FU47" s="97">
        <f t="shared" si="24"/>
        <v>923.5</v>
      </c>
      <c r="FV47" s="269">
        <v>1105</v>
      </c>
      <c r="FW47" s="269">
        <v>1145</v>
      </c>
      <c r="FX47" s="97">
        <f t="shared" si="25"/>
        <v>1163.75</v>
      </c>
      <c r="FY47" s="269">
        <v>1260</v>
      </c>
      <c r="FZ47" s="269">
        <v>1365</v>
      </c>
      <c r="GA47" s="97">
        <f t="shared" si="26"/>
        <v>1437</v>
      </c>
      <c r="GB47" s="270">
        <v>1758</v>
      </c>
      <c r="GC47" s="269"/>
      <c r="GD47" s="272">
        <f t="shared" si="29"/>
        <v>1758</v>
      </c>
      <c r="GE47" s="269"/>
      <c r="GF47" s="275"/>
      <c r="GG47" s="97">
        <f t="shared" si="27"/>
        <v>0</v>
      </c>
      <c r="GH47" s="105"/>
      <c r="GI47" s="105"/>
      <c r="GJ47" s="97"/>
      <c r="GK47" s="105"/>
      <c r="GL47" s="105"/>
      <c r="GM47" s="97"/>
      <c r="GN47" s="105"/>
      <c r="GO47" s="105"/>
      <c r="GP47" s="97"/>
      <c r="GQ47" s="105"/>
      <c r="GR47" s="105"/>
    </row>
    <row r="48" spans="1:200" ht="10.5" customHeight="1" x14ac:dyDescent="0.3">
      <c r="A48" s="265">
        <f t="shared" si="28"/>
        <v>41</v>
      </c>
      <c r="B48" s="56" t="s">
        <v>1036</v>
      </c>
      <c r="C48" s="97">
        <v>24</v>
      </c>
      <c r="D48" s="97">
        <v>24</v>
      </c>
      <c r="E48" s="97">
        <v>24</v>
      </c>
      <c r="F48" s="97">
        <v>24</v>
      </c>
      <c r="G48" s="97">
        <v>24</v>
      </c>
      <c r="H48" s="97">
        <v>24</v>
      </c>
      <c r="I48" s="97">
        <v>29</v>
      </c>
      <c r="J48" s="97">
        <v>29</v>
      </c>
      <c r="K48" s="97">
        <v>31</v>
      </c>
      <c r="L48" s="97">
        <v>31</v>
      </c>
      <c r="M48" s="97">
        <v>29</v>
      </c>
      <c r="N48" s="97">
        <v>29</v>
      </c>
      <c r="O48" s="97">
        <v>29</v>
      </c>
      <c r="P48" s="97">
        <v>29</v>
      </c>
      <c r="Q48" s="97">
        <v>29</v>
      </c>
      <c r="R48" s="97">
        <v>29</v>
      </c>
      <c r="S48" s="97">
        <v>29</v>
      </c>
      <c r="T48" s="97">
        <v>29</v>
      </c>
      <c r="U48" s="97">
        <v>29</v>
      </c>
      <c r="V48" s="97">
        <v>29</v>
      </c>
      <c r="W48" s="97">
        <v>28</v>
      </c>
      <c r="X48" s="97">
        <v>28</v>
      </c>
      <c r="Y48" s="97">
        <v>28</v>
      </c>
      <c r="Z48" s="97">
        <v>28</v>
      </c>
      <c r="AA48" s="97">
        <v>28</v>
      </c>
      <c r="AB48" s="97">
        <v>28</v>
      </c>
      <c r="AC48" s="97">
        <v>29</v>
      </c>
      <c r="AD48" s="97">
        <v>29</v>
      </c>
      <c r="AE48" s="97">
        <v>29</v>
      </c>
      <c r="AF48" s="97">
        <v>29</v>
      </c>
      <c r="AG48" s="97">
        <v>30</v>
      </c>
      <c r="AH48" s="97">
        <v>30</v>
      </c>
      <c r="AI48" s="97">
        <v>30</v>
      </c>
      <c r="AJ48" s="97">
        <v>31</v>
      </c>
      <c r="AK48" s="97">
        <v>37</v>
      </c>
      <c r="AL48" s="97">
        <v>39</v>
      </c>
      <c r="AM48" s="97">
        <v>40</v>
      </c>
      <c r="AN48" s="97">
        <v>39</v>
      </c>
      <c r="AO48" s="97">
        <v>41</v>
      </c>
      <c r="AP48" s="97">
        <v>48</v>
      </c>
      <c r="AQ48" s="97">
        <v>48</v>
      </c>
      <c r="AR48" s="97">
        <v>48</v>
      </c>
      <c r="AS48" s="97">
        <v>51</v>
      </c>
      <c r="AT48" s="97">
        <v>57</v>
      </c>
      <c r="AU48" s="97">
        <v>64</v>
      </c>
      <c r="AV48" s="97">
        <v>61</v>
      </c>
      <c r="AW48" s="97">
        <v>59</v>
      </c>
      <c r="AX48" s="97">
        <v>59</v>
      </c>
      <c r="AY48" s="97">
        <v>62</v>
      </c>
      <c r="AZ48" s="97">
        <v>63</v>
      </c>
      <c r="BA48" s="97">
        <v>65</v>
      </c>
      <c r="BB48" s="97">
        <v>65</v>
      </c>
      <c r="BC48" s="97">
        <v>66</v>
      </c>
      <c r="BD48" s="97">
        <v>70</v>
      </c>
      <c r="BE48" s="97">
        <v>75</v>
      </c>
      <c r="BF48" s="97">
        <v>77</v>
      </c>
      <c r="BG48" s="97">
        <v>79</v>
      </c>
      <c r="BH48" s="97">
        <v>87</v>
      </c>
      <c r="BI48" s="97">
        <v>93</v>
      </c>
      <c r="BJ48" s="97">
        <v>95</v>
      </c>
      <c r="BK48" s="97">
        <v>95</v>
      </c>
      <c r="BL48" s="97">
        <v>100</v>
      </c>
      <c r="BM48" s="38">
        <v>132</v>
      </c>
      <c r="BN48" s="97">
        <v>139</v>
      </c>
      <c r="BO48" s="97">
        <v>160</v>
      </c>
      <c r="BP48" s="97">
        <v>227</v>
      </c>
      <c r="BQ48" s="97">
        <v>246</v>
      </c>
      <c r="BR48" s="97">
        <v>262</v>
      </c>
      <c r="BS48" s="97">
        <v>296</v>
      </c>
      <c r="BT48" s="97">
        <v>320</v>
      </c>
      <c r="BU48" s="97">
        <v>336</v>
      </c>
      <c r="BV48" s="97">
        <v>389</v>
      </c>
      <c r="BW48" s="97">
        <v>389</v>
      </c>
      <c r="BX48" s="97">
        <v>383</v>
      </c>
      <c r="BY48" s="97">
        <v>394</v>
      </c>
      <c r="BZ48" s="97">
        <v>399</v>
      </c>
      <c r="CA48" s="97">
        <v>409</v>
      </c>
      <c r="CB48" s="97">
        <v>450</v>
      </c>
      <c r="CC48" s="97">
        <v>444.75</v>
      </c>
      <c r="CD48" s="97">
        <v>470</v>
      </c>
      <c r="CE48" s="97">
        <v>470</v>
      </c>
      <c r="CF48" s="97">
        <v>470</v>
      </c>
      <c r="CG48" s="97">
        <v>470</v>
      </c>
      <c r="CH48" s="97">
        <v>470</v>
      </c>
      <c r="CI48" s="97">
        <v>477.5</v>
      </c>
      <c r="CJ48" s="97">
        <v>500</v>
      </c>
      <c r="CK48" s="97">
        <v>513</v>
      </c>
      <c r="CL48" s="97">
        <v>506.5</v>
      </c>
      <c r="CM48" s="97">
        <v>500</v>
      </c>
      <c r="CN48" s="97">
        <v>513</v>
      </c>
      <c r="CO48" s="97">
        <v>515.75</v>
      </c>
      <c r="CP48" s="97">
        <v>537</v>
      </c>
      <c r="CQ48" s="97">
        <v>555</v>
      </c>
      <c r="CR48" s="97">
        <v>550.5</v>
      </c>
      <c r="CS48" s="97">
        <v>555</v>
      </c>
      <c r="CT48" s="97">
        <v>563</v>
      </c>
      <c r="CU48" s="97">
        <v>565.5</v>
      </c>
      <c r="CV48" s="97">
        <v>581</v>
      </c>
      <c r="CW48" s="97">
        <v>581</v>
      </c>
      <c r="CX48" s="97">
        <v>603.25</v>
      </c>
      <c r="CY48" s="97">
        <v>670</v>
      </c>
      <c r="CZ48" s="97">
        <v>670</v>
      </c>
      <c r="DA48" s="97">
        <v>670</v>
      </c>
      <c r="DB48" s="97">
        <v>670</v>
      </c>
      <c r="DC48" s="97">
        <v>672</v>
      </c>
      <c r="DD48" s="97">
        <v>672.75</v>
      </c>
      <c r="DE48" s="97">
        <v>677</v>
      </c>
      <c r="DF48" s="97">
        <v>677</v>
      </c>
      <c r="DG48" s="97">
        <f t="shared" si="37"/>
        <v>677</v>
      </c>
      <c r="DH48" s="97">
        <v>677</v>
      </c>
      <c r="DI48" s="99">
        <v>677</v>
      </c>
      <c r="DJ48" s="99">
        <f t="shared" si="38"/>
        <v>678.75</v>
      </c>
      <c r="DK48" s="97">
        <v>684</v>
      </c>
      <c r="DL48" s="97">
        <v>701</v>
      </c>
      <c r="DM48" s="97">
        <f t="shared" si="39"/>
        <v>698.5</v>
      </c>
      <c r="DN48" s="97">
        <v>708</v>
      </c>
      <c r="DO48" s="97">
        <v>708</v>
      </c>
      <c r="DP48" s="97">
        <f t="shared" si="33"/>
        <v>708</v>
      </c>
      <c r="DQ48" s="97">
        <v>708</v>
      </c>
      <c r="DR48" s="97">
        <v>708</v>
      </c>
      <c r="DS48" s="97">
        <f t="shared" si="6"/>
        <v>712.5</v>
      </c>
      <c r="DT48" s="97">
        <v>726</v>
      </c>
      <c r="DU48" s="97">
        <v>740</v>
      </c>
      <c r="DV48" s="97">
        <f t="shared" si="7"/>
        <v>736.5</v>
      </c>
      <c r="DW48" s="97">
        <v>740</v>
      </c>
      <c r="DX48" s="97">
        <v>769</v>
      </c>
      <c r="DY48" s="97">
        <f t="shared" si="8"/>
        <v>761.75</v>
      </c>
      <c r="DZ48" s="87">
        <v>769</v>
      </c>
      <c r="EA48" s="97">
        <v>794</v>
      </c>
      <c r="EB48" s="97">
        <f t="shared" si="9"/>
        <v>787.65499999999997</v>
      </c>
      <c r="EC48" s="54">
        <v>793.62</v>
      </c>
      <c r="ED48" s="54">
        <v>1111</v>
      </c>
      <c r="EE48" s="97">
        <f t="shared" si="10"/>
        <v>1031.655</v>
      </c>
      <c r="EF48" s="54">
        <v>1111</v>
      </c>
      <c r="EG48" s="274">
        <v>1169.4533446</v>
      </c>
      <c r="EH48" s="97">
        <f t="shared" si="11"/>
        <v>1154.8391723</v>
      </c>
      <c r="EI48" s="54">
        <v>1169.45</v>
      </c>
      <c r="EJ48" s="54">
        <v>1169</v>
      </c>
      <c r="EK48" s="97">
        <f t="shared" si="12"/>
        <v>1177.3625</v>
      </c>
      <c r="EL48" s="54">
        <v>1202</v>
      </c>
      <c r="EM48" s="54">
        <v>1202</v>
      </c>
      <c r="EN48" s="97">
        <f t="shared" si="13"/>
        <v>1202</v>
      </c>
      <c r="EO48" s="54">
        <v>1202</v>
      </c>
      <c r="EP48" s="54">
        <v>1241</v>
      </c>
      <c r="EQ48" s="97">
        <f t="shared" si="14"/>
        <v>1231.25</v>
      </c>
      <c r="ER48" s="269">
        <v>1241</v>
      </c>
      <c r="ES48" s="269">
        <v>1240.6099999999999</v>
      </c>
      <c r="ET48" s="97">
        <f t="shared" si="15"/>
        <v>1261.3049999999998</v>
      </c>
      <c r="EU48" s="269">
        <v>1323</v>
      </c>
      <c r="EV48" s="269">
        <v>1594</v>
      </c>
      <c r="EW48" s="97">
        <f t="shared" si="16"/>
        <v>1526.25</v>
      </c>
      <c r="EX48" s="269">
        <v>1594</v>
      </c>
      <c r="EY48" s="269">
        <v>1594.22</v>
      </c>
      <c r="EZ48" s="97">
        <f t="shared" si="17"/>
        <v>1594.1100000000001</v>
      </c>
      <c r="FA48" s="269">
        <v>1594</v>
      </c>
      <c r="FB48" s="269">
        <v>1594</v>
      </c>
      <c r="FC48" s="97">
        <f t="shared" si="18"/>
        <v>1594</v>
      </c>
      <c r="FD48" s="269">
        <v>1594</v>
      </c>
      <c r="FE48" s="269">
        <v>1594</v>
      </c>
      <c r="FF48" s="97">
        <f t="shared" si="19"/>
        <v>1594</v>
      </c>
      <c r="FG48" s="270">
        <v>1594</v>
      </c>
      <c r="FH48" s="269">
        <v>1594</v>
      </c>
      <c r="FI48" s="97">
        <f t="shared" si="20"/>
        <v>1594</v>
      </c>
      <c r="FJ48" s="269">
        <v>1594</v>
      </c>
      <c r="FK48" s="269">
        <v>1706</v>
      </c>
      <c r="FL48" s="97">
        <f t="shared" si="21"/>
        <v>1678</v>
      </c>
      <c r="FM48" s="269">
        <v>1706</v>
      </c>
      <c r="FN48" s="269">
        <v>1706</v>
      </c>
      <c r="FO48" s="97">
        <f t="shared" si="22"/>
        <v>1706</v>
      </c>
      <c r="FP48" s="269">
        <v>1706</v>
      </c>
      <c r="FQ48" s="269">
        <v>1768</v>
      </c>
      <c r="FR48" s="97">
        <f t="shared" si="23"/>
        <v>1752.5</v>
      </c>
      <c r="FS48" s="269">
        <v>1768</v>
      </c>
      <c r="FT48" s="269">
        <v>1821</v>
      </c>
      <c r="FU48" s="97">
        <f t="shared" si="24"/>
        <v>1807.75</v>
      </c>
      <c r="FV48" s="269">
        <v>1821</v>
      </c>
      <c r="FW48" s="269">
        <v>1958</v>
      </c>
      <c r="FX48" s="97">
        <f t="shared" si="25"/>
        <v>1982.5</v>
      </c>
      <c r="FY48" s="269">
        <v>2193</v>
      </c>
      <c r="FZ48" s="269">
        <v>2193</v>
      </c>
      <c r="GA48" s="97">
        <f t="shared" si="26"/>
        <v>2237</v>
      </c>
      <c r="GB48" s="270">
        <v>2369</v>
      </c>
      <c r="GC48" s="269"/>
      <c r="GD48" s="272">
        <f t="shared" si="29"/>
        <v>2369</v>
      </c>
      <c r="GE48" s="269"/>
      <c r="GF48" s="275"/>
      <c r="GG48" s="97">
        <f t="shared" si="27"/>
        <v>0</v>
      </c>
      <c r="GH48" s="105"/>
      <c r="GI48" s="105"/>
      <c r="GJ48" s="97"/>
      <c r="GK48" s="105"/>
      <c r="GL48" s="105"/>
      <c r="GM48" s="97"/>
      <c r="GN48" s="105"/>
      <c r="GO48" s="105"/>
      <c r="GP48" s="97"/>
      <c r="GQ48" s="105"/>
      <c r="GR48" s="105"/>
    </row>
    <row r="49" spans="1:200" ht="10.5" customHeight="1" x14ac:dyDescent="0.3">
      <c r="A49" s="265">
        <f t="shared" si="28"/>
        <v>42</v>
      </c>
      <c r="B49" s="56" t="s">
        <v>1037</v>
      </c>
      <c r="C49" s="97">
        <v>27</v>
      </c>
      <c r="D49" s="97">
        <v>27</v>
      </c>
      <c r="E49" s="97">
        <v>27</v>
      </c>
      <c r="F49" s="97">
        <v>27</v>
      </c>
      <c r="G49" s="97">
        <v>27</v>
      </c>
      <c r="H49" s="97">
        <v>27</v>
      </c>
      <c r="I49" s="97">
        <v>25</v>
      </c>
      <c r="J49" s="97">
        <v>25</v>
      </c>
      <c r="K49" s="97">
        <v>25</v>
      </c>
      <c r="L49" s="97">
        <v>25</v>
      </c>
      <c r="M49" s="97">
        <v>25</v>
      </c>
      <c r="N49" s="97">
        <v>25</v>
      </c>
      <c r="O49" s="97">
        <v>24</v>
      </c>
      <c r="P49" s="97">
        <v>24</v>
      </c>
      <c r="Q49" s="97">
        <v>24</v>
      </c>
      <c r="R49" s="97">
        <v>24</v>
      </c>
      <c r="S49" s="97">
        <v>24</v>
      </c>
      <c r="T49" s="97">
        <v>24</v>
      </c>
      <c r="U49" s="97">
        <v>24</v>
      </c>
      <c r="V49" s="97">
        <v>24</v>
      </c>
      <c r="W49" s="97">
        <v>24</v>
      </c>
      <c r="X49" s="97">
        <v>22</v>
      </c>
      <c r="Y49" s="97">
        <v>21</v>
      </c>
      <c r="Z49" s="97">
        <v>21</v>
      </c>
      <c r="AA49" s="97">
        <v>21</v>
      </c>
      <c r="AB49" s="97">
        <v>21</v>
      </c>
      <c r="AC49" s="97">
        <v>21</v>
      </c>
      <c r="AD49" s="97">
        <v>21</v>
      </c>
      <c r="AE49" s="97">
        <v>22</v>
      </c>
      <c r="AF49" s="97">
        <v>22</v>
      </c>
      <c r="AG49" s="97">
        <v>23</v>
      </c>
      <c r="AH49" s="97">
        <v>23</v>
      </c>
      <c r="AI49" s="97">
        <v>23</v>
      </c>
      <c r="AJ49" s="97">
        <v>24</v>
      </c>
      <c r="AK49" s="97">
        <v>31</v>
      </c>
      <c r="AL49" s="97">
        <v>36</v>
      </c>
      <c r="AM49" s="97">
        <v>37</v>
      </c>
      <c r="AN49" s="97">
        <v>37</v>
      </c>
      <c r="AO49" s="97">
        <v>37</v>
      </c>
      <c r="AP49" s="97">
        <v>45</v>
      </c>
      <c r="AQ49" s="97">
        <v>45</v>
      </c>
      <c r="AR49" s="97">
        <v>45</v>
      </c>
      <c r="AS49" s="97">
        <v>46</v>
      </c>
      <c r="AT49" s="97">
        <v>54</v>
      </c>
      <c r="AU49" s="97">
        <v>59</v>
      </c>
      <c r="AV49" s="97">
        <v>59</v>
      </c>
      <c r="AW49" s="97">
        <v>59</v>
      </c>
      <c r="AX49" s="97">
        <v>60</v>
      </c>
      <c r="AY49" s="97">
        <v>62</v>
      </c>
      <c r="AZ49" s="97">
        <v>62</v>
      </c>
      <c r="BA49" s="97">
        <v>65</v>
      </c>
      <c r="BB49" s="97">
        <v>65</v>
      </c>
      <c r="BC49" s="97">
        <v>66</v>
      </c>
      <c r="BD49" s="97">
        <v>71</v>
      </c>
      <c r="BE49" s="97">
        <v>79</v>
      </c>
      <c r="BF49" s="97">
        <v>81</v>
      </c>
      <c r="BG49" s="97">
        <v>85</v>
      </c>
      <c r="BH49" s="97">
        <v>90</v>
      </c>
      <c r="BI49" s="97">
        <v>96</v>
      </c>
      <c r="BJ49" s="97">
        <v>99</v>
      </c>
      <c r="BK49" s="97">
        <v>99</v>
      </c>
      <c r="BL49" s="97">
        <v>100</v>
      </c>
      <c r="BM49" s="38">
        <v>126</v>
      </c>
      <c r="BN49" s="97">
        <v>133</v>
      </c>
      <c r="BO49" s="97">
        <v>133</v>
      </c>
      <c r="BP49" s="97">
        <v>136</v>
      </c>
      <c r="BQ49" s="97">
        <v>139</v>
      </c>
      <c r="BR49" s="97">
        <v>154</v>
      </c>
      <c r="BS49" s="97">
        <v>168</v>
      </c>
      <c r="BT49" s="97">
        <v>178</v>
      </c>
      <c r="BU49" s="97">
        <v>189</v>
      </c>
      <c r="BV49" s="97">
        <v>200</v>
      </c>
      <c r="BW49" s="97">
        <v>207</v>
      </c>
      <c r="BX49" s="97">
        <v>212</v>
      </c>
      <c r="BY49" s="97">
        <v>220</v>
      </c>
      <c r="BZ49" s="97">
        <v>220</v>
      </c>
      <c r="CA49" s="97">
        <v>220</v>
      </c>
      <c r="CB49" s="97">
        <v>242</v>
      </c>
      <c r="CC49" s="97">
        <v>239.5</v>
      </c>
      <c r="CD49" s="97">
        <v>254</v>
      </c>
      <c r="CE49" s="97">
        <v>254</v>
      </c>
      <c r="CF49" s="97">
        <v>254</v>
      </c>
      <c r="CG49" s="97">
        <v>254</v>
      </c>
      <c r="CH49" s="97">
        <v>254</v>
      </c>
      <c r="CI49" s="97">
        <v>257.25</v>
      </c>
      <c r="CJ49" s="97">
        <v>267</v>
      </c>
      <c r="CK49" s="97">
        <v>278</v>
      </c>
      <c r="CL49" s="97">
        <v>272.5</v>
      </c>
      <c r="CM49" s="97">
        <v>267</v>
      </c>
      <c r="CN49" s="97">
        <v>278</v>
      </c>
      <c r="CO49" s="97">
        <v>278.75</v>
      </c>
      <c r="CP49" s="97">
        <v>292</v>
      </c>
      <c r="CQ49" s="97">
        <v>306</v>
      </c>
      <c r="CR49" s="97">
        <v>302.5</v>
      </c>
      <c r="CS49" s="97">
        <v>306</v>
      </c>
      <c r="CT49" s="97">
        <v>306</v>
      </c>
      <c r="CU49" s="97">
        <v>308</v>
      </c>
      <c r="CV49" s="97">
        <v>314</v>
      </c>
      <c r="CW49" s="97">
        <v>314</v>
      </c>
      <c r="CX49" s="97">
        <v>317.75</v>
      </c>
      <c r="CY49" s="97">
        <v>329</v>
      </c>
      <c r="CZ49" s="97">
        <v>329</v>
      </c>
      <c r="DA49" s="97">
        <v>329</v>
      </c>
      <c r="DB49" s="97">
        <v>329</v>
      </c>
      <c r="DC49" s="97">
        <v>329</v>
      </c>
      <c r="DD49" s="97">
        <v>329</v>
      </c>
      <c r="DE49" s="97">
        <v>329</v>
      </c>
      <c r="DF49" s="97">
        <v>329</v>
      </c>
      <c r="DG49" s="97">
        <f t="shared" si="37"/>
        <v>329</v>
      </c>
      <c r="DH49" s="97">
        <v>329</v>
      </c>
      <c r="DI49" s="99">
        <v>329</v>
      </c>
      <c r="DJ49" s="99">
        <f t="shared" si="38"/>
        <v>329</v>
      </c>
      <c r="DK49" s="97">
        <v>329</v>
      </c>
      <c r="DL49" s="97">
        <v>341</v>
      </c>
      <c r="DM49" s="97">
        <f t="shared" si="39"/>
        <v>338</v>
      </c>
      <c r="DN49" s="97">
        <v>341</v>
      </c>
      <c r="DO49" s="97">
        <v>341</v>
      </c>
      <c r="DP49" s="97">
        <f t="shared" si="33"/>
        <v>341</v>
      </c>
      <c r="DQ49" s="97">
        <v>341</v>
      </c>
      <c r="DR49" s="97">
        <v>341</v>
      </c>
      <c r="DS49" s="97">
        <f t="shared" si="6"/>
        <v>344</v>
      </c>
      <c r="DT49" s="97">
        <v>353</v>
      </c>
      <c r="DU49" s="97">
        <v>353</v>
      </c>
      <c r="DV49" s="97">
        <f t="shared" si="7"/>
        <v>353</v>
      </c>
      <c r="DW49" s="97">
        <v>353</v>
      </c>
      <c r="DX49" s="97">
        <v>367</v>
      </c>
      <c r="DY49" s="97">
        <f t="shared" si="8"/>
        <v>363.5</v>
      </c>
      <c r="DZ49" s="87">
        <v>367</v>
      </c>
      <c r="EA49" s="97">
        <v>367</v>
      </c>
      <c r="EB49" s="97">
        <f t="shared" si="9"/>
        <v>367.0575</v>
      </c>
      <c r="EC49" s="54">
        <v>367.23</v>
      </c>
      <c r="ED49" s="54">
        <v>527</v>
      </c>
      <c r="EE49" s="97">
        <f t="shared" si="10"/>
        <v>487.0575</v>
      </c>
      <c r="EF49" s="54">
        <v>527</v>
      </c>
      <c r="EG49" s="274">
        <v>526.5566399999999</v>
      </c>
      <c r="EH49" s="97">
        <f t="shared" si="11"/>
        <v>526.66831999999999</v>
      </c>
      <c r="EI49" s="54">
        <v>526.55999999999995</v>
      </c>
      <c r="EJ49" s="54">
        <v>527</v>
      </c>
      <c r="EK49" s="97">
        <f t="shared" si="12"/>
        <v>526.89</v>
      </c>
      <c r="EL49" s="54">
        <v>527</v>
      </c>
      <c r="EM49" s="54">
        <v>527</v>
      </c>
      <c r="EN49" s="97">
        <f t="shared" si="13"/>
        <v>527</v>
      </c>
      <c r="EO49" s="54">
        <v>527</v>
      </c>
      <c r="EP49" s="54">
        <v>542</v>
      </c>
      <c r="EQ49" s="97">
        <f t="shared" si="14"/>
        <v>538.25</v>
      </c>
      <c r="ER49" s="269">
        <v>542</v>
      </c>
      <c r="ES49" s="269">
        <v>542.04</v>
      </c>
      <c r="ET49" s="97">
        <f t="shared" si="15"/>
        <v>542.02</v>
      </c>
      <c r="EU49" s="269">
        <v>542</v>
      </c>
      <c r="EV49" s="269">
        <v>723</v>
      </c>
      <c r="EW49" s="97">
        <f t="shared" si="16"/>
        <v>677.75</v>
      </c>
      <c r="EX49" s="269">
        <v>723</v>
      </c>
      <c r="EY49" s="269">
        <v>722.85</v>
      </c>
      <c r="EZ49" s="97">
        <f t="shared" si="17"/>
        <v>722.92499999999995</v>
      </c>
      <c r="FA49" s="269">
        <v>723</v>
      </c>
      <c r="FB49" s="269">
        <v>723</v>
      </c>
      <c r="FC49" s="97">
        <f t="shared" si="18"/>
        <v>723</v>
      </c>
      <c r="FD49" s="269">
        <v>723</v>
      </c>
      <c r="FE49" s="269">
        <v>723</v>
      </c>
      <c r="FF49" s="97">
        <f t="shared" si="19"/>
        <v>723</v>
      </c>
      <c r="FG49" s="270">
        <v>723</v>
      </c>
      <c r="FH49" s="269">
        <v>723</v>
      </c>
      <c r="FI49" s="97">
        <f t="shared" si="20"/>
        <v>723</v>
      </c>
      <c r="FJ49" s="269">
        <v>723</v>
      </c>
      <c r="FK49" s="269">
        <v>723</v>
      </c>
      <c r="FL49" s="97">
        <f t="shared" si="21"/>
        <v>723</v>
      </c>
      <c r="FM49" s="269">
        <v>723</v>
      </c>
      <c r="FN49" s="269">
        <v>723</v>
      </c>
      <c r="FO49" s="97">
        <f t="shared" si="22"/>
        <v>735.5</v>
      </c>
      <c r="FP49" s="269">
        <v>773</v>
      </c>
      <c r="FQ49" s="269">
        <v>861</v>
      </c>
      <c r="FR49" s="97">
        <f t="shared" si="23"/>
        <v>839</v>
      </c>
      <c r="FS49" s="269">
        <v>861</v>
      </c>
      <c r="FT49" s="269">
        <v>887</v>
      </c>
      <c r="FU49" s="97">
        <f t="shared" si="24"/>
        <v>880.5</v>
      </c>
      <c r="FV49" s="269">
        <v>887</v>
      </c>
      <c r="FW49" s="269">
        <v>953</v>
      </c>
      <c r="FX49" s="97">
        <f t="shared" si="25"/>
        <v>965.25</v>
      </c>
      <c r="FY49" s="269">
        <v>1068</v>
      </c>
      <c r="FZ49" s="269">
        <v>1068</v>
      </c>
      <c r="GA49" s="97">
        <f t="shared" si="26"/>
        <v>1089.25</v>
      </c>
      <c r="GB49" s="270">
        <v>1153</v>
      </c>
      <c r="GC49" s="269"/>
      <c r="GD49" s="272">
        <f t="shared" si="29"/>
        <v>1153</v>
      </c>
      <c r="GE49" s="269"/>
      <c r="GF49" s="275"/>
      <c r="GG49" s="97">
        <f t="shared" si="27"/>
        <v>0</v>
      </c>
      <c r="GH49" s="105"/>
      <c r="GI49" s="105"/>
      <c r="GJ49" s="97">
        <f t="shared" si="30"/>
        <v>0</v>
      </c>
      <c r="GK49" s="105"/>
      <c r="GL49" s="105"/>
      <c r="GM49" s="97">
        <f t="shared" si="31"/>
        <v>0</v>
      </c>
      <c r="GN49" s="105"/>
      <c r="GO49" s="105"/>
      <c r="GP49" s="97">
        <f t="shared" si="32"/>
        <v>0</v>
      </c>
      <c r="GQ49" s="105"/>
      <c r="GR49" s="105"/>
    </row>
    <row r="50" spans="1:200" ht="10.5" customHeight="1" x14ac:dyDescent="0.3">
      <c r="A50" s="265">
        <f t="shared" si="28"/>
        <v>43</v>
      </c>
      <c r="B50" s="56" t="s">
        <v>1038</v>
      </c>
      <c r="C50" s="97">
        <v>20</v>
      </c>
      <c r="D50" s="97">
        <v>20</v>
      </c>
      <c r="E50" s="97">
        <v>20</v>
      </c>
      <c r="F50" s="97">
        <v>20</v>
      </c>
      <c r="G50" s="97">
        <v>20</v>
      </c>
      <c r="H50" s="97">
        <v>20</v>
      </c>
      <c r="I50" s="97">
        <v>22</v>
      </c>
      <c r="J50" s="97">
        <v>22</v>
      </c>
      <c r="K50" s="97">
        <v>22</v>
      </c>
      <c r="L50" s="97">
        <v>22</v>
      </c>
      <c r="M50" s="97">
        <v>22</v>
      </c>
      <c r="N50" s="97">
        <v>22</v>
      </c>
      <c r="O50" s="97">
        <v>21</v>
      </c>
      <c r="P50" s="97">
        <v>21</v>
      </c>
      <c r="Q50" s="97">
        <v>21</v>
      </c>
      <c r="R50" s="97">
        <v>21</v>
      </c>
      <c r="S50" s="97">
        <v>21</v>
      </c>
      <c r="T50" s="97">
        <v>21</v>
      </c>
      <c r="U50" s="97">
        <v>21</v>
      </c>
      <c r="V50" s="97">
        <v>21</v>
      </c>
      <c r="W50" s="97">
        <v>21</v>
      </c>
      <c r="X50" s="97">
        <v>21</v>
      </c>
      <c r="Y50" s="97">
        <v>21</v>
      </c>
      <c r="Z50" s="97">
        <v>21</v>
      </c>
      <c r="AA50" s="97">
        <v>21</v>
      </c>
      <c r="AB50" s="97">
        <v>21</v>
      </c>
      <c r="AC50" s="97">
        <v>21</v>
      </c>
      <c r="AD50" s="97">
        <v>21</v>
      </c>
      <c r="AE50" s="97">
        <v>22</v>
      </c>
      <c r="AF50" s="97">
        <v>23</v>
      </c>
      <c r="AG50" s="97">
        <v>23</v>
      </c>
      <c r="AH50" s="97">
        <v>23</v>
      </c>
      <c r="AI50" s="97">
        <v>23</v>
      </c>
      <c r="AJ50" s="97">
        <v>25</v>
      </c>
      <c r="AK50" s="97">
        <v>31</v>
      </c>
      <c r="AL50" s="97">
        <v>36</v>
      </c>
      <c r="AM50" s="97">
        <v>38</v>
      </c>
      <c r="AN50" s="97">
        <v>37</v>
      </c>
      <c r="AO50" s="97">
        <v>38</v>
      </c>
      <c r="AP50" s="97">
        <v>45</v>
      </c>
      <c r="AQ50" s="97">
        <v>45</v>
      </c>
      <c r="AR50" s="97">
        <v>45</v>
      </c>
      <c r="AS50" s="97">
        <v>46</v>
      </c>
      <c r="AT50" s="97">
        <v>54</v>
      </c>
      <c r="AU50" s="97">
        <v>59</v>
      </c>
      <c r="AV50" s="97">
        <v>59</v>
      </c>
      <c r="AW50" s="97">
        <v>59</v>
      </c>
      <c r="AX50" s="97">
        <v>60</v>
      </c>
      <c r="AY50" s="97">
        <v>62</v>
      </c>
      <c r="AZ50" s="97">
        <v>63</v>
      </c>
      <c r="BA50" s="97">
        <v>65</v>
      </c>
      <c r="BB50" s="97">
        <v>65</v>
      </c>
      <c r="BC50" s="97">
        <v>67</v>
      </c>
      <c r="BD50" s="97">
        <v>71</v>
      </c>
      <c r="BE50" s="97">
        <v>79</v>
      </c>
      <c r="BF50" s="97">
        <v>82</v>
      </c>
      <c r="BG50" s="97">
        <v>86</v>
      </c>
      <c r="BH50" s="97">
        <v>90</v>
      </c>
      <c r="BI50" s="97">
        <v>96</v>
      </c>
      <c r="BJ50" s="97">
        <v>99</v>
      </c>
      <c r="BK50" s="97">
        <v>99</v>
      </c>
      <c r="BL50" s="97">
        <v>100</v>
      </c>
      <c r="BM50" s="38">
        <v>126</v>
      </c>
      <c r="BN50" s="97">
        <v>133</v>
      </c>
      <c r="BO50" s="97">
        <v>135</v>
      </c>
      <c r="BP50" s="97">
        <v>140</v>
      </c>
      <c r="BQ50" s="97">
        <v>146</v>
      </c>
      <c r="BR50" s="97">
        <v>161</v>
      </c>
      <c r="BS50" s="97">
        <v>177</v>
      </c>
      <c r="BT50" s="97">
        <v>187</v>
      </c>
      <c r="BU50" s="97">
        <v>198</v>
      </c>
      <c r="BV50" s="97">
        <v>210</v>
      </c>
      <c r="BW50" s="97">
        <v>220</v>
      </c>
      <c r="BX50" s="97">
        <v>225</v>
      </c>
      <c r="BY50" s="97">
        <v>233</v>
      </c>
      <c r="BZ50" s="97">
        <v>233</v>
      </c>
      <c r="CA50" s="97">
        <v>233</v>
      </c>
      <c r="CB50" s="97">
        <v>257</v>
      </c>
      <c r="CC50" s="97">
        <v>254.25</v>
      </c>
      <c r="CD50" s="97">
        <v>270</v>
      </c>
      <c r="CE50" s="97">
        <v>270</v>
      </c>
      <c r="CF50" s="97">
        <v>270</v>
      </c>
      <c r="CG50" s="97">
        <v>270</v>
      </c>
      <c r="CH50" s="97">
        <v>270</v>
      </c>
      <c r="CI50" s="97">
        <v>273.25</v>
      </c>
      <c r="CJ50" s="97">
        <v>283</v>
      </c>
      <c r="CK50" s="97">
        <v>295</v>
      </c>
      <c r="CL50" s="97">
        <v>289</v>
      </c>
      <c r="CM50" s="97">
        <v>283</v>
      </c>
      <c r="CN50" s="97">
        <v>295</v>
      </c>
      <c r="CO50" s="97">
        <v>295.5</v>
      </c>
      <c r="CP50" s="97">
        <v>309</v>
      </c>
      <c r="CQ50" s="97">
        <v>325</v>
      </c>
      <c r="CR50" s="97">
        <v>321</v>
      </c>
      <c r="CS50" s="97">
        <v>325</v>
      </c>
      <c r="CT50" s="97">
        <v>325</v>
      </c>
      <c r="CU50" s="97">
        <v>329.75</v>
      </c>
      <c r="CV50" s="97">
        <v>344</v>
      </c>
      <c r="CW50" s="97">
        <v>344</v>
      </c>
      <c r="CX50" s="97">
        <v>348.25</v>
      </c>
      <c r="CY50" s="97">
        <v>361</v>
      </c>
      <c r="CZ50" s="97">
        <v>361</v>
      </c>
      <c r="DA50" s="97">
        <v>361</v>
      </c>
      <c r="DB50" s="97">
        <v>361</v>
      </c>
      <c r="DC50" s="97">
        <v>361</v>
      </c>
      <c r="DD50" s="97">
        <v>361</v>
      </c>
      <c r="DE50" s="97">
        <v>361</v>
      </c>
      <c r="DF50" s="97">
        <v>361</v>
      </c>
      <c r="DG50" s="97">
        <f t="shared" si="37"/>
        <v>361</v>
      </c>
      <c r="DH50" s="97">
        <v>361</v>
      </c>
      <c r="DI50" s="99">
        <v>361</v>
      </c>
      <c r="DJ50" s="99">
        <f t="shared" si="38"/>
        <v>361</v>
      </c>
      <c r="DK50" s="97">
        <v>361</v>
      </c>
      <c r="DL50" s="97">
        <v>374</v>
      </c>
      <c r="DM50" s="97">
        <f t="shared" si="39"/>
        <v>370.75</v>
      </c>
      <c r="DN50" s="97">
        <v>374</v>
      </c>
      <c r="DO50" s="97">
        <v>374</v>
      </c>
      <c r="DP50" s="97">
        <f t="shared" si="33"/>
        <v>374</v>
      </c>
      <c r="DQ50" s="97">
        <v>374</v>
      </c>
      <c r="DR50" s="97">
        <v>374</v>
      </c>
      <c r="DS50" s="97">
        <f t="shared" si="6"/>
        <v>377.25</v>
      </c>
      <c r="DT50" s="97">
        <v>387</v>
      </c>
      <c r="DU50" s="97">
        <v>387</v>
      </c>
      <c r="DV50" s="97">
        <f t="shared" si="7"/>
        <v>387</v>
      </c>
      <c r="DW50" s="97">
        <v>387</v>
      </c>
      <c r="DX50" s="97">
        <v>403</v>
      </c>
      <c r="DY50" s="97">
        <f t="shared" si="8"/>
        <v>399</v>
      </c>
      <c r="DZ50" s="87">
        <v>403</v>
      </c>
      <c r="EA50" s="97">
        <v>403</v>
      </c>
      <c r="EB50" s="97">
        <f t="shared" si="9"/>
        <v>402.91250000000002</v>
      </c>
      <c r="EC50" s="54">
        <v>402.65</v>
      </c>
      <c r="ED50" s="54">
        <v>577</v>
      </c>
      <c r="EE50" s="97">
        <f t="shared" si="10"/>
        <v>533.41250000000002</v>
      </c>
      <c r="EF50" s="54">
        <v>577</v>
      </c>
      <c r="EG50" s="274">
        <v>577.22662199999991</v>
      </c>
      <c r="EH50" s="97">
        <f t="shared" si="11"/>
        <v>577.17081099999996</v>
      </c>
      <c r="EI50" s="54">
        <v>577.23</v>
      </c>
      <c r="EJ50" s="54">
        <v>577</v>
      </c>
      <c r="EK50" s="97">
        <f t="shared" si="12"/>
        <v>577.0575</v>
      </c>
      <c r="EL50" s="54">
        <v>577</v>
      </c>
      <c r="EM50" s="54">
        <v>577</v>
      </c>
      <c r="EN50" s="97">
        <f t="shared" si="13"/>
        <v>577</v>
      </c>
      <c r="EO50" s="54">
        <v>577</v>
      </c>
      <c r="EP50" s="54">
        <v>582</v>
      </c>
      <c r="EQ50" s="97">
        <f t="shared" si="14"/>
        <v>580.75</v>
      </c>
      <c r="ER50" s="269">
        <v>582</v>
      </c>
      <c r="ES50" s="269">
        <v>581.92999999999995</v>
      </c>
      <c r="ET50" s="97">
        <f t="shared" si="15"/>
        <v>581.96499999999992</v>
      </c>
      <c r="EU50" s="269">
        <v>582</v>
      </c>
      <c r="EV50" s="269">
        <v>739</v>
      </c>
      <c r="EW50" s="97">
        <f t="shared" si="16"/>
        <v>699.75</v>
      </c>
      <c r="EX50" s="269">
        <v>739</v>
      </c>
      <c r="EY50" s="269">
        <v>738.82</v>
      </c>
      <c r="EZ50" s="97">
        <f t="shared" si="17"/>
        <v>738.91000000000008</v>
      </c>
      <c r="FA50" s="269">
        <v>739</v>
      </c>
      <c r="FB50" s="269">
        <v>739</v>
      </c>
      <c r="FC50" s="97">
        <f t="shared" si="18"/>
        <v>749.25</v>
      </c>
      <c r="FD50" s="269">
        <v>780</v>
      </c>
      <c r="FE50" s="269">
        <v>780</v>
      </c>
      <c r="FF50" s="97">
        <f t="shared" si="19"/>
        <v>780</v>
      </c>
      <c r="FG50" s="270">
        <v>780</v>
      </c>
      <c r="FH50" s="269">
        <v>780</v>
      </c>
      <c r="FI50" s="97">
        <f t="shared" si="20"/>
        <v>780</v>
      </c>
      <c r="FJ50" s="269">
        <v>780</v>
      </c>
      <c r="FK50" s="269">
        <v>780</v>
      </c>
      <c r="FL50" s="97">
        <f t="shared" si="21"/>
        <v>780</v>
      </c>
      <c r="FM50" s="269">
        <v>780</v>
      </c>
      <c r="FN50" s="269">
        <v>780</v>
      </c>
      <c r="FO50" s="97">
        <f t="shared" si="22"/>
        <v>793.75</v>
      </c>
      <c r="FP50" s="269">
        <v>835</v>
      </c>
      <c r="FQ50" s="269">
        <v>929</v>
      </c>
      <c r="FR50" s="97">
        <f t="shared" si="23"/>
        <v>905.5</v>
      </c>
      <c r="FS50" s="269">
        <v>929</v>
      </c>
      <c r="FT50" s="269">
        <v>957</v>
      </c>
      <c r="FU50" s="97">
        <f t="shared" si="24"/>
        <v>950</v>
      </c>
      <c r="FV50" s="269">
        <v>957</v>
      </c>
      <c r="FW50" s="269">
        <v>1029</v>
      </c>
      <c r="FX50" s="97">
        <f t="shared" si="25"/>
        <v>1041.75</v>
      </c>
      <c r="FY50" s="269">
        <v>1152</v>
      </c>
      <c r="FZ50" s="269">
        <v>1152</v>
      </c>
      <c r="GA50" s="97">
        <f t="shared" si="26"/>
        <v>1175</v>
      </c>
      <c r="GB50" s="270">
        <v>1244</v>
      </c>
      <c r="GC50" s="269"/>
      <c r="GD50" s="272">
        <f t="shared" si="29"/>
        <v>1244</v>
      </c>
      <c r="GE50" s="269"/>
      <c r="GF50" s="275"/>
      <c r="GG50" s="97">
        <f t="shared" si="27"/>
        <v>0</v>
      </c>
      <c r="GH50" s="105"/>
      <c r="GI50" s="105"/>
      <c r="GJ50" s="97">
        <f t="shared" si="30"/>
        <v>0</v>
      </c>
      <c r="GK50" s="105"/>
      <c r="GL50" s="105"/>
      <c r="GM50" s="97">
        <f t="shared" si="31"/>
        <v>0</v>
      </c>
      <c r="GN50" s="105"/>
      <c r="GO50" s="105"/>
      <c r="GP50" s="97">
        <f t="shared" si="32"/>
        <v>0</v>
      </c>
      <c r="GQ50" s="105"/>
      <c r="GR50" s="105"/>
    </row>
    <row r="51" spans="1:200" ht="10.5" customHeight="1" x14ac:dyDescent="0.3">
      <c r="A51" s="265">
        <f t="shared" si="28"/>
        <v>44</v>
      </c>
      <c r="B51" s="56" t="s">
        <v>1039</v>
      </c>
      <c r="C51" s="97">
        <v>23</v>
      </c>
      <c r="D51" s="97">
        <v>23</v>
      </c>
      <c r="E51" s="97">
        <v>23</v>
      </c>
      <c r="F51" s="97">
        <v>23</v>
      </c>
      <c r="G51" s="97">
        <v>23</v>
      </c>
      <c r="H51" s="97">
        <v>23</v>
      </c>
      <c r="I51" s="97">
        <v>23</v>
      </c>
      <c r="J51" s="97">
        <v>24</v>
      </c>
      <c r="K51" s="97">
        <v>27</v>
      </c>
      <c r="L51" s="97">
        <v>27</v>
      </c>
      <c r="M51" s="97">
        <v>23</v>
      </c>
      <c r="N51" s="97">
        <v>26</v>
      </c>
      <c r="O51" s="97">
        <v>27</v>
      </c>
      <c r="P51" s="97">
        <v>26</v>
      </c>
      <c r="Q51" s="97">
        <v>24</v>
      </c>
      <c r="R51" s="97">
        <v>24</v>
      </c>
      <c r="S51" s="97">
        <v>25</v>
      </c>
      <c r="T51" s="97">
        <v>25</v>
      </c>
      <c r="U51" s="97">
        <v>25</v>
      </c>
      <c r="V51" s="97">
        <v>23</v>
      </c>
      <c r="W51" s="97">
        <v>23</v>
      </c>
      <c r="X51" s="97">
        <v>23</v>
      </c>
      <c r="Y51" s="97">
        <v>20</v>
      </c>
      <c r="Z51" s="97">
        <v>22</v>
      </c>
      <c r="AA51" s="97">
        <v>22</v>
      </c>
      <c r="AB51" s="97">
        <v>24</v>
      </c>
      <c r="AC51" s="97">
        <v>25</v>
      </c>
      <c r="AD51" s="97">
        <v>25</v>
      </c>
      <c r="AE51" s="97">
        <v>25</v>
      </c>
      <c r="AF51" s="97">
        <v>27</v>
      </c>
      <c r="AG51" s="97">
        <v>27</v>
      </c>
      <c r="AH51" s="97">
        <v>27</v>
      </c>
      <c r="AI51" s="97">
        <v>27</v>
      </c>
      <c r="AJ51" s="97">
        <v>27</v>
      </c>
      <c r="AK51" s="97">
        <v>32</v>
      </c>
      <c r="AL51" s="97">
        <v>36</v>
      </c>
      <c r="AM51" s="97">
        <v>39</v>
      </c>
      <c r="AN51" s="97">
        <v>43</v>
      </c>
      <c r="AO51" s="97">
        <v>50</v>
      </c>
      <c r="AP51" s="97">
        <v>55</v>
      </c>
      <c r="AQ51" s="97">
        <v>55</v>
      </c>
      <c r="AR51" s="97">
        <v>55</v>
      </c>
      <c r="AS51" s="97">
        <v>55</v>
      </c>
      <c r="AT51" s="97">
        <v>52</v>
      </c>
      <c r="AU51" s="97">
        <v>58</v>
      </c>
      <c r="AV51" s="97">
        <v>59</v>
      </c>
      <c r="AW51" s="97">
        <v>59</v>
      </c>
      <c r="AX51" s="97">
        <v>59</v>
      </c>
      <c r="AY51" s="97">
        <v>59</v>
      </c>
      <c r="AZ51" s="97">
        <v>59</v>
      </c>
      <c r="BA51" s="97">
        <v>59</v>
      </c>
      <c r="BB51" s="97">
        <v>59</v>
      </c>
      <c r="BC51" s="97">
        <v>59</v>
      </c>
      <c r="BD51" s="97">
        <v>59</v>
      </c>
      <c r="BE51" s="97">
        <v>61</v>
      </c>
      <c r="BF51" s="97">
        <v>66</v>
      </c>
      <c r="BG51" s="97">
        <v>71</v>
      </c>
      <c r="BH51" s="97">
        <v>76</v>
      </c>
      <c r="BI51" s="97">
        <v>84</v>
      </c>
      <c r="BJ51" s="97">
        <v>94</v>
      </c>
      <c r="BK51" s="97">
        <v>95</v>
      </c>
      <c r="BL51" s="97">
        <v>100</v>
      </c>
      <c r="BM51" s="38">
        <v>143</v>
      </c>
      <c r="BN51" s="97">
        <v>185</v>
      </c>
      <c r="BO51" s="97">
        <v>214</v>
      </c>
      <c r="BP51" s="97">
        <v>229</v>
      </c>
      <c r="BQ51" s="97">
        <v>261</v>
      </c>
      <c r="BR51" s="97">
        <v>279</v>
      </c>
      <c r="BS51" s="97">
        <v>293</v>
      </c>
      <c r="BT51" s="97">
        <v>315</v>
      </c>
      <c r="BU51" s="97">
        <v>352</v>
      </c>
      <c r="BV51" s="97">
        <v>384</v>
      </c>
      <c r="BW51" s="97">
        <v>385</v>
      </c>
      <c r="BX51" s="97">
        <v>414</v>
      </c>
      <c r="BY51" s="97">
        <v>439</v>
      </c>
      <c r="BZ51" s="97">
        <v>456</v>
      </c>
      <c r="CA51" s="97">
        <v>474</v>
      </c>
      <c r="CB51" s="97">
        <v>475</v>
      </c>
      <c r="CC51" s="97">
        <v>479.5</v>
      </c>
      <c r="CD51" s="97">
        <v>494</v>
      </c>
      <c r="CE51" s="97">
        <v>519</v>
      </c>
      <c r="CF51" s="97">
        <v>520.5</v>
      </c>
      <c r="CG51" s="97">
        <v>550</v>
      </c>
      <c r="CH51" s="97">
        <v>560</v>
      </c>
      <c r="CI51" s="97">
        <v>557.5</v>
      </c>
      <c r="CJ51" s="97">
        <v>560</v>
      </c>
      <c r="CK51" s="97">
        <v>560</v>
      </c>
      <c r="CL51" s="97">
        <v>560</v>
      </c>
      <c r="CM51" s="97">
        <v>560</v>
      </c>
      <c r="CN51" s="97">
        <v>560</v>
      </c>
      <c r="CO51" s="97">
        <v>560</v>
      </c>
      <c r="CP51" s="97">
        <v>560</v>
      </c>
      <c r="CQ51" s="97">
        <v>560</v>
      </c>
      <c r="CR51" s="97">
        <v>559</v>
      </c>
      <c r="CS51" s="97">
        <v>556</v>
      </c>
      <c r="CT51" s="97">
        <v>556</v>
      </c>
      <c r="CU51" s="97">
        <v>560.5</v>
      </c>
      <c r="CV51" s="97">
        <v>574</v>
      </c>
      <c r="CW51" s="97">
        <v>578</v>
      </c>
      <c r="CX51" s="97">
        <v>577</v>
      </c>
      <c r="CY51" s="97">
        <v>578</v>
      </c>
      <c r="CZ51" s="97">
        <v>578</v>
      </c>
      <c r="DA51" s="97">
        <v>624.5</v>
      </c>
      <c r="DB51" s="97">
        <v>764</v>
      </c>
      <c r="DC51" s="97">
        <v>792</v>
      </c>
      <c r="DD51" s="97">
        <v>795</v>
      </c>
      <c r="DE51" s="97">
        <v>832</v>
      </c>
      <c r="DF51" s="97">
        <v>832</v>
      </c>
      <c r="DG51" s="97">
        <f t="shared" si="37"/>
        <v>839.5</v>
      </c>
      <c r="DH51" s="97">
        <v>862</v>
      </c>
      <c r="DI51" s="99">
        <v>867</v>
      </c>
      <c r="DJ51" s="99">
        <f t="shared" si="38"/>
        <v>873.75</v>
      </c>
      <c r="DK51" s="97">
        <v>899</v>
      </c>
      <c r="DL51" s="97">
        <v>901</v>
      </c>
      <c r="DM51" s="97">
        <f t="shared" si="39"/>
        <v>909</v>
      </c>
      <c r="DN51" s="97">
        <v>935</v>
      </c>
      <c r="DO51" s="97">
        <v>970</v>
      </c>
      <c r="DP51" s="97">
        <f t="shared" si="33"/>
        <v>961.25</v>
      </c>
      <c r="DQ51" s="97">
        <v>970</v>
      </c>
      <c r="DR51" s="97">
        <v>970</v>
      </c>
      <c r="DS51" s="97">
        <f t="shared" si="6"/>
        <v>970</v>
      </c>
      <c r="DT51" s="97">
        <v>970</v>
      </c>
      <c r="DU51" s="97">
        <v>970</v>
      </c>
      <c r="DV51" s="97">
        <f t="shared" si="7"/>
        <v>970</v>
      </c>
      <c r="DW51" s="97">
        <v>970</v>
      </c>
      <c r="DX51" s="97">
        <v>981</v>
      </c>
      <c r="DY51" s="97">
        <f t="shared" si="8"/>
        <v>980.25</v>
      </c>
      <c r="DZ51" s="87">
        <v>989</v>
      </c>
      <c r="EA51" s="97">
        <v>989</v>
      </c>
      <c r="EB51" s="97">
        <f t="shared" si="9"/>
        <v>989.04</v>
      </c>
      <c r="EC51" s="54">
        <v>989.16</v>
      </c>
      <c r="ED51" s="54">
        <v>1097</v>
      </c>
      <c r="EE51" s="97">
        <f t="shared" si="10"/>
        <v>1070.04</v>
      </c>
      <c r="EF51" s="54">
        <v>1097</v>
      </c>
      <c r="EG51" s="274">
        <v>1116.1075000000001</v>
      </c>
      <c r="EH51" s="97">
        <f t="shared" si="11"/>
        <v>1115.6212500000001</v>
      </c>
      <c r="EI51" s="54">
        <v>1133.27</v>
      </c>
      <c r="EJ51" s="54">
        <v>1133</v>
      </c>
      <c r="EK51" s="97">
        <f t="shared" si="12"/>
        <v>1138.5675000000001</v>
      </c>
      <c r="EL51" s="54">
        <v>1155</v>
      </c>
      <c r="EM51" s="54">
        <v>1155</v>
      </c>
      <c r="EN51" s="97">
        <f t="shared" si="13"/>
        <v>1153.75</v>
      </c>
      <c r="EO51" s="54">
        <v>1150</v>
      </c>
      <c r="EP51" s="54">
        <v>1081</v>
      </c>
      <c r="EQ51" s="97">
        <f t="shared" si="14"/>
        <v>1100.25</v>
      </c>
      <c r="ER51" s="269">
        <v>1089</v>
      </c>
      <c r="ES51" s="269">
        <v>1089.1300000000001</v>
      </c>
      <c r="ET51" s="97">
        <f t="shared" si="15"/>
        <v>1099.8150000000001</v>
      </c>
      <c r="EU51" s="269">
        <v>1132</v>
      </c>
      <c r="EV51" s="269">
        <v>1132</v>
      </c>
      <c r="EW51" s="97">
        <f t="shared" si="16"/>
        <v>1140.5</v>
      </c>
      <c r="EX51" s="269">
        <v>1166</v>
      </c>
      <c r="EY51" s="269">
        <v>1188.76</v>
      </c>
      <c r="EZ51" s="97">
        <f t="shared" si="17"/>
        <v>1191.1300000000001</v>
      </c>
      <c r="FA51" s="269">
        <v>1221</v>
      </c>
      <c r="FB51" s="269">
        <v>1339</v>
      </c>
      <c r="FC51" s="97">
        <f t="shared" si="18"/>
        <v>1329.25</v>
      </c>
      <c r="FD51" s="269">
        <v>1418</v>
      </c>
      <c r="FE51" s="269">
        <v>1591</v>
      </c>
      <c r="FF51" s="97">
        <f t="shared" si="19"/>
        <v>1573.5</v>
      </c>
      <c r="FG51" s="270">
        <v>1694</v>
      </c>
      <c r="FH51" s="269">
        <v>1694</v>
      </c>
      <c r="FI51" s="97">
        <f t="shared" si="20"/>
        <v>1690.75</v>
      </c>
      <c r="FJ51" s="269">
        <v>1681</v>
      </c>
      <c r="FK51" s="269">
        <v>1681</v>
      </c>
      <c r="FL51" s="97">
        <f t="shared" si="21"/>
        <v>1694.5</v>
      </c>
      <c r="FM51" s="269">
        <v>1735</v>
      </c>
      <c r="FN51" s="269">
        <v>1759</v>
      </c>
      <c r="FO51" s="97">
        <f t="shared" si="22"/>
        <v>1764</v>
      </c>
      <c r="FP51" s="269">
        <v>1803</v>
      </c>
      <c r="FQ51" s="269">
        <v>1830</v>
      </c>
      <c r="FR51" s="97">
        <f t="shared" si="23"/>
        <v>1837.25</v>
      </c>
      <c r="FS51" s="269">
        <v>1886</v>
      </c>
      <c r="FT51" s="269">
        <v>1886</v>
      </c>
      <c r="FU51" s="97">
        <f t="shared" si="24"/>
        <v>1936</v>
      </c>
      <c r="FV51" s="269">
        <v>2086</v>
      </c>
      <c r="FW51" s="269">
        <v>2143</v>
      </c>
      <c r="FX51" s="97">
        <f t="shared" si="25"/>
        <v>2147.75</v>
      </c>
      <c r="FY51" s="269">
        <v>2219</v>
      </c>
      <c r="FZ51" s="269">
        <v>2454</v>
      </c>
      <c r="GA51" s="97">
        <f t="shared" si="26"/>
        <v>2412.25</v>
      </c>
      <c r="GB51" s="270">
        <v>2522</v>
      </c>
      <c r="GC51" s="269"/>
      <c r="GD51" s="272">
        <f t="shared" si="29"/>
        <v>2522</v>
      </c>
      <c r="GE51" s="269"/>
      <c r="GF51" s="275"/>
      <c r="GG51" s="97">
        <f t="shared" si="27"/>
        <v>0</v>
      </c>
      <c r="GH51" s="105"/>
      <c r="GI51" s="105"/>
      <c r="GJ51" s="97">
        <f t="shared" si="30"/>
        <v>0</v>
      </c>
      <c r="GK51" s="105"/>
      <c r="GL51" s="105"/>
      <c r="GM51" s="97">
        <f t="shared" si="31"/>
        <v>0</v>
      </c>
      <c r="GN51" s="105"/>
      <c r="GO51" s="105"/>
      <c r="GP51" s="97">
        <f t="shared" si="32"/>
        <v>0</v>
      </c>
      <c r="GQ51" s="105"/>
      <c r="GR51" s="105"/>
    </row>
    <row r="52" spans="1:200" ht="10.5" customHeight="1" x14ac:dyDescent="0.3">
      <c r="A52" s="265">
        <f t="shared" si="28"/>
        <v>45</v>
      </c>
      <c r="B52" s="56" t="s">
        <v>1040</v>
      </c>
      <c r="C52" s="97">
        <v>23</v>
      </c>
      <c r="D52" s="97">
        <v>23</v>
      </c>
      <c r="E52" s="97">
        <v>23</v>
      </c>
      <c r="F52" s="97">
        <v>23</v>
      </c>
      <c r="G52" s="97">
        <v>26</v>
      </c>
      <c r="H52" s="97">
        <v>29</v>
      </c>
      <c r="I52" s="97">
        <v>35</v>
      </c>
      <c r="J52" s="97">
        <v>37</v>
      </c>
      <c r="K52" s="97">
        <v>37</v>
      </c>
      <c r="L52" s="97">
        <v>37</v>
      </c>
      <c r="M52" s="97">
        <v>37</v>
      </c>
      <c r="N52" s="97">
        <v>37</v>
      </c>
      <c r="O52" s="97">
        <v>37</v>
      </c>
      <c r="P52" s="97">
        <v>37</v>
      </c>
      <c r="Q52" s="97">
        <v>37</v>
      </c>
      <c r="R52" s="97">
        <v>37</v>
      </c>
      <c r="S52" s="97">
        <v>37</v>
      </c>
      <c r="T52" s="97">
        <v>37</v>
      </c>
      <c r="U52" s="97">
        <v>37</v>
      </c>
      <c r="V52" s="97">
        <v>37</v>
      </c>
      <c r="W52" s="97">
        <v>37</v>
      </c>
      <c r="X52" s="97">
        <v>35</v>
      </c>
      <c r="Y52" s="97">
        <v>26</v>
      </c>
      <c r="Z52" s="97">
        <v>26</v>
      </c>
      <c r="AA52" s="97">
        <v>26</v>
      </c>
      <c r="AB52" s="97">
        <v>31</v>
      </c>
      <c r="AC52" s="97">
        <v>32</v>
      </c>
      <c r="AD52" s="97">
        <v>32</v>
      </c>
      <c r="AE52" s="97">
        <v>33</v>
      </c>
      <c r="AF52" s="97">
        <v>35</v>
      </c>
      <c r="AG52" s="97">
        <v>37</v>
      </c>
      <c r="AH52" s="97">
        <v>37</v>
      </c>
      <c r="AI52" s="97">
        <v>37</v>
      </c>
      <c r="AJ52" s="97">
        <v>37</v>
      </c>
      <c r="AK52" s="97">
        <v>40</v>
      </c>
      <c r="AL52" s="97">
        <v>42</v>
      </c>
      <c r="AM52" s="97">
        <v>48</v>
      </c>
      <c r="AN52" s="97">
        <v>52</v>
      </c>
      <c r="AO52" s="97">
        <v>59</v>
      </c>
      <c r="AP52" s="97">
        <v>61</v>
      </c>
      <c r="AQ52" s="97">
        <v>61</v>
      </c>
      <c r="AR52" s="97">
        <v>65</v>
      </c>
      <c r="AS52" s="97">
        <v>67</v>
      </c>
      <c r="AT52" s="97">
        <v>70</v>
      </c>
      <c r="AU52" s="97">
        <v>77</v>
      </c>
      <c r="AV52" s="97">
        <v>78</v>
      </c>
      <c r="AW52" s="97">
        <v>78</v>
      </c>
      <c r="AX52" s="97">
        <v>78</v>
      </c>
      <c r="AY52" s="97">
        <v>78</v>
      </c>
      <c r="AZ52" s="97">
        <v>78</v>
      </c>
      <c r="BA52" s="97">
        <v>84</v>
      </c>
      <c r="BB52" s="97">
        <v>87</v>
      </c>
      <c r="BC52" s="97">
        <v>87</v>
      </c>
      <c r="BD52" s="97">
        <v>93</v>
      </c>
      <c r="BE52" s="97">
        <v>101</v>
      </c>
      <c r="BF52" s="97">
        <v>101</v>
      </c>
      <c r="BG52" s="97">
        <v>101</v>
      </c>
      <c r="BH52" s="97">
        <v>107</v>
      </c>
      <c r="BI52" s="97">
        <v>108</v>
      </c>
      <c r="BJ52" s="97">
        <v>108</v>
      </c>
      <c r="BK52" s="97">
        <v>106</v>
      </c>
      <c r="BL52" s="97">
        <v>100</v>
      </c>
      <c r="BM52" s="38">
        <v>93</v>
      </c>
      <c r="BN52" s="97">
        <v>93</v>
      </c>
      <c r="BO52" s="97">
        <v>98</v>
      </c>
      <c r="BP52" s="97">
        <v>101</v>
      </c>
      <c r="BQ52" s="97">
        <v>105</v>
      </c>
      <c r="BR52" s="97">
        <v>108</v>
      </c>
      <c r="BS52" s="97">
        <v>122</v>
      </c>
      <c r="BT52" s="97">
        <v>127</v>
      </c>
      <c r="BU52" s="97">
        <v>128</v>
      </c>
      <c r="BV52" s="97">
        <v>141</v>
      </c>
      <c r="BW52" s="97">
        <v>148</v>
      </c>
      <c r="BX52" s="97">
        <v>135</v>
      </c>
      <c r="BY52" s="97">
        <v>135</v>
      </c>
      <c r="BZ52" s="97">
        <v>137</v>
      </c>
      <c r="CA52" s="97">
        <v>142</v>
      </c>
      <c r="CB52" s="97">
        <v>142</v>
      </c>
      <c r="CC52" s="97">
        <v>140.25</v>
      </c>
      <c r="CD52" s="97">
        <v>135</v>
      </c>
      <c r="CE52" s="97">
        <v>143</v>
      </c>
      <c r="CF52" s="97">
        <v>143</v>
      </c>
      <c r="CG52" s="97">
        <v>151</v>
      </c>
      <c r="CH52" s="97">
        <v>150</v>
      </c>
      <c r="CI52" s="97">
        <v>151.75</v>
      </c>
      <c r="CJ52" s="97">
        <v>156</v>
      </c>
      <c r="CK52" s="97">
        <v>164</v>
      </c>
      <c r="CL52" s="97">
        <v>160</v>
      </c>
      <c r="CM52" s="97">
        <v>156</v>
      </c>
      <c r="CN52" s="97">
        <v>164</v>
      </c>
      <c r="CO52" s="97">
        <v>172.75</v>
      </c>
      <c r="CP52" s="97">
        <v>207</v>
      </c>
      <c r="CQ52" s="97">
        <v>201</v>
      </c>
      <c r="CR52" s="97">
        <v>195</v>
      </c>
      <c r="CS52" s="97">
        <v>171</v>
      </c>
      <c r="CT52" s="97">
        <v>171</v>
      </c>
      <c r="CU52" s="97">
        <v>175.25</v>
      </c>
      <c r="CV52" s="97">
        <v>188</v>
      </c>
      <c r="CW52" s="97">
        <v>201</v>
      </c>
      <c r="CX52" s="97">
        <v>200</v>
      </c>
      <c r="CY52" s="97">
        <v>210</v>
      </c>
      <c r="CZ52" s="97">
        <v>210</v>
      </c>
      <c r="DA52" s="97">
        <v>206.75</v>
      </c>
      <c r="DB52" s="97">
        <v>197</v>
      </c>
      <c r="DC52" s="97">
        <v>197</v>
      </c>
      <c r="DD52" s="97">
        <v>197</v>
      </c>
      <c r="DE52" s="97">
        <v>197</v>
      </c>
      <c r="DF52" s="97">
        <v>197</v>
      </c>
      <c r="DG52" s="97">
        <f t="shared" si="37"/>
        <v>197</v>
      </c>
      <c r="DH52" s="97">
        <v>197</v>
      </c>
      <c r="DI52" s="99">
        <v>197</v>
      </c>
      <c r="DJ52" s="99">
        <f t="shared" si="38"/>
        <v>197.75</v>
      </c>
      <c r="DK52" s="97">
        <v>200</v>
      </c>
      <c r="DL52" s="97">
        <v>206</v>
      </c>
      <c r="DM52" s="97">
        <f t="shared" si="39"/>
        <v>204.5</v>
      </c>
      <c r="DN52" s="97">
        <v>206</v>
      </c>
      <c r="DO52" s="97">
        <v>206</v>
      </c>
      <c r="DP52" s="97">
        <f t="shared" si="33"/>
        <v>206.25</v>
      </c>
      <c r="DQ52" s="97">
        <v>207</v>
      </c>
      <c r="DR52" s="97">
        <v>207</v>
      </c>
      <c r="DS52" s="97">
        <f t="shared" si="6"/>
        <v>207</v>
      </c>
      <c r="DT52" s="97">
        <v>207</v>
      </c>
      <c r="DU52" s="97">
        <v>207</v>
      </c>
      <c r="DV52" s="97">
        <f t="shared" si="7"/>
        <v>207</v>
      </c>
      <c r="DW52" s="97">
        <v>207</v>
      </c>
      <c r="DX52" s="97">
        <v>207</v>
      </c>
      <c r="DY52" s="97">
        <f t="shared" si="8"/>
        <v>207</v>
      </c>
      <c r="DZ52" s="87">
        <v>207</v>
      </c>
      <c r="EA52" s="97">
        <v>207</v>
      </c>
      <c r="EB52" s="97">
        <f t="shared" si="9"/>
        <v>213.92000000000002</v>
      </c>
      <c r="EC52" s="54">
        <v>234.68</v>
      </c>
      <c r="ED52" s="54">
        <v>248</v>
      </c>
      <c r="EE52" s="97">
        <f t="shared" si="10"/>
        <v>247.67000000000002</v>
      </c>
      <c r="EF52" s="54">
        <v>260</v>
      </c>
      <c r="EG52" s="274">
        <v>262.14906999999999</v>
      </c>
      <c r="EH52" s="97">
        <f t="shared" si="11"/>
        <v>289.349535</v>
      </c>
      <c r="EI52" s="54">
        <v>373.1</v>
      </c>
      <c r="EJ52" s="54">
        <v>373</v>
      </c>
      <c r="EK52" s="97">
        <f t="shared" si="12"/>
        <v>373.02499999999998</v>
      </c>
      <c r="EL52" s="54">
        <v>373</v>
      </c>
      <c r="EM52" s="54">
        <v>373</v>
      </c>
      <c r="EN52" s="97">
        <f t="shared" si="13"/>
        <v>373.25</v>
      </c>
      <c r="EO52" s="54">
        <v>374</v>
      </c>
      <c r="EP52" s="54">
        <v>376</v>
      </c>
      <c r="EQ52" s="97">
        <f t="shared" si="14"/>
        <v>376.25</v>
      </c>
      <c r="ER52" s="269">
        <v>379</v>
      </c>
      <c r="ES52" s="269">
        <v>378.64</v>
      </c>
      <c r="ET52" s="97">
        <f t="shared" si="15"/>
        <v>378.82</v>
      </c>
      <c r="EU52" s="269">
        <v>379</v>
      </c>
      <c r="EV52" s="269">
        <v>379</v>
      </c>
      <c r="EW52" s="97">
        <f t="shared" si="16"/>
        <v>379.25</v>
      </c>
      <c r="EX52" s="269">
        <v>380</v>
      </c>
      <c r="EY52" s="269">
        <v>380.88</v>
      </c>
      <c r="EZ52" s="97">
        <f t="shared" si="17"/>
        <v>380.69</v>
      </c>
      <c r="FA52" s="269">
        <v>381</v>
      </c>
      <c r="FB52" s="269">
        <v>381</v>
      </c>
      <c r="FC52" s="97">
        <f t="shared" si="18"/>
        <v>385.75</v>
      </c>
      <c r="FD52" s="269">
        <v>400</v>
      </c>
      <c r="FE52" s="269">
        <v>400</v>
      </c>
      <c r="FF52" s="97">
        <f t="shared" si="19"/>
        <v>400.75</v>
      </c>
      <c r="FG52" s="270">
        <v>403</v>
      </c>
      <c r="FH52" s="269">
        <v>403</v>
      </c>
      <c r="FI52" s="97">
        <f t="shared" si="20"/>
        <v>403.25</v>
      </c>
      <c r="FJ52" s="269">
        <v>404</v>
      </c>
      <c r="FK52" s="269">
        <v>418</v>
      </c>
      <c r="FL52" s="97">
        <f t="shared" si="21"/>
        <v>418.5</v>
      </c>
      <c r="FM52" s="269">
        <v>434</v>
      </c>
      <c r="FN52" s="269">
        <v>434</v>
      </c>
      <c r="FO52" s="97">
        <f t="shared" si="22"/>
        <v>436.25</v>
      </c>
      <c r="FP52" s="269">
        <v>443</v>
      </c>
      <c r="FQ52" s="269">
        <v>443</v>
      </c>
      <c r="FR52" s="97">
        <f t="shared" si="23"/>
        <v>447</v>
      </c>
      <c r="FS52" s="269">
        <v>459</v>
      </c>
      <c r="FT52" s="269">
        <v>459</v>
      </c>
      <c r="FU52" s="97">
        <f t="shared" si="24"/>
        <v>465.5</v>
      </c>
      <c r="FV52" s="269">
        <v>485</v>
      </c>
      <c r="FW52" s="269">
        <v>485</v>
      </c>
      <c r="FX52" s="97">
        <f t="shared" si="25"/>
        <v>564.5</v>
      </c>
      <c r="FY52" s="269">
        <v>803</v>
      </c>
      <c r="FZ52" s="269">
        <v>826</v>
      </c>
      <c r="GA52" s="97">
        <f t="shared" si="26"/>
        <v>857</v>
      </c>
      <c r="GB52" s="270">
        <v>973</v>
      </c>
      <c r="GC52" s="269"/>
      <c r="GD52" s="272">
        <f t="shared" si="29"/>
        <v>973</v>
      </c>
      <c r="GE52" s="269"/>
      <c r="GF52" s="275"/>
      <c r="GG52" s="97">
        <f t="shared" si="27"/>
        <v>0</v>
      </c>
      <c r="GH52" s="105"/>
      <c r="GI52" s="105"/>
      <c r="GJ52" s="97">
        <f t="shared" si="30"/>
        <v>0</v>
      </c>
      <c r="GK52" s="105"/>
      <c r="GL52" s="105"/>
      <c r="GM52" s="97">
        <f t="shared" si="31"/>
        <v>0</v>
      </c>
      <c r="GN52" s="105"/>
      <c r="GO52" s="105"/>
      <c r="GP52" s="97">
        <f t="shared" si="32"/>
        <v>0</v>
      </c>
      <c r="GQ52" s="105"/>
      <c r="GR52" s="105"/>
    </row>
    <row r="53" spans="1:200" ht="10.5" customHeight="1" x14ac:dyDescent="0.3">
      <c r="A53" s="265">
        <f t="shared" si="28"/>
        <v>46</v>
      </c>
      <c r="B53" s="95"/>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38"/>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f t="shared" si="9"/>
        <v>0</v>
      </c>
      <c r="EC53" s="54"/>
      <c r="ED53" s="54"/>
      <c r="EE53" s="97">
        <f t="shared" si="10"/>
        <v>0</v>
      </c>
      <c r="EF53" s="54"/>
      <c r="EG53" s="54"/>
      <c r="EH53" s="97">
        <f t="shared" si="11"/>
        <v>0</v>
      </c>
      <c r="EI53" s="54"/>
      <c r="EJ53" s="54"/>
      <c r="EK53" s="97">
        <f t="shared" si="12"/>
        <v>0</v>
      </c>
      <c r="EL53" s="54"/>
      <c r="EM53" s="54"/>
      <c r="EN53" s="97">
        <f t="shared" si="13"/>
        <v>0</v>
      </c>
      <c r="EO53" s="54"/>
      <c r="EP53" s="54"/>
      <c r="EQ53" s="97">
        <f t="shared" si="14"/>
        <v>0</v>
      </c>
      <c r="ER53" s="269"/>
      <c r="ES53" s="269"/>
      <c r="ET53" s="97">
        <f t="shared" si="15"/>
        <v>0</v>
      </c>
      <c r="EU53" s="269"/>
      <c r="EV53" s="269"/>
      <c r="EW53" s="97">
        <f t="shared" si="16"/>
        <v>0</v>
      </c>
      <c r="EX53" s="269"/>
      <c r="EY53" s="269"/>
      <c r="EZ53" s="97">
        <f t="shared" si="17"/>
        <v>0</v>
      </c>
      <c r="FA53" s="269"/>
      <c r="FB53" s="269"/>
      <c r="FC53" s="97">
        <f t="shared" si="18"/>
        <v>0</v>
      </c>
      <c r="FD53" s="269"/>
      <c r="FE53" s="269"/>
      <c r="FF53" s="97">
        <f t="shared" si="19"/>
        <v>0</v>
      </c>
      <c r="FG53" s="270"/>
      <c r="FH53" s="269"/>
      <c r="FI53" s="97">
        <f t="shared" si="20"/>
        <v>0</v>
      </c>
      <c r="FJ53" s="275"/>
      <c r="FK53" s="269"/>
      <c r="FL53" s="97">
        <f t="shared" si="21"/>
        <v>0</v>
      </c>
      <c r="FM53" s="269"/>
      <c r="FN53" s="269"/>
      <c r="FO53" s="97">
        <f t="shared" si="22"/>
        <v>0</v>
      </c>
      <c r="FP53" s="269"/>
      <c r="FQ53" s="269"/>
      <c r="FR53" s="97">
        <f t="shared" si="23"/>
        <v>0</v>
      </c>
      <c r="FS53" s="269"/>
      <c r="FT53" s="269"/>
      <c r="FU53" s="97">
        <f t="shared" si="24"/>
        <v>0</v>
      </c>
      <c r="FV53" s="269"/>
      <c r="FW53" s="269"/>
      <c r="FX53" s="97">
        <f t="shared" si="25"/>
        <v>0</v>
      </c>
      <c r="FY53" s="269"/>
      <c r="FZ53" s="269"/>
      <c r="GA53" s="97">
        <f t="shared" si="26"/>
        <v>0</v>
      </c>
      <c r="GB53" s="270"/>
      <c r="GC53" s="269"/>
      <c r="GD53" s="272">
        <f t="shared" si="29"/>
        <v>0</v>
      </c>
      <c r="GE53" s="275"/>
      <c r="GF53" s="275"/>
      <c r="GG53" s="97">
        <f t="shared" si="27"/>
        <v>0</v>
      </c>
      <c r="GH53" s="105"/>
      <c r="GI53" s="105"/>
      <c r="GJ53" s="97">
        <f t="shared" si="30"/>
        <v>0</v>
      </c>
      <c r="GK53" s="105"/>
      <c r="GL53" s="105"/>
      <c r="GM53" s="97">
        <f t="shared" si="31"/>
        <v>0</v>
      </c>
      <c r="GN53" s="105"/>
      <c r="GO53" s="105"/>
      <c r="GP53" s="97">
        <f t="shared" si="32"/>
        <v>0</v>
      </c>
      <c r="GQ53" s="105"/>
      <c r="GR53" s="105"/>
    </row>
    <row r="54" spans="1:200" ht="10.5" customHeight="1" x14ac:dyDescent="0.3">
      <c r="A54" s="265">
        <f t="shared" si="28"/>
        <v>47</v>
      </c>
      <c r="B54" s="95"/>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38"/>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f t="shared" si="9"/>
        <v>0</v>
      </c>
      <c r="EC54" s="54"/>
      <c r="ED54" s="54"/>
      <c r="EE54" s="97">
        <f t="shared" si="10"/>
        <v>0</v>
      </c>
      <c r="EF54" s="54"/>
      <c r="EG54" s="54"/>
      <c r="EH54" s="97">
        <f t="shared" si="11"/>
        <v>0</v>
      </c>
      <c r="EI54" s="54"/>
      <c r="EJ54" s="54"/>
      <c r="EK54" s="97">
        <f t="shared" si="12"/>
        <v>0</v>
      </c>
      <c r="EL54" s="54"/>
      <c r="EM54" s="54"/>
      <c r="EN54" s="97">
        <f t="shared" si="13"/>
        <v>0</v>
      </c>
      <c r="EO54" s="54"/>
      <c r="EP54" s="54"/>
      <c r="EQ54" s="97">
        <f t="shared" si="14"/>
        <v>0</v>
      </c>
      <c r="ER54" s="269"/>
      <c r="ES54" s="269"/>
      <c r="ET54" s="97">
        <f t="shared" si="15"/>
        <v>0</v>
      </c>
      <c r="EU54" s="269"/>
      <c r="EV54" s="269"/>
      <c r="EW54" s="97">
        <f t="shared" si="16"/>
        <v>0</v>
      </c>
      <c r="EX54" s="269"/>
      <c r="EY54" s="269"/>
      <c r="EZ54" s="97">
        <f t="shared" si="17"/>
        <v>0</v>
      </c>
      <c r="FA54" s="269"/>
      <c r="FB54" s="269"/>
      <c r="FC54" s="97">
        <f t="shared" si="18"/>
        <v>0</v>
      </c>
      <c r="FD54" s="269"/>
      <c r="FE54" s="269"/>
      <c r="FF54" s="97">
        <f t="shared" si="19"/>
        <v>0</v>
      </c>
      <c r="FG54" s="270"/>
      <c r="FH54" s="269"/>
      <c r="FI54" s="97">
        <f t="shared" si="20"/>
        <v>0</v>
      </c>
      <c r="FJ54" s="275"/>
      <c r="FK54" s="269"/>
      <c r="FL54" s="97">
        <f t="shared" si="21"/>
        <v>0</v>
      </c>
      <c r="FM54" s="269"/>
      <c r="FN54" s="269"/>
      <c r="FO54" s="97">
        <f t="shared" si="22"/>
        <v>0</v>
      </c>
      <c r="FP54" s="269"/>
      <c r="FQ54" s="269"/>
      <c r="FR54" s="97">
        <f t="shared" si="23"/>
        <v>0</v>
      </c>
      <c r="FS54" s="269"/>
      <c r="FT54" s="269"/>
      <c r="FU54" s="97">
        <f t="shared" si="24"/>
        <v>0</v>
      </c>
      <c r="FV54" s="269"/>
      <c r="FW54" s="269"/>
      <c r="FX54" s="97">
        <f t="shared" si="25"/>
        <v>0</v>
      </c>
      <c r="FY54" s="269"/>
      <c r="FZ54" s="269"/>
      <c r="GA54" s="97">
        <f t="shared" si="26"/>
        <v>0</v>
      </c>
      <c r="GB54" s="270"/>
      <c r="GC54" s="269"/>
      <c r="GD54" s="272">
        <f t="shared" si="29"/>
        <v>0</v>
      </c>
      <c r="GE54" s="275"/>
      <c r="GF54" s="275"/>
      <c r="GG54" s="97">
        <f t="shared" si="27"/>
        <v>0</v>
      </c>
      <c r="GH54" s="105"/>
      <c r="GI54" s="105"/>
      <c r="GJ54" s="97">
        <f t="shared" si="30"/>
        <v>0</v>
      </c>
      <c r="GK54" s="105"/>
      <c r="GL54" s="105"/>
      <c r="GM54" s="97">
        <f t="shared" si="31"/>
        <v>0</v>
      </c>
      <c r="GN54" s="105"/>
      <c r="GO54" s="105"/>
      <c r="GP54" s="97">
        <f t="shared" si="32"/>
        <v>0</v>
      </c>
      <c r="GQ54" s="105"/>
      <c r="GR54" s="105"/>
    </row>
    <row r="55" spans="1:200" ht="10.5" customHeight="1" x14ac:dyDescent="0.3">
      <c r="A55" s="265">
        <f t="shared" si="28"/>
        <v>48</v>
      </c>
      <c r="B55" s="95"/>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38"/>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f t="shared" si="9"/>
        <v>0</v>
      </c>
      <c r="EC55" s="54"/>
      <c r="ED55" s="54"/>
      <c r="EE55" s="97">
        <f t="shared" si="10"/>
        <v>0</v>
      </c>
      <c r="EF55" s="54"/>
      <c r="EG55" s="54"/>
      <c r="EH55" s="97">
        <f t="shared" si="11"/>
        <v>0</v>
      </c>
      <c r="EI55" s="54"/>
      <c r="EJ55" s="54"/>
      <c r="EK55" s="97">
        <f t="shared" si="12"/>
        <v>0</v>
      </c>
      <c r="EL55" s="54"/>
      <c r="EM55" s="54"/>
      <c r="EN55" s="97">
        <f t="shared" si="13"/>
        <v>0</v>
      </c>
      <c r="EO55" s="54"/>
      <c r="EP55" s="54"/>
      <c r="EQ55" s="97">
        <f t="shared" si="14"/>
        <v>0</v>
      </c>
      <c r="ER55" s="269"/>
      <c r="ES55" s="269"/>
      <c r="ET55" s="97">
        <f t="shared" si="15"/>
        <v>0</v>
      </c>
      <c r="EU55" s="269"/>
      <c r="EV55" s="269"/>
      <c r="EW55" s="97">
        <f t="shared" si="16"/>
        <v>0</v>
      </c>
      <c r="EX55" s="269"/>
      <c r="EY55" s="269"/>
      <c r="EZ55" s="97">
        <f t="shared" si="17"/>
        <v>0</v>
      </c>
      <c r="FA55" s="269"/>
      <c r="FB55" s="269"/>
      <c r="FC55" s="97">
        <f t="shared" si="18"/>
        <v>0</v>
      </c>
      <c r="FD55" s="269"/>
      <c r="FE55" s="269"/>
      <c r="FF55" s="97">
        <f t="shared" si="19"/>
        <v>0</v>
      </c>
      <c r="FG55" s="270"/>
      <c r="FH55" s="269"/>
      <c r="FI55" s="97">
        <f t="shared" si="20"/>
        <v>0</v>
      </c>
      <c r="FJ55" s="275"/>
      <c r="FK55" s="269"/>
      <c r="FL55" s="97">
        <f t="shared" si="21"/>
        <v>0</v>
      </c>
      <c r="FM55" s="269"/>
      <c r="FN55" s="269"/>
      <c r="FO55" s="97">
        <f t="shared" si="22"/>
        <v>0</v>
      </c>
      <c r="FP55" s="269"/>
      <c r="FQ55" s="269"/>
      <c r="FR55" s="97">
        <f t="shared" si="23"/>
        <v>0</v>
      </c>
      <c r="FS55" s="269"/>
      <c r="FT55" s="269"/>
      <c r="FU55" s="97">
        <f t="shared" si="24"/>
        <v>0</v>
      </c>
      <c r="FV55" s="269"/>
      <c r="FW55" s="269"/>
      <c r="FX55" s="97">
        <f t="shared" si="25"/>
        <v>0</v>
      </c>
      <c r="FY55" s="269"/>
      <c r="FZ55" s="269"/>
      <c r="GA55" s="97">
        <f t="shared" si="26"/>
        <v>0</v>
      </c>
      <c r="GB55" s="270"/>
      <c r="GC55" s="269"/>
      <c r="GD55" s="272">
        <f t="shared" si="29"/>
        <v>0</v>
      </c>
      <c r="GE55" s="275"/>
      <c r="GF55" s="275"/>
      <c r="GG55" s="97">
        <f t="shared" si="27"/>
        <v>0</v>
      </c>
      <c r="GH55" s="105"/>
      <c r="GI55" s="105"/>
      <c r="GJ55" s="97">
        <f t="shared" si="30"/>
        <v>0</v>
      </c>
      <c r="GK55" s="105"/>
      <c r="GL55" s="105"/>
      <c r="GM55" s="97">
        <f t="shared" si="31"/>
        <v>0</v>
      </c>
      <c r="GN55" s="105"/>
      <c r="GO55" s="105"/>
      <c r="GP55" s="97">
        <f t="shared" si="32"/>
        <v>0</v>
      </c>
      <c r="GQ55" s="105"/>
      <c r="GR55" s="105"/>
    </row>
    <row r="56" spans="1:200" ht="10.5" customHeight="1" x14ac:dyDescent="0.3">
      <c r="A56" s="265">
        <f t="shared" si="28"/>
        <v>49</v>
      </c>
      <c r="B56" s="95"/>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38"/>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f t="shared" si="9"/>
        <v>0</v>
      </c>
      <c r="EC56" s="54"/>
      <c r="ED56" s="54"/>
      <c r="EE56" s="97">
        <f t="shared" si="10"/>
        <v>0</v>
      </c>
      <c r="EF56" s="54"/>
      <c r="EG56" s="54"/>
      <c r="EH56" s="97">
        <f t="shared" si="11"/>
        <v>0</v>
      </c>
      <c r="EI56" s="54"/>
      <c r="EJ56" s="54"/>
      <c r="EK56" s="97">
        <f t="shared" si="12"/>
        <v>0</v>
      </c>
      <c r="EL56" s="54"/>
      <c r="EM56" s="54"/>
      <c r="EN56" s="97">
        <f t="shared" si="13"/>
        <v>0</v>
      </c>
      <c r="EO56" s="54"/>
      <c r="EP56" s="54"/>
      <c r="EQ56" s="97">
        <f t="shared" si="14"/>
        <v>0</v>
      </c>
      <c r="ER56" s="269"/>
      <c r="ES56" s="269"/>
      <c r="ET56" s="97">
        <f t="shared" si="15"/>
        <v>0</v>
      </c>
      <c r="EU56" s="269"/>
      <c r="EV56" s="269"/>
      <c r="EW56" s="97">
        <f t="shared" si="16"/>
        <v>0</v>
      </c>
      <c r="EX56" s="269"/>
      <c r="EY56" s="269"/>
      <c r="EZ56" s="97">
        <f t="shared" si="17"/>
        <v>0</v>
      </c>
      <c r="FA56" s="269"/>
      <c r="FB56" s="269"/>
      <c r="FC56" s="97">
        <f t="shared" si="18"/>
        <v>0</v>
      </c>
      <c r="FD56" s="269"/>
      <c r="FE56" s="269"/>
      <c r="FF56" s="97">
        <f t="shared" si="19"/>
        <v>0</v>
      </c>
      <c r="FG56" s="270"/>
      <c r="FH56" s="269"/>
      <c r="FI56" s="97">
        <f t="shared" si="20"/>
        <v>0</v>
      </c>
      <c r="FJ56" s="275"/>
      <c r="FK56" s="269"/>
      <c r="FL56" s="97">
        <f t="shared" si="21"/>
        <v>0</v>
      </c>
      <c r="FM56" s="269"/>
      <c r="FN56" s="269"/>
      <c r="FO56" s="97">
        <f t="shared" si="22"/>
        <v>0</v>
      </c>
      <c r="FP56" s="269"/>
      <c r="FQ56" s="269"/>
      <c r="FR56" s="97">
        <f t="shared" si="23"/>
        <v>0</v>
      </c>
      <c r="FS56" s="269"/>
      <c r="FT56" s="269"/>
      <c r="FU56" s="97">
        <f t="shared" si="24"/>
        <v>0</v>
      </c>
      <c r="FV56" s="269"/>
      <c r="FW56" s="269"/>
      <c r="FX56" s="97">
        <f t="shared" si="25"/>
        <v>0</v>
      </c>
      <c r="FY56" s="269"/>
      <c r="FZ56" s="269"/>
      <c r="GA56" s="97">
        <f t="shared" si="26"/>
        <v>0</v>
      </c>
      <c r="GB56" s="270"/>
      <c r="GC56" s="269"/>
      <c r="GD56" s="272">
        <f t="shared" si="29"/>
        <v>0</v>
      </c>
      <c r="GE56" s="269"/>
      <c r="GF56" s="275"/>
      <c r="GG56" s="97">
        <f t="shared" si="27"/>
        <v>0</v>
      </c>
      <c r="GH56" s="105"/>
      <c r="GI56" s="105"/>
      <c r="GJ56" s="97">
        <f t="shared" si="30"/>
        <v>0</v>
      </c>
      <c r="GK56" s="105"/>
      <c r="GL56" s="105"/>
      <c r="GM56" s="97">
        <f t="shared" si="31"/>
        <v>0</v>
      </c>
      <c r="GN56" s="105"/>
      <c r="GO56" s="105"/>
      <c r="GP56" s="97">
        <f t="shared" si="32"/>
        <v>0</v>
      </c>
      <c r="GQ56" s="105"/>
      <c r="GR56" s="105"/>
    </row>
    <row r="57" spans="1:200" ht="10.5" customHeight="1" x14ac:dyDescent="0.3">
      <c r="A57" s="265">
        <f t="shared" si="28"/>
        <v>50</v>
      </c>
      <c r="B57" s="56" t="s">
        <v>1041</v>
      </c>
      <c r="C57" s="97" t="s">
        <v>46</v>
      </c>
      <c r="D57" s="97" t="s">
        <v>46</v>
      </c>
      <c r="E57" s="97" t="s">
        <v>46</v>
      </c>
      <c r="F57" s="97">
        <v>11</v>
      </c>
      <c r="G57" s="97">
        <v>15</v>
      </c>
      <c r="H57" s="97">
        <v>19</v>
      </c>
      <c r="I57" s="97">
        <v>26</v>
      </c>
      <c r="J57" s="97">
        <v>28</v>
      </c>
      <c r="K57" s="97">
        <v>30</v>
      </c>
      <c r="L57" s="97">
        <v>22</v>
      </c>
      <c r="M57" s="97">
        <v>19</v>
      </c>
      <c r="N57" s="97">
        <v>23</v>
      </c>
      <c r="O57" s="97">
        <v>21</v>
      </c>
      <c r="P57" s="97">
        <v>22</v>
      </c>
      <c r="Q57" s="97">
        <v>21</v>
      </c>
      <c r="R57" s="97">
        <v>22</v>
      </c>
      <c r="S57" s="97">
        <v>21</v>
      </c>
      <c r="T57" s="97">
        <v>22</v>
      </c>
      <c r="U57" s="97">
        <v>22</v>
      </c>
      <c r="V57" s="97">
        <v>20</v>
      </c>
      <c r="W57" s="97">
        <v>19</v>
      </c>
      <c r="X57" s="97">
        <v>19</v>
      </c>
      <c r="Y57" s="97">
        <v>20</v>
      </c>
      <c r="Z57" s="97">
        <v>21</v>
      </c>
      <c r="AA57" s="97">
        <v>21</v>
      </c>
      <c r="AB57" s="97">
        <v>23</v>
      </c>
      <c r="AC57" s="97">
        <v>23</v>
      </c>
      <c r="AD57" s="97">
        <v>23</v>
      </c>
      <c r="AE57" s="97">
        <v>24</v>
      </c>
      <c r="AF57" s="97">
        <v>25</v>
      </c>
      <c r="AG57" s="97">
        <v>28</v>
      </c>
      <c r="AH57" s="97">
        <v>29</v>
      </c>
      <c r="AI57" s="97">
        <v>29</v>
      </c>
      <c r="AJ57" s="97">
        <v>29</v>
      </c>
      <c r="AK57" s="97">
        <v>34</v>
      </c>
      <c r="AL57" s="97">
        <v>37</v>
      </c>
      <c r="AM57" s="97">
        <v>39</v>
      </c>
      <c r="AN57" s="97">
        <v>40</v>
      </c>
      <c r="AO57" s="97">
        <v>42</v>
      </c>
      <c r="AP57" s="97">
        <v>45</v>
      </c>
      <c r="AQ57" s="97">
        <v>46</v>
      </c>
      <c r="AR57" s="97">
        <v>49</v>
      </c>
      <c r="AS57" s="97">
        <v>49</v>
      </c>
      <c r="AT57" s="97">
        <v>51</v>
      </c>
      <c r="AU57" s="97">
        <v>55</v>
      </c>
      <c r="AV57" s="97">
        <v>59</v>
      </c>
      <c r="AW57" s="97">
        <v>62</v>
      </c>
      <c r="AX57" s="97">
        <v>64</v>
      </c>
      <c r="AY57" s="97">
        <v>65</v>
      </c>
      <c r="AZ57" s="97">
        <v>67</v>
      </c>
      <c r="BA57" s="97">
        <v>67</v>
      </c>
      <c r="BB57" s="97">
        <v>68</v>
      </c>
      <c r="BC57" s="97">
        <v>70</v>
      </c>
      <c r="BD57" s="97">
        <v>71</v>
      </c>
      <c r="BE57" s="97">
        <v>73</v>
      </c>
      <c r="BF57" s="97">
        <v>76</v>
      </c>
      <c r="BG57" s="97">
        <v>80</v>
      </c>
      <c r="BH57" s="97">
        <v>84</v>
      </c>
      <c r="BI57" s="97">
        <v>88</v>
      </c>
      <c r="BJ57" s="97">
        <v>93</v>
      </c>
      <c r="BK57" s="97">
        <v>95</v>
      </c>
      <c r="BL57" s="97">
        <v>100</v>
      </c>
      <c r="BM57" s="38">
        <v>117</v>
      </c>
      <c r="BN57" s="97">
        <v>141</v>
      </c>
      <c r="BO57" s="97">
        <v>153</v>
      </c>
      <c r="BP57" s="97">
        <v>164</v>
      </c>
      <c r="BQ57" s="97">
        <v>178</v>
      </c>
      <c r="BR57" s="97">
        <v>197</v>
      </c>
      <c r="BS57" s="97">
        <v>222</v>
      </c>
      <c r="BT57" s="97">
        <v>246</v>
      </c>
      <c r="BU57" s="97">
        <v>263</v>
      </c>
      <c r="BV57" s="97">
        <v>269</v>
      </c>
      <c r="BW57" s="97">
        <v>273</v>
      </c>
      <c r="BX57" s="97">
        <v>276</v>
      </c>
      <c r="BY57" s="97">
        <v>280</v>
      </c>
      <c r="BZ57" s="97">
        <v>286</v>
      </c>
      <c r="CA57" s="97">
        <v>290</v>
      </c>
      <c r="CB57" s="97">
        <v>293</v>
      </c>
      <c r="CC57" s="97">
        <v>294.5</v>
      </c>
      <c r="CD57" s="97">
        <v>302</v>
      </c>
      <c r="CE57" s="97">
        <v>309</v>
      </c>
      <c r="CF57" s="97">
        <v>280.78125</v>
      </c>
      <c r="CG57" s="97">
        <v>314</v>
      </c>
      <c r="CH57" s="97">
        <v>320</v>
      </c>
      <c r="CI57" s="97">
        <v>297.640625</v>
      </c>
      <c r="CJ57" s="97">
        <v>324</v>
      </c>
      <c r="CK57" s="97">
        <v>328</v>
      </c>
      <c r="CL57" s="97">
        <v>319.5</v>
      </c>
      <c r="CM57" s="97">
        <v>324</v>
      </c>
      <c r="CN57" s="97">
        <v>328</v>
      </c>
      <c r="CO57" s="97">
        <v>316.28515625</v>
      </c>
      <c r="CP57" s="97">
        <v>345</v>
      </c>
      <c r="CQ57" s="97">
        <v>347</v>
      </c>
      <c r="CR57" s="97">
        <v>323.75</v>
      </c>
      <c r="CS57" s="97">
        <v>349</v>
      </c>
      <c r="CT57" s="97">
        <v>350</v>
      </c>
      <c r="CU57" s="97">
        <v>331.25</v>
      </c>
      <c r="CV57" s="97">
        <v>355</v>
      </c>
      <c r="CW57" s="97">
        <v>359</v>
      </c>
      <c r="CX57" s="97">
        <v>332.5087890625</v>
      </c>
      <c r="CY57" s="97">
        <v>360</v>
      </c>
      <c r="CZ57" s="97">
        <v>366</v>
      </c>
      <c r="DA57" s="97">
        <v>336.125</v>
      </c>
      <c r="DB57" s="97">
        <v>368</v>
      </c>
      <c r="DC57" s="97">
        <v>373</v>
      </c>
      <c r="DD57" s="97">
        <v>351</v>
      </c>
      <c r="DE57" s="97">
        <v>377</v>
      </c>
      <c r="DF57" s="97">
        <v>381</v>
      </c>
      <c r="DG57" s="97">
        <f>(DE57+DF57*2+DH57)/4</f>
        <v>380</v>
      </c>
      <c r="DH57" s="97">
        <v>381</v>
      </c>
      <c r="DI57" s="99">
        <v>386</v>
      </c>
      <c r="DJ57" s="99">
        <f>(DH57+DI57*2+DK57)/4</f>
        <v>385</v>
      </c>
      <c r="DK57" s="97">
        <v>387</v>
      </c>
      <c r="DL57" s="97">
        <v>390</v>
      </c>
      <c r="DM57" s="97">
        <f>(DK57+DL57*2+DN57)/4</f>
        <v>389.25</v>
      </c>
      <c r="DN57" s="97">
        <v>390</v>
      </c>
      <c r="DO57" s="97">
        <v>391</v>
      </c>
      <c r="DP57" s="97">
        <f t="shared" si="33"/>
        <v>390.5</v>
      </c>
      <c r="DQ57" s="97">
        <v>390</v>
      </c>
      <c r="DR57" s="97">
        <v>397</v>
      </c>
      <c r="DS57" s="97">
        <f t="shared" si="6"/>
        <v>395.5</v>
      </c>
      <c r="DT57" s="97">
        <v>398</v>
      </c>
      <c r="DU57" s="97">
        <v>403</v>
      </c>
      <c r="DV57" s="97">
        <f t="shared" si="7"/>
        <v>401.75</v>
      </c>
      <c r="DW57" s="97">
        <v>403</v>
      </c>
      <c r="DX57" s="97">
        <v>412</v>
      </c>
      <c r="DY57" s="97">
        <f t="shared" si="8"/>
        <v>413.5</v>
      </c>
      <c r="DZ57" s="87">
        <v>427</v>
      </c>
      <c r="EA57" s="97">
        <v>443</v>
      </c>
      <c r="EB57" s="97">
        <f t="shared" si="9"/>
        <v>440.32249999999999</v>
      </c>
      <c r="EC57" s="54">
        <v>448.29</v>
      </c>
      <c r="ED57" s="54">
        <v>461</v>
      </c>
      <c r="EE57" s="97">
        <f t="shared" si="10"/>
        <v>458.32249999999999</v>
      </c>
      <c r="EF57" s="54">
        <v>463</v>
      </c>
      <c r="EG57" s="54">
        <v>470.5772</v>
      </c>
      <c r="EH57" s="97">
        <f t="shared" si="11"/>
        <v>469.46859999999998</v>
      </c>
      <c r="EI57" s="54">
        <v>473.72</v>
      </c>
      <c r="EJ57" s="54">
        <v>483</v>
      </c>
      <c r="EK57" s="97">
        <f t="shared" si="12"/>
        <v>484.68</v>
      </c>
      <c r="EL57" s="54">
        <v>499</v>
      </c>
      <c r="EM57" s="54">
        <v>502</v>
      </c>
      <c r="EN57" s="97">
        <f t="shared" si="13"/>
        <v>501.25</v>
      </c>
      <c r="EO57" s="54">
        <v>502</v>
      </c>
      <c r="EP57" s="54">
        <v>501</v>
      </c>
      <c r="EQ57" s="97">
        <f t="shared" si="14"/>
        <v>502.25</v>
      </c>
      <c r="ER57" s="269">
        <v>505</v>
      </c>
      <c r="ES57" s="269">
        <v>516.46</v>
      </c>
      <c r="ET57" s="97">
        <f t="shared" si="15"/>
        <v>516.23</v>
      </c>
      <c r="EU57" s="269">
        <v>527</v>
      </c>
      <c r="EV57" s="269">
        <v>539</v>
      </c>
      <c r="EW57" s="97">
        <f t="shared" si="16"/>
        <v>538</v>
      </c>
      <c r="EX57" s="269">
        <v>547</v>
      </c>
      <c r="EY57" s="269">
        <v>552.11</v>
      </c>
      <c r="EZ57" s="97">
        <f t="shared" si="17"/>
        <v>551.30500000000006</v>
      </c>
      <c r="FA57" s="269">
        <v>554</v>
      </c>
      <c r="FB57" s="269">
        <v>562</v>
      </c>
      <c r="FC57" s="97">
        <f t="shared" si="18"/>
        <v>560.5</v>
      </c>
      <c r="FD57" s="269">
        <v>564</v>
      </c>
      <c r="FE57" s="269">
        <v>568</v>
      </c>
      <c r="FF57" s="97">
        <f t="shared" si="19"/>
        <v>567.5</v>
      </c>
      <c r="FG57" s="270">
        <v>570</v>
      </c>
      <c r="FH57" s="269">
        <v>574</v>
      </c>
      <c r="FI57" s="97">
        <f t="shared" si="20"/>
        <v>573.25</v>
      </c>
      <c r="FJ57" s="269">
        <v>575</v>
      </c>
      <c r="FK57" s="269">
        <v>579</v>
      </c>
      <c r="FL57" s="97">
        <f t="shared" si="21"/>
        <v>578.25</v>
      </c>
      <c r="FM57" s="269">
        <v>580</v>
      </c>
      <c r="FN57" s="269">
        <v>575</v>
      </c>
      <c r="FO57" s="97">
        <f t="shared" si="22"/>
        <v>582.5</v>
      </c>
      <c r="FP57" s="269">
        <v>600</v>
      </c>
      <c r="FQ57" s="269">
        <v>609</v>
      </c>
      <c r="FR57" s="97">
        <f t="shared" si="23"/>
        <v>607.75</v>
      </c>
      <c r="FS57" s="269">
        <v>613</v>
      </c>
      <c r="FT57" s="269">
        <v>620</v>
      </c>
      <c r="FU57" s="97">
        <f t="shared" si="24"/>
        <v>618.5</v>
      </c>
      <c r="FV57" s="269">
        <v>621</v>
      </c>
      <c r="FW57" s="269">
        <v>640</v>
      </c>
      <c r="FX57" s="97">
        <f t="shared" si="25"/>
        <v>646</v>
      </c>
      <c r="FY57" s="269">
        <v>683</v>
      </c>
      <c r="FZ57" s="269">
        <v>721</v>
      </c>
      <c r="GA57" s="97">
        <f t="shared" si="26"/>
        <v>717</v>
      </c>
      <c r="GB57" s="270">
        <v>743</v>
      </c>
      <c r="GC57" s="269"/>
      <c r="GD57" s="272">
        <f t="shared" si="29"/>
        <v>743</v>
      </c>
      <c r="GE57" s="269"/>
      <c r="GF57" s="275"/>
      <c r="GG57" s="97">
        <f t="shared" si="27"/>
        <v>0</v>
      </c>
      <c r="GH57" s="105"/>
      <c r="GI57" s="105"/>
      <c r="GJ57" s="97">
        <f t="shared" si="30"/>
        <v>0</v>
      </c>
      <c r="GK57" s="105"/>
      <c r="GL57" s="105"/>
      <c r="GM57" s="97">
        <f t="shared" si="31"/>
        <v>0</v>
      </c>
      <c r="GN57" s="105"/>
      <c r="GO57" s="105"/>
      <c r="GP57" s="97">
        <f t="shared" si="32"/>
        <v>0</v>
      </c>
      <c r="GQ57" s="105"/>
      <c r="GR57" s="105"/>
    </row>
    <row r="58" spans="1:200" ht="10.5" customHeight="1" x14ac:dyDescent="0.3">
      <c r="A58" s="265">
        <f t="shared" si="28"/>
        <v>51</v>
      </c>
      <c r="B58" s="95"/>
      <c r="C58" s="97"/>
      <c r="D58" s="97"/>
      <c r="E58" s="97"/>
      <c r="F58" s="276"/>
      <c r="G58" s="97"/>
      <c r="H58" s="97"/>
      <c r="I58" s="97"/>
      <c r="J58" s="97"/>
      <c r="K58" s="276"/>
      <c r="L58" s="97"/>
      <c r="M58" s="97"/>
      <c r="N58" s="97"/>
      <c r="O58" s="97"/>
      <c r="P58" s="276"/>
      <c r="Q58" s="97"/>
      <c r="R58" s="277"/>
      <c r="S58" s="97"/>
      <c r="T58" s="278"/>
      <c r="U58" s="97"/>
      <c r="V58" s="278"/>
      <c r="W58" s="97"/>
      <c r="X58" s="278"/>
      <c r="Y58" s="97"/>
      <c r="Z58" s="276"/>
      <c r="AA58" s="97"/>
      <c r="AB58" s="278"/>
      <c r="AC58" s="97"/>
      <c r="AD58" s="276"/>
      <c r="AE58" s="97"/>
      <c r="AF58" s="276"/>
      <c r="AG58" s="97"/>
      <c r="AH58" s="278"/>
      <c r="AI58" s="97"/>
      <c r="AJ58" s="276"/>
      <c r="AK58" s="97"/>
      <c r="AL58" s="97"/>
      <c r="AM58" s="97"/>
      <c r="AN58" s="97"/>
      <c r="AO58" s="97"/>
      <c r="AP58" s="278"/>
      <c r="AQ58" s="97"/>
      <c r="AR58" s="276"/>
      <c r="AS58" s="97"/>
      <c r="AT58" s="276"/>
      <c r="AU58" s="97"/>
      <c r="AV58" s="277"/>
      <c r="AW58" s="97"/>
      <c r="AX58" s="278"/>
      <c r="AY58" s="97"/>
      <c r="AZ58" s="278"/>
      <c r="BA58" s="97"/>
      <c r="BB58" s="278"/>
      <c r="BC58" s="97"/>
      <c r="BD58" s="276"/>
      <c r="BE58" s="97"/>
      <c r="BF58" s="276"/>
      <c r="BG58" s="97"/>
      <c r="BH58" s="278"/>
      <c r="BI58" s="97"/>
      <c r="BJ58" s="97"/>
      <c r="BK58" s="97"/>
      <c r="BL58" s="276"/>
      <c r="BM58" s="279"/>
      <c r="BN58" s="276"/>
      <c r="BO58" s="97"/>
      <c r="BP58" s="276"/>
      <c r="BQ58" s="97"/>
      <c r="BR58" s="276"/>
      <c r="BS58" s="97"/>
      <c r="BT58" s="276"/>
      <c r="BU58" s="97"/>
      <c r="BV58" s="276"/>
      <c r="BW58" s="97"/>
      <c r="BX58" s="276"/>
      <c r="BY58" s="97"/>
      <c r="BZ58" s="276"/>
      <c r="CA58" s="97"/>
      <c r="CB58" s="276"/>
      <c r="CC58" s="276"/>
      <c r="CD58" s="97"/>
      <c r="CE58" s="276"/>
      <c r="CF58" s="276"/>
      <c r="CG58" s="97"/>
      <c r="CH58" s="276"/>
      <c r="CI58" s="276"/>
      <c r="CJ58" s="97"/>
      <c r="CK58" s="276"/>
      <c r="CL58" s="276"/>
      <c r="CM58" s="97"/>
      <c r="CN58" s="276"/>
      <c r="CO58" s="276"/>
      <c r="CP58" s="97"/>
      <c r="CQ58" s="276"/>
      <c r="CR58" s="276"/>
      <c r="CS58" s="97"/>
      <c r="CT58" s="276"/>
      <c r="CU58" s="276"/>
      <c r="CV58" s="97"/>
      <c r="CW58" s="276"/>
      <c r="CX58" s="276"/>
      <c r="CY58" s="97"/>
      <c r="CZ58" s="276"/>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f t="shared" si="9"/>
        <v>0</v>
      </c>
      <c r="EC58" s="54"/>
      <c r="ED58" s="54"/>
      <c r="EE58" s="97">
        <f t="shared" si="10"/>
        <v>0</v>
      </c>
      <c r="EF58" s="54"/>
      <c r="EG58" s="54"/>
      <c r="EH58" s="97">
        <f t="shared" si="11"/>
        <v>0</v>
      </c>
      <c r="EI58" s="54"/>
      <c r="EJ58" s="54"/>
      <c r="EK58" s="97">
        <f t="shared" si="12"/>
        <v>0</v>
      </c>
      <c r="EL58" s="54"/>
      <c r="EM58" s="54"/>
      <c r="EN58" s="97">
        <f t="shared" si="13"/>
        <v>0</v>
      </c>
      <c r="EO58" s="54"/>
      <c r="EP58" s="54"/>
      <c r="EQ58" s="97">
        <f t="shared" si="14"/>
        <v>0</v>
      </c>
      <c r="ER58" s="269"/>
      <c r="ES58" s="269"/>
      <c r="ET58" s="97">
        <f t="shared" si="15"/>
        <v>0</v>
      </c>
      <c r="EU58" s="269"/>
      <c r="EV58" s="269"/>
      <c r="EW58" s="97">
        <f t="shared" si="16"/>
        <v>0</v>
      </c>
      <c r="EX58" s="269"/>
      <c r="EY58" s="269"/>
      <c r="EZ58" s="97">
        <f t="shared" si="17"/>
        <v>0</v>
      </c>
      <c r="FA58" s="269"/>
      <c r="FB58" s="269"/>
      <c r="FC58" s="97">
        <f t="shared" si="18"/>
        <v>0</v>
      </c>
      <c r="FD58" s="269"/>
      <c r="FE58" s="269"/>
      <c r="FF58" s="97">
        <f t="shared" si="19"/>
        <v>0</v>
      </c>
      <c r="FG58" s="270"/>
      <c r="FH58" s="269"/>
      <c r="FI58" s="97">
        <f t="shared" si="20"/>
        <v>0</v>
      </c>
      <c r="FJ58" s="275"/>
      <c r="FK58" s="269"/>
      <c r="FL58" s="97">
        <f t="shared" si="21"/>
        <v>0</v>
      </c>
      <c r="FM58" s="269"/>
      <c r="FN58" s="269"/>
      <c r="FO58" s="97">
        <f t="shared" si="22"/>
        <v>0</v>
      </c>
      <c r="FP58" s="269"/>
      <c r="FQ58" s="269"/>
      <c r="FR58" s="97">
        <f t="shared" si="23"/>
        <v>0</v>
      </c>
      <c r="FS58" s="269"/>
      <c r="FT58" s="269"/>
      <c r="FU58" s="97">
        <f t="shared" si="24"/>
        <v>0</v>
      </c>
      <c r="FV58" s="269"/>
      <c r="FW58" s="269"/>
      <c r="FX58" s="97">
        <f t="shared" si="25"/>
        <v>0</v>
      </c>
      <c r="FY58" s="269"/>
      <c r="FZ58" s="269"/>
      <c r="GA58" s="97">
        <f t="shared" si="26"/>
        <v>0</v>
      </c>
      <c r="GB58" s="270"/>
      <c r="GC58" s="269"/>
      <c r="GD58" s="272">
        <f t="shared" si="29"/>
        <v>0</v>
      </c>
      <c r="GE58" s="275"/>
      <c r="GF58" s="275"/>
      <c r="GG58" s="97">
        <f t="shared" si="27"/>
        <v>0</v>
      </c>
      <c r="GH58" s="105"/>
      <c r="GI58" s="105"/>
      <c r="GJ58" s="97">
        <f t="shared" si="30"/>
        <v>0</v>
      </c>
      <c r="GK58" s="105"/>
      <c r="GL58" s="105"/>
      <c r="GM58" s="97">
        <f t="shared" si="31"/>
        <v>0</v>
      </c>
      <c r="GN58" s="105"/>
      <c r="GO58" s="105"/>
      <c r="GP58" s="97">
        <f t="shared" si="32"/>
        <v>0</v>
      </c>
      <c r="GQ58" s="105"/>
      <c r="GR58" s="105"/>
    </row>
    <row r="59" spans="1:200" ht="10.5" customHeight="1" x14ac:dyDescent="0.3">
      <c r="A59" s="265">
        <f t="shared" si="28"/>
        <v>52</v>
      </c>
      <c r="B59" s="95"/>
      <c r="C59" s="97"/>
      <c r="D59" s="97"/>
      <c r="E59" s="97"/>
      <c r="F59" s="276"/>
      <c r="G59" s="97"/>
      <c r="H59" s="97"/>
      <c r="I59" s="97"/>
      <c r="J59" s="97"/>
      <c r="K59" s="276"/>
      <c r="L59" s="97"/>
      <c r="M59" s="97"/>
      <c r="N59" s="97"/>
      <c r="O59" s="97"/>
      <c r="P59" s="276"/>
      <c r="Q59" s="97"/>
      <c r="R59" s="277"/>
      <c r="S59" s="97"/>
      <c r="T59" s="278"/>
      <c r="U59" s="97"/>
      <c r="V59" s="278"/>
      <c r="W59" s="97"/>
      <c r="X59" s="278"/>
      <c r="Y59" s="97"/>
      <c r="Z59" s="276"/>
      <c r="AA59" s="97"/>
      <c r="AB59" s="278"/>
      <c r="AC59" s="97"/>
      <c r="AD59" s="276"/>
      <c r="AE59" s="97"/>
      <c r="AF59" s="276"/>
      <c r="AG59" s="97"/>
      <c r="AH59" s="278"/>
      <c r="AI59" s="97"/>
      <c r="AJ59" s="276"/>
      <c r="AK59" s="97"/>
      <c r="AL59" s="97"/>
      <c r="AM59" s="97"/>
      <c r="AN59" s="97"/>
      <c r="AO59" s="97"/>
      <c r="AP59" s="278"/>
      <c r="AQ59" s="97"/>
      <c r="AR59" s="276"/>
      <c r="AS59" s="97"/>
      <c r="AT59" s="276"/>
      <c r="AU59" s="97"/>
      <c r="AV59" s="277"/>
      <c r="AW59" s="97"/>
      <c r="AX59" s="278"/>
      <c r="AY59" s="97"/>
      <c r="AZ59" s="278"/>
      <c r="BA59" s="97"/>
      <c r="BB59" s="278"/>
      <c r="BC59" s="97"/>
      <c r="BD59" s="276"/>
      <c r="BE59" s="97"/>
      <c r="BF59" s="276"/>
      <c r="BG59" s="97"/>
      <c r="BH59" s="278"/>
      <c r="BI59" s="97"/>
      <c r="BJ59" s="97"/>
      <c r="BK59" s="97"/>
      <c r="BL59" s="276"/>
      <c r="BM59" s="279"/>
      <c r="BN59" s="276"/>
      <c r="BO59" s="97"/>
      <c r="BP59" s="276"/>
      <c r="BQ59" s="97"/>
      <c r="BR59" s="276"/>
      <c r="BS59" s="97"/>
      <c r="BT59" s="276"/>
      <c r="BU59" s="97"/>
      <c r="BV59" s="276"/>
      <c r="BW59" s="97"/>
      <c r="BX59" s="276"/>
      <c r="BY59" s="97"/>
      <c r="BZ59" s="276"/>
      <c r="CA59" s="97"/>
      <c r="CB59" s="276"/>
      <c r="CC59" s="276"/>
      <c r="CD59" s="97"/>
      <c r="CE59" s="276"/>
      <c r="CF59" s="276"/>
      <c r="CG59" s="97"/>
      <c r="CH59" s="276"/>
      <c r="CI59" s="276"/>
      <c r="CJ59" s="97"/>
      <c r="CK59" s="276"/>
      <c r="CL59" s="276"/>
      <c r="CM59" s="97"/>
      <c r="CN59" s="276"/>
      <c r="CO59" s="276"/>
      <c r="CP59" s="97"/>
      <c r="CQ59" s="276"/>
      <c r="CR59" s="276"/>
      <c r="CS59" s="97"/>
      <c r="CT59" s="276"/>
      <c r="CU59" s="276"/>
      <c r="CV59" s="97"/>
      <c r="CW59" s="276"/>
      <c r="CX59" s="276"/>
      <c r="CY59" s="97"/>
      <c r="CZ59" s="276"/>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f t="shared" si="9"/>
        <v>0</v>
      </c>
      <c r="EC59" s="54"/>
      <c r="ED59" s="54"/>
      <c r="EE59" s="97">
        <f t="shared" si="10"/>
        <v>0</v>
      </c>
      <c r="EF59" s="54"/>
      <c r="EG59" s="54"/>
      <c r="EH59" s="97">
        <f t="shared" si="11"/>
        <v>0</v>
      </c>
      <c r="EI59" s="54"/>
      <c r="EJ59" s="54"/>
      <c r="EK59" s="97">
        <f t="shared" si="12"/>
        <v>0</v>
      </c>
      <c r="EL59" s="54"/>
      <c r="EM59" s="54"/>
      <c r="EN59" s="97">
        <f t="shared" si="13"/>
        <v>0</v>
      </c>
      <c r="EO59" s="54"/>
      <c r="EP59" s="54"/>
      <c r="EQ59" s="97">
        <f t="shared" si="14"/>
        <v>0</v>
      </c>
      <c r="ER59" s="275"/>
      <c r="ES59" s="269"/>
      <c r="ET59" s="97">
        <f t="shared" si="15"/>
        <v>0</v>
      </c>
      <c r="EU59" s="269"/>
      <c r="EV59" s="269"/>
      <c r="EW59" s="97">
        <f t="shared" si="16"/>
        <v>0</v>
      </c>
      <c r="EX59" s="269"/>
      <c r="EY59" s="269"/>
      <c r="EZ59" s="97">
        <f t="shared" si="17"/>
        <v>0</v>
      </c>
      <c r="FA59" s="269"/>
      <c r="FB59" s="269"/>
      <c r="FC59" s="97">
        <f t="shared" si="18"/>
        <v>0</v>
      </c>
      <c r="FD59" s="269"/>
      <c r="FE59" s="269"/>
      <c r="FF59" s="97">
        <f t="shared" si="19"/>
        <v>0</v>
      </c>
      <c r="FG59" s="270"/>
      <c r="FH59" s="269"/>
      <c r="FI59" s="97">
        <f t="shared" si="20"/>
        <v>0</v>
      </c>
      <c r="FJ59" s="275"/>
      <c r="FK59" s="269"/>
      <c r="FL59" s="97">
        <f t="shared" si="21"/>
        <v>0</v>
      </c>
      <c r="FM59" s="275"/>
      <c r="FN59" s="269"/>
      <c r="FO59" s="97">
        <f t="shared" si="22"/>
        <v>0</v>
      </c>
      <c r="FP59" s="269"/>
      <c r="FQ59" s="269"/>
      <c r="FR59" s="97">
        <f t="shared" si="23"/>
        <v>0</v>
      </c>
      <c r="FS59" s="269"/>
      <c r="FT59" s="269"/>
      <c r="FU59" s="97">
        <f t="shared" si="24"/>
        <v>0</v>
      </c>
      <c r="FV59" s="269"/>
      <c r="FW59" s="269"/>
      <c r="FX59" s="97">
        <f t="shared" si="25"/>
        <v>0</v>
      </c>
      <c r="FY59" s="269"/>
      <c r="FZ59" s="269"/>
      <c r="GA59" s="97">
        <f t="shared" si="26"/>
        <v>0</v>
      </c>
      <c r="GB59" s="270"/>
      <c r="GC59" s="269"/>
      <c r="GD59" s="272">
        <f t="shared" si="29"/>
        <v>0</v>
      </c>
      <c r="GE59" s="275"/>
      <c r="GF59" s="275"/>
      <c r="GG59" s="97">
        <f t="shared" si="27"/>
        <v>0</v>
      </c>
      <c r="GH59" s="105"/>
      <c r="GI59" s="105"/>
      <c r="GJ59" s="97">
        <f t="shared" si="30"/>
        <v>0</v>
      </c>
      <c r="GK59" s="105"/>
      <c r="GL59" s="105"/>
      <c r="GM59" s="97">
        <f t="shared" si="31"/>
        <v>0</v>
      </c>
      <c r="GN59" s="105"/>
      <c r="GO59" s="105"/>
      <c r="GP59" s="97">
        <f t="shared" si="32"/>
        <v>0</v>
      </c>
      <c r="GQ59" s="105"/>
      <c r="GR59" s="105"/>
    </row>
    <row r="60" spans="1:200" ht="10.5" customHeight="1" x14ac:dyDescent="0.3">
      <c r="A60" s="265">
        <f t="shared" si="28"/>
        <v>53</v>
      </c>
      <c r="B60" s="95"/>
      <c r="C60" s="97"/>
      <c r="D60" s="97"/>
      <c r="E60" s="97"/>
      <c r="F60" s="276"/>
      <c r="G60" s="97"/>
      <c r="H60" s="97"/>
      <c r="I60" s="97"/>
      <c r="J60" s="97"/>
      <c r="K60" s="276"/>
      <c r="L60" s="97"/>
      <c r="M60" s="97"/>
      <c r="N60" s="97"/>
      <c r="O60" s="97"/>
      <c r="P60" s="276"/>
      <c r="Q60" s="97"/>
      <c r="R60" s="277"/>
      <c r="S60" s="97"/>
      <c r="T60" s="278"/>
      <c r="U60" s="97"/>
      <c r="V60" s="278"/>
      <c r="W60" s="97"/>
      <c r="X60" s="278"/>
      <c r="Y60" s="97"/>
      <c r="Z60" s="276"/>
      <c r="AA60" s="97"/>
      <c r="AB60" s="278"/>
      <c r="AC60" s="97"/>
      <c r="AD60" s="276"/>
      <c r="AE60" s="97"/>
      <c r="AF60" s="276"/>
      <c r="AG60" s="97"/>
      <c r="AH60" s="278"/>
      <c r="AI60" s="97"/>
      <c r="AJ60" s="276"/>
      <c r="AK60" s="97"/>
      <c r="AL60" s="97"/>
      <c r="AM60" s="97"/>
      <c r="AN60" s="97"/>
      <c r="AO60" s="97"/>
      <c r="AP60" s="278"/>
      <c r="AQ60" s="97"/>
      <c r="AR60" s="276"/>
      <c r="AS60" s="97"/>
      <c r="AT60" s="276"/>
      <c r="AU60" s="97"/>
      <c r="AV60" s="277"/>
      <c r="AW60" s="97"/>
      <c r="AX60" s="278"/>
      <c r="AY60" s="97"/>
      <c r="AZ60" s="278"/>
      <c r="BA60" s="97"/>
      <c r="BB60" s="278"/>
      <c r="BC60" s="97"/>
      <c r="BD60" s="276"/>
      <c r="BE60" s="97"/>
      <c r="BF60" s="276"/>
      <c r="BG60" s="97"/>
      <c r="BH60" s="278"/>
      <c r="BI60" s="97"/>
      <c r="BJ60" s="97"/>
      <c r="BK60" s="97"/>
      <c r="BL60" s="276"/>
      <c r="BM60" s="279"/>
      <c r="BN60" s="276"/>
      <c r="BO60" s="97"/>
      <c r="BP60" s="276"/>
      <c r="BQ60" s="97"/>
      <c r="BR60" s="276"/>
      <c r="BS60" s="97"/>
      <c r="BT60" s="276"/>
      <c r="BU60" s="97"/>
      <c r="BV60" s="276"/>
      <c r="BW60" s="97"/>
      <c r="BX60" s="276"/>
      <c r="BY60" s="97"/>
      <c r="BZ60" s="276"/>
      <c r="CA60" s="97"/>
      <c r="CB60" s="276"/>
      <c r="CC60" s="276"/>
      <c r="CD60" s="97"/>
      <c r="CE60" s="276"/>
      <c r="CF60" s="276"/>
      <c r="CG60" s="97"/>
      <c r="CH60" s="276"/>
      <c r="CI60" s="276"/>
      <c r="CJ60" s="97"/>
      <c r="CK60" s="276"/>
      <c r="CL60" s="276"/>
      <c r="CM60" s="97"/>
      <c r="CN60" s="276"/>
      <c r="CO60" s="276"/>
      <c r="CP60" s="97"/>
      <c r="CQ60" s="276"/>
      <c r="CR60" s="276"/>
      <c r="CS60" s="97"/>
      <c r="CT60" s="276"/>
      <c r="CU60" s="276"/>
      <c r="CV60" s="97"/>
      <c r="CW60" s="276"/>
      <c r="CX60" s="276"/>
      <c r="CY60" s="97"/>
      <c r="CZ60" s="276"/>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f t="shared" si="9"/>
        <v>0</v>
      </c>
      <c r="EC60" s="54"/>
      <c r="ED60" s="54"/>
      <c r="EE60" s="97">
        <f t="shared" si="10"/>
        <v>0</v>
      </c>
      <c r="EF60" s="54"/>
      <c r="EG60" s="54"/>
      <c r="EH60" s="97">
        <f t="shared" si="11"/>
        <v>0</v>
      </c>
      <c r="EI60" s="54"/>
      <c r="EJ60" s="54"/>
      <c r="EK60" s="97">
        <f t="shared" si="12"/>
        <v>0</v>
      </c>
      <c r="EL60" s="54"/>
      <c r="EM60" s="54"/>
      <c r="EN60" s="97">
        <f t="shared" si="13"/>
        <v>0</v>
      </c>
      <c r="EO60" s="54"/>
      <c r="EP60" s="54"/>
      <c r="EQ60" s="97">
        <f t="shared" si="14"/>
        <v>0</v>
      </c>
      <c r="ER60" s="275"/>
      <c r="ES60" s="269"/>
      <c r="ET60" s="97">
        <f t="shared" si="15"/>
        <v>0</v>
      </c>
      <c r="EU60" s="269"/>
      <c r="EV60" s="269"/>
      <c r="EW60" s="97">
        <f t="shared" si="16"/>
        <v>0</v>
      </c>
      <c r="EX60" s="269"/>
      <c r="EY60" s="269"/>
      <c r="EZ60" s="97">
        <f t="shared" si="17"/>
        <v>0</v>
      </c>
      <c r="FA60" s="269"/>
      <c r="FB60" s="269"/>
      <c r="FC60" s="97">
        <f t="shared" si="18"/>
        <v>0</v>
      </c>
      <c r="FD60" s="269"/>
      <c r="FE60" s="269"/>
      <c r="FF60" s="97">
        <f t="shared" si="19"/>
        <v>0</v>
      </c>
      <c r="FG60" s="270"/>
      <c r="FH60" s="269"/>
      <c r="FI60" s="97">
        <f t="shared" si="20"/>
        <v>0</v>
      </c>
      <c r="FJ60" s="275"/>
      <c r="FK60" s="269"/>
      <c r="FL60" s="97">
        <f t="shared" si="21"/>
        <v>0</v>
      </c>
      <c r="FM60" s="275"/>
      <c r="FN60" s="269"/>
      <c r="FO60" s="97">
        <f t="shared" si="22"/>
        <v>0</v>
      </c>
      <c r="FP60" s="269"/>
      <c r="FQ60" s="269"/>
      <c r="FR60" s="97">
        <f t="shared" si="23"/>
        <v>0</v>
      </c>
      <c r="FS60" s="269"/>
      <c r="FT60" s="269"/>
      <c r="FU60" s="97">
        <f t="shared" si="24"/>
        <v>0</v>
      </c>
      <c r="FV60" s="269"/>
      <c r="FW60" s="269"/>
      <c r="FX60" s="97">
        <f t="shared" si="25"/>
        <v>0</v>
      </c>
      <c r="FY60" s="269"/>
      <c r="FZ60" s="269"/>
      <c r="GA60" s="97">
        <f t="shared" si="26"/>
        <v>0</v>
      </c>
      <c r="GB60" s="270"/>
      <c r="GC60" s="269"/>
      <c r="GD60" s="272">
        <f t="shared" si="29"/>
        <v>0</v>
      </c>
      <c r="GE60" s="275"/>
      <c r="GF60" s="275"/>
      <c r="GG60" s="97">
        <f t="shared" si="27"/>
        <v>0</v>
      </c>
      <c r="GH60" s="105"/>
      <c r="GI60" s="105"/>
      <c r="GJ60" s="97">
        <f t="shared" si="30"/>
        <v>0</v>
      </c>
      <c r="GK60" s="105"/>
      <c r="GL60" s="105"/>
      <c r="GM60" s="97">
        <f t="shared" si="31"/>
        <v>0</v>
      </c>
      <c r="GN60" s="105"/>
      <c r="GO60" s="105"/>
      <c r="GP60" s="97">
        <f t="shared" si="32"/>
        <v>0</v>
      </c>
      <c r="GQ60" s="105"/>
      <c r="GR60" s="105"/>
    </row>
    <row r="61" spans="1:200" ht="10.5" customHeight="1" x14ac:dyDescent="0.3">
      <c r="A61" s="265">
        <f t="shared" si="28"/>
        <v>54</v>
      </c>
      <c r="B61" s="95"/>
      <c r="C61" s="97"/>
      <c r="D61" s="97"/>
      <c r="E61" s="97"/>
      <c r="F61" s="276"/>
      <c r="G61" s="97"/>
      <c r="H61" s="97"/>
      <c r="I61" s="97"/>
      <c r="J61" s="97"/>
      <c r="K61" s="276"/>
      <c r="L61" s="97"/>
      <c r="M61" s="97"/>
      <c r="N61" s="97"/>
      <c r="O61" s="97"/>
      <c r="P61" s="276"/>
      <c r="Q61" s="97"/>
      <c r="R61" s="277"/>
      <c r="S61" s="97"/>
      <c r="T61" s="278"/>
      <c r="U61" s="97"/>
      <c r="V61" s="278"/>
      <c r="W61" s="97"/>
      <c r="X61" s="278"/>
      <c r="Y61" s="97"/>
      <c r="Z61" s="276"/>
      <c r="AA61" s="97"/>
      <c r="AB61" s="278"/>
      <c r="AC61" s="97"/>
      <c r="AD61" s="276"/>
      <c r="AE61" s="97"/>
      <c r="AF61" s="276"/>
      <c r="AG61" s="97"/>
      <c r="AH61" s="278"/>
      <c r="AI61" s="97"/>
      <c r="AJ61" s="276"/>
      <c r="AK61" s="97"/>
      <c r="AL61" s="97"/>
      <c r="AM61" s="97"/>
      <c r="AN61" s="97"/>
      <c r="AO61" s="97"/>
      <c r="AP61" s="278"/>
      <c r="AQ61" s="97"/>
      <c r="AR61" s="276"/>
      <c r="AS61" s="97"/>
      <c r="AT61" s="276"/>
      <c r="AU61" s="97"/>
      <c r="AV61" s="277"/>
      <c r="AW61" s="97"/>
      <c r="AX61" s="278"/>
      <c r="AY61" s="97"/>
      <c r="AZ61" s="278"/>
      <c r="BA61" s="97"/>
      <c r="BB61" s="278"/>
      <c r="BC61" s="97"/>
      <c r="BD61" s="276"/>
      <c r="BE61" s="97"/>
      <c r="BF61" s="276"/>
      <c r="BG61" s="97"/>
      <c r="BH61" s="278"/>
      <c r="BI61" s="97"/>
      <c r="BJ61" s="97"/>
      <c r="BK61" s="97"/>
      <c r="BL61" s="276"/>
      <c r="BM61" s="279"/>
      <c r="BN61" s="276"/>
      <c r="BO61" s="97"/>
      <c r="BP61" s="276"/>
      <c r="BQ61" s="97"/>
      <c r="BR61" s="276"/>
      <c r="BS61" s="97"/>
      <c r="BT61" s="276"/>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f t="shared" si="9"/>
        <v>0</v>
      </c>
      <c r="EC61" s="54"/>
      <c r="ED61" s="54"/>
      <c r="EE61" s="97">
        <f t="shared" si="10"/>
        <v>0</v>
      </c>
      <c r="EF61" s="54"/>
      <c r="EG61" s="54"/>
      <c r="EH61" s="97">
        <f t="shared" si="11"/>
        <v>0</v>
      </c>
      <c r="EI61" s="54"/>
      <c r="EJ61" s="54"/>
      <c r="EK61" s="97">
        <f t="shared" si="12"/>
        <v>0</v>
      </c>
      <c r="EL61" s="54"/>
      <c r="EM61" s="54"/>
      <c r="EN61" s="97">
        <f t="shared" si="13"/>
        <v>0</v>
      </c>
      <c r="EO61" s="54"/>
      <c r="EP61" s="54"/>
      <c r="EQ61" s="97">
        <f t="shared" si="14"/>
        <v>0</v>
      </c>
      <c r="ER61" s="275"/>
      <c r="ES61" s="269"/>
      <c r="ET61" s="97">
        <f t="shared" si="15"/>
        <v>0</v>
      </c>
      <c r="EU61" s="269"/>
      <c r="EV61" s="269"/>
      <c r="EW61" s="97">
        <f t="shared" si="16"/>
        <v>0</v>
      </c>
      <c r="EX61" s="269"/>
      <c r="EY61" s="269"/>
      <c r="EZ61" s="97">
        <f t="shared" si="17"/>
        <v>0</v>
      </c>
      <c r="FA61" s="269"/>
      <c r="FB61" s="269"/>
      <c r="FC61" s="97">
        <f t="shared" si="18"/>
        <v>0</v>
      </c>
      <c r="FD61" s="269"/>
      <c r="FE61" s="269"/>
      <c r="FF61" s="97">
        <f t="shared" si="19"/>
        <v>0</v>
      </c>
      <c r="FG61" s="270"/>
      <c r="FH61" s="269"/>
      <c r="FI61" s="97">
        <f t="shared" si="20"/>
        <v>0</v>
      </c>
      <c r="FJ61" s="275"/>
      <c r="FK61" s="269"/>
      <c r="FL61" s="97">
        <f t="shared" si="21"/>
        <v>0</v>
      </c>
      <c r="FM61" s="275"/>
      <c r="FN61" s="269"/>
      <c r="FO61" s="97">
        <f t="shared" si="22"/>
        <v>0</v>
      </c>
      <c r="FP61" s="269"/>
      <c r="FQ61" s="269"/>
      <c r="FR61" s="97">
        <f t="shared" si="23"/>
        <v>0</v>
      </c>
      <c r="FS61" s="269"/>
      <c r="FT61" s="269"/>
      <c r="FU61" s="97">
        <f t="shared" si="24"/>
        <v>0</v>
      </c>
      <c r="FV61" s="269"/>
      <c r="FW61" s="269"/>
      <c r="FX61" s="97">
        <f t="shared" si="25"/>
        <v>0</v>
      </c>
      <c r="FY61" s="269"/>
      <c r="FZ61" s="269"/>
      <c r="GA61" s="97">
        <f t="shared" si="26"/>
        <v>0</v>
      </c>
      <c r="GB61" s="270"/>
      <c r="GC61" s="269"/>
      <c r="GD61" s="272">
        <f t="shared" si="29"/>
        <v>0</v>
      </c>
      <c r="GE61" s="275"/>
      <c r="GF61" s="275"/>
      <c r="GG61" s="97">
        <f t="shared" si="27"/>
        <v>0</v>
      </c>
      <c r="GH61" s="105"/>
      <c r="GI61" s="105"/>
      <c r="GJ61" s="97">
        <f t="shared" si="30"/>
        <v>0</v>
      </c>
      <c r="GK61" s="105"/>
      <c r="GL61" s="105"/>
      <c r="GM61" s="97">
        <f t="shared" si="31"/>
        <v>0</v>
      </c>
      <c r="GN61" s="105"/>
      <c r="GO61" s="105"/>
      <c r="GP61" s="97">
        <f t="shared" si="32"/>
        <v>0</v>
      </c>
      <c r="GQ61" s="105"/>
      <c r="GR61" s="105"/>
    </row>
    <row r="62" spans="1:200" ht="10.5" customHeight="1" x14ac:dyDescent="0.3">
      <c r="A62" s="265">
        <f t="shared" si="28"/>
        <v>55</v>
      </c>
      <c r="B62" s="95"/>
      <c r="C62" s="97"/>
      <c r="D62" s="97"/>
      <c r="E62" s="97"/>
      <c r="F62" s="276"/>
      <c r="G62" s="97"/>
      <c r="H62" s="97"/>
      <c r="I62" s="97"/>
      <c r="J62" s="97"/>
      <c r="K62" s="276"/>
      <c r="L62" s="97"/>
      <c r="M62" s="97"/>
      <c r="N62" s="97"/>
      <c r="O62" s="97"/>
      <c r="P62" s="276"/>
      <c r="Q62" s="97"/>
      <c r="R62" s="277"/>
      <c r="S62" s="97"/>
      <c r="T62" s="278"/>
      <c r="U62" s="97"/>
      <c r="V62" s="278"/>
      <c r="W62" s="97"/>
      <c r="X62" s="278"/>
      <c r="Y62" s="97"/>
      <c r="Z62" s="276"/>
      <c r="AA62" s="97"/>
      <c r="AB62" s="278"/>
      <c r="AC62" s="97"/>
      <c r="AD62" s="276"/>
      <c r="AE62" s="97"/>
      <c r="AF62" s="276"/>
      <c r="AG62" s="97"/>
      <c r="AH62" s="278"/>
      <c r="AI62" s="97"/>
      <c r="AJ62" s="276"/>
      <c r="AK62" s="97"/>
      <c r="AL62" s="97"/>
      <c r="AM62" s="97"/>
      <c r="AN62" s="97"/>
      <c r="AO62" s="97"/>
      <c r="AP62" s="278"/>
      <c r="AQ62" s="97"/>
      <c r="AR62" s="276"/>
      <c r="AS62" s="97"/>
      <c r="AT62" s="276"/>
      <c r="AU62" s="97"/>
      <c r="AV62" s="277"/>
      <c r="AW62" s="97"/>
      <c r="AX62" s="278"/>
      <c r="AY62" s="97"/>
      <c r="AZ62" s="278"/>
      <c r="BA62" s="97"/>
      <c r="BB62" s="278"/>
      <c r="BC62" s="97"/>
      <c r="BD62" s="276"/>
      <c r="BE62" s="97"/>
      <c r="BF62" s="276"/>
      <c r="BG62" s="97"/>
      <c r="BH62" s="278"/>
      <c r="BI62" s="97"/>
      <c r="BJ62" s="97"/>
      <c r="BK62" s="97"/>
      <c r="BL62" s="276"/>
      <c r="BM62" s="279"/>
      <c r="BN62" s="276"/>
      <c r="BO62" s="97"/>
      <c r="BP62" s="276"/>
      <c r="BQ62" s="97"/>
      <c r="BR62" s="276"/>
      <c r="BS62" s="97"/>
      <c r="BT62" s="276"/>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f t="shared" si="9"/>
        <v>0</v>
      </c>
      <c r="EC62" s="54"/>
      <c r="ED62" s="54"/>
      <c r="EE62" s="97">
        <f t="shared" si="10"/>
        <v>0</v>
      </c>
      <c r="EF62" s="54"/>
      <c r="EG62" s="54"/>
      <c r="EH62" s="97">
        <f t="shared" si="11"/>
        <v>0</v>
      </c>
      <c r="EI62" s="54"/>
      <c r="EJ62" s="54"/>
      <c r="EK62" s="97">
        <f t="shared" si="12"/>
        <v>0</v>
      </c>
      <c r="EL62" s="54"/>
      <c r="EM62" s="54"/>
      <c r="EN62" s="97">
        <f t="shared" si="13"/>
        <v>0</v>
      </c>
      <c r="EO62" s="54"/>
      <c r="EP62" s="54"/>
      <c r="EQ62" s="97">
        <f t="shared" si="14"/>
        <v>0</v>
      </c>
      <c r="ER62" s="275"/>
      <c r="ES62" s="269"/>
      <c r="ET62" s="97">
        <f t="shared" si="15"/>
        <v>0</v>
      </c>
      <c r="EU62" s="269"/>
      <c r="EV62" s="269"/>
      <c r="EW62" s="97">
        <f t="shared" si="16"/>
        <v>0</v>
      </c>
      <c r="EX62" s="269"/>
      <c r="EY62" s="269"/>
      <c r="EZ62" s="97">
        <f t="shared" si="17"/>
        <v>0</v>
      </c>
      <c r="FA62" s="269"/>
      <c r="FB62" s="269"/>
      <c r="FC62" s="97">
        <f t="shared" si="18"/>
        <v>0</v>
      </c>
      <c r="FD62" s="269"/>
      <c r="FE62" s="269"/>
      <c r="FF62" s="97">
        <f t="shared" si="19"/>
        <v>0</v>
      </c>
      <c r="FG62" s="270"/>
      <c r="FH62" s="269"/>
      <c r="FI62" s="97">
        <f t="shared" si="20"/>
        <v>0</v>
      </c>
      <c r="FJ62" s="275"/>
      <c r="FK62" s="269"/>
      <c r="FL62" s="97">
        <f t="shared" si="21"/>
        <v>0</v>
      </c>
      <c r="FM62" s="275"/>
      <c r="FN62" s="269"/>
      <c r="FO62" s="97">
        <f t="shared" si="22"/>
        <v>0</v>
      </c>
      <c r="FP62" s="269"/>
      <c r="FQ62" s="269"/>
      <c r="FR62" s="97">
        <f t="shared" si="23"/>
        <v>0</v>
      </c>
      <c r="FS62" s="269"/>
      <c r="FT62" s="269"/>
      <c r="FU62" s="97">
        <f t="shared" si="24"/>
        <v>0</v>
      </c>
      <c r="FV62" s="269"/>
      <c r="FW62" s="269"/>
      <c r="FX62" s="97">
        <f t="shared" si="25"/>
        <v>0</v>
      </c>
      <c r="FY62" s="269"/>
      <c r="FZ62" s="269"/>
      <c r="GA62" s="97">
        <f t="shared" si="26"/>
        <v>0</v>
      </c>
      <c r="GB62" s="270"/>
      <c r="GC62" s="269"/>
      <c r="GD62" s="272">
        <f t="shared" si="29"/>
        <v>0</v>
      </c>
      <c r="GE62" s="275"/>
      <c r="GF62" s="275"/>
      <c r="GG62" s="97">
        <f t="shared" si="27"/>
        <v>0</v>
      </c>
      <c r="GH62" s="105"/>
      <c r="GI62" s="105"/>
      <c r="GJ62" s="97">
        <f t="shared" si="30"/>
        <v>0</v>
      </c>
      <c r="GK62" s="105"/>
      <c r="GL62" s="105"/>
      <c r="GM62" s="97">
        <f t="shared" si="31"/>
        <v>0</v>
      </c>
      <c r="GN62" s="105"/>
      <c r="GO62" s="105"/>
      <c r="GP62" s="97">
        <f t="shared" si="32"/>
        <v>0</v>
      </c>
      <c r="GQ62" s="105"/>
      <c r="GR62" s="105"/>
    </row>
    <row r="63" spans="1:200" ht="10.5" customHeight="1" x14ac:dyDescent="0.3">
      <c r="A63" s="116">
        <f t="shared" si="28"/>
        <v>56</v>
      </c>
      <c r="B63" s="117"/>
      <c r="C63" s="280"/>
      <c r="D63" s="280"/>
      <c r="E63" s="280"/>
      <c r="F63" s="129"/>
      <c r="G63" s="280"/>
      <c r="H63" s="280"/>
      <c r="I63" s="280"/>
      <c r="J63" s="280"/>
      <c r="K63" s="129"/>
      <c r="L63" s="280"/>
      <c r="M63" s="280"/>
      <c r="N63" s="280"/>
      <c r="O63" s="280"/>
      <c r="P63" s="281"/>
      <c r="Q63" s="280"/>
      <c r="R63" s="282"/>
      <c r="S63" s="280"/>
      <c r="T63" s="129"/>
      <c r="U63" s="280"/>
      <c r="V63" s="129"/>
      <c r="W63" s="280"/>
      <c r="X63" s="129"/>
      <c r="Y63" s="280"/>
      <c r="Z63" s="129"/>
      <c r="AA63" s="280"/>
      <c r="AB63" s="129"/>
      <c r="AC63" s="280"/>
      <c r="AD63" s="281"/>
      <c r="AE63" s="280"/>
      <c r="AF63" s="281"/>
      <c r="AG63" s="280"/>
      <c r="AH63" s="129"/>
      <c r="AI63" s="280"/>
      <c r="AJ63" s="129"/>
      <c r="AK63" s="280"/>
      <c r="AL63" s="280"/>
      <c r="AM63" s="280"/>
      <c r="AN63" s="280"/>
      <c r="AO63" s="280"/>
      <c r="AP63" s="129"/>
      <c r="AQ63" s="280"/>
      <c r="AR63" s="281"/>
      <c r="AS63" s="280"/>
      <c r="AT63" s="129"/>
      <c r="AU63" s="280"/>
      <c r="AV63" s="282"/>
      <c r="AW63" s="280"/>
      <c r="AX63" s="129"/>
      <c r="AY63" s="280"/>
      <c r="AZ63" s="129"/>
      <c r="BA63" s="280"/>
      <c r="BB63" s="129"/>
      <c r="BC63" s="280"/>
      <c r="BD63" s="129"/>
      <c r="BE63" s="280"/>
      <c r="BF63" s="281"/>
      <c r="BG63" s="280"/>
      <c r="BH63" s="129"/>
      <c r="BI63" s="280"/>
      <c r="BJ63" s="280"/>
      <c r="BK63" s="280"/>
      <c r="BL63" s="129"/>
      <c r="BM63" s="126"/>
      <c r="BN63" s="129"/>
      <c r="BO63" s="280"/>
      <c r="BP63" s="129"/>
      <c r="BQ63" s="280"/>
      <c r="BR63" s="129"/>
      <c r="BS63" s="280"/>
      <c r="BT63" s="281"/>
      <c r="BU63" s="280"/>
      <c r="BV63" s="280"/>
      <c r="BW63" s="280"/>
      <c r="BX63" s="280"/>
      <c r="BY63" s="280"/>
      <c r="BZ63" s="280"/>
      <c r="CA63" s="280"/>
      <c r="CB63" s="280"/>
      <c r="CC63" s="280"/>
      <c r="CD63" s="280"/>
      <c r="CE63" s="280"/>
      <c r="CF63" s="280"/>
      <c r="CG63" s="280"/>
      <c r="CH63" s="280"/>
      <c r="CI63" s="280"/>
      <c r="CJ63" s="280"/>
      <c r="CK63" s="280"/>
      <c r="CL63" s="280"/>
      <c r="CM63" s="280"/>
      <c r="CN63" s="280"/>
      <c r="CO63" s="280"/>
      <c r="CP63" s="280"/>
      <c r="CQ63" s="280"/>
      <c r="CR63" s="280"/>
      <c r="CS63" s="280"/>
      <c r="CT63" s="280"/>
      <c r="CU63" s="280"/>
      <c r="CV63" s="280"/>
      <c r="CW63" s="280"/>
      <c r="CX63" s="280"/>
      <c r="CY63" s="280"/>
      <c r="CZ63" s="280"/>
      <c r="DA63" s="280"/>
      <c r="DB63" s="280"/>
      <c r="DC63" s="280"/>
      <c r="DD63" s="280"/>
      <c r="DE63" s="280"/>
      <c r="DF63" s="280"/>
      <c r="DG63" s="280"/>
      <c r="DH63" s="280"/>
      <c r="DI63" s="280"/>
      <c r="DJ63" s="280"/>
      <c r="DK63" s="280"/>
      <c r="DL63" s="280"/>
      <c r="DM63" s="280"/>
      <c r="DN63" s="280"/>
      <c r="DO63" s="280"/>
      <c r="DP63" s="280"/>
      <c r="DQ63" s="280"/>
      <c r="DR63" s="280"/>
      <c r="DS63" s="280"/>
      <c r="DT63" s="280"/>
      <c r="DU63" s="280"/>
      <c r="DV63" s="280"/>
      <c r="DW63" s="280"/>
      <c r="DX63" s="280"/>
      <c r="DY63" s="280"/>
      <c r="DZ63" s="280"/>
      <c r="EA63" s="280"/>
      <c r="EB63" s="97">
        <f t="shared" si="9"/>
        <v>0</v>
      </c>
      <c r="EC63" s="126"/>
      <c r="ED63" s="126"/>
      <c r="EE63" s="97">
        <f t="shared" si="10"/>
        <v>0</v>
      </c>
      <c r="EF63" s="126"/>
      <c r="EG63" s="126"/>
      <c r="EH63" s="97">
        <f t="shared" si="11"/>
        <v>0</v>
      </c>
      <c r="EI63" s="126"/>
      <c r="EJ63" s="126"/>
      <c r="EK63" s="97">
        <f t="shared" si="12"/>
        <v>0</v>
      </c>
      <c r="EL63" s="126"/>
      <c r="EM63" s="126"/>
      <c r="EN63" s="97">
        <f t="shared" si="13"/>
        <v>0</v>
      </c>
      <c r="EO63" s="126"/>
      <c r="EP63" s="126"/>
      <c r="EQ63" s="97">
        <f t="shared" si="14"/>
        <v>0</v>
      </c>
      <c r="ER63" s="283"/>
      <c r="ES63" s="284"/>
      <c r="ET63" s="97">
        <f t="shared" si="15"/>
        <v>0</v>
      </c>
      <c r="EU63" s="284"/>
      <c r="EV63" s="284"/>
      <c r="EW63" s="97">
        <f t="shared" si="16"/>
        <v>0</v>
      </c>
      <c r="EX63" s="284"/>
      <c r="EY63" s="284"/>
      <c r="EZ63" s="97">
        <f t="shared" si="17"/>
        <v>0</v>
      </c>
      <c r="FA63" s="284"/>
      <c r="FB63" s="284"/>
      <c r="FC63" s="97">
        <f t="shared" si="18"/>
        <v>0</v>
      </c>
      <c r="FD63" s="284"/>
      <c r="FE63" s="284"/>
      <c r="FF63" s="97">
        <f t="shared" si="19"/>
        <v>0</v>
      </c>
      <c r="FG63" s="285"/>
      <c r="FH63" s="284"/>
      <c r="FI63" s="97">
        <f t="shared" si="20"/>
        <v>0</v>
      </c>
      <c r="FJ63" s="283"/>
      <c r="FK63" s="284"/>
      <c r="FL63" s="97">
        <f t="shared" si="21"/>
        <v>0</v>
      </c>
      <c r="FM63" s="283"/>
      <c r="FN63" s="284"/>
      <c r="FO63" s="97">
        <f t="shared" si="22"/>
        <v>0</v>
      </c>
      <c r="FP63" s="284"/>
      <c r="FQ63" s="284"/>
      <c r="FR63" s="97">
        <f t="shared" si="23"/>
        <v>0</v>
      </c>
      <c r="FS63" s="284"/>
      <c r="FT63" s="284"/>
      <c r="FU63" s="97">
        <f t="shared" si="24"/>
        <v>0</v>
      </c>
      <c r="FV63" s="284"/>
      <c r="FW63" s="284"/>
      <c r="FX63" s="97">
        <f t="shared" si="25"/>
        <v>0</v>
      </c>
      <c r="FY63" s="284"/>
      <c r="FZ63" s="284"/>
      <c r="GA63" s="97">
        <f t="shared" si="26"/>
        <v>0</v>
      </c>
      <c r="GB63" s="285"/>
      <c r="GC63" s="284"/>
      <c r="GD63" s="272">
        <f t="shared" si="29"/>
        <v>0</v>
      </c>
      <c r="GE63" s="283"/>
      <c r="GF63" s="283"/>
      <c r="GG63" s="97">
        <f t="shared" si="27"/>
        <v>0</v>
      </c>
      <c r="GH63" s="286"/>
      <c r="GI63" s="286"/>
      <c r="GJ63" s="129"/>
      <c r="GK63" s="128"/>
      <c r="GL63" s="128"/>
      <c r="GM63" s="129"/>
      <c r="GN63" s="128"/>
      <c r="GO63" s="128"/>
      <c r="GP63" s="129"/>
      <c r="GQ63" s="128"/>
      <c r="GR63" s="128"/>
    </row>
    <row r="64" spans="1:200" x14ac:dyDescent="0.3">
      <c r="A64" s="130"/>
      <c r="B64" s="37"/>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c r="CG64" s="131"/>
      <c r="CH64" s="131"/>
      <c r="CI64" s="131"/>
      <c r="CJ64" s="131"/>
      <c r="CK64" s="131"/>
      <c r="CL64" s="131"/>
      <c r="CM64" s="131"/>
      <c r="CN64" s="131"/>
      <c r="CO64" s="131"/>
      <c r="CP64" s="131"/>
      <c r="CQ64" s="131"/>
      <c r="CR64" s="131"/>
      <c r="CS64" s="131"/>
      <c r="CT64" s="131"/>
      <c r="CU64" s="131"/>
      <c r="CV64" s="131"/>
      <c r="CW64" s="131"/>
      <c r="CX64" s="131"/>
      <c r="CY64" s="131"/>
      <c r="CZ64" s="131"/>
      <c r="DA64" s="131"/>
      <c r="DB64" s="131"/>
      <c r="DC64" s="131"/>
      <c r="DD64" s="131"/>
      <c r="DE64" s="131"/>
      <c r="DF64" s="131"/>
      <c r="DG64" s="131"/>
      <c r="DH64" s="131"/>
      <c r="DI64" s="131"/>
      <c r="DJ64" s="131"/>
      <c r="DK64" s="131"/>
      <c r="DL64" s="131"/>
      <c r="DM64" s="131"/>
      <c r="DN64" s="131"/>
      <c r="DO64" s="131"/>
      <c r="DP64" s="131"/>
      <c r="DQ64" s="131"/>
      <c r="DR64" s="131"/>
      <c r="DS64" s="131"/>
      <c r="DT64" s="131"/>
      <c r="DU64" s="131"/>
      <c r="DV64" s="131"/>
      <c r="DW64" s="131"/>
      <c r="DX64" s="131"/>
      <c r="DY64" s="131"/>
      <c r="DZ64" s="131"/>
      <c r="EA64" s="131"/>
      <c r="EB64" s="131"/>
      <c r="GJ64" s="131"/>
      <c r="GM64" s="131"/>
      <c r="GP64" s="131"/>
    </row>
    <row r="65" spans="1:1" x14ac:dyDescent="0.3">
      <c r="A65" s="130"/>
    </row>
    <row r="66" spans="1:1" x14ac:dyDescent="0.3">
      <c r="A66" s="130"/>
    </row>
    <row r="67" spans="1:1" x14ac:dyDescent="0.3">
      <c r="A67" s="130"/>
    </row>
  </sheetData>
  <mergeCells count="40">
    <mergeCell ref="BU3:CH3"/>
    <mergeCell ref="C1:P1"/>
    <mergeCell ref="Q1:AD1"/>
    <mergeCell ref="AE1:AR1"/>
    <mergeCell ref="AS1:BF1"/>
    <mergeCell ref="BG1:BT1"/>
    <mergeCell ref="BU1:CH1"/>
    <mergeCell ref="C3:P3"/>
    <mergeCell ref="Q3:AD3"/>
    <mergeCell ref="AE3:AR3"/>
    <mergeCell ref="AS3:BF3"/>
    <mergeCell ref="BG3:BT3"/>
    <mergeCell ref="FY5:GR5"/>
    <mergeCell ref="DN6:DO6"/>
    <mergeCell ref="DQ6:DR6"/>
    <mergeCell ref="DT6:DU6"/>
    <mergeCell ref="DW6:DX6"/>
    <mergeCell ref="DZ6:EA6"/>
    <mergeCell ref="ER6:ES6"/>
    <mergeCell ref="GQ6:GR6"/>
    <mergeCell ref="FY6:FZ6"/>
    <mergeCell ref="GH6:GI6"/>
    <mergeCell ref="GK6:GL6"/>
    <mergeCell ref="GN6:GO6"/>
    <mergeCell ref="BU5:CX5"/>
    <mergeCell ref="DA5:EG5"/>
    <mergeCell ref="EI5:FB5"/>
    <mergeCell ref="FD5:FW5"/>
    <mergeCell ref="EC6:ED6"/>
    <mergeCell ref="EF6:EG6"/>
    <mergeCell ref="EI6:EJ6"/>
    <mergeCell ref="EL6:EM6"/>
    <mergeCell ref="EO6:EP6"/>
    <mergeCell ref="EU6:EV6"/>
    <mergeCell ref="EX6:EY6"/>
    <mergeCell ref="FA6:FB6"/>
    <mergeCell ref="FD6:FE6"/>
    <mergeCell ref="FG6:FH6"/>
    <mergeCell ref="FM6:FN6"/>
    <mergeCell ref="FS6:FT6"/>
  </mergeCells>
  <pageMargins left="0.55000000000000004" right="0.55000000000000004" top="0.5" bottom="0.25" header="0" footer="0.25"/>
  <pageSetup scale="95" orientation="portrait" r:id="rId1"/>
  <headerFooter alignWithMargins="0">
    <oddFooter xml:space="preserve">&amp;C&amp;"Arial,Bold"&amp;11B-M-&amp;P&amp;R&amp;"Arial,Bold"&amp;11Handy-Whitman Bulletin No. 197
</oddFooter>
  </headerFooter>
  <colBreaks count="9" manualBreakCount="9">
    <brk id="16" max="62" man="1"/>
    <brk id="30" max="62" man="1"/>
    <brk id="44" max="62" man="1"/>
    <brk id="58" max="62" man="1"/>
    <brk id="72" max="62" man="1"/>
    <brk id="104" max="62" man="1"/>
    <brk id="138" max="62" man="1"/>
    <brk id="158" max="62" man="1"/>
    <brk id="180" max="62"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BC99E-F4E0-4859-B5F4-9DFE1C768235}">
  <dimension ref="A1:C10"/>
  <sheetViews>
    <sheetView workbookViewId="0"/>
  </sheetViews>
  <sheetFormatPr defaultRowHeight="14.6" x14ac:dyDescent="0.4"/>
  <cols>
    <col min="1" max="1" width="69.53515625" bestFit="1" customWidth="1"/>
    <col min="2" max="3" width="20.69140625" customWidth="1"/>
  </cols>
  <sheetData>
    <row r="1" spans="1:3" x14ac:dyDescent="0.4">
      <c r="A1" t="s">
        <v>969</v>
      </c>
    </row>
    <row r="2" spans="1:3" x14ac:dyDescent="0.4">
      <c r="B2" s="210"/>
    </row>
    <row r="3" spans="1:3" ht="29.15" x14ac:dyDescent="0.4">
      <c r="A3" s="210" t="s">
        <v>968</v>
      </c>
      <c r="B3" s="290" t="s">
        <v>1122</v>
      </c>
      <c r="C3" s="291" t="s">
        <v>970</v>
      </c>
    </row>
    <row r="4" spans="1:3" x14ac:dyDescent="0.4">
      <c r="A4" t="s">
        <v>967</v>
      </c>
      <c r="B4" s="322">
        <v>18923</v>
      </c>
    </row>
    <row r="5" spans="1:3" x14ac:dyDescent="0.4">
      <c r="A5" t="s">
        <v>966</v>
      </c>
      <c r="B5" s="322">
        <v>18913</v>
      </c>
    </row>
    <row r="6" spans="1:3" x14ac:dyDescent="0.4">
      <c r="A6" t="s">
        <v>965</v>
      </c>
      <c r="B6" s="237">
        <v>1E-3</v>
      </c>
    </row>
    <row r="7" spans="1:3" x14ac:dyDescent="0.4">
      <c r="A7" t="s">
        <v>964</v>
      </c>
      <c r="B7" s="322">
        <v>18918</v>
      </c>
    </row>
    <row r="8" spans="1:3" x14ac:dyDescent="0.4">
      <c r="A8" t="s">
        <v>963</v>
      </c>
      <c r="B8" s="322">
        <v>19249</v>
      </c>
      <c r="C8" s="213">
        <f>(B4/B8)^(1/12)-1</f>
        <v>-1.4224039157896273E-3</v>
      </c>
    </row>
    <row r="9" spans="1:3" x14ac:dyDescent="0.4">
      <c r="B9" s="212"/>
    </row>
    <row r="10" spans="1:3" x14ac:dyDescent="0.4">
      <c r="B10" s="21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50D0E-9E46-4F6E-9AD5-9F578CA9E332}">
  <dimension ref="A1:M245"/>
  <sheetViews>
    <sheetView workbookViewId="0">
      <selection sqref="A1:M1"/>
    </sheetView>
  </sheetViews>
  <sheetFormatPr defaultColWidth="9.15234375" defaultRowHeight="14.6" x14ac:dyDescent="0.4"/>
  <cols>
    <col min="1" max="1" width="18.69140625" style="135" customWidth="1"/>
    <col min="2" max="4" width="12.84375" style="135" customWidth="1"/>
    <col min="5" max="55" width="21.84375" style="135" customWidth="1"/>
    <col min="56" max="16384" width="9.15234375" style="135"/>
  </cols>
  <sheetData>
    <row r="1" spans="1:13" x14ac:dyDescent="0.4">
      <c r="A1" s="914" t="s">
        <v>64</v>
      </c>
      <c r="B1" s="915"/>
      <c r="C1" s="915"/>
      <c r="D1" s="915"/>
      <c r="E1" s="915"/>
      <c r="F1" s="915"/>
      <c r="G1" s="915"/>
      <c r="H1" s="915"/>
      <c r="I1" s="915"/>
      <c r="J1" s="915"/>
      <c r="K1" s="915"/>
      <c r="L1" s="915"/>
      <c r="M1" s="915"/>
    </row>
    <row r="3" spans="1:13" x14ac:dyDescent="0.4">
      <c r="A3" s="134" t="s">
        <v>65</v>
      </c>
      <c r="B3" s="135" t="s">
        <v>66</v>
      </c>
    </row>
    <row r="4" spans="1:13" x14ac:dyDescent="0.4">
      <c r="A4" s="134" t="s">
        <v>67</v>
      </c>
      <c r="B4" s="135" t="s">
        <v>68</v>
      </c>
    </row>
    <row r="5" spans="1:13" x14ac:dyDescent="0.4">
      <c r="A5" s="134" t="s">
        <v>69</v>
      </c>
      <c r="B5" s="135" t="s">
        <v>70</v>
      </c>
    </row>
    <row r="6" spans="1:13" x14ac:dyDescent="0.4">
      <c r="A6" s="134" t="s">
        <v>71</v>
      </c>
      <c r="B6" s="135" t="s">
        <v>64</v>
      </c>
    </row>
    <row r="7" spans="1:13" x14ac:dyDescent="0.4">
      <c r="A7" s="134" t="s">
        <v>72</v>
      </c>
      <c r="B7" s="135" t="s">
        <v>73</v>
      </c>
    </row>
    <row r="8" spans="1:13" x14ac:dyDescent="0.4">
      <c r="A8" s="134" t="s">
        <v>74</v>
      </c>
      <c r="B8" s="135" t="s">
        <v>73</v>
      </c>
    </row>
    <row r="9" spans="1:13" x14ac:dyDescent="0.4">
      <c r="A9" s="134" t="s">
        <v>75</v>
      </c>
      <c r="B9" s="135" t="s">
        <v>73</v>
      </c>
    </row>
    <row r="12" spans="1:13" ht="29.15" x14ac:dyDescent="0.4">
      <c r="A12" s="134" t="s">
        <v>31</v>
      </c>
      <c r="B12" s="134" t="s">
        <v>76</v>
      </c>
      <c r="C12" s="134" t="s">
        <v>77</v>
      </c>
      <c r="D12" s="134" t="s">
        <v>78</v>
      </c>
    </row>
    <row r="13" spans="1:13" x14ac:dyDescent="0.4">
      <c r="A13" s="135" t="s">
        <v>79</v>
      </c>
      <c r="B13" s="135" t="s">
        <v>80</v>
      </c>
      <c r="C13" s="135" t="s">
        <v>81</v>
      </c>
      <c r="D13" s="136">
        <v>100</v>
      </c>
      <c r="F13" s="135">
        <v>2004</v>
      </c>
      <c r="G13" s="137">
        <f>AVERAGEIF($A$13:$A$245,F13,$D$13:$D$245)</f>
        <v>101.86666666666667</v>
      </c>
    </row>
    <row r="14" spans="1:13" x14ac:dyDescent="0.4">
      <c r="A14" s="135" t="s">
        <v>82</v>
      </c>
      <c r="B14" s="135" t="s">
        <v>83</v>
      </c>
      <c r="C14" s="135" t="s">
        <v>84</v>
      </c>
      <c r="D14" s="136">
        <v>100.2</v>
      </c>
      <c r="F14" s="135">
        <f>F13+1</f>
        <v>2005</v>
      </c>
      <c r="G14" s="137">
        <f t="shared" ref="G14:G32" si="0">AVERAGEIF($A$13:$A$245,F14,$D$13:$D$245)</f>
        <v>107.21666666666665</v>
      </c>
    </row>
    <row r="15" spans="1:13" x14ac:dyDescent="0.4">
      <c r="A15" s="135" t="s">
        <v>82</v>
      </c>
      <c r="B15" s="135" t="s">
        <v>85</v>
      </c>
      <c r="C15" s="135" t="s">
        <v>86</v>
      </c>
      <c r="D15" s="136">
        <v>99.9</v>
      </c>
      <c r="F15" s="135">
        <f t="shared" ref="F15:F32" si="1">F14+1</f>
        <v>2006</v>
      </c>
      <c r="G15" s="137">
        <f t="shared" si="0"/>
        <v>113.68333333333334</v>
      </c>
    </row>
    <row r="16" spans="1:13" x14ac:dyDescent="0.4">
      <c r="A16" s="135" t="s">
        <v>82</v>
      </c>
      <c r="B16" s="135" t="s">
        <v>87</v>
      </c>
      <c r="C16" s="135" t="s">
        <v>88</v>
      </c>
      <c r="D16" s="136">
        <v>100.5</v>
      </c>
      <c r="F16" s="135">
        <f t="shared" si="1"/>
        <v>2007</v>
      </c>
      <c r="G16" s="137">
        <f t="shared" si="0"/>
        <v>120.625</v>
      </c>
    </row>
    <row r="17" spans="1:7" x14ac:dyDescent="0.4">
      <c r="A17" s="135" t="s">
        <v>82</v>
      </c>
      <c r="B17" s="135" t="s">
        <v>89</v>
      </c>
      <c r="C17" s="135" t="s">
        <v>90</v>
      </c>
      <c r="D17" s="136">
        <v>100.9</v>
      </c>
      <c r="F17" s="135">
        <f t="shared" si="1"/>
        <v>2008</v>
      </c>
      <c r="G17" s="137">
        <f t="shared" si="0"/>
        <v>127.35000000000002</v>
      </c>
    </row>
    <row r="18" spans="1:7" x14ac:dyDescent="0.4">
      <c r="A18" s="135" t="s">
        <v>82</v>
      </c>
      <c r="B18" s="135" t="s">
        <v>91</v>
      </c>
      <c r="C18" s="135" t="s">
        <v>92</v>
      </c>
      <c r="D18" s="136">
        <v>101.3</v>
      </c>
      <c r="F18" s="135">
        <f t="shared" si="1"/>
        <v>2009</v>
      </c>
      <c r="G18" s="137">
        <f t="shared" si="0"/>
        <v>129.46666666666667</v>
      </c>
    </row>
    <row r="19" spans="1:7" x14ac:dyDescent="0.4">
      <c r="A19" s="135" t="s">
        <v>82</v>
      </c>
      <c r="B19" s="135" t="s">
        <v>93</v>
      </c>
      <c r="C19" s="135" t="s">
        <v>94</v>
      </c>
      <c r="D19" s="136">
        <v>101.8</v>
      </c>
      <c r="F19" s="135">
        <f t="shared" si="1"/>
        <v>2010</v>
      </c>
      <c r="G19" s="137">
        <f t="shared" si="0"/>
        <v>133.13333333333333</v>
      </c>
    </row>
    <row r="20" spans="1:7" x14ac:dyDescent="0.4">
      <c r="A20" s="135" t="s">
        <v>82</v>
      </c>
      <c r="B20" s="135" t="s">
        <v>95</v>
      </c>
      <c r="C20" s="135" t="s">
        <v>96</v>
      </c>
      <c r="D20" s="136">
        <v>102.3</v>
      </c>
      <c r="F20" s="135">
        <f t="shared" si="1"/>
        <v>2011</v>
      </c>
      <c r="G20" s="137">
        <f t="shared" si="0"/>
        <v>137.53333333333333</v>
      </c>
    </row>
    <row r="21" spans="1:7" x14ac:dyDescent="0.4">
      <c r="A21" s="135" t="s">
        <v>82</v>
      </c>
      <c r="B21" s="135" t="s">
        <v>97</v>
      </c>
      <c r="C21" s="135" t="s">
        <v>98</v>
      </c>
      <c r="D21" s="136">
        <v>102.5</v>
      </c>
      <c r="F21" s="135">
        <f t="shared" si="1"/>
        <v>2012</v>
      </c>
      <c r="G21" s="137">
        <f t="shared" si="0"/>
        <v>138.82499999999996</v>
      </c>
    </row>
    <row r="22" spans="1:7" x14ac:dyDescent="0.4">
      <c r="A22" s="135" t="s">
        <v>82</v>
      </c>
      <c r="B22" s="135" t="s">
        <v>99</v>
      </c>
      <c r="C22" s="135" t="s">
        <v>100</v>
      </c>
      <c r="D22" s="136">
        <v>102.8</v>
      </c>
      <c r="F22" s="135">
        <f t="shared" si="1"/>
        <v>2013</v>
      </c>
      <c r="G22" s="137">
        <f t="shared" si="0"/>
        <v>140.12500000000003</v>
      </c>
    </row>
    <row r="23" spans="1:7" x14ac:dyDescent="0.4">
      <c r="A23" s="135" t="s">
        <v>82</v>
      </c>
      <c r="B23" s="135" t="s">
        <v>101</v>
      </c>
      <c r="C23" s="135" t="s">
        <v>102</v>
      </c>
      <c r="D23" s="136">
        <v>103.2</v>
      </c>
      <c r="F23" s="135">
        <f t="shared" si="1"/>
        <v>2014</v>
      </c>
      <c r="G23" s="137">
        <f t="shared" si="0"/>
        <v>141.06666666666666</v>
      </c>
    </row>
    <row r="24" spans="1:7" x14ac:dyDescent="0.4">
      <c r="A24" s="135" t="s">
        <v>82</v>
      </c>
      <c r="B24" s="135" t="s">
        <v>103</v>
      </c>
      <c r="C24" s="135" t="s">
        <v>104</v>
      </c>
      <c r="D24" s="136">
        <v>103</v>
      </c>
      <c r="F24" s="135">
        <f t="shared" si="1"/>
        <v>2015</v>
      </c>
      <c r="G24" s="137">
        <f t="shared" si="0"/>
        <v>140.34166666666667</v>
      </c>
    </row>
    <row r="25" spans="1:7" x14ac:dyDescent="0.4">
      <c r="A25" s="135" t="s">
        <v>82</v>
      </c>
      <c r="B25" s="135" t="s">
        <v>80</v>
      </c>
      <c r="C25" s="135" t="s">
        <v>105</v>
      </c>
      <c r="D25" s="136">
        <v>104</v>
      </c>
      <c r="F25" s="135">
        <f t="shared" si="1"/>
        <v>2016</v>
      </c>
      <c r="G25" s="137">
        <f t="shared" si="0"/>
        <v>139.97499999999999</v>
      </c>
    </row>
    <row r="26" spans="1:7" x14ac:dyDescent="0.4">
      <c r="A26" s="135" t="s">
        <v>106</v>
      </c>
      <c r="B26" s="135" t="s">
        <v>83</v>
      </c>
      <c r="C26" s="135" t="s">
        <v>107</v>
      </c>
      <c r="D26" s="136">
        <v>105.6</v>
      </c>
      <c r="F26" s="135">
        <f t="shared" si="1"/>
        <v>2017</v>
      </c>
      <c r="G26" s="137">
        <f t="shared" si="0"/>
        <v>141.80833333333334</v>
      </c>
    </row>
    <row r="27" spans="1:7" x14ac:dyDescent="0.4">
      <c r="A27" s="135" t="s">
        <v>106</v>
      </c>
      <c r="B27" s="135" t="s">
        <v>85</v>
      </c>
      <c r="C27" s="135" t="s">
        <v>108</v>
      </c>
      <c r="D27" s="136">
        <v>105.8</v>
      </c>
      <c r="F27" s="135">
        <f t="shared" si="1"/>
        <v>2018</v>
      </c>
      <c r="G27" s="137">
        <f t="shared" si="0"/>
        <v>145.15</v>
      </c>
    </row>
    <row r="28" spans="1:7" x14ac:dyDescent="0.4">
      <c r="A28" s="135" t="s">
        <v>106</v>
      </c>
      <c r="B28" s="135" t="s">
        <v>87</v>
      </c>
      <c r="C28" s="135" t="s">
        <v>109</v>
      </c>
      <c r="D28" s="136">
        <v>106.4</v>
      </c>
      <c r="F28" s="135">
        <f t="shared" si="1"/>
        <v>2019</v>
      </c>
      <c r="G28" s="137">
        <f t="shared" si="0"/>
        <v>148.44166666666666</v>
      </c>
    </row>
    <row r="29" spans="1:7" x14ac:dyDescent="0.4">
      <c r="A29" s="135" t="s">
        <v>106</v>
      </c>
      <c r="B29" s="135" t="s">
        <v>89</v>
      </c>
      <c r="C29" s="135" t="s">
        <v>110</v>
      </c>
      <c r="D29" s="136">
        <v>106.7</v>
      </c>
      <c r="F29" s="135">
        <f t="shared" si="1"/>
        <v>2020</v>
      </c>
      <c r="G29" s="137">
        <f t="shared" si="0"/>
        <v>150.98333333333332</v>
      </c>
    </row>
    <row r="30" spans="1:7" x14ac:dyDescent="0.4">
      <c r="A30" s="135" t="s">
        <v>106</v>
      </c>
      <c r="B30" s="135" t="s">
        <v>91</v>
      </c>
      <c r="C30" s="135" t="s">
        <v>111</v>
      </c>
      <c r="D30" s="136">
        <v>106.6</v>
      </c>
      <c r="F30" s="135">
        <f t="shared" si="1"/>
        <v>2021</v>
      </c>
      <c r="G30" s="137">
        <f t="shared" si="0"/>
        <v>160.21991666666668</v>
      </c>
    </row>
    <row r="31" spans="1:7" x14ac:dyDescent="0.4">
      <c r="A31" s="135" t="s">
        <v>106</v>
      </c>
      <c r="B31" s="135" t="s">
        <v>93</v>
      </c>
      <c r="C31" s="135" t="s">
        <v>112</v>
      </c>
      <c r="D31" s="136">
        <v>107.2</v>
      </c>
      <c r="F31" s="135">
        <f t="shared" si="1"/>
        <v>2022</v>
      </c>
      <c r="G31" s="137">
        <f t="shared" si="0"/>
        <v>190.50141666666664</v>
      </c>
    </row>
    <row r="32" spans="1:7" x14ac:dyDescent="0.4">
      <c r="A32" s="135" t="s">
        <v>106</v>
      </c>
      <c r="B32" s="135" t="s">
        <v>95</v>
      </c>
      <c r="C32" s="135" t="s">
        <v>113</v>
      </c>
      <c r="D32" s="136">
        <v>106.9</v>
      </c>
      <c r="F32" s="135">
        <f t="shared" si="1"/>
        <v>2023</v>
      </c>
      <c r="G32" s="137">
        <f t="shared" si="0"/>
        <v>201.67675</v>
      </c>
    </row>
    <row r="33" spans="1:4" x14ac:dyDescent="0.4">
      <c r="A33" s="135" t="s">
        <v>106</v>
      </c>
      <c r="B33" s="135" t="s">
        <v>97</v>
      </c>
      <c r="C33" s="135" t="s">
        <v>114</v>
      </c>
      <c r="D33" s="136">
        <v>107</v>
      </c>
    </row>
    <row r="34" spans="1:4" x14ac:dyDescent="0.4">
      <c r="A34" s="135" t="s">
        <v>106</v>
      </c>
      <c r="B34" s="135" t="s">
        <v>99</v>
      </c>
      <c r="C34" s="135" t="s">
        <v>115</v>
      </c>
      <c r="D34" s="136">
        <v>108</v>
      </c>
    </row>
    <row r="35" spans="1:4" x14ac:dyDescent="0.4">
      <c r="A35" s="135" t="s">
        <v>106</v>
      </c>
      <c r="B35" s="135" t="s">
        <v>101</v>
      </c>
      <c r="C35" s="135" t="s">
        <v>116</v>
      </c>
      <c r="D35" s="136">
        <v>108.4</v>
      </c>
    </row>
    <row r="36" spans="1:4" x14ac:dyDescent="0.4">
      <c r="A36" s="135" t="s">
        <v>106</v>
      </c>
      <c r="B36" s="135" t="s">
        <v>103</v>
      </c>
      <c r="C36" s="135" t="s">
        <v>117</v>
      </c>
      <c r="D36" s="136">
        <v>109</v>
      </c>
    </row>
    <row r="37" spans="1:4" x14ac:dyDescent="0.4">
      <c r="A37" s="135" t="s">
        <v>106</v>
      </c>
      <c r="B37" s="135" t="s">
        <v>80</v>
      </c>
      <c r="C37" s="135" t="s">
        <v>118</v>
      </c>
      <c r="D37" s="136">
        <v>109</v>
      </c>
    </row>
    <row r="38" spans="1:4" x14ac:dyDescent="0.4">
      <c r="A38" s="135" t="s">
        <v>119</v>
      </c>
      <c r="B38" s="135" t="s">
        <v>83</v>
      </c>
      <c r="C38" s="135" t="s">
        <v>120</v>
      </c>
      <c r="D38" s="136">
        <v>110.1</v>
      </c>
    </row>
    <row r="39" spans="1:4" x14ac:dyDescent="0.4">
      <c r="A39" s="135" t="s">
        <v>119</v>
      </c>
      <c r="B39" s="135" t="s">
        <v>85</v>
      </c>
      <c r="C39" s="135" t="s">
        <v>121</v>
      </c>
      <c r="D39" s="136">
        <v>110.6</v>
      </c>
    </row>
    <row r="40" spans="1:4" x14ac:dyDescent="0.4">
      <c r="A40" s="135" t="s">
        <v>119</v>
      </c>
      <c r="B40" s="135" t="s">
        <v>87</v>
      </c>
      <c r="C40" s="135" t="s">
        <v>122</v>
      </c>
      <c r="D40" s="136">
        <v>111</v>
      </c>
    </row>
    <row r="41" spans="1:4" x14ac:dyDescent="0.4">
      <c r="A41" s="135" t="s">
        <v>119</v>
      </c>
      <c r="B41" s="135" t="s">
        <v>89</v>
      </c>
      <c r="C41" s="135" t="s">
        <v>123</v>
      </c>
      <c r="D41" s="136">
        <v>111.6</v>
      </c>
    </row>
    <row r="42" spans="1:4" x14ac:dyDescent="0.4">
      <c r="A42" s="135" t="s">
        <v>119</v>
      </c>
      <c r="B42" s="135" t="s">
        <v>91</v>
      </c>
      <c r="C42" s="135" t="s">
        <v>124</v>
      </c>
      <c r="D42" s="136">
        <v>111.7</v>
      </c>
    </row>
    <row r="43" spans="1:4" x14ac:dyDescent="0.4">
      <c r="A43" s="135" t="s">
        <v>119</v>
      </c>
      <c r="B43" s="135" t="s">
        <v>93</v>
      </c>
      <c r="C43" s="135" t="s">
        <v>125</v>
      </c>
      <c r="D43" s="136">
        <v>113.2</v>
      </c>
    </row>
    <row r="44" spans="1:4" x14ac:dyDescent="0.4">
      <c r="A44" s="135" t="s">
        <v>119</v>
      </c>
      <c r="B44" s="135" t="s">
        <v>95</v>
      </c>
      <c r="C44" s="135" t="s">
        <v>126</v>
      </c>
      <c r="D44" s="136">
        <v>113.9</v>
      </c>
    </row>
    <row r="45" spans="1:4" x14ac:dyDescent="0.4">
      <c r="A45" s="135" t="s">
        <v>119</v>
      </c>
      <c r="B45" s="135" t="s">
        <v>97</v>
      </c>
      <c r="C45" s="135" t="s">
        <v>127</v>
      </c>
      <c r="D45" s="136">
        <v>115.1</v>
      </c>
    </row>
    <row r="46" spans="1:4" x14ac:dyDescent="0.4">
      <c r="A46" s="135" t="s">
        <v>119</v>
      </c>
      <c r="B46" s="135" t="s">
        <v>99</v>
      </c>
      <c r="C46" s="135" t="s">
        <v>128</v>
      </c>
      <c r="D46" s="136">
        <v>116.3</v>
      </c>
    </row>
    <row r="47" spans="1:4" x14ac:dyDescent="0.4">
      <c r="A47" s="135" t="s">
        <v>119</v>
      </c>
      <c r="B47" s="135" t="s">
        <v>101</v>
      </c>
      <c r="C47" s="135" t="s">
        <v>129</v>
      </c>
      <c r="D47" s="136">
        <v>116.7</v>
      </c>
    </row>
    <row r="48" spans="1:4" x14ac:dyDescent="0.4">
      <c r="A48" s="135" t="s">
        <v>119</v>
      </c>
      <c r="B48" s="135" t="s">
        <v>103</v>
      </c>
      <c r="C48" s="135" t="s">
        <v>130</v>
      </c>
      <c r="D48" s="136">
        <v>116.7</v>
      </c>
    </row>
    <row r="49" spans="1:4" x14ac:dyDescent="0.4">
      <c r="A49" s="135" t="s">
        <v>119</v>
      </c>
      <c r="B49" s="135" t="s">
        <v>80</v>
      </c>
      <c r="C49" s="135" t="s">
        <v>131</v>
      </c>
      <c r="D49" s="136">
        <v>117.3</v>
      </c>
    </row>
    <row r="50" spans="1:4" x14ac:dyDescent="0.4">
      <c r="A50" s="135" t="s">
        <v>132</v>
      </c>
      <c r="B50" s="135" t="s">
        <v>83</v>
      </c>
      <c r="C50" s="135" t="s">
        <v>133</v>
      </c>
      <c r="D50" s="136">
        <v>118.1</v>
      </c>
    </row>
    <row r="51" spans="1:4" x14ac:dyDescent="0.4">
      <c r="A51" s="135" t="s">
        <v>132</v>
      </c>
      <c r="B51" s="135" t="s">
        <v>85</v>
      </c>
      <c r="C51" s="135" t="s">
        <v>134</v>
      </c>
      <c r="D51" s="136">
        <v>119.3</v>
      </c>
    </row>
    <row r="52" spans="1:4" x14ac:dyDescent="0.4">
      <c r="A52" s="135" t="s">
        <v>132</v>
      </c>
      <c r="B52" s="135" t="s">
        <v>87</v>
      </c>
      <c r="C52" s="135" t="s">
        <v>135</v>
      </c>
      <c r="D52" s="136">
        <v>119.9</v>
      </c>
    </row>
    <row r="53" spans="1:4" x14ac:dyDescent="0.4">
      <c r="A53" s="135" t="s">
        <v>132</v>
      </c>
      <c r="B53" s="135" t="s">
        <v>89</v>
      </c>
      <c r="C53" s="135" t="s">
        <v>136</v>
      </c>
      <c r="D53" s="136">
        <v>120.3</v>
      </c>
    </row>
    <row r="54" spans="1:4" x14ac:dyDescent="0.4">
      <c r="A54" s="135" t="s">
        <v>132</v>
      </c>
      <c r="B54" s="135" t="s">
        <v>91</v>
      </c>
      <c r="C54" s="135" t="s">
        <v>137</v>
      </c>
      <c r="D54" s="136">
        <v>120.3</v>
      </c>
    </row>
    <row r="55" spans="1:4" x14ac:dyDescent="0.4">
      <c r="A55" s="135" t="s">
        <v>132</v>
      </c>
      <c r="B55" s="135" t="s">
        <v>93</v>
      </c>
      <c r="C55" s="135" t="s">
        <v>138</v>
      </c>
      <c r="D55" s="136">
        <v>120.3</v>
      </c>
    </row>
    <row r="56" spans="1:4" x14ac:dyDescent="0.4">
      <c r="A56" s="135" t="s">
        <v>132</v>
      </c>
      <c r="B56" s="135" t="s">
        <v>95</v>
      </c>
      <c r="C56" s="135" t="s">
        <v>139</v>
      </c>
      <c r="D56" s="136">
        <v>120.7</v>
      </c>
    </row>
    <row r="57" spans="1:4" x14ac:dyDescent="0.4">
      <c r="A57" s="135" t="s">
        <v>132</v>
      </c>
      <c r="B57" s="135" t="s">
        <v>97</v>
      </c>
      <c r="C57" s="135" t="s">
        <v>140</v>
      </c>
      <c r="D57" s="136">
        <v>120.7</v>
      </c>
    </row>
    <row r="58" spans="1:4" x14ac:dyDescent="0.4">
      <c r="A58" s="135" t="s">
        <v>132</v>
      </c>
      <c r="B58" s="135" t="s">
        <v>99</v>
      </c>
      <c r="C58" s="135" t="s">
        <v>141</v>
      </c>
      <c r="D58" s="136">
        <v>121.7</v>
      </c>
    </row>
    <row r="59" spans="1:4" x14ac:dyDescent="0.4">
      <c r="A59" s="135" t="s">
        <v>132</v>
      </c>
      <c r="B59" s="135" t="s">
        <v>101</v>
      </c>
      <c r="C59" s="135" t="s">
        <v>142</v>
      </c>
      <c r="D59" s="136">
        <v>121.7</v>
      </c>
    </row>
    <row r="60" spans="1:4" x14ac:dyDescent="0.4">
      <c r="A60" s="135" t="s">
        <v>132</v>
      </c>
      <c r="B60" s="135" t="s">
        <v>103</v>
      </c>
      <c r="C60" s="135" t="s">
        <v>143</v>
      </c>
      <c r="D60" s="136">
        <v>122.1</v>
      </c>
    </row>
    <row r="61" spans="1:4" x14ac:dyDescent="0.4">
      <c r="A61" s="135" t="s">
        <v>132</v>
      </c>
      <c r="B61" s="135" t="s">
        <v>80</v>
      </c>
      <c r="C61" s="135" t="s">
        <v>144</v>
      </c>
      <c r="D61" s="136">
        <v>122.4</v>
      </c>
    </row>
    <row r="62" spans="1:4" x14ac:dyDescent="0.4">
      <c r="A62" s="135" t="s">
        <v>145</v>
      </c>
      <c r="B62" s="135" t="s">
        <v>83</v>
      </c>
      <c r="C62" s="135" t="s">
        <v>146</v>
      </c>
      <c r="D62" s="136">
        <v>123.4</v>
      </c>
    </row>
    <row r="63" spans="1:4" x14ac:dyDescent="0.4">
      <c r="A63" s="135" t="s">
        <v>145</v>
      </c>
      <c r="B63" s="135" t="s">
        <v>85</v>
      </c>
      <c r="C63" s="135" t="s">
        <v>147</v>
      </c>
      <c r="D63" s="136">
        <v>124.1</v>
      </c>
    </row>
    <row r="64" spans="1:4" x14ac:dyDescent="0.4">
      <c r="A64" s="135" t="s">
        <v>145</v>
      </c>
      <c r="B64" s="135" t="s">
        <v>87</v>
      </c>
      <c r="C64" s="135" t="s">
        <v>148</v>
      </c>
      <c r="D64" s="136">
        <v>125.1</v>
      </c>
    </row>
    <row r="65" spans="1:4" x14ac:dyDescent="0.4">
      <c r="A65" s="135" t="s">
        <v>145</v>
      </c>
      <c r="B65" s="135" t="s">
        <v>89</v>
      </c>
      <c r="C65" s="135" t="s">
        <v>149</v>
      </c>
      <c r="D65" s="136">
        <v>125.8</v>
      </c>
    </row>
    <row r="66" spans="1:4" x14ac:dyDescent="0.4">
      <c r="A66" s="135" t="s">
        <v>145</v>
      </c>
      <c r="B66" s="135" t="s">
        <v>91</v>
      </c>
      <c r="C66" s="135" t="s">
        <v>150</v>
      </c>
      <c r="D66" s="136">
        <v>126.3</v>
      </c>
    </row>
    <row r="67" spans="1:4" x14ac:dyDescent="0.4">
      <c r="A67" s="135" t="s">
        <v>145</v>
      </c>
      <c r="B67" s="135" t="s">
        <v>93</v>
      </c>
      <c r="C67" s="135" t="s">
        <v>151</v>
      </c>
      <c r="D67" s="136">
        <v>127.3</v>
      </c>
    </row>
    <row r="68" spans="1:4" x14ac:dyDescent="0.4">
      <c r="A68" s="135" t="s">
        <v>145</v>
      </c>
      <c r="B68" s="135" t="s">
        <v>95</v>
      </c>
      <c r="C68" s="135" t="s">
        <v>152</v>
      </c>
      <c r="D68" s="136">
        <v>128.69999999999999</v>
      </c>
    </row>
    <row r="69" spans="1:4" x14ac:dyDescent="0.4">
      <c r="A69" s="135" t="s">
        <v>145</v>
      </c>
      <c r="B69" s="135" t="s">
        <v>97</v>
      </c>
      <c r="C69" s="135" t="s">
        <v>153</v>
      </c>
      <c r="D69" s="136">
        <v>129.19999999999999</v>
      </c>
    </row>
    <row r="70" spans="1:4" x14ac:dyDescent="0.4">
      <c r="A70" s="135" t="s">
        <v>145</v>
      </c>
      <c r="B70" s="135" t="s">
        <v>99</v>
      </c>
      <c r="C70" s="135" t="s">
        <v>154</v>
      </c>
      <c r="D70" s="136">
        <v>130.19999999999999</v>
      </c>
    </row>
    <row r="71" spans="1:4" x14ac:dyDescent="0.4">
      <c r="A71" s="135" t="s">
        <v>145</v>
      </c>
      <c r="B71" s="135" t="s">
        <v>101</v>
      </c>
      <c r="C71" s="135" t="s">
        <v>155</v>
      </c>
      <c r="D71" s="136">
        <v>130.5</v>
      </c>
    </row>
    <row r="72" spans="1:4" x14ac:dyDescent="0.4">
      <c r="A72" s="135" t="s">
        <v>145</v>
      </c>
      <c r="B72" s="135" t="s">
        <v>103</v>
      </c>
      <c r="C72" s="135" t="s">
        <v>156</v>
      </c>
      <c r="D72" s="136">
        <v>128.9</v>
      </c>
    </row>
    <row r="73" spans="1:4" x14ac:dyDescent="0.4">
      <c r="A73" s="135" t="s">
        <v>145</v>
      </c>
      <c r="B73" s="135" t="s">
        <v>80</v>
      </c>
      <c r="C73" s="135" t="s">
        <v>157</v>
      </c>
      <c r="D73" s="136">
        <v>128.69999999999999</v>
      </c>
    </row>
    <row r="74" spans="1:4" x14ac:dyDescent="0.4">
      <c r="A74" s="135" t="s">
        <v>158</v>
      </c>
      <c r="B74" s="135" t="s">
        <v>83</v>
      </c>
      <c r="C74" s="135" t="s">
        <v>159</v>
      </c>
      <c r="D74" s="136">
        <v>128.6</v>
      </c>
    </row>
    <row r="75" spans="1:4" x14ac:dyDescent="0.4">
      <c r="A75" s="135" t="s">
        <v>158</v>
      </c>
      <c r="B75" s="135" t="s">
        <v>85</v>
      </c>
      <c r="C75" s="135" t="s">
        <v>160</v>
      </c>
      <c r="D75" s="136">
        <v>128.5</v>
      </c>
    </row>
    <row r="76" spans="1:4" x14ac:dyDescent="0.4">
      <c r="A76" s="135" t="s">
        <v>158</v>
      </c>
      <c r="B76" s="135" t="s">
        <v>87</v>
      </c>
      <c r="C76" s="135" t="s">
        <v>161</v>
      </c>
      <c r="D76" s="136">
        <v>129.19999999999999</v>
      </c>
    </row>
    <row r="77" spans="1:4" x14ac:dyDescent="0.4">
      <c r="A77" s="135" t="s">
        <v>158</v>
      </c>
      <c r="B77" s="135" t="s">
        <v>89</v>
      </c>
      <c r="C77" s="135" t="s">
        <v>162</v>
      </c>
      <c r="D77" s="136">
        <v>129.19999999999999</v>
      </c>
    </row>
    <row r="78" spans="1:4" x14ac:dyDescent="0.4">
      <c r="A78" s="135" t="s">
        <v>158</v>
      </c>
      <c r="B78" s="135" t="s">
        <v>91</v>
      </c>
      <c r="C78" s="135" t="s">
        <v>163</v>
      </c>
      <c r="D78" s="136">
        <v>128.6</v>
      </c>
    </row>
    <row r="79" spans="1:4" x14ac:dyDescent="0.4">
      <c r="A79" s="135" t="s">
        <v>158</v>
      </c>
      <c r="B79" s="135" t="s">
        <v>93</v>
      </c>
      <c r="C79" s="135" t="s">
        <v>164</v>
      </c>
      <c r="D79" s="136">
        <v>129</v>
      </c>
    </row>
    <row r="80" spans="1:4" x14ac:dyDescent="0.4">
      <c r="A80" s="135" t="s">
        <v>158</v>
      </c>
      <c r="B80" s="135" t="s">
        <v>95</v>
      </c>
      <c r="C80" s="135" t="s">
        <v>165</v>
      </c>
      <c r="D80" s="136">
        <v>128.9</v>
      </c>
    </row>
    <row r="81" spans="1:4" x14ac:dyDescent="0.4">
      <c r="A81" s="135" t="s">
        <v>158</v>
      </c>
      <c r="B81" s="135" t="s">
        <v>97</v>
      </c>
      <c r="C81" s="135" t="s">
        <v>166</v>
      </c>
      <c r="D81" s="136">
        <v>129.80000000000001</v>
      </c>
    </row>
    <row r="82" spans="1:4" x14ac:dyDescent="0.4">
      <c r="A82" s="135" t="s">
        <v>158</v>
      </c>
      <c r="B82" s="135" t="s">
        <v>99</v>
      </c>
      <c r="C82" s="135" t="s">
        <v>167</v>
      </c>
      <c r="D82" s="136">
        <v>130</v>
      </c>
    </row>
    <row r="83" spans="1:4" x14ac:dyDescent="0.4">
      <c r="A83" s="135" t="s">
        <v>158</v>
      </c>
      <c r="B83" s="135" t="s">
        <v>101</v>
      </c>
      <c r="C83" s="135" t="s">
        <v>168</v>
      </c>
      <c r="D83" s="136">
        <v>130.19999999999999</v>
      </c>
    </row>
    <row r="84" spans="1:4" x14ac:dyDescent="0.4">
      <c r="A84" s="135" t="s">
        <v>158</v>
      </c>
      <c r="B84" s="135" t="s">
        <v>103</v>
      </c>
      <c r="C84" s="135" t="s">
        <v>169</v>
      </c>
      <c r="D84" s="136">
        <v>130.69999999999999</v>
      </c>
    </row>
    <row r="85" spans="1:4" x14ac:dyDescent="0.4">
      <c r="A85" s="135" t="s">
        <v>158</v>
      </c>
      <c r="B85" s="135" t="s">
        <v>80</v>
      </c>
      <c r="C85" s="135" t="s">
        <v>170</v>
      </c>
      <c r="D85" s="136">
        <v>130.9</v>
      </c>
    </row>
    <row r="86" spans="1:4" x14ac:dyDescent="0.4">
      <c r="A86" s="135" t="s">
        <v>171</v>
      </c>
      <c r="B86" s="135" t="s">
        <v>83</v>
      </c>
      <c r="C86" s="135" t="s">
        <v>172</v>
      </c>
      <c r="D86" s="136">
        <v>131.30000000000001</v>
      </c>
    </row>
    <row r="87" spans="1:4" x14ac:dyDescent="0.4">
      <c r="A87" s="135" t="s">
        <v>171</v>
      </c>
      <c r="B87" s="135" t="s">
        <v>85</v>
      </c>
      <c r="C87" s="135" t="s">
        <v>173</v>
      </c>
      <c r="D87" s="136">
        <v>131.69999999999999</v>
      </c>
    </row>
    <row r="88" spans="1:4" x14ac:dyDescent="0.4">
      <c r="A88" s="135" t="s">
        <v>171</v>
      </c>
      <c r="B88" s="135" t="s">
        <v>87</v>
      </c>
      <c r="C88" s="135" t="s">
        <v>174</v>
      </c>
      <c r="D88" s="136">
        <v>132.19999999999999</v>
      </c>
    </row>
    <row r="89" spans="1:4" x14ac:dyDescent="0.4">
      <c r="A89" s="135" t="s">
        <v>171</v>
      </c>
      <c r="B89" s="135" t="s">
        <v>89</v>
      </c>
      <c r="C89" s="135" t="s">
        <v>175</v>
      </c>
      <c r="D89" s="136">
        <v>132.4</v>
      </c>
    </row>
    <row r="90" spans="1:4" x14ac:dyDescent="0.4">
      <c r="A90" s="135" t="s">
        <v>171</v>
      </c>
      <c r="B90" s="135" t="s">
        <v>91</v>
      </c>
      <c r="C90" s="135" t="s">
        <v>176</v>
      </c>
      <c r="D90" s="136">
        <v>132.80000000000001</v>
      </c>
    </row>
    <row r="91" spans="1:4" x14ac:dyDescent="0.4">
      <c r="A91" s="135" t="s">
        <v>171</v>
      </c>
      <c r="B91" s="135" t="s">
        <v>93</v>
      </c>
      <c r="C91" s="135" t="s">
        <v>177</v>
      </c>
      <c r="D91" s="136">
        <v>133.6</v>
      </c>
    </row>
    <row r="92" spans="1:4" x14ac:dyDescent="0.4">
      <c r="A92" s="135" t="s">
        <v>171</v>
      </c>
      <c r="B92" s="135" t="s">
        <v>95</v>
      </c>
      <c r="C92" s="135" t="s">
        <v>178</v>
      </c>
      <c r="D92" s="136">
        <v>133.5</v>
      </c>
    </row>
    <row r="93" spans="1:4" x14ac:dyDescent="0.4">
      <c r="A93" s="135" t="s">
        <v>171</v>
      </c>
      <c r="B93" s="135" t="s">
        <v>97</v>
      </c>
      <c r="C93" s="135" t="s">
        <v>179</v>
      </c>
      <c r="D93" s="136">
        <v>133.69999999999999</v>
      </c>
    </row>
    <row r="94" spans="1:4" x14ac:dyDescent="0.4">
      <c r="A94" s="135" t="s">
        <v>171</v>
      </c>
      <c r="B94" s="135" t="s">
        <v>99</v>
      </c>
      <c r="C94" s="135" t="s">
        <v>180</v>
      </c>
      <c r="D94" s="136">
        <v>133.6</v>
      </c>
    </row>
    <row r="95" spans="1:4" x14ac:dyDescent="0.4">
      <c r="A95" s="135" t="s">
        <v>171</v>
      </c>
      <c r="B95" s="135" t="s">
        <v>101</v>
      </c>
      <c r="C95" s="135" t="s">
        <v>181</v>
      </c>
      <c r="D95" s="136">
        <v>133.9</v>
      </c>
    </row>
    <row r="96" spans="1:4" x14ac:dyDescent="0.4">
      <c r="A96" s="135" t="s">
        <v>171</v>
      </c>
      <c r="B96" s="135" t="s">
        <v>103</v>
      </c>
      <c r="C96" s="135" t="s">
        <v>182</v>
      </c>
      <c r="D96" s="136">
        <v>134.30000000000001</v>
      </c>
    </row>
    <row r="97" spans="1:4" x14ac:dyDescent="0.4">
      <c r="A97" s="135" t="s">
        <v>171</v>
      </c>
      <c r="B97" s="135" t="s">
        <v>80</v>
      </c>
      <c r="C97" s="135" t="s">
        <v>183</v>
      </c>
      <c r="D97" s="136">
        <v>134.6</v>
      </c>
    </row>
    <row r="98" spans="1:4" x14ac:dyDescent="0.4">
      <c r="A98" s="135" t="s">
        <v>184</v>
      </c>
      <c r="B98" s="135" t="s">
        <v>83</v>
      </c>
      <c r="C98" s="135" t="s">
        <v>185</v>
      </c>
      <c r="D98" s="136">
        <v>135.19999999999999</v>
      </c>
    </row>
    <row r="99" spans="1:4" x14ac:dyDescent="0.4">
      <c r="A99" s="135" t="s">
        <v>184</v>
      </c>
      <c r="B99" s="135" t="s">
        <v>85</v>
      </c>
      <c r="C99" s="135" t="s">
        <v>186</v>
      </c>
      <c r="D99" s="136">
        <v>135.80000000000001</v>
      </c>
    </row>
    <row r="100" spans="1:4" x14ac:dyDescent="0.4">
      <c r="A100" s="135" t="s">
        <v>184</v>
      </c>
      <c r="B100" s="135" t="s">
        <v>87</v>
      </c>
      <c r="C100" s="135" t="s">
        <v>187</v>
      </c>
      <c r="D100" s="136">
        <v>136.9</v>
      </c>
    </row>
    <row r="101" spans="1:4" x14ac:dyDescent="0.4">
      <c r="A101" s="135" t="s">
        <v>184</v>
      </c>
      <c r="B101" s="135" t="s">
        <v>89</v>
      </c>
      <c r="C101" s="135" t="s">
        <v>188</v>
      </c>
      <c r="D101" s="136">
        <v>137.30000000000001</v>
      </c>
    </row>
    <row r="102" spans="1:4" x14ac:dyDescent="0.4">
      <c r="A102" s="135" t="s">
        <v>184</v>
      </c>
      <c r="B102" s="135" t="s">
        <v>91</v>
      </c>
      <c r="C102" s="135" t="s">
        <v>189</v>
      </c>
      <c r="D102" s="136">
        <v>137.4</v>
      </c>
    </row>
    <row r="103" spans="1:4" x14ac:dyDescent="0.4">
      <c r="A103" s="135" t="s">
        <v>184</v>
      </c>
      <c r="B103" s="135" t="s">
        <v>93</v>
      </c>
      <c r="C103" s="135" t="s">
        <v>190</v>
      </c>
      <c r="D103" s="136">
        <v>138.19999999999999</v>
      </c>
    </row>
    <row r="104" spans="1:4" x14ac:dyDescent="0.4">
      <c r="A104" s="135" t="s">
        <v>184</v>
      </c>
      <c r="B104" s="135" t="s">
        <v>95</v>
      </c>
      <c r="C104" s="135" t="s">
        <v>191</v>
      </c>
      <c r="D104" s="136">
        <v>138.4</v>
      </c>
    </row>
    <row r="105" spans="1:4" x14ac:dyDescent="0.4">
      <c r="A105" s="135" t="s">
        <v>184</v>
      </c>
      <c r="B105" s="135" t="s">
        <v>97</v>
      </c>
      <c r="C105" s="135" t="s">
        <v>192</v>
      </c>
      <c r="D105" s="136">
        <v>138.4</v>
      </c>
    </row>
    <row r="106" spans="1:4" x14ac:dyDescent="0.4">
      <c r="A106" s="135" t="s">
        <v>184</v>
      </c>
      <c r="B106" s="135" t="s">
        <v>99</v>
      </c>
      <c r="C106" s="135" t="s">
        <v>193</v>
      </c>
      <c r="D106" s="136">
        <v>138.30000000000001</v>
      </c>
    </row>
    <row r="107" spans="1:4" x14ac:dyDescent="0.4">
      <c r="A107" s="135" t="s">
        <v>184</v>
      </c>
      <c r="B107" s="135" t="s">
        <v>101</v>
      </c>
      <c r="C107" s="135" t="s">
        <v>194</v>
      </c>
      <c r="D107" s="136">
        <v>138</v>
      </c>
    </row>
    <row r="108" spans="1:4" x14ac:dyDescent="0.4">
      <c r="A108" s="135" t="s">
        <v>184</v>
      </c>
      <c r="B108" s="135" t="s">
        <v>103</v>
      </c>
      <c r="C108" s="135" t="s">
        <v>195</v>
      </c>
      <c r="D108" s="136">
        <v>138.1</v>
      </c>
    </row>
    <row r="109" spans="1:4" x14ac:dyDescent="0.4">
      <c r="A109" s="135" t="s">
        <v>184</v>
      </c>
      <c r="B109" s="135" t="s">
        <v>80</v>
      </c>
      <c r="C109" s="135" t="s">
        <v>196</v>
      </c>
      <c r="D109" s="136">
        <v>138.4</v>
      </c>
    </row>
    <row r="110" spans="1:4" x14ac:dyDescent="0.4">
      <c r="A110" s="135" t="s">
        <v>197</v>
      </c>
      <c r="B110" s="135" t="s">
        <v>83</v>
      </c>
      <c r="C110" s="135" t="s">
        <v>198</v>
      </c>
      <c r="D110" s="136">
        <v>139.1</v>
      </c>
    </row>
    <row r="111" spans="1:4" x14ac:dyDescent="0.4">
      <c r="A111" s="135" t="s">
        <v>197</v>
      </c>
      <c r="B111" s="135" t="s">
        <v>85</v>
      </c>
      <c r="C111" s="135" t="s">
        <v>199</v>
      </c>
      <c r="D111" s="136">
        <v>139.4</v>
      </c>
    </row>
    <row r="112" spans="1:4" x14ac:dyDescent="0.4">
      <c r="A112" s="135" t="s">
        <v>197</v>
      </c>
      <c r="B112" s="135" t="s">
        <v>87</v>
      </c>
      <c r="C112" s="135" t="s">
        <v>200</v>
      </c>
      <c r="D112" s="136">
        <v>139</v>
      </c>
    </row>
    <row r="113" spans="1:4" x14ac:dyDescent="0.4">
      <c r="A113" s="135" t="s">
        <v>197</v>
      </c>
      <c r="B113" s="135" t="s">
        <v>89</v>
      </c>
      <c r="C113" s="135" t="s">
        <v>201</v>
      </c>
      <c r="D113" s="136">
        <v>139.30000000000001</v>
      </c>
    </row>
    <row r="114" spans="1:4" x14ac:dyDescent="0.4">
      <c r="A114" s="135" t="s">
        <v>197</v>
      </c>
      <c r="B114" s="135" t="s">
        <v>91</v>
      </c>
      <c r="C114" s="135" t="s">
        <v>202</v>
      </c>
      <c r="D114" s="136">
        <v>139.19999999999999</v>
      </c>
    </row>
    <row r="115" spans="1:4" x14ac:dyDescent="0.4">
      <c r="A115" s="135" t="s">
        <v>197</v>
      </c>
      <c r="B115" s="135" t="s">
        <v>93</v>
      </c>
      <c r="C115" s="135" t="s">
        <v>203</v>
      </c>
      <c r="D115" s="136">
        <v>138.80000000000001</v>
      </c>
    </row>
    <row r="116" spans="1:4" x14ac:dyDescent="0.4">
      <c r="A116" s="135" t="s">
        <v>197</v>
      </c>
      <c r="B116" s="135" t="s">
        <v>95</v>
      </c>
      <c r="C116" s="135" t="s">
        <v>204</v>
      </c>
      <c r="D116" s="136">
        <v>138.30000000000001</v>
      </c>
    </row>
    <row r="117" spans="1:4" x14ac:dyDescent="0.4">
      <c r="A117" s="135" t="s">
        <v>197</v>
      </c>
      <c r="B117" s="135" t="s">
        <v>97</v>
      </c>
      <c r="C117" s="135" t="s">
        <v>205</v>
      </c>
      <c r="D117" s="136">
        <v>138.6</v>
      </c>
    </row>
    <row r="118" spans="1:4" x14ac:dyDescent="0.4">
      <c r="A118" s="135" t="s">
        <v>197</v>
      </c>
      <c r="B118" s="135" t="s">
        <v>99</v>
      </c>
      <c r="C118" s="135" t="s">
        <v>206</v>
      </c>
      <c r="D118" s="136">
        <v>138.5</v>
      </c>
    </row>
    <row r="119" spans="1:4" x14ac:dyDescent="0.4">
      <c r="A119" s="135" t="s">
        <v>197</v>
      </c>
      <c r="B119" s="135" t="s">
        <v>101</v>
      </c>
      <c r="C119" s="135" t="s">
        <v>207</v>
      </c>
      <c r="D119" s="136">
        <v>138.6</v>
      </c>
    </row>
    <row r="120" spans="1:4" x14ac:dyDescent="0.4">
      <c r="A120" s="135" t="s">
        <v>197</v>
      </c>
      <c r="B120" s="135" t="s">
        <v>103</v>
      </c>
      <c r="C120" s="135" t="s">
        <v>208</v>
      </c>
      <c r="D120" s="136">
        <v>138.5</v>
      </c>
    </row>
    <row r="121" spans="1:4" x14ac:dyDescent="0.4">
      <c r="A121" s="135" t="s">
        <v>197</v>
      </c>
      <c r="B121" s="135" t="s">
        <v>80</v>
      </c>
      <c r="C121" s="135" t="s">
        <v>209</v>
      </c>
      <c r="D121" s="136">
        <v>138.6</v>
      </c>
    </row>
    <row r="122" spans="1:4" x14ac:dyDescent="0.4">
      <c r="A122" s="135" t="s">
        <v>210</v>
      </c>
      <c r="B122" s="135" t="s">
        <v>83</v>
      </c>
      <c r="C122" s="135" t="s">
        <v>211</v>
      </c>
      <c r="D122" s="136">
        <v>139.80000000000001</v>
      </c>
    </row>
    <row r="123" spans="1:4" x14ac:dyDescent="0.4">
      <c r="A123" s="135" t="s">
        <v>210</v>
      </c>
      <c r="B123" s="135" t="s">
        <v>85</v>
      </c>
      <c r="C123" s="135" t="s">
        <v>212</v>
      </c>
      <c r="D123" s="136">
        <v>139.80000000000001</v>
      </c>
    </row>
    <row r="124" spans="1:4" x14ac:dyDescent="0.4">
      <c r="A124" s="135" t="s">
        <v>210</v>
      </c>
      <c r="B124" s="135" t="s">
        <v>87</v>
      </c>
      <c r="C124" s="135" t="s">
        <v>213</v>
      </c>
      <c r="D124" s="136">
        <v>140</v>
      </c>
    </row>
    <row r="125" spans="1:4" x14ac:dyDescent="0.4">
      <c r="A125" s="135" t="s">
        <v>210</v>
      </c>
      <c r="B125" s="135" t="s">
        <v>89</v>
      </c>
      <c r="C125" s="135" t="s">
        <v>214</v>
      </c>
      <c r="D125" s="136">
        <v>139.80000000000001</v>
      </c>
    </row>
    <row r="126" spans="1:4" x14ac:dyDescent="0.4">
      <c r="A126" s="135" t="s">
        <v>210</v>
      </c>
      <c r="B126" s="135" t="s">
        <v>91</v>
      </c>
      <c r="C126" s="135" t="s">
        <v>215</v>
      </c>
      <c r="D126" s="136">
        <v>140</v>
      </c>
    </row>
    <row r="127" spans="1:4" x14ac:dyDescent="0.4">
      <c r="A127" s="135" t="s">
        <v>210</v>
      </c>
      <c r="B127" s="135" t="s">
        <v>93</v>
      </c>
      <c r="C127" s="135" t="s">
        <v>216</v>
      </c>
      <c r="D127" s="136">
        <v>139.9</v>
      </c>
    </row>
    <row r="128" spans="1:4" x14ac:dyDescent="0.4">
      <c r="A128" s="135" t="s">
        <v>210</v>
      </c>
      <c r="B128" s="135" t="s">
        <v>95</v>
      </c>
      <c r="C128" s="135" t="s">
        <v>217</v>
      </c>
      <c r="D128" s="136">
        <v>140</v>
      </c>
    </row>
    <row r="129" spans="1:4" x14ac:dyDescent="0.4">
      <c r="A129" s="135" t="s">
        <v>210</v>
      </c>
      <c r="B129" s="135" t="s">
        <v>97</v>
      </c>
      <c r="C129" s="135" t="s">
        <v>218</v>
      </c>
      <c r="D129" s="136">
        <v>140.1</v>
      </c>
    </row>
    <row r="130" spans="1:4" x14ac:dyDescent="0.4">
      <c r="A130" s="135" t="s">
        <v>210</v>
      </c>
      <c r="B130" s="135" t="s">
        <v>99</v>
      </c>
      <c r="C130" s="135" t="s">
        <v>219</v>
      </c>
      <c r="D130" s="136">
        <v>140.4</v>
      </c>
    </row>
    <row r="131" spans="1:4" x14ac:dyDescent="0.4">
      <c r="A131" s="135" t="s">
        <v>210</v>
      </c>
      <c r="B131" s="135" t="s">
        <v>101</v>
      </c>
      <c r="C131" s="135" t="s">
        <v>220</v>
      </c>
      <c r="D131" s="136">
        <v>140.4</v>
      </c>
    </row>
    <row r="132" spans="1:4" x14ac:dyDescent="0.4">
      <c r="A132" s="135" t="s">
        <v>210</v>
      </c>
      <c r="B132" s="135" t="s">
        <v>103</v>
      </c>
      <c r="C132" s="135" t="s">
        <v>221</v>
      </c>
      <c r="D132" s="136">
        <v>140.69999999999999</v>
      </c>
    </row>
    <row r="133" spans="1:4" x14ac:dyDescent="0.4">
      <c r="A133" s="135" t="s">
        <v>210</v>
      </c>
      <c r="B133" s="135" t="s">
        <v>80</v>
      </c>
      <c r="C133" s="135" t="s">
        <v>222</v>
      </c>
      <c r="D133" s="136">
        <v>140.6</v>
      </c>
    </row>
    <row r="134" spans="1:4" x14ac:dyDescent="0.4">
      <c r="A134" s="135" t="s">
        <v>223</v>
      </c>
      <c r="B134" s="135" t="s">
        <v>83</v>
      </c>
      <c r="C134" s="135" t="s">
        <v>224</v>
      </c>
      <c r="D134" s="136">
        <v>141.19999999999999</v>
      </c>
    </row>
    <row r="135" spans="1:4" x14ac:dyDescent="0.4">
      <c r="A135" s="135" t="s">
        <v>223</v>
      </c>
      <c r="B135" s="135" t="s">
        <v>85</v>
      </c>
      <c r="C135" s="135" t="s">
        <v>225</v>
      </c>
      <c r="D135" s="136">
        <v>141.30000000000001</v>
      </c>
    </row>
    <row r="136" spans="1:4" x14ac:dyDescent="0.4">
      <c r="A136" s="135" t="s">
        <v>223</v>
      </c>
      <c r="B136" s="135" t="s">
        <v>87</v>
      </c>
      <c r="C136" s="135" t="s">
        <v>226</v>
      </c>
      <c r="D136" s="136">
        <v>140.9</v>
      </c>
    </row>
    <row r="137" spans="1:4" x14ac:dyDescent="0.4">
      <c r="A137" s="135" t="s">
        <v>223</v>
      </c>
      <c r="B137" s="135" t="s">
        <v>89</v>
      </c>
      <c r="C137" s="135" t="s">
        <v>227</v>
      </c>
      <c r="D137" s="136">
        <v>141</v>
      </c>
    </row>
    <row r="138" spans="1:4" x14ac:dyDescent="0.4">
      <c r="A138" s="135" t="s">
        <v>223</v>
      </c>
      <c r="B138" s="135" t="s">
        <v>91</v>
      </c>
      <c r="C138" s="135" t="s">
        <v>228</v>
      </c>
      <c r="D138" s="136">
        <v>141</v>
      </c>
    </row>
    <row r="139" spans="1:4" x14ac:dyDescent="0.4">
      <c r="A139" s="135" t="s">
        <v>223</v>
      </c>
      <c r="B139" s="135" t="s">
        <v>93</v>
      </c>
      <c r="C139" s="135" t="s">
        <v>229</v>
      </c>
      <c r="D139" s="136">
        <v>140.80000000000001</v>
      </c>
    </row>
    <row r="140" spans="1:4" x14ac:dyDescent="0.4">
      <c r="A140" s="135" t="s">
        <v>223</v>
      </c>
      <c r="B140" s="135" t="s">
        <v>95</v>
      </c>
      <c r="C140" s="135" t="s">
        <v>230</v>
      </c>
      <c r="D140" s="136">
        <v>141.19999999999999</v>
      </c>
    </row>
    <row r="141" spans="1:4" x14ac:dyDescent="0.4">
      <c r="A141" s="135" t="s">
        <v>223</v>
      </c>
      <c r="B141" s="135" t="s">
        <v>97</v>
      </c>
      <c r="C141" s="135" t="s">
        <v>231</v>
      </c>
      <c r="D141" s="136">
        <v>141.1</v>
      </c>
    </row>
    <row r="142" spans="1:4" x14ac:dyDescent="0.4">
      <c r="A142" s="135" t="s">
        <v>223</v>
      </c>
      <c r="B142" s="135" t="s">
        <v>99</v>
      </c>
      <c r="C142" s="135" t="s">
        <v>232</v>
      </c>
      <c r="D142" s="136">
        <v>141.19999999999999</v>
      </c>
    </row>
    <row r="143" spans="1:4" x14ac:dyDescent="0.4">
      <c r="A143" s="135" t="s">
        <v>223</v>
      </c>
      <c r="B143" s="135" t="s">
        <v>101</v>
      </c>
      <c r="C143" s="135" t="s">
        <v>233</v>
      </c>
      <c r="D143" s="136">
        <v>141.1</v>
      </c>
    </row>
    <row r="144" spans="1:4" x14ac:dyDescent="0.4">
      <c r="A144" s="135" t="s">
        <v>223</v>
      </c>
      <c r="B144" s="135" t="s">
        <v>103</v>
      </c>
      <c r="C144" s="135" t="s">
        <v>234</v>
      </c>
      <c r="D144" s="136">
        <v>141</v>
      </c>
    </row>
    <row r="145" spans="1:4" x14ac:dyDescent="0.4">
      <c r="A145" s="135" t="s">
        <v>223</v>
      </c>
      <c r="B145" s="135" t="s">
        <v>80</v>
      </c>
      <c r="C145" s="135" t="s">
        <v>235</v>
      </c>
      <c r="D145" s="136">
        <v>141</v>
      </c>
    </row>
    <row r="146" spans="1:4" x14ac:dyDescent="0.4">
      <c r="A146" s="135" t="s">
        <v>236</v>
      </c>
      <c r="B146" s="135" t="s">
        <v>83</v>
      </c>
      <c r="C146" s="135" t="s">
        <v>237</v>
      </c>
      <c r="D146" s="136">
        <v>141.1</v>
      </c>
    </row>
    <row r="147" spans="1:4" x14ac:dyDescent="0.4">
      <c r="A147" s="135" t="s">
        <v>236</v>
      </c>
      <c r="B147" s="135" t="s">
        <v>85</v>
      </c>
      <c r="C147" s="135" t="s">
        <v>238</v>
      </c>
      <c r="D147" s="136">
        <v>140.9</v>
      </c>
    </row>
    <row r="148" spans="1:4" x14ac:dyDescent="0.4">
      <c r="A148" s="135" t="s">
        <v>236</v>
      </c>
      <c r="B148" s="135" t="s">
        <v>87</v>
      </c>
      <c r="C148" s="135" t="s">
        <v>239</v>
      </c>
      <c r="D148" s="136">
        <v>140.80000000000001</v>
      </c>
    </row>
    <row r="149" spans="1:4" x14ac:dyDescent="0.4">
      <c r="A149" s="135" t="s">
        <v>236</v>
      </c>
      <c r="B149" s="135" t="s">
        <v>89</v>
      </c>
      <c r="C149" s="135" t="s">
        <v>240</v>
      </c>
      <c r="D149" s="136">
        <v>140.5</v>
      </c>
    </row>
    <row r="150" spans="1:4" x14ac:dyDescent="0.4">
      <c r="A150" s="135" t="s">
        <v>236</v>
      </c>
      <c r="B150" s="135" t="s">
        <v>91</v>
      </c>
      <c r="C150" s="135" t="s">
        <v>241</v>
      </c>
      <c r="D150" s="136">
        <v>140.6</v>
      </c>
    </row>
    <row r="151" spans="1:4" x14ac:dyDescent="0.4">
      <c r="A151" s="135" t="s">
        <v>236</v>
      </c>
      <c r="B151" s="135" t="s">
        <v>93</v>
      </c>
      <c r="C151" s="135" t="s">
        <v>242</v>
      </c>
      <c r="D151" s="136">
        <v>140.5</v>
      </c>
    </row>
    <row r="152" spans="1:4" x14ac:dyDescent="0.4">
      <c r="A152" s="135" t="s">
        <v>236</v>
      </c>
      <c r="B152" s="135" t="s">
        <v>95</v>
      </c>
      <c r="C152" s="135" t="s">
        <v>243</v>
      </c>
      <c r="D152" s="136">
        <v>140.1</v>
      </c>
    </row>
    <row r="153" spans="1:4" x14ac:dyDescent="0.4">
      <c r="A153" s="135" t="s">
        <v>236</v>
      </c>
      <c r="B153" s="135" t="s">
        <v>97</v>
      </c>
      <c r="C153" s="135" t="s">
        <v>244</v>
      </c>
      <c r="D153" s="136">
        <v>140.19999999999999</v>
      </c>
    </row>
    <row r="154" spans="1:4" x14ac:dyDescent="0.4">
      <c r="A154" s="135" t="s">
        <v>236</v>
      </c>
      <c r="B154" s="135" t="s">
        <v>99</v>
      </c>
      <c r="C154" s="135" t="s">
        <v>245</v>
      </c>
      <c r="D154" s="136">
        <v>140.19999999999999</v>
      </c>
    </row>
    <row r="155" spans="1:4" x14ac:dyDescent="0.4">
      <c r="A155" s="135" t="s">
        <v>236</v>
      </c>
      <c r="B155" s="135" t="s">
        <v>101</v>
      </c>
      <c r="C155" s="135" t="s">
        <v>246</v>
      </c>
      <c r="D155" s="136">
        <v>139.80000000000001</v>
      </c>
    </row>
    <row r="156" spans="1:4" x14ac:dyDescent="0.4">
      <c r="A156" s="135" t="s">
        <v>236</v>
      </c>
      <c r="B156" s="135" t="s">
        <v>103</v>
      </c>
      <c r="C156" s="135" t="s">
        <v>247</v>
      </c>
      <c r="D156" s="136">
        <v>139.69999999999999</v>
      </c>
    </row>
    <row r="157" spans="1:4" x14ac:dyDescent="0.4">
      <c r="A157" s="135" t="s">
        <v>236</v>
      </c>
      <c r="B157" s="135" t="s">
        <v>80</v>
      </c>
      <c r="C157" s="135" t="s">
        <v>248</v>
      </c>
      <c r="D157" s="136">
        <v>139.69999999999999</v>
      </c>
    </row>
    <row r="158" spans="1:4" x14ac:dyDescent="0.4">
      <c r="A158" s="135" t="s">
        <v>249</v>
      </c>
      <c r="B158" s="135" t="s">
        <v>83</v>
      </c>
      <c r="C158" s="135" t="s">
        <v>250</v>
      </c>
      <c r="D158" s="136">
        <v>139.30000000000001</v>
      </c>
    </row>
    <row r="159" spans="1:4" x14ac:dyDescent="0.4">
      <c r="A159" s="135" t="s">
        <v>249</v>
      </c>
      <c r="B159" s="135" t="s">
        <v>85</v>
      </c>
      <c r="C159" s="135" t="s">
        <v>251</v>
      </c>
      <c r="D159" s="136">
        <v>139.5</v>
      </c>
    </row>
    <row r="160" spans="1:4" x14ac:dyDescent="0.4">
      <c r="A160" s="135" t="s">
        <v>249</v>
      </c>
      <c r="B160" s="135" t="s">
        <v>87</v>
      </c>
      <c r="C160" s="135" t="s">
        <v>252</v>
      </c>
      <c r="D160" s="136">
        <v>139.69999999999999</v>
      </c>
    </row>
    <row r="161" spans="1:4" x14ac:dyDescent="0.4">
      <c r="A161" s="135" t="s">
        <v>249</v>
      </c>
      <c r="B161" s="135" t="s">
        <v>89</v>
      </c>
      <c r="C161" s="135" t="s">
        <v>253</v>
      </c>
      <c r="D161" s="136">
        <v>139.69999999999999</v>
      </c>
    </row>
    <row r="162" spans="1:4" x14ac:dyDescent="0.4">
      <c r="A162" s="135" t="s">
        <v>249</v>
      </c>
      <c r="B162" s="135" t="s">
        <v>91</v>
      </c>
      <c r="C162" s="135" t="s">
        <v>254</v>
      </c>
      <c r="D162" s="136">
        <v>139.80000000000001</v>
      </c>
    </row>
    <row r="163" spans="1:4" x14ac:dyDescent="0.4">
      <c r="A163" s="135" t="s">
        <v>249</v>
      </c>
      <c r="B163" s="135" t="s">
        <v>93</v>
      </c>
      <c r="C163" s="135" t="s">
        <v>255</v>
      </c>
      <c r="D163" s="136">
        <v>139.9</v>
      </c>
    </row>
    <row r="164" spans="1:4" x14ac:dyDescent="0.4">
      <c r="A164" s="135" t="s">
        <v>249</v>
      </c>
      <c r="B164" s="135" t="s">
        <v>95</v>
      </c>
      <c r="C164" s="135" t="s">
        <v>256</v>
      </c>
      <c r="D164" s="136">
        <v>140.1</v>
      </c>
    </row>
    <row r="165" spans="1:4" x14ac:dyDescent="0.4">
      <c r="A165" s="135" t="s">
        <v>249</v>
      </c>
      <c r="B165" s="135" t="s">
        <v>97</v>
      </c>
      <c r="C165" s="135" t="s">
        <v>257</v>
      </c>
      <c r="D165" s="136">
        <v>140.30000000000001</v>
      </c>
    </row>
    <row r="166" spans="1:4" x14ac:dyDescent="0.4">
      <c r="A166" s="135" t="s">
        <v>249</v>
      </c>
      <c r="B166" s="135" t="s">
        <v>99</v>
      </c>
      <c r="C166" s="135" t="s">
        <v>258</v>
      </c>
      <c r="D166" s="136">
        <v>140.19999999999999</v>
      </c>
    </row>
    <row r="167" spans="1:4" x14ac:dyDescent="0.4">
      <c r="A167" s="135" t="s">
        <v>249</v>
      </c>
      <c r="B167" s="135" t="s">
        <v>101</v>
      </c>
      <c r="C167" s="135" t="s">
        <v>259</v>
      </c>
      <c r="D167" s="136">
        <v>140.4</v>
      </c>
    </row>
    <row r="168" spans="1:4" x14ac:dyDescent="0.4">
      <c r="A168" s="135" t="s">
        <v>249</v>
      </c>
      <c r="B168" s="135" t="s">
        <v>103</v>
      </c>
      <c r="C168" s="135" t="s">
        <v>260</v>
      </c>
      <c r="D168" s="136">
        <v>140.30000000000001</v>
      </c>
    </row>
    <row r="169" spans="1:4" x14ac:dyDescent="0.4">
      <c r="A169" s="135" t="s">
        <v>249</v>
      </c>
      <c r="B169" s="135" t="s">
        <v>80</v>
      </c>
      <c r="C169" s="135" t="s">
        <v>261</v>
      </c>
      <c r="D169" s="136">
        <v>140.5</v>
      </c>
    </row>
    <row r="170" spans="1:4" x14ac:dyDescent="0.4">
      <c r="A170" s="135" t="s">
        <v>262</v>
      </c>
      <c r="B170" s="135" t="s">
        <v>83</v>
      </c>
      <c r="C170" s="135" t="s">
        <v>263</v>
      </c>
      <c r="D170" s="136">
        <v>140.69999999999999</v>
      </c>
    </row>
    <row r="171" spans="1:4" x14ac:dyDescent="0.4">
      <c r="A171" s="135" t="s">
        <v>262</v>
      </c>
      <c r="B171" s="135" t="s">
        <v>85</v>
      </c>
      <c r="C171" s="135" t="s">
        <v>264</v>
      </c>
      <c r="D171" s="136">
        <v>141.1</v>
      </c>
    </row>
    <row r="172" spans="1:4" x14ac:dyDescent="0.4">
      <c r="A172" s="135" t="s">
        <v>262</v>
      </c>
      <c r="B172" s="135" t="s">
        <v>87</v>
      </c>
      <c r="C172" s="135" t="s">
        <v>265</v>
      </c>
      <c r="D172" s="136">
        <v>141.5</v>
      </c>
    </row>
    <row r="173" spans="1:4" x14ac:dyDescent="0.4">
      <c r="A173" s="135" t="s">
        <v>262</v>
      </c>
      <c r="B173" s="135" t="s">
        <v>89</v>
      </c>
      <c r="C173" s="135" t="s">
        <v>266</v>
      </c>
      <c r="D173" s="136">
        <v>141.80000000000001</v>
      </c>
    </row>
    <row r="174" spans="1:4" x14ac:dyDescent="0.4">
      <c r="A174" s="135" t="s">
        <v>262</v>
      </c>
      <c r="B174" s="135" t="s">
        <v>91</v>
      </c>
      <c r="C174" s="135" t="s">
        <v>267</v>
      </c>
      <c r="D174" s="136">
        <v>141.9</v>
      </c>
    </row>
    <row r="175" spans="1:4" x14ac:dyDescent="0.4">
      <c r="A175" s="135" t="s">
        <v>262</v>
      </c>
      <c r="B175" s="135" t="s">
        <v>93</v>
      </c>
      <c r="C175" s="135" t="s">
        <v>268</v>
      </c>
      <c r="D175" s="136">
        <v>141.9</v>
      </c>
    </row>
    <row r="176" spans="1:4" x14ac:dyDescent="0.4">
      <c r="A176" s="135" t="s">
        <v>262</v>
      </c>
      <c r="B176" s="135" t="s">
        <v>95</v>
      </c>
      <c r="C176" s="135" t="s">
        <v>269</v>
      </c>
      <c r="D176" s="136">
        <v>141.9</v>
      </c>
    </row>
    <row r="177" spans="1:4" x14ac:dyDescent="0.4">
      <c r="A177" s="135" t="s">
        <v>262</v>
      </c>
      <c r="B177" s="135" t="s">
        <v>97</v>
      </c>
      <c r="C177" s="135" t="s">
        <v>270</v>
      </c>
      <c r="D177" s="136">
        <v>141.80000000000001</v>
      </c>
    </row>
    <row r="178" spans="1:4" x14ac:dyDescent="0.4">
      <c r="A178" s="135" t="s">
        <v>262</v>
      </c>
      <c r="B178" s="135" t="s">
        <v>99</v>
      </c>
      <c r="C178" s="135" t="s">
        <v>271</v>
      </c>
      <c r="D178" s="136">
        <v>142</v>
      </c>
    </row>
    <row r="179" spans="1:4" x14ac:dyDescent="0.4">
      <c r="A179" s="135" t="s">
        <v>262</v>
      </c>
      <c r="B179" s="135" t="s">
        <v>101</v>
      </c>
      <c r="C179" s="135" t="s">
        <v>272</v>
      </c>
      <c r="D179" s="136">
        <v>142.19999999999999</v>
      </c>
    </row>
    <row r="180" spans="1:4" x14ac:dyDescent="0.4">
      <c r="A180" s="135" t="s">
        <v>262</v>
      </c>
      <c r="B180" s="135" t="s">
        <v>103</v>
      </c>
      <c r="C180" s="135" t="s">
        <v>273</v>
      </c>
      <c r="D180" s="136">
        <v>142.4</v>
      </c>
    </row>
    <row r="181" spans="1:4" x14ac:dyDescent="0.4">
      <c r="A181" s="135" t="s">
        <v>262</v>
      </c>
      <c r="B181" s="135" t="s">
        <v>80</v>
      </c>
      <c r="C181" s="135" t="s">
        <v>274</v>
      </c>
      <c r="D181" s="136">
        <v>142.5</v>
      </c>
    </row>
    <row r="182" spans="1:4" x14ac:dyDescent="0.4">
      <c r="A182" s="135" t="s">
        <v>275</v>
      </c>
      <c r="B182" s="135" t="s">
        <v>83</v>
      </c>
      <c r="C182" s="135" t="s">
        <v>276</v>
      </c>
      <c r="D182" s="136">
        <v>143.30000000000001</v>
      </c>
    </row>
    <row r="183" spans="1:4" x14ac:dyDescent="0.4">
      <c r="A183" s="135" t="s">
        <v>275</v>
      </c>
      <c r="B183" s="135" t="s">
        <v>85</v>
      </c>
      <c r="C183" s="135" t="s">
        <v>277</v>
      </c>
      <c r="D183" s="136">
        <v>143.80000000000001</v>
      </c>
    </row>
    <row r="184" spans="1:4" x14ac:dyDescent="0.4">
      <c r="A184" s="135" t="s">
        <v>275</v>
      </c>
      <c r="B184" s="135" t="s">
        <v>87</v>
      </c>
      <c r="C184" s="135" t="s">
        <v>278</v>
      </c>
      <c r="D184" s="136">
        <v>144.19999999999999</v>
      </c>
    </row>
    <row r="185" spans="1:4" x14ac:dyDescent="0.4">
      <c r="A185" s="135" t="s">
        <v>275</v>
      </c>
      <c r="B185" s="135" t="s">
        <v>89</v>
      </c>
      <c r="C185" s="135" t="s">
        <v>279</v>
      </c>
      <c r="D185" s="136">
        <v>144.5</v>
      </c>
    </row>
    <row r="186" spans="1:4" x14ac:dyDescent="0.4">
      <c r="A186" s="135" t="s">
        <v>275</v>
      </c>
      <c r="B186" s="135" t="s">
        <v>91</v>
      </c>
      <c r="C186" s="135" t="s">
        <v>280</v>
      </c>
      <c r="D186" s="136">
        <v>144.4</v>
      </c>
    </row>
    <row r="187" spans="1:4" x14ac:dyDescent="0.4">
      <c r="A187" s="135" t="s">
        <v>275</v>
      </c>
      <c r="B187" s="135" t="s">
        <v>93</v>
      </c>
      <c r="C187" s="135" t="s">
        <v>281</v>
      </c>
      <c r="D187" s="136">
        <v>144.69999999999999</v>
      </c>
    </row>
    <row r="188" spans="1:4" x14ac:dyDescent="0.4">
      <c r="A188" s="135" t="s">
        <v>275</v>
      </c>
      <c r="B188" s="135" t="s">
        <v>95</v>
      </c>
      <c r="C188" s="135" t="s">
        <v>282</v>
      </c>
      <c r="D188" s="136">
        <v>145.5</v>
      </c>
    </row>
    <row r="189" spans="1:4" x14ac:dyDescent="0.4">
      <c r="A189" s="135" t="s">
        <v>275</v>
      </c>
      <c r="B189" s="135" t="s">
        <v>97</v>
      </c>
      <c r="C189" s="135" t="s">
        <v>283</v>
      </c>
      <c r="D189" s="136">
        <v>145.6</v>
      </c>
    </row>
    <row r="190" spans="1:4" x14ac:dyDescent="0.4">
      <c r="A190" s="135" t="s">
        <v>275</v>
      </c>
      <c r="B190" s="135" t="s">
        <v>99</v>
      </c>
      <c r="C190" s="135" t="s">
        <v>284</v>
      </c>
      <c r="D190" s="136">
        <v>146.4</v>
      </c>
    </row>
    <row r="191" spans="1:4" x14ac:dyDescent="0.4">
      <c r="A191" s="135" t="s">
        <v>275</v>
      </c>
      <c r="B191" s="135" t="s">
        <v>101</v>
      </c>
      <c r="C191" s="135" t="s">
        <v>285</v>
      </c>
      <c r="D191" s="136">
        <v>146.30000000000001</v>
      </c>
    </row>
    <row r="192" spans="1:4" x14ac:dyDescent="0.4">
      <c r="A192" s="135" t="s">
        <v>275</v>
      </c>
      <c r="B192" s="135" t="s">
        <v>103</v>
      </c>
      <c r="C192" s="135" t="s">
        <v>286</v>
      </c>
      <c r="D192" s="136">
        <v>146.4</v>
      </c>
    </row>
    <row r="193" spans="1:4" x14ac:dyDescent="0.4">
      <c r="A193" s="135" t="s">
        <v>275</v>
      </c>
      <c r="B193" s="135" t="s">
        <v>80</v>
      </c>
      <c r="C193" s="135" t="s">
        <v>287</v>
      </c>
      <c r="D193" s="136">
        <v>146.69999999999999</v>
      </c>
    </row>
    <row r="194" spans="1:4" x14ac:dyDescent="0.4">
      <c r="A194" s="135" t="s">
        <v>288</v>
      </c>
      <c r="B194" s="135" t="s">
        <v>83</v>
      </c>
      <c r="C194" s="135" t="s">
        <v>289</v>
      </c>
      <c r="D194" s="136">
        <v>147.19999999999999</v>
      </c>
    </row>
    <row r="195" spans="1:4" x14ac:dyDescent="0.4">
      <c r="A195" s="135" t="s">
        <v>288</v>
      </c>
      <c r="B195" s="135" t="s">
        <v>85</v>
      </c>
      <c r="C195" s="135" t="s">
        <v>290</v>
      </c>
      <c r="D195" s="136">
        <v>147.19999999999999</v>
      </c>
    </row>
    <row r="196" spans="1:4" x14ac:dyDescent="0.4">
      <c r="A196" s="135" t="s">
        <v>288</v>
      </c>
      <c r="B196" s="135" t="s">
        <v>87</v>
      </c>
      <c r="C196" s="135" t="s">
        <v>291</v>
      </c>
      <c r="D196" s="136">
        <v>147.80000000000001</v>
      </c>
    </row>
    <row r="197" spans="1:4" x14ac:dyDescent="0.4">
      <c r="A197" s="135" t="s">
        <v>288</v>
      </c>
      <c r="B197" s="135" t="s">
        <v>89</v>
      </c>
      <c r="C197" s="135" t="s">
        <v>292</v>
      </c>
      <c r="D197" s="136">
        <v>147.80000000000001</v>
      </c>
    </row>
    <row r="198" spans="1:4" x14ac:dyDescent="0.4">
      <c r="A198" s="135" t="s">
        <v>288</v>
      </c>
      <c r="B198" s="135" t="s">
        <v>91</v>
      </c>
      <c r="C198" s="135" t="s">
        <v>293</v>
      </c>
      <c r="D198" s="136">
        <v>147.9</v>
      </c>
    </row>
    <row r="199" spans="1:4" x14ac:dyDescent="0.4">
      <c r="A199" s="135" t="s">
        <v>288</v>
      </c>
      <c r="B199" s="135" t="s">
        <v>93</v>
      </c>
      <c r="C199" s="135" t="s">
        <v>294</v>
      </c>
      <c r="D199" s="136">
        <v>148.1</v>
      </c>
    </row>
    <row r="200" spans="1:4" x14ac:dyDescent="0.4">
      <c r="A200" s="135" t="s">
        <v>288</v>
      </c>
      <c r="B200" s="135" t="s">
        <v>95</v>
      </c>
      <c r="C200" s="135" t="s">
        <v>295</v>
      </c>
      <c r="D200" s="136">
        <v>148.30000000000001</v>
      </c>
    </row>
    <row r="201" spans="1:4" x14ac:dyDescent="0.4">
      <c r="A201" s="135" t="s">
        <v>288</v>
      </c>
      <c r="B201" s="135" t="s">
        <v>97</v>
      </c>
      <c r="C201" s="135" t="s">
        <v>296</v>
      </c>
      <c r="D201" s="136">
        <v>148.5</v>
      </c>
    </row>
    <row r="202" spans="1:4" x14ac:dyDescent="0.4">
      <c r="A202" s="135" t="s">
        <v>288</v>
      </c>
      <c r="B202" s="135" t="s">
        <v>99</v>
      </c>
      <c r="C202" s="135" t="s">
        <v>297</v>
      </c>
      <c r="D202" s="136">
        <v>149.69999999999999</v>
      </c>
    </row>
    <row r="203" spans="1:4" x14ac:dyDescent="0.4">
      <c r="A203" s="135" t="s">
        <v>288</v>
      </c>
      <c r="B203" s="135" t="s">
        <v>101</v>
      </c>
      <c r="C203" s="135" t="s">
        <v>298</v>
      </c>
      <c r="D203" s="136">
        <v>149.30000000000001</v>
      </c>
    </row>
    <row r="204" spans="1:4" x14ac:dyDescent="0.4">
      <c r="A204" s="135" t="s">
        <v>288</v>
      </c>
      <c r="B204" s="135" t="s">
        <v>103</v>
      </c>
      <c r="C204" s="135" t="s">
        <v>299</v>
      </c>
      <c r="D204" s="136">
        <v>149.5</v>
      </c>
    </row>
    <row r="205" spans="1:4" x14ac:dyDescent="0.4">
      <c r="A205" s="135" t="s">
        <v>288</v>
      </c>
      <c r="B205" s="135" t="s">
        <v>80</v>
      </c>
      <c r="C205" s="135" t="s">
        <v>300</v>
      </c>
      <c r="D205" s="136">
        <v>150</v>
      </c>
    </row>
    <row r="206" spans="1:4" x14ac:dyDescent="0.4">
      <c r="A206" s="135" t="s">
        <v>301</v>
      </c>
      <c r="B206" s="135" t="s">
        <v>83</v>
      </c>
      <c r="C206" s="135" t="s">
        <v>302</v>
      </c>
      <c r="D206" s="136">
        <v>150.6</v>
      </c>
    </row>
    <row r="207" spans="1:4" x14ac:dyDescent="0.4">
      <c r="A207" s="135" t="s">
        <v>301</v>
      </c>
      <c r="B207" s="135" t="s">
        <v>85</v>
      </c>
      <c r="C207" s="135" t="s">
        <v>303</v>
      </c>
      <c r="D207" s="136">
        <v>150.80000000000001</v>
      </c>
    </row>
    <row r="208" spans="1:4" x14ac:dyDescent="0.4">
      <c r="A208" s="135" t="s">
        <v>301</v>
      </c>
      <c r="B208" s="135" t="s">
        <v>87</v>
      </c>
      <c r="C208" s="135" t="s">
        <v>304</v>
      </c>
      <c r="D208" s="136">
        <v>150.5</v>
      </c>
    </row>
    <row r="209" spans="1:4" x14ac:dyDescent="0.4">
      <c r="A209" s="135" t="s">
        <v>301</v>
      </c>
      <c r="B209" s="135" t="s">
        <v>89</v>
      </c>
      <c r="C209" s="135" t="s">
        <v>305</v>
      </c>
      <c r="D209" s="136">
        <v>150.6</v>
      </c>
    </row>
    <row r="210" spans="1:4" x14ac:dyDescent="0.4">
      <c r="A210" s="135" t="s">
        <v>301</v>
      </c>
      <c r="B210" s="135" t="s">
        <v>91</v>
      </c>
      <c r="C210" s="135" t="s">
        <v>306</v>
      </c>
      <c r="D210" s="136">
        <v>150.4</v>
      </c>
    </row>
    <row r="211" spans="1:4" x14ac:dyDescent="0.4">
      <c r="A211" s="135" t="s">
        <v>301</v>
      </c>
      <c r="B211" s="135" t="s">
        <v>93</v>
      </c>
      <c r="C211" s="135" t="s">
        <v>307</v>
      </c>
      <c r="D211" s="136">
        <v>150.6</v>
      </c>
    </row>
    <row r="212" spans="1:4" x14ac:dyDescent="0.4">
      <c r="A212" s="135" t="s">
        <v>301</v>
      </c>
      <c r="B212" s="135" t="s">
        <v>95</v>
      </c>
      <c r="C212" s="135" t="s">
        <v>308</v>
      </c>
      <c r="D212" s="136">
        <v>151.19999999999999</v>
      </c>
    </row>
    <row r="213" spans="1:4" x14ac:dyDescent="0.4">
      <c r="A213" s="135" t="s">
        <v>301</v>
      </c>
      <c r="B213" s="135" t="s">
        <v>97</v>
      </c>
      <c r="C213" s="135" t="s">
        <v>309</v>
      </c>
      <c r="D213" s="136">
        <v>150.80000000000001</v>
      </c>
    </row>
    <row r="214" spans="1:4" x14ac:dyDescent="0.4">
      <c r="A214" s="135" t="s">
        <v>301</v>
      </c>
      <c r="B214" s="135" t="s">
        <v>99</v>
      </c>
      <c r="C214" s="135" t="s">
        <v>310</v>
      </c>
      <c r="D214" s="136">
        <v>151.1</v>
      </c>
    </row>
    <row r="215" spans="1:4" x14ac:dyDescent="0.4">
      <c r="A215" s="135" t="s">
        <v>301</v>
      </c>
      <c r="B215" s="135" t="s">
        <v>101</v>
      </c>
      <c r="C215" s="135" t="s">
        <v>311</v>
      </c>
      <c r="D215" s="136">
        <v>151.4</v>
      </c>
    </row>
    <row r="216" spans="1:4" x14ac:dyDescent="0.4">
      <c r="A216" s="135" t="s">
        <v>301</v>
      </c>
      <c r="B216" s="135" t="s">
        <v>103</v>
      </c>
      <c r="C216" s="135" t="s">
        <v>312</v>
      </c>
      <c r="D216" s="136">
        <v>151.80000000000001</v>
      </c>
    </row>
    <row r="217" spans="1:4" x14ac:dyDescent="0.4">
      <c r="A217" s="135" t="s">
        <v>301</v>
      </c>
      <c r="B217" s="135" t="s">
        <v>80</v>
      </c>
      <c r="C217" s="135" t="s">
        <v>313</v>
      </c>
      <c r="D217" s="136">
        <v>152</v>
      </c>
    </row>
    <row r="218" spans="1:4" x14ac:dyDescent="0.4">
      <c r="A218" s="135" t="s">
        <v>314</v>
      </c>
      <c r="B218" s="135" t="s">
        <v>83</v>
      </c>
      <c r="C218" s="135" t="s">
        <v>315</v>
      </c>
      <c r="D218" s="136">
        <v>152.4</v>
      </c>
    </row>
    <row r="219" spans="1:4" x14ac:dyDescent="0.4">
      <c r="A219" s="135" t="s">
        <v>314</v>
      </c>
      <c r="B219" s="135" t="s">
        <v>85</v>
      </c>
      <c r="C219" s="135" t="s">
        <v>316</v>
      </c>
      <c r="D219" s="136">
        <v>153.30000000000001</v>
      </c>
    </row>
    <row r="220" spans="1:4" x14ac:dyDescent="0.4">
      <c r="A220" s="135" t="s">
        <v>314</v>
      </c>
      <c r="B220" s="135" t="s">
        <v>87</v>
      </c>
      <c r="C220" s="135" t="s">
        <v>317</v>
      </c>
      <c r="D220" s="136">
        <v>154.4</v>
      </c>
    </row>
    <row r="221" spans="1:4" x14ac:dyDescent="0.4">
      <c r="A221" s="135" t="s">
        <v>314</v>
      </c>
      <c r="B221" s="135" t="s">
        <v>89</v>
      </c>
      <c r="C221" s="135" t="s">
        <v>318</v>
      </c>
      <c r="D221" s="136">
        <v>155.4</v>
      </c>
    </row>
    <row r="222" spans="1:4" x14ac:dyDescent="0.4">
      <c r="A222" s="135" t="s">
        <v>314</v>
      </c>
      <c r="B222" s="135" t="s">
        <v>91</v>
      </c>
      <c r="C222" s="135" t="s">
        <v>319</v>
      </c>
      <c r="D222" s="136">
        <v>156.80000000000001</v>
      </c>
    </row>
    <row r="223" spans="1:4" x14ac:dyDescent="0.4">
      <c r="A223" s="135" t="s">
        <v>314</v>
      </c>
      <c r="B223" s="135" t="s">
        <v>93</v>
      </c>
      <c r="C223" s="135" t="s">
        <v>320</v>
      </c>
      <c r="D223" s="136">
        <v>158.80000000000001</v>
      </c>
    </row>
    <row r="224" spans="1:4" x14ac:dyDescent="0.4">
      <c r="A224" s="135" t="s">
        <v>314</v>
      </c>
      <c r="B224" s="135" t="s">
        <v>95</v>
      </c>
      <c r="C224" s="135" t="s">
        <v>321</v>
      </c>
      <c r="D224" s="138">
        <v>160.477</v>
      </c>
    </row>
    <row r="225" spans="1:4" x14ac:dyDescent="0.4">
      <c r="A225" s="135" t="s">
        <v>314</v>
      </c>
      <c r="B225" s="135" t="s">
        <v>97</v>
      </c>
      <c r="C225" s="135" t="s">
        <v>322</v>
      </c>
      <c r="D225" s="138">
        <v>160.94800000000001</v>
      </c>
    </row>
    <row r="226" spans="1:4" x14ac:dyDescent="0.4">
      <c r="A226" s="135" t="s">
        <v>314</v>
      </c>
      <c r="B226" s="135" t="s">
        <v>99</v>
      </c>
      <c r="C226" s="135" t="s">
        <v>323</v>
      </c>
      <c r="D226" s="138">
        <v>164.93</v>
      </c>
    </row>
    <row r="227" spans="1:4" x14ac:dyDescent="0.4">
      <c r="A227" s="135" t="s">
        <v>314</v>
      </c>
      <c r="B227" s="135" t="s">
        <v>101</v>
      </c>
      <c r="C227" s="135" t="s">
        <v>324</v>
      </c>
      <c r="D227" s="138">
        <v>165.905</v>
      </c>
    </row>
    <row r="228" spans="1:4" x14ac:dyDescent="0.4">
      <c r="A228" s="135" t="s">
        <v>314</v>
      </c>
      <c r="B228" s="135" t="s">
        <v>103</v>
      </c>
      <c r="C228" s="135" t="s">
        <v>325</v>
      </c>
      <c r="D228" s="138">
        <v>168.684</v>
      </c>
    </row>
    <row r="229" spans="1:4" x14ac:dyDescent="0.4">
      <c r="A229" s="135" t="s">
        <v>314</v>
      </c>
      <c r="B229" s="135" t="s">
        <v>80</v>
      </c>
      <c r="C229" s="135" t="s">
        <v>326</v>
      </c>
      <c r="D229" s="138">
        <v>170.595</v>
      </c>
    </row>
    <row r="230" spans="1:4" x14ac:dyDescent="0.4">
      <c r="A230" s="135" t="s">
        <v>327</v>
      </c>
      <c r="B230" s="135" t="s">
        <v>83</v>
      </c>
      <c r="C230" s="135" t="s">
        <v>328</v>
      </c>
      <c r="D230" s="138">
        <v>175.84399999999999</v>
      </c>
    </row>
    <row r="231" spans="1:4" x14ac:dyDescent="0.4">
      <c r="A231" s="135" t="s">
        <v>327</v>
      </c>
      <c r="B231" s="135" t="s">
        <v>85</v>
      </c>
      <c r="C231" s="135" t="s">
        <v>329</v>
      </c>
      <c r="D231" s="138">
        <v>180.31899999999999</v>
      </c>
    </row>
    <row r="232" spans="1:4" x14ac:dyDescent="0.4">
      <c r="A232" s="135" t="s">
        <v>327</v>
      </c>
      <c r="B232" s="135" t="s">
        <v>87</v>
      </c>
      <c r="C232" s="135" t="s">
        <v>330</v>
      </c>
      <c r="D232" s="138">
        <v>184.56899999999999</v>
      </c>
    </row>
    <row r="233" spans="1:4" x14ac:dyDescent="0.4">
      <c r="A233" s="135" t="s">
        <v>327</v>
      </c>
      <c r="B233" s="135" t="s">
        <v>89</v>
      </c>
      <c r="C233" s="135" t="s">
        <v>331</v>
      </c>
      <c r="D233" s="138">
        <v>186.26400000000001</v>
      </c>
    </row>
    <row r="234" spans="1:4" x14ac:dyDescent="0.4">
      <c r="A234" s="135" t="s">
        <v>327</v>
      </c>
      <c r="B234" s="135" t="s">
        <v>91</v>
      </c>
      <c r="C234" s="135" t="s">
        <v>332</v>
      </c>
      <c r="D234" s="138">
        <v>187.45699999999999</v>
      </c>
    </row>
    <row r="235" spans="1:4" x14ac:dyDescent="0.4">
      <c r="A235" s="135" t="s">
        <v>327</v>
      </c>
      <c r="B235" s="135" t="s">
        <v>93</v>
      </c>
      <c r="C235" s="135" t="s">
        <v>700</v>
      </c>
      <c r="D235" s="138">
        <v>191.56299999999999</v>
      </c>
    </row>
    <row r="236" spans="1:4" x14ac:dyDescent="0.4">
      <c r="A236" s="135" t="s">
        <v>327</v>
      </c>
      <c r="B236" s="135" t="s">
        <v>95</v>
      </c>
      <c r="C236" s="135" t="s">
        <v>978</v>
      </c>
      <c r="D236" s="138">
        <v>193.56800000000001</v>
      </c>
    </row>
    <row r="237" spans="1:4" x14ac:dyDescent="0.4">
      <c r="A237" s="135" t="s">
        <v>327</v>
      </c>
      <c r="B237" s="135" t="s">
        <v>97</v>
      </c>
      <c r="C237" s="135" t="s">
        <v>979</v>
      </c>
      <c r="D237" s="138">
        <v>195.78899999999999</v>
      </c>
    </row>
    <row r="238" spans="1:4" x14ac:dyDescent="0.4">
      <c r="A238" s="135" t="s">
        <v>327</v>
      </c>
      <c r="B238" s="135" t="s">
        <v>99</v>
      </c>
      <c r="C238" s="135" t="s">
        <v>980</v>
      </c>
      <c r="D238" s="138">
        <v>197.036</v>
      </c>
    </row>
    <row r="239" spans="1:4" x14ac:dyDescent="0.4">
      <c r="A239" s="135" t="s">
        <v>327</v>
      </c>
      <c r="B239" s="135" t="s">
        <v>101</v>
      </c>
      <c r="C239" s="135" t="s">
        <v>981</v>
      </c>
      <c r="D239" s="138">
        <v>196.483</v>
      </c>
    </row>
    <row r="240" spans="1:4" x14ac:dyDescent="0.4">
      <c r="A240" s="135" t="s">
        <v>327</v>
      </c>
      <c r="B240" s="135" t="s">
        <v>103</v>
      </c>
      <c r="C240" s="135" t="s">
        <v>982</v>
      </c>
      <c r="D240" s="138">
        <v>197.29499999999999</v>
      </c>
    </row>
    <row r="241" spans="1:4" x14ac:dyDescent="0.4">
      <c r="A241" s="135" t="s">
        <v>327</v>
      </c>
      <c r="B241" s="135" t="s">
        <v>80</v>
      </c>
      <c r="C241" s="135" t="s">
        <v>983</v>
      </c>
      <c r="D241" s="138">
        <v>199.83</v>
      </c>
    </row>
    <row r="242" spans="1:4" x14ac:dyDescent="0.4">
      <c r="A242" s="236">
        <v>2023</v>
      </c>
      <c r="B242" s="135" t="s">
        <v>83</v>
      </c>
      <c r="C242" s="135" t="s">
        <v>984</v>
      </c>
      <c r="D242" s="340">
        <v>200.619</v>
      </c>
    </row>
    <row r="243" spans="1:4" x14ac:dyDescent="0.4">
      <c r="A243" s="236">
        <v>2023</v>
      </c>
      <c r="B243" s="135" t="s">
        <v>85</v>
      </c>
      <c r="C243" s="135" t="s">
        <v>985</v>
      </c>
      <c r="D243" s="340">
        <v>201.48599999999999</v>
      </c>
    </row>
    <row r="244" spans="1:4" x14ac:dyDescent="0.4">
      <c r="A244" s="236">
        <v>2023</v>
      </c>
      <c r="B244" s="135" t="s">
        <v>87</v>
      </c>
      <c r="C244" s="135" t="s">
        <v>986</v>
      </c>
      <c r="D244" s="340">
        <v>201.852</v>
      </c>
    </row>
    <row r="245" spans="1:4" x14ac:dyDescent="0.4">
      <c r="A245" s="236">
        <v>2023</v>
      </c>
      <c r="B245" s="135" t="s">
        <v>89</v>
      </c>
      <c r="C245" s="135" t="s">
        <v>987</v>
      </c>
      <c r="D245" s="340">
        <v>202.75</v>
      </c>
    </row>
  </sheetData>
  <mergeCells count="1">
    <mergeCell ref="A1:M1"/>
  </mergeCells>
  <pageMargins left="0.7" right="0.7" top="0.75" bottom="0.75" header="0.3" footer="0.3"/>
  <headerFooter>
    <oddHeader>&amp;CBureau of Labor Statistics</oddHeader>
    <oddFooter>&amp;LSource: Bureau of Labor Statistics&amp;RGenerated on: October 13, 2022 (11:38:08 AM)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1D692-35F4-48FA-943E-CA146A6C1ECD}">
  <dimension ref="A1:M581"/>
  <sheetViews>
    <sheetView workbookViewId="0">
      <selection sqref="A1:M1"/>
    </sheetView>
  </sheetViews>
  <sheetFormatPr defaultColWidth="9.15234375" defaultRowHeight="14.6" x14ac:dyDescent="0.4"/>
  <cols>
    <col min="1" max="1" width="18.69140625" style="135" customWidth="1"/>
    <col min="2" max="4" width="12.84375" style="135" customWidth="1"/>
    <col min="5" max="55" width="21.84375" style="135" customWidth="1"/>
    <col min="56" max="16384" width="9.15234375" style="135"/>
  </cols>
  <sheetData>
    <row r="1" spans="1:13" x14ac:dyDescent="0.4">
      <c r="A1" s="914" t="s">
        <v>64</v>
      </c>
      <c r="B1" s="915"/>
      <c r="C1" s="915"/>
      <c r="D1" s="915"/>
      <c r="E1" s="915"/>
      <c r="F1" s="915"/>
      <c r="G1" s="915"/>
      <c r="H1" s="915"/>
      <c r="I1" s="915"/>
      <c r="J1" s="915"/>
      <c r="K1" s="915"/>
      <c r="L1" s="915"/>
      <c r="M1" s="915"/>
    </row>
    <row r="3" spans="1:13" x14ac:dyDescent="0.4">
      <c r="A3" s="134" t="s">
        <v>65</v>
      </c>
      <c r="B3" s="135" t="s">
        <v>333</v>
      </c>
    </row>
    <row r="4" spans="1:13" x14ac:dyDescent="0.4">
      <c r="A4" s="134" t="s">
        <v>67</v>
      </c>
      <c r="B4" s="135" t="s">
        <v>334</v>
      </c>
    </row>
    <row r="5" spans="1:13" x14ac:dyDescent="0.4">
      <c r="A5" s="134" t="s">
        <v>69</v>
      </c>
      <c r="B5" s="135" t="s">
        <v>70</v>
      </c>
    </row>
    <row r="6" spans="1:13" x14ac:dyDescent="0.4">
      <c r="A6" s="134" t="s">
        <v>71</v>
      </c>
      <c r="B6" s="135" t="s">
        <v>64</v>
      </c>
    </row>
    <row r="7" spans="1:13" x14ac:dyDescent="0.4">
      <c r="A7" s="134" t="s">
        <v>72</v>
      </c>
      <c r="B7" s="135" t="s">
        <v>335</v>
      </c>
    </row>
    <row r="8" spans="1:13" x14ac:dyDescent="0.4">
      <c r="A8" s="134" t="s">
        <v>74</v>
      </c>
      <c r="B8" s="135" t="s">
        <v>335</v>
      </c>
    </row>
    <row r="9" spans="1:13" x14ac:dyDescent="0.4">
      <c r="A9" s="134" t="s">
        <v>75</v>
      </c>
      <c r="B9" s="135" t="s">
        <v>335</v>
      </c>
    </row>
    <row r="12" spans="1:13" ht="29.15" x14ac:dyDescent="0.4">
      <c r="A12" s="134" t="s">
        <v>31</v>
      </c>
      <c r="B12" s="134" t="s">
        <v>76</v>
      </c>
      <c r="C12" s="134" t="s">
        <v>77</v>
      </c>
      <c r="D12" s="134" t="s">
        <v>78</v>
      </c>
    </row>
    <row r="13" spans="1:13" x14ac:dyDescent="0.4">
      <c r="A13" s="135" t="s">
        <v>336</v>
      </c>
      <c r="B13" s="135" t="s">
        <v>80</v>
      </c>
      <c r="C13" s="135" t="s">
        <v>337</v>
      </c>
      <c r="D13" s="136">
        <v>62.9</v>
      </c>
      <c r="F13" s="135">
        <v>1975</v>
      </c>
      <c r="G13" s="137">
        <f>AVERAGEIF($A$13:$A$581,F13,$D$13:$D$581)</f>
        <v>62.9</v>
      </c>
    </row>
    <row r="14" spans="1:13" x14ac:dyDescent="0.4">
      <c r="A14" s="135" t="s">
        <v>338</v>
      </c>
      <c r="B14" s="135" t="s">
        <v>83</v>
      </c>
      <c r="C14" s="135" t="s">
        <v>339</v>
      </c>
      <c r="D14" s="136">
        <v>63</v>
      </c>
      <c r="F14" s="135">
        <f>F13+1</f>
        <v>1976</v>
      </c>
      <c r="G14" s="137">
        <f t="shared" ref="G14:G61" si="0">AVERAGEIF($A$13:$A$581,F14,$D$13:$D$581)</f>
        <v>64.024999999999991</v>
      </c>
    </row>
    <row r="15" spans="1:13" x14ac:dyDescent="0.4">
      <c r="A15" s="135" t="s">
        <v>338</v>
      </c>
      <c r="B15" s="135" t="s">
        <v>85</v>
      </c>
      <c r="C15" s="135" t="s">
        <v>340</v>
      </c>
      <c r="D15" s="136">
        <v>62.9</v>
      </c>
      <c r="F15" s="135">
        <f t="shared" ref="F15:F61" si="1">F14+1</f>
        <v>1977</v>
      </c>
      <c r="G15" s="137">
        <f t="shared" si="0"/>
        <v>68.191666666666663</v>
      </c>
    </row>
    <row r="16" spans="1:13" x14ac:dyDescent="0.4">
      <c r="A16" s="135" t="s">
        <v>338</v>
      </c>
      <c r="B16" s="135" t="s">
        <v>87</v>
      </c>
      <c r="C16" s="135" t="s">
        <v>341</v>
      </c>
      <c r="D16" s="136">
        <v>63</v>
      </c>
      <c r="F16" s="135">
        <f t="shared" si="1"/>
        <v>1978</v>
      </c>
      <c r="G16" s="137">
        <f t="shared" si="0"/>
        <v>72.891666666666666</v>
      </c>
    </row>
    <row r="17" spans="1:7" x14ac:dyDescent="0.4">
      <c r="A17" s="135" t="s">
        <v>338</v>
      </c>
      <c r="B17" s="135" t="s">
        <v>89</v>
      </c>
      <c r="C17" s="135" t="s">
        <v>342</v>
      </c>
      <c r="D17" s="136">
        <v>63.1</v>
      </c>
      <c r="F17" s="135">
        <f t="shared" si="1"/>
        <v>1979</v>
      </c>
      <c r="G17" s="137">
        <f t="shared" si="0"/>
        <v>78.666666666666671</v>
      </c>
    </row>
    <row r="18" spans="1:7" x14ac:dyDescent="0.4">
      <c r="A18" s="135" t="s">
        <v>338</v>
      </c>
      <c r="B18" s="135" t="s">
        <v>91</v>
      </c>
      <c r="C18" s="135" t="s">
        <v>343</v>
      </c>
      <c r="D18" s="136">
        <v>62.9</v>
      </c>
      <c r="F18" s="135">
        <f t="shared" si="1"/>
        <v>1980</v>
      </c>
      <c r="G18" s="137">
        <f t="shared" si="0"/>
        <v>85.983333333333334</v>
      </c>
    </row>
    <row r="19" spans="1:7" x14ac:dyDescent="0.4">
      <c r="A19" s="135" t="s">
        <v>338</v>
      </c>
      <c r="B19" s="135" t="s">
        <v>93</v>
      </c>
      <c r="C19" s="135" t="s">
        <v>344</v>
      </c>
      <c r="D19" s="136">
        <v>63</v>
      </c>
      <c r="F19" s="135">
        <f t="shared" si="1"/>
        <v>1981</v>
      </c>
      <c r="G19" s="137">
        <f t="shared" si="0"/>
        <v>94.533333333333346</v>
      </c>
    </row>
    <row r="20" spans="1:7" x14ac:dyDescent="0.4">
      <c r="A20" s="135" t="s">
        <v>338</v>
      </c>
      <c r="B20" s="135" t="s">
        <v>95</v>
      </c>
      <c r="C20" s="135" t="s">
        <v>345</v>
      </c>
      <c r="D20" s="136">
        <v>63</v>
      </c>
      <c r="F20" s="135">
        <f t="shared" si="1"/>
        <v>1982</v>
      </c>
      <c r="G20" s="137">
        <f t="shared" si="0"/>
        <v>99.566666666666663</v>
      </c>
    </row>
    <row r="21" spans="1:7" x14ac:dyDescent="0.4">
      <c r="A21" s="135" t="s">
        <v>338</v>
      </c>
      <c r="B21" s="135" t="s">
        <v>97</v>
      </c>
      <c r="C21" s="135" t="s">
        <v>346</v>
      </c>
      <c r="D21" s="136">
        <v>63.3</v>
      </c>
      <c r="F21" s="135">
        <f t="shared" si="1"/>
        <v>1983</v>
      </c>
      <c r="G21" s="137">
        <f t="shared" si="0"/>
        <v>102.10833333333333</v>
      </c>
    </row>
    <row r="22" spans="1:7" x14ac:dyDescent="0.4">
      <c r="A22" s="135" t="s">
        <v>338</v>
      </c>
      <c r="B22" s="135" t="s">
        <v>99</v>
      </c>
      <c r="C22" s="135" t="s">
        <v>347</v>
      </c>
      <c r="D22" s="136">
        <v>63.4</v>
      </c>
      <c r="F22" s="135">
        <f t="shared" si="1"/>
        <v>1984</v>
      </c>
      <c r="G22" s="137">
        <f t="shared" si="0"/>
        <v>104.625</v>
      </c>
    </row>
    <row r="23" spans="1:7" x14ac:dyDescent="0.4">
      <c r="A23" s="135" t="s">
        <v>338</v>
      </c>
      <c r="B23" s="135" t="s">
        <v>101</v>
      </c>
      <c r="C23" s="135" t="s">
        <v>348</v>
      </c>
      <c r="D23" s="136">
        <v>66.900000000000006</v>
      </c>
      <c r="F23" s="135">
        <f t="shared" si="1"/>
        <v>1985</v>
      </c>
      <c r="G23" s="137">
        <f t="shared" si="0"/>
        <v>107.20833333333336</v>
      </c>
    </row>
    <row r="24" spans="1:7" x14ac:dyDescent="0.4">
      <c r="A24" s="135" t="s">
        <v>338</v>
      </c>
      <c r="B24" s="135" t="s">
        <v>103</v>
      </c>
      <c r="C24" s="135" t="s">
        <v>349</v>
      </c>
      <c r="D24" s="136">
        <v>66.900000000000006</v>
      </c>
      <c r="F24" s="135">
        <f t="shared" si="1"/>
        <v>1986</v>
      </c>
      <c r="G24" s="137">
        <f t="shared" si="0"/>
        <v>111.00833333333334</v>
      </c>
    </row>
    <row r="25" spans="1:7" x14ac:dyDescent="0.4">
      <c r="A25" s="135" t="s">
        <v>338</v>
      </c>
      <c r="B25" s="135" t="s">
        <v>80</v>
      </c>
      <c r="C25" s="135" t="s">
        <v>350</v>
      </c>
      <c r="D25" s="136">
        <v>66.900000000000006</v>
      </c>
      <c r="F25" s="135">
        <f t="shared" si="1"/>
        <v>1987</v>
      </c>
      <c r="G25" s="137">
        <f t="shared" si="0"/>
        <v>112.96666666666665</v>
      </c>
    </row>
    <row r="26" spans="1:7" x14ac:dyDescent="0.4">
      <c r="A26" s="135" t="s">
        <v>351</v>
      </c>
      <c r="B26" s="135" t="s">
        <v>83</v>
      </c>
      <c r="C26" s="135" t="s">
        <v>352</v>
      </c>
      <c r="D26" s="136">
        <v>66.8</v>
      </c>
      <c r="F26" s="135">
        <f t="shared" si="1"/>
        <v>1988</v>
      </c>
      <c r="G26" s="137">
        <f t="shared" si="0"/>
        <v>114.11666666666667</v>
      </c>
    </row>
    <row r="27" spans="1:7" x14ac:dyDescent="0.4">
      <c r="A27" s="135" t="s">
        <v>351</v>
      </c>
      <c r="B27" s="135" t="s">
        <v>85</v>
      </c>
      <c r="C27" s="135" t="s">
        <v>353</v>
      </c>
      <c r="D27" s="136">
        <v>66.8</v>
      </c>
      <c r="F27" s="135">
        <f t="shared" si="1"/>
        <v>1989</v>
      </c>
      <c r="G27" s="137">
        <f t="shared" si="0"/>
        <v>117.35833333333333</v>
      </c>
    </row>
    <row r="28" spans="1:7" x14ac:dyDescent="0.4">
      <c r="A28" s="135" t="s">
        <v>351</v>
      </c>
      <c r="B28" s="135" t="s">
        <v>87</v>
      </c>
      <c r="C28" s="135" t="s">
        <v>354</v>
      </c>
      <c r="D28" s="136">
        <v>66.900000000000006</v>
      </c>
      <c r="F28" s="135">
        <f t="shared" si="1"/>
        <v>1990</v>
      </c>
      <c r="G28" s="137">
        <f t="shared" si="0"/>
        <v>119.85000000000001</v>
      </c>
    </row>
    <row r="29" spans="1:7" x14ac:dyDescent="0.4">
      <c r="A29" s="135" t="s">
        <v>351</v>
      </c>
      <c r="B29" s="135" t="s">
        <v>89</v>
      </c>
      <c r="C29" s="135" t="s">
        <v>355</v>
      </c>
      <c r="D29" s="136">
        <v>67.099999999999994</v>
      </c>
      <c r="F29" s="135">
        <f t="shared" si="1"/>
        <v>1991</v>
      </c>
      <c r="G29" s="137">
        <f t="shared" si="0"/>
        <v>125.29166666666667</v>
      </c>
    </row>
    <row r="30" spans="1:7" x14ac:dyDescent="0.4">
      <c r="A30" s="135" t="s">
        <v>351</v>
      </c>
      <c r="B30" s="135" t="s">
        <v>91</v>
      </c>
      <c r="C30" s="135" t="s">
        <v>356</v>
      </c>
      <c r="D30" s="136">
        <v>67.2</v>
      </c>
      <c r="F30" s="135">
        <f t="shared" si="1"/>
        <v>1992</v>
      </c>
      <c r="G30" s="137">
        <f t="shared" si="0"/>
        <v>129.10833333333332</v>
      </c>
    </row>
    <row r="31" spans="1:7" x14ac:dyDescent="0.4">
      <c r="A31" s="135" t="s">
        <v>351</v>
      </c>
      <c r="B31" s="135" t="s">
        <v>93</v>
      </c>
      <c r="C31" s="135" t="s">
        <v>357</v>
      </c>
      <c r="D31" s="136">
        <v>67.3</v>
      </c>
      <c r="F31" s="135">
        <f t="shared" si="1"/>
        <v>1993</v>
      </c>
      <c r="G31" s="137">
        <f t="shared" si="0"/>
        <v>133.16666666666666</v>
      </c>
    </row>
    <row r="32" spans="1:7" x14ac:dyDescent="0.4">
      <c r="A32" s="135" t="s">
        <v>351</v>
      </c>
      <c r="B32" s="135" t="s">
        <v>95</v>
      </c>
      <c r="C32" s="135" t="s">
        <v>358</v>
      </c>
      <c r="D32" s="136">
        <v>67.3</v>
      </c>
      <c r="F32" s="135">
        <f t="shared" si="1"/>
        <v>1994</v>
      </c>
      <c r="G32" s="137">
        <f t="shared" si="0"/>
        <v>137.95000000000002</v>
      </c>
    </row>
    <row r="33" spans="1:7" x14ac:dyDescent="0.4">
      <c r="A33" s="135" t="s">
        <v>351</v>
      </c>
      <c r="B33" s="135" t="s">
        <v>97</v>
      </c>
      <c r="C33" s="135" t="s">
        <v>359</v>
      </c>
      <c r="D33" s="136">
        <v>67.400000000000006</v>
      </c>
      <c r="F33" s="135">
        <f t="shared" si="1"/>
        <v>1995</v>
      </c>
      <c r="G33" s="137">
        <f t="shared" si="0"/>
        <v>139.10000000000002</v>
      </c>
    </row>
    <row r="34" spans="1:7" x14ac:dyDescent="0.4">
      <c r="A34" s="135" t="s">
        <v>351</v>
      </c>
      <c r="B34" s="135" t="s">
        <v>99</v>
      </c>
      <c r="C34" s="135" t="s">
        <v>360</v>
      </c>
      <c r="D34" s="136">
        <v>67.400000000000006</v>
      </c>
      <c r="F34" s="135">
        <f t="shared" si="1"/>
        <v>1996</v>
      </c>
      <c r="G34" s="137">
        <f t="shared" si="0"/>
        <v>140.43333333333334</v>
      </c>
    </row>
    <row r="35" spans="1:7" x14ac:dyDescent="0.4">
      <c r="A35" s="135" t="s">
        <v>351</v>
      </c>
      <c r="B35" s="135" t="s">
        <v>101</v>
      </c>
      <c r="C35" s="135" t="s">
        <v>361</v>
      </c>
      <c r="D35" s="136">
        <v>71.400000000000006</v>
      </c>
      <c r="F35" s="135">
        <f t="shared" si="1"/>
        <v>1997</v>
      </c>
      <c r="G35" s="137">
        <f t="shared" si="0"/>
        <v>138.70000000000002</v>
      </c>
    </row>
    <row r="36" spans="1:7" x14ac:dyDescent="0.4">
      <c r="A36" s="135" t="s">
        <v>351</v>
      </c>
      <c r="B36" s="135" t="s">
        <v>103</v>
      </c>
      <c r="C36" s="135" t="s">
        <v>362</v>
      </c>
      <c r="D36" s="136">
        <v>71.3</v>
      </c>
      <c r="F36" s="135">
        <f t="shared" si="1"/>
        <v>1998</v>
      </c>
      <c r="G36" s="137">
        <f t="shared" si="0"/>
        <v>136.84166666666667</v>
      </c>
    </row>
    <row r="37" spans="1:7" x14ac:dyDescent="0.4">
      <c r="A37" s="135" t="s">
        <v>351</v>
      </c>
      <c r="B37" s="135" t="s">
        <v>80</v>
      </c>
      <c r="C37" s="135" t="s">
        <v>363</v>
      </c>
      <c r="D37" s="136">
        <v>71.400000000000006</v>
      </c>
      <c r="F37" s="135">
        <f t="shared" si="1"/>
        <v>1999</v>
      </c>
      <c r="G37" s="137">
        <f t="shared" si="0"/>
        <v>137.64166666666668</v>
      </c>
    </row>
    <row r="38" spans="1:7" x14ac:dyDescent="0.4">
      <c r="A38" s="135" t="s">
        <v>364</v>
      </c>
      <c r="B38" s="135" t="s">
        <v>83</v>
      </c>
      <c r="C38" s="135" t="s">
        <v>365</v>
      </c>
      <c r="D38" s="136">
        <v>71.400000000000006</v>
      </c>
      <c r="F38" s="135">
        <f t="shared" si="1"/>
        <v>2000</v>
      </c>
      <c r="G38" s="137">
        <f t="shared" si="0"/>
        <v>138.76666666666665</v>
      </c>
    </row>
    <row r="39" spans="1:7" x14ac:dyDescent="0.4">
      <c r="A39" s="135" t="s">
        <v>364</v>
      </c>
      <c r="B39" s="135" t="s">
        <v>85</v>
      </c>
      <c r="C39" s="135" t="s">
        <v>366</v>
      </c>
      <c r="D39" s="136">
        <v>71.400000000000006</v>
      </c>
      <c r="F39" s="135">
        <f t="shared" si="1"/>
        <v>2001</v>
      </c>
      <c r="G39" s="137">
        <f t="shared" si="0"/>
        <v>137.54166666666666</v>
      </c>
    </row>
    <row r="40" spans="1:7" x14ac:dyDescent="0.4">
      <c r="A40" s="135" t="s">
        <v>364</v>
      </c>
      <c r="B40" s="135" t="s">
        <v>87</v>
      </c>
      <c r="C40" s="135" t="s">
        <v>367</v>
      </c>
      <c r="D40" s="136">
        <v>71.400000000000006</v>
      </c>
      <c r="F40" s="135">
        <f t="shared" si="1"/>
        <v>2002</v>
      </c>
      <c r="G40" s="137">
        <f t="shared" si="0"/>
        <v>134.89166666666668</v>
      </c>
    </row>
    <row r="41" spans="1:7" x14ac:dyDescent="0.4">
      <c r="A41" s="135" t="s">
        <v>364</v>
      </c>
      <c r="B41" s="135" t="s">
        <v>89</v>
      </c>
      <c r="C41" s="135" t="s">
        <v>368</v>
      </c>
      <c r="D41" s="136">
        <v>71.400000000000006</v>
      </c>
      <c r="F41" s="135">
        <f t="shared" si="1"/>
        <v>2003</v>
      </c>
      <c r="G41" s="137">
        <f t="shared" si="0"/>
        <v>135.08333333333334</v>
      </c>
    </row>
    <row r="42" spans="1:7" x14ac:dyDescent="0.4">
      <c r="A42" s="135" t="s">
        <v>364</v>
      </c>
      <c r="B42" s="135" t="s">
        <v>91</v>
      </c>
      <c r="C42" s="135" t="s">
        <v>369</v>
      </c>
      <c r="D42" s="136">
        <v>72.5</v>
      </c>
      <c r="F42" s="135">
        <f t="shared" si="1"/>
        <v>2004</v>
      </c>
      <c r="G42" s="137">
        <f t="shared" si="0"/>
        <v>136.47500000000002</v>
      </c>
    </row>
    <row r="43" spans="1:7" x14ac:dyDescent="0.4">
      <c r="A43" s="135" t="s">
        <v>364</v>
      </c>
      <c r="B43" s="135" t="s">
        <v>93</v>
      </c>
      <c r="C43" s="135" t="s">
        <v>370</v>
      </c>
      <c r="D43" s="136">
        <v>72.7</v>
      </c>
      <c r="F43" s="135">
        <f t="shared" si="1"/>
        <v>2005</v>
      </c>
      <c r="G43" s="137">
        <f t="shared" si="0"/>
        <v>135.06666666666669</v>
      </c>
    </row>
    <row r="44" spans="1:7" x14ac:dyDescent="0.4">
      <c r="A44" s="135" t="s">
        <v>364</v>
      </c>
      <c r="B44" s="135" t="s">
        <v>95</v>
      </c>
      <c r="C44" s="135" t="s">
        <v>371</v>
      </c>
      <c r="D44" s="136">
        <v>72.5</v>
      </c>
      <c r="F44" s="135">
        <f t="shared" si="1"/>
        <v>2006</v>
      </c>
      <c r="G44" s="137">
        <f t="shared" si="0"/>
        <v>130.81666666666666</v>
      </c>
    </row>
    <row r="45" spans="1:7" x14ac:dyDescent="0.4">
      <c r="A45" s="135" t="s">
        <v>364</v>
      </c>
      <c r="B45" s="135" t="s">
        <v>97</v>
      </c>
      <c r="C45" s="135" t="s">
        <v>372</v>
      </c>
      <c r="D45" s="136">
        <v>72.5</v>
      </c>
      <c r="F45" s="135">
        <f t="shared" si="1"/>
        <v>2007</v>
      </c>
      <c r="G45" s="137">
        <f t="shared" si="0"/>
        <v>131.11666666666667</v>
      </c>
    </row>
    <row r="46" spans="1:7" x14ac:dyDescent="0.4">
      <c r="A46" s="135" t="s">
        <v>364</v>
      </c>
      <c r="B46" s="135" t="s">
        <v>99</v>
      </c>
      <c r="C46" s="135" t="s">
        <v>373</v>
      </c>
      <c r="D46" s="136">
        <v>72.5</v>
      </c>
      <c r="F46" s="135">
        <f t="shared" si="1"/>
        <v>2008</v>
      </c>
      <c r="G46" s="137">
        <f t="shared" si="0"/>
        <v>132.89166666666668</v>
      </c>
    </row>
    <row r="47" spans="1:7" x14ac:dyDescent="0.4">
      <c r="A47" s="135" t="s">
        <v>364</v>
      </c>
      <c r="B47" s="135" t="s">
        <v>101</v>
      </c>
      <c r="C47" s="135" t="s">
        <v>374</v>
      </c>
      <c r="D47" s="136">
        <v>75.400000000000006</v>
      </c>
      <c r="F47" s="135">
        <f t="shared" si="1"/>
        <v>2009</v>
      </c>
      <c r="G47" s="137">
        <f t="shared" si="0"/>
        <v>136.74166666666665</v>
      </c>
    </row>
    <row r="48" spans="1:7" x14ac:dyDescent="0.4">
      <c r="A48" s="135" t="s">
        <v>364</v>
      </c>
      <c r="B48" s="135" t="s">
        <v>103</v>
      </c>
      <c r="C48" s="135" t="s">
        <v>375</v>
      </c>
      <c r="D48" s="136">
        <v>75.400000000000006</v>
      </c>
      <c r="F48" s="135">
        <f t="shared" si="1"/>
        <v>2010</v>
      </c>
      <c r="G48" s="137">
        <f t="shared" si="0"/>
        <v>136.78333333333333</v>
      </c>
    </row>
    <row r="49" spans="1:7" x14ac:dyDescent="0.4">
      <c r="A49" s="135" t="s">
        <v>364</v>
      </c>
      <c r="B49" s="135" t="s">
        <v>80</v>
      </c>
      <c r="C49" s="135" t="s">
        <v>376</v>
      </c>
      <c r="D49" s="136">
        <v>75.599999999999994</v>
      </c>
      <c r="F49" s="135">
        <f t="shared" si="1"/>
        <v>2011</v>
      </c>
      <c r="G49" s="137">
        <f t="shared" si="0"/>
        <v>137.68333333333331</v>
      </c>
    </row>
    <row r="50" spans="1:7" x14ac:dyDescent="0.4">
      <c r="A50" s="135" t="s">
        <v>377</v>
      </c>
      <c r="B50" s="135" t="s">
        <v>83</v>
      </c>
      <c r="C50" s="135" t="s">
        <v>378</v>
      </c>
      <c r="D50" s="136">
        <v>76.7</v>
      </c>
      <c r="F50" s="135">
        <f t="shared" si="1"/>
        <v>2012</v>
      </c>
      <c r="G50" s="137">
        <f t="shared" si="0"/>
        <v>141.24999999999997</v>
      </c>
    </row>
    <row r="51" spans="1:7" x14ac:dyDescent="0.4">
      <c r="A51" s="135" t="s">
        <v>377</v>
      </c>
      <c r="B51" s="135" t="s">
        <v>85</v>
      </c>
      <c r="C51" s="135" t="s">
        <v>379</v>
      </c>
      <c r="D51" s="136">
        <v>76.900000000000006</v>
      </c>
      <c r="F51" s="135">
        <f t="shared" si="1"/>
        <v>2013</v>
      </c>
      <c r="G51" s="137">
        <f t="shared" si="0"/>
        <v>142.73333333333335</v>
      </c>
    </row>
    <row r="52" spans="1:7" x14ac:dyDescent="0.4">
      <c r="A52" s="135" t="s">
        <v>377</v>
      </c>
      <c r="B52" s="135" t="s">
        <v>87</v>
      </c>
      <c r="C52" s="135" t="s">
        <v>380</v>
      </c>
      <c r="D52" s="136">
        <v>77</v>
      </c>
      <c r="F52" s="135">
        <f t="shared" si="1"/>
        <v>2014</v>
      </c>
      <c r="G52" s="137">
        <f t="shared" si="0"/>
        <v>145.33333333333331</v>
      </c>
    </row>
    <row r="53" spans="1:7" x14ac:dyDescent="0.4">
      <c r="A53" s="135" t="s">
        <v>377</v>
      </c>
      <c r="B53" s="135" t="s">
        <v>89</v>
      </c>
      <c r="C53" s="135" t="s">
        <v>381</v>
      </c>
      <c r="D53" s="136">
        <v>78.3</v>
      </c>
      <c r="F53" s="135">
        <f t="shared" si="1"/>
        <v>2015</v>
      </c>
      <c r="G53" s="137">
        <f t="shared" si="0"/>
        <v>148.88333333333335</v>
      </c>
    </row>
    <row r="54" spans="1:7" x14ac:dyDescent="0.4">
      <c r="A54" s="135" t="s">
        <v>377</v>
      </c>
      <c r="B54" s="135" t="s">
        <v>91</v>
      </c>
      <c r="C54" s="135" t="s">
        <v>382</v>
      </c>
      <c r="D54" s="136">
        <v>78.400000000000006</v>
      </c>
      <c r="F54" s="135">
        <f t="shared" si="1"/>
        <v>2016</v>
      </c>
      <c r="G54" s="137">
        <f t="shared" si="0"/>
        <v>150.10833333333335</v>
      </c>
    </row>
    <row r="55" spans="1:7" x14ac:dyDescent="0.4">
      <c r="A55" s="135" t="s">
        <v>377</v>
      </c>
      <c r="B55" s="135" t="s">
        <v>93</v>
      </c>
      <c r="C55" s="135" t="s">
        <v>383</v>
      </c>
      <c r="D55" s="136">
        <v>78.5</v>
      </c>
      <c r="F55" s="135">
        <f t="shared" si="1"/>
        <v>2017</v>
      </c>
      <c r="G55" s="137">
        <f t="shared" si="0"/>
        <v>152.06666666666663</v>
      </c>
    </row>
    <row r="56" spans="1:7" x14ac:dyDescent="0.4">
      <c r="A56" s="135" t="s">
        <v>377</v>
      </c>
      <c r="B56" s="135" t="s">
        <v>95</v>
      </c>
      <c r="C56" s="135" t="s">
        <v>384</v>
      </c>
      <c r="D56" s="136">
        <v>78.7</v>
      </c>
      <c r="F56" s="135">
        <f t="shared" si="1"/>
        <v>2018</v>
      </c>
      <c r="G56" s="137">
        <f t="shared" si="0"/>
        <v>153.25</v>
      </c>
    </row>
    <row r="57" spans="1:7" x14ac:dyDescent="0.4">
      <c r="A57" s="135" t="s">
        <v>377</v>
      </c>
      <c r="B57" s="135" t="s">
        <v>97</v>
      </c>
      <c r="C57" s="135" t="s">
        <v>385</v>
      </c>
      <c r="D57" s="136">
        <v>76.8</v>
      </c>
      <c r="F57" s="135">
        <f t="shared" si="1"/>
        <v>2019</v>
      </c>
      <c r="G57" s="137">
        <f t="shared" si="0"/>
        <v>153.59166666666664</v>
      </c>
    </row>
    <row r="58" spans="1:7" x14ac:dyDescent="0.4">
      <c r="A58" s="135" t="s">
        <v>377</v>
      </c>
      <c r="B58" s="135" t="s">
        <v>99</v>
      </c>
      <c r="C58" s="135" t="s">
        <v>386</v>
      </c>
      <c r="D58" s="136">
        <v>77</v>
      </c>
      <c r="F58" s="135">
        <f t="shared" si="1"/>
        <v>2020</v>
      </c>
      <c r="G58" s="137">
        <f t="shared" si="0"/>
        <v>153.10833333333332</v>
      </c>
    </row>
    <row r="59" spans="1:7" x14ac:dyDescent="0.4">
      <c r="A59" s="135" t="s">
        <v>377</v>
      </c>
      <c r="B59" s="135" t="s">
        <v>101</v>
      </c>
      <c r="C59" s="135" t="s">
        <v>387</v>
      </c>
      <c r="D59" s="136">
        <v>81.900000000000006</v>
      </c>
      <c r="F59" s="135">
        <f t="shared" si="1"/>
        <v>2021</v>
      </c>
      <c r="G59" s="137">
        <f t="shared" si="0"/>
        <v>157.53175000000002</v>
      </c>
    </row>
    <row r="60" spans="1:7" x14ac:dyDescent="0.4">
      <c r="A60" s="135" t="s">
        <v>377</v>
      </c>
      <c r="B60" s="135" t="s">
        <v>103</v>
      </c>
      <c r="C60" s="135" t="s">
        <v>388</v>
      </c>
      <c r="D60" s="136">
        <v>81.8</v>
      </c>
      <c r="F60" s="135">
        <f t="shared" si="1"/>
        <v>2022</v>
      </c>
      <c r="G60" s="137">
        <f t="shared" si="0"/>
        <v>164.06566666666669</v>
      </c>
    </row>
    <row r="61" spans="1:7" x14ac:dyDescent="0.4">
      <c r="A61" s="135" t="s">
        <v>377</v>
      </c>
      <c r="B61" s="135" t="s">
        <v>80</v>
      </c>
      <c r="C61" s="135" t="s">
        <v>389</v>
      </c>
      <c r="D61" s="136">
        <v>82</v>
      </c>
      <c r="F61" s="135">
        <f t="shared" si="1"/>
        <v>2023</v>
      </c>
      <c r="G61" s="137">
        <f t="shared" si="0"/>
        <v>168.01624999999999</v>
      </c>
    </row>
    <row r="62" spans="1:7" x14ac:dyDescent="0.4">
      <c r="A62" s="135" t="s">
        <v>390</v>
      </c>
      <c r="B62" s="135" t="s">
        <v>83</v>
      </c>
      <c r="C62" s="135" t="s">
        <v>391</v>
      </c>
      <c r="D62" s="136">
        <v>83.5</v>
      </c>
    </row>
    <row r="63" spans="1:7" x14ac:dyDescent="0.4">
      <c r="A63" s="135" t="s">
        <v>390</v>
      </c>
      <c r="B63" s="135" t="s">
        <v>85</v>
      </c>
      <c r="C63" s="135" t="s">
        <v>392</v>
      </c>
      <c r="D63" s="136">
        <v>82.8</v>
      </c>
    </row>
    <row r="64" spans="1:7" x14ac:dyDescent="0.4">
      <c r="A64" s="135" t="s">
        <v>390</v>
      </c>
      <c r="B64" s="135" t="s">
        <v>87</v>
      </c>
      <c r="C64" s="135" t="s">
        <v>393</v>
      </c>
      <c r="D64" s="136">
        <v>82.9</v>
      </c>
    </row>
    <row r="65" spans="1:4" x14ac:dyDescent="0.4">
      <c r="A65" s="135" t="s">
        <v>390</v>
      </c>
      <c r="B65" s="135" t="s">
        <v>89</v>
      </c>
      <c r="C65" s="135" t="s">
        <v>394</v>
      </c>
      <c r="D65" s="136">
        <v>85.2</v>
      </c>
    </row>
    <row r="66" spans="1:4" x14ac:dyDescent="0.4">
      <c r="A66" s="135" t="s">
        <v>390</v>
      </c>
      <c r="B66" s="135" t="s">
        <v>91</v>
      </c>
      <c r="C66" s="135" t="s">
        <v>395</v>
      </c>
      <c r="D66" s="136">
        <v>84.6</v>
      </c>
    </row>
    <row r="67" spans="1:4" x14ac:dyDescent="0.4">
      <c r="A67" s="135" t="s">
        <v>390</v>
      </c>
      <c r="B67" s="135" t="s">
        <v>93</v>
      </c>
      <c r="C67" s="135" t="s">
        <v>396</v>
      </c>
      <c r="D67" s="136">
        <v>84.6</v>
      </c>
    </row>
    <row r="68" spans="1:4" x14ac:dyDescent="0.4">
      <c r="A68" s="135" t="s">
        <v>390</v>
      </c>
      <c r="B68" s="135" t="s">
        <v>95</v>
      </c>
      <c r="C68" s="135" t="s">
        <v>397</v>
      </c>
      <c r="D68" s="136">
        <v>86.3</v>
      </c>
    </row>
    <row r="69" spans="1:4" x14ac:dyDescent="0.4">
      <c r="A69" s="135" t="s">
        <v>390</v>
      </c>
      <c r="B69" s="135" t="s">
        <v>97</v>
      </c>
      <c r="C69" s="135" t="s">
        <v>398</v>
      </c>
      <c r="D69" s="136">
        <v>86.7</v>
      </c>
    </row>
    <row r="70" spans="1:4" x14ac:dyDescent="0.4">
      <c r="A70" s="135" t="s">
        <v>390</v>
      </c>
      <c r="B70" s="135" t="s">
        <v>99</v>
      </c>
      <c r="C70" s="135" t="s">
        <v>399</v>
      </c>
      <c r="D70" s="136">
        <v>82.7</v>
      </c>
    </row>
    <row r="71" spans="1:4" x14ac:dyDescent="0.4">
      <c r="A71" s="135" t="s">
        <v>390</v>
      </c>
      <c r="B71" s="135" t="s">
        <v>101</v>
      </c>
      <c r="C71" s="135" t="s">
        <v>400</v>
      </c>
      <c r="D71" s="136">
        <v>90.9</v>
      </c>
    </row>
    <row r="72" spans="1:4" x14ac:dyDescent="0.4">
      <c r="A72" s="135" t="s">
        <v>390</v>
      </c>
      <c r="B72" s="135" t="s">
        <v>103</v>
      </c>
      <c r="C72" s="135" t="s">
        <v>401</v>
      </c>
      <c r="D72" s="136">
        <v>91</v>
      </c>
    </row>
    <row r="73" spans="1:4" x14ac:dyDescent="0.4">
      <c r="A73" s="135" t="s">
        <v>390</v>
      </c>
      <c r="B73" s="135" t="s">
        <v>80</v>
      </c>
      <c r="C73" s="135" t="s">
        <v>402</v>
      </c>
      <c r="D73" s="136">
        <v>90.6</v>
      </c>
    </row>
    <row r="74" spans="1:4" x14ac:dyDescent="0.4">
      <c r="A74" s="135" t="s">
        <v>403</v>
      </c>
      <c r="B74" s="135" t="s">
        <v>83</v>
      </c>
      <c r="C74" s="135" t="s">
        <v>404</v>
      </c>
      <c r="D74" s="136">
        <v>91.4</v>
      </c>
    </row>
    <row r="75" spans="1:4" x14ac:dyDescent="0.4">
      <c r="A75" s="135" t="s">
        <v>403</v>
      </c>
      <c r="B75" s="135" t="s">
        <v>85</v>
      </c>
      <c r="C75" s="135" t="s">
        <v>405</v>
      </c>
      <c r="D75" s="136">
        <v>91.6</v>
      </c>
    </row>
    <row r="76" spans="1:4" x14ac:dyDescent="0.4">
      <c r="A76" s="135" t="s">
        <v>403</v>
      </c>
      <c r="B76" s="135" t="s">
        <v>87</v>
      </c>
      <c r="C76" s="135" t="s">
        <v>406</v>
      </c>
      <c r="D76" s="136">
        <v>90.7</v>
      </c>
    </row>
    <row r="77" spans="1:4" x14ac:dyDescent="0.4">
      <c r="A77" s="135" t="s">
        <v>403</v>
      </c>
      <c r="B77" s="135" t="s">
        <v>89</v>
      </c>
      <c r="C77" s="135" t="s">
        <v>407</v>
      </c>
      <c r="D77" s="136">
        <v>93.3</v>
      </c>
    </row>
    <row r="78" spans="1:4" x14ac:dyDescent="0.4">
      <c r="A78" s="135" t="s">
        <v>403</v>
      </c>
      <c r="B78" s="135" t="s">
        <v>91</v>
      </c>
      <c r="C78" s="135" t="s">
        <v>408</v>
      </c>
      <c r="D78" s="136">
        <v>94.1</v>
      </c>
    </row>
    <row r="79" spans="1:4" x14ac:dyDescent="0.4">
      <c r="A79" s="135" t="s">
        <v>403</v>
      </c>
      <c r="B79" s="135" t="s">
        <v>93</v>
      </c>
      <c r="C79" s="135" t="s">
        <v>409</v>
      </c>
      <c r="D79" s="136">
        <v>94.5</v>
      </c>
    </row>
    <row r="80" spans="1:4" x14ac:dyDescent="0.4">
      <c r="A80" s="135" t="s">
        <v>403</v>
      </c>
      <c r="B80" s="135" t="s">
        <v>95</v>
      </c>
      <c r="C80" s="135" t="s">
        <v>410</v>
      </c>
      <c r="D80" s="136">
        <v>94.6</v>
      </c>
    </row>
    <row r="81" spans="1:4" x14ac:dyDescent="0.4">
      <c r="A81" s="135" t="s">
        <v>403</v>
      </c>
      <c r="B81" s="135" t="s">
        <v>97</v>
      </c>
      <c r="C81" s="135" t="s">
        <v>411</v>
      </c>
      <c r="D81" s="136">
        <v>94.4</v>
      </c>
    </row>
    <row r="82" spans="1:4" x14ac:dyDescent="0.4">
      <c r="A82" s="135" t="s">
        <v>403</v>
      </c>
      <c r="B82" s="135" t="s">
        <v>99</v>
      </c>
      <c r="C82" s="135" t="s">
        <v>412</v>
      </c>
      <c r="D82" s="136">
        <v>90.2</v>
      </c>
    </row>
    <row r="83" spans="1:4" x14ac:dyDescent="0.4">
      <c r="A83" s="135" t="s">
        <v>403</v>
      </c>
      <c r="B83" s="135" t="s">
        <v>101</v>
      </c>
      <c r="C83" s="135" t="s">
        <v>413</v>
      </c>
      <c r="D83" s="136">
        <v>99.7</v>
      </c>
    </row>
    <row r="84" spans="1:4" x14ac:dyDescent="0.4">
      <c r="A84" s="135" t="s">
        <v>403</v>
      </c>
      <c r="B84" s="135" t="s">
        <v>103</v>
      </c>
      <c r="C84" s="135" t="s">
        <v>414</v>
      </c>
      <c r="D84" s="136">
        <v>99.8</v>
      </c>
    </row>
    <row r="85" spans="1:4" x14ac:dyDescent="0.4">
      <c r="A85" s="135" t="s">
        <v>403</v>
      </c>
      <c r="B85" s="135" t="s">
        <v>80</v>
      </c>
      <c r="C85" s="135" t="s">
        <v>415</v>
      </c>
      <c r="D85" s="136">
        <v>100.1</v>
      </c>
    </row>
    <row r="86" spans="1:4" x14ac:dyDescent="0.4">
      <c r="A86" s="135" t="s">
        <v>416</v>
      </c>
      <c r="B86" s="135" t="s">
        <v>83</v>
      </c>
      <c r="C86" s="135" t="s">
        <v>417</v>
      </c>
      <c r="D86" s="136">
        <v>100.5</v>
      </c>
    </row>
    <row r="87" spans="1:4" x14ac:dyDescent="0.4">
      <c r="A87" s="135" t="s">
        <v>416</v>
      </c>
      <c r="B87" s="135" t="s">
        <v>85</v>
      </c>
      <c r="C87" s="135" t="s">
        <v>418</v>
      </c>
      <c r="D87" s="136">
        <v>97.5</v>
      </c>
    </row>
    <row r="88" spans="1:4" x14ac:dyDescent="0.4">
      <c r="A88" s="135" t="s">
        <v>416</v>
      </c>
      <c r="B88" s="135" t="s">
        <v>87</v>
      </c>
      <c r="C88" s="135" t="s">
        <v>419</v>
      </c>
      <c r="D88" s="136">
        <v>97.5</v>
      </c>
    </row>
    <row r="89" spans="1:4" x14ac:dyDescent="0.4">
      <c r="A89" s="135" t="s">
        <v>416</v>
      </c>
      <c r="B89" s="135" t="s">
        <v>89</v>
      </c>
      <c r="C89" s="135" t="s">
        <v>420</v>
      </c>
      <c r="D89" s="136">
        <v>97.4</v>
      </c>
    </row>
    <row r="90" spans="1:4" x14ac:dyDescent="0.4">
      <c r="A90" s="135" t="s">
        <v>416</v>
      </c>
      <c r="B90" s="135" t="s">
        <v>91</v>
      </c>
      <c r="C90" s="135" t="s">
        <v>421</v>
      </c>
      <c r="D90" s="136">
        <v>98.8</v>
      </c>
    </row>
    <row r="91" spans="1:4" x14ac:dyDescent="0.4">
      <c r="A91" s="135" t="s">
        <v>416</v>
      </c>
      <c r="B91" s="135" t="s">
        <v>93</v>
      </c>
      <c r="C91" s="135" t="s">
        <v>422</v>
      </c>
      <c r="D91" s="136">
        <v>100</v>
      </c>
    </row>
    <row r="92" spans="1:4" x14ac:dyDescent="0.4">
      <c r="A92" s="135" t="s">
        <v>416</v>
      </c>
      <c r="B92" s="135" t="s">
        <v>95</v>
      </c>
      <c r="C92" s="135" t="s">
        <v>423</v>
      </c>
      <c r="D92" s="136">
        <v>100.1</v>
      </c>
    </row>
    <row r="93" spans="1:4" x14ac:dyDescent="0.4">
      <c r="A93" s="135" t="s">
        <v>416</v>
      </c>
      <c r="B93" s="135" t="s">
        <v>97</v>
      </c>
      <c r="C93" s="135" t="s">
        <v>424</v>
      </c>
      <c r="D93" s="136">
        <v>100.4</v>
      </c>
    </row>
    <row r="94" spans="1:4" x14ac:dyDescent="0.4">
      <c r="A94" s="135" t="s">
        <v>416</v>
      </c>
      <c r="B94" s="135" t="s">
        <v>99</v>
      </c>
      <c r="C94" s="135" t="s">
        <v>425</v>
      </c>
      <c r="D94" s="136">
        <v>94.9</v>
      </c>
    </row>
    <row r="95" spans="1:4" x14ac:dyDescent="0.4">
      <c r="A95" s="135" t="s">
        <v>416</v>
      </c>
      <c r="B95" s="135" t="s">
        <v>101</v>
      </c>
      <c r="C95" s="135" t="s">
        <v>426</v>
      </c>
      <c r="D95" s="136">
        <v>102.5</v>
      </c>
    </row>
    <row r="96" spans="1:4" x14ac:dyDescent="0.4">
      <c r="A96" s="135" t="s">
        <v>416</v>
      </c>
      <c r="B96" s="135" t="s">
        <v>103</v>
      </c>
      <c r="C96" s="135" t="s">
        <v>427</v>
      </c>
      <c r="D96" s="136">
        <v>102.5</v>
      </c>
    </row>
    <row r="97" spans="1:4" x14ac:dyDescent="0.4">
      <c r="A97" s="135" t="s">
        <v>416</v>
      </c>
      <c r="B97" s="135" t="s">
        <v>80</v>
      </c>
      <c r="C97" s="135" t="s">
        <v>428</v>
      </c>
      <c r="D97" s="136">
        <v>102.7</v>
      </c>
    </row>
    <row r="98" spans="1:4" x14ac:dyDescent="0.4">
      <c r="A98" s="135" t="s">
        <v>429</v>
      </c>
      <c r="B98" s="135" t="s">
        <v>83</v>
      </c>
      <c r="C98" s="135" t="s">
        <v>430</v>
      </c>
      <c r="D98" s="136">
        <v>102.2</v>
      </c>
    </row>
    <row r="99" spans="1:4" x14ac:dyDescent="0.4">
      <c r="A99" s="135" t="s">
        <v>429</v>
      </c>
      <c r="B99" s="135" t="s">
        <v>85</v>
      </c>
      <c r="C99" s="135" t="s">
        <v>431</v>
      </c>
      <c r="D99" s="136">
        <v>101.8</v>
      </c>
    </row>
    <row r="100" spans="1:4" x14ac:dyDescent="0.4">
      <c r="A100" s="135" t="s">
        <v>429</v>
      </c>
      <c r="B100" s="135" t="s">
        <v>87</v>
      </c>
      <c r="C100" s="135" t="s">
        <v>432</v>
      </c>
      <c r="D100" s="136">
        <v>101.4</v>
      </c>
    </row>
    <row r="101" spans="1:4" x14ac:dyDescent="0.4">
      <c r="A101" s="135" t="s">
        <v>429</v>
      </c>
      <c r="B101" s="135" t="s">
        <v>89</v>
      </c>
      <c r="C101" s="135" t="s">
        <v>433</v>
      </c>
      <c r="D101" s="136">
        <v>101.6</v>
      </c>
    </row>
    <row r="102" spans="1:4" x14ac:dyDescent="0.4">
      <c r="A102" s="135" t="s">
        <v>429</v>
      </c>
      <c r="B102" s="135" t="s">
        <v>91</v>
      </c>
      <c r="C102" s="135" t="s">
        <v>434</v>
      </c>
      <c r="D102" s="136">
        <v>101.7</v>
      </c>
    </row>
    <row r="103" spans="1:4" x14ac:dyDescent="0.4">
      <c r="A103" s="135" t="s">
        <v>429</v>
      </c>
      <c r="B103" s="135" t="s">
        <v>93</v>
      </c>
      <c r="C103" s="135" t="s">
        <v>435</v>
      </c>
      <c r="D103" s="136">
        <v>101.8</v>
      </c>
    </row>
    <row r="104" spans="1:4" x14ac:dyDescent="0.4">
      <c r="A104" s="135" t="s">
        <v>429</v>
      </c>
      <c r="B104" s="135" t="s">
        <v>95</v>
      </c>
      <c r="C104" s="135" t="s">
        <v>436</v>
      </c>
      <c r="D104" s="136">
        <v>102</v>
      </c>
    </row>
    <row r="105" spans="1:4" x14ac:dyDescent="0.4">
      <c r="A105" s="135" t="s">
        <v>429</v>
      </c>
      <c r="B105" s="135" t="s">
        <v>97</v>
      </c>
      <c r="C105" s="135" t="s">
        <v>437</v>
      </c>
      <c r="D105" s="136">
        <v>102.3</v>
      </c>
    </row>
    <row r="106" spans="1:4" x14ac:dyDescent="0.4">
      <c r="A106" s="135" t="s">
        <v>429</v>
      </c>
      <c r="B106" s="135" t="s">
        <v>99</v>
      </c>
      <c r="C106" s="135" t="s">
        <v>438</v>
      </c>
      <c r="D106" s="136">
        <v>97.8</v>
      </c>
    </row>
    <row r="107" spans="1:4" x14ac:dyDescent="0.4">
      <c r="A107" s="135" t="s">
        <v>429</v>
      </c>
      <c r="B107" s="135" t="s">
        <v>101</v>
      </c>
      <c r="C107" s="135" t="s">
        <v>439</v>
      </c>
      <c r="D107" s="136">
        <v>104.2</v>
      </c>
    </row>
    <row r="108" spans="1:4" x14ac:dyDescent="0.4">
      <c r="A108" s="135" t="s">
        <v>429</v>
      </c>
      <c r="B108" s="135" t="s">
        <v>103</v>
      </c>
      <c r="C108" s="135" t="s">
        <v>440</v>
      </c>
      <c r="D108" s="136">
        <v>104.2</v>
      </c>
    </row>
    <row r="109" spans="1:4" x14ac:dyDescent="0.4">
      <c r="A109" s="135" t="s">
        <v>429</v>
      </c>
      <c r="B109" s="135" t="s">
        <v>80</v>
      </c>
      <c r="C109" s="135" t="s">
        <v>441</v>
      </c>
      <c r="D109" s="136">
        <v>104.3</v>
      </c>
    </row>
    <row r="110" spans="1:4" x14ac:dyDescent="0.4">
      <c r="A110" s="135" t="s">
        <v>442</v>
      </c>
      <c r="B110" s="135" t="s">
        <v>83</v>
      </c>
      <c r="C110" s="135" t="s">
        <v>443</v>
      </c>
      <c r="D110" s="136">
        <v>104.5</v>
      </c>
    </row>
    <row r="111" spans="1:4" x14ac:dyDescent="0.4">
      <c r="A111" s="135" t="s">
        <v>442</v>
      </c>
      <c r="B111" s="135" t="s">
        <v>85</v>
      </c>
      <c r="C111" s="135" t="s">
        <v>444</v>
      </c>
      <c r="D111" s="136">
        <v>104.5</v>
      </c>
    </row>
    <row r="112" spans="1:4" x14ac:dyDescent="0.4">
      <c r="A112" s="135" t="s">
        <v>442</v>
      </c>
      <c r="B112" s="135" t="s">
        <v>87</v>
      </c>
      <c r="C112" s="135" t="s">
        <v>445</v>
      </c>
      <c r="D112" s="136">
        <v>104.6</v>
      </c>
    </row>
    <row r="113" spans="1:4" x14ac:dyDescent="0.4">
      <c r="A113" s="135" t="s">
        <v>442</v>
      </c>
      <c r="B113" s="135" t="s">
        <v>89</v>
      </c>
      <c r="C113" s="135" t="s">
        <v>446</v>
      </c>
      <c r="D113" s="136">
        <v>104.9</v>
      </c>
    </row>
    <row r="114" spans="1:4" x14ac:dyDescent="0.4">
      <c r="A114" s="135" t="s">
        <v>442</v>
      </c>
      <c r="B114" s="135" t="s">
        <v>91</v>
      </c>
      <c r="C114" s="135" t="s">
        <v>447</v>
      </c>
      <c r="D114" s="136">
        <v>104.6</v>
      </c>
    </row>
    <row r="115" spans="1:4" x14ac:dyDescent="0.4">
      <c r="A115" s="135" t="s">
        <v>442</v>
      </c>
      <c r="B115" s="135" t="s">
        <v>93</v>
      </c>
      <c r="C115" s="135" t="s">
        <v>448</v>
      </c>
      <c r="D115" s="136">
        <v>104.4</v>
      </c>
    </row>
    <row r="116" spans="1:4" x14ac:dyDescent="0.4">
      <c r="A116" s="135" t="s">
        <v>442</v>
      </c>
      <c r="B116" s="135" t="s">
        <v>95</v>
      </c>
      <c r="C116" s="135" t="s">
        <v>449</v>
      </c>
      <c r="D116" s="136">
        <v>104.7</v>
      </c>
    </row>
    <row r="117" spans="1:4" x14ac:dyDescent="0.4">
      <c r="A117" s="135" t="s">
        <v>442</v>
      </c>
      <c r="B117" s="135" t="s">
        <v>97</v>
      </c>
      <c r="C117" s="135" t="s">
        <v>450</v>
      </c>
      <c r="D117" s="136">
        <v>104.4</v>
      </c>
    </row>
    <row r="118" spans="1:4" x14ac:dyDescent="0.4">
      <c r="A118" s="135" t="s">
        <v>442</v>
      </c>
      <c r="B118" s="135" t="s">
        <v>99</v>
      </c>
      <c r="C118" s="135" t="s">
        <v>451</v>
      </c>
      <c r="D118" s="136">
        <v>101</v>
      </c>
    </row>
    <row r="119" spans="1:4" x14ac:dyDescent="0.4">
      <c r="A119" s="135" t="s">
        <v>442</v>
      </c>
      <c r="B119" s="135" t="s">
        <v>101</v>
      </c>
      <c r="C119" s="135" t="s">
        <v>452</v>
      </c>
      <c r="D119" s="136">
        <v>106.1</v>
      </c>
    </row>
    <row r="120" spans="1:4" x14ac:dyDescent="0.4">
      <c r="A120" s="135" t="s">
        <v>442</v>
      </c>
      <c r="B120" s="135" t="s">
        <v>103</v>
      </c>
      <c r="C120" s="135" t="s">
        <v>453</v>
      </c>
      <c r="D120" s="136">
        <v>106.3</v>
      </c>
    </row>
    <row r="121" spans="1:4" x14ac:dyDescent="0.4">
      <c r="A121" s="135" t="s">
        <v>442</v>
      </c>
      <c r="B121" s="135" t="s">
        <v>80</v>
      </c>
      <c r="C121" s="135" t="s">
        <v>454</v>
      </c>
      <c r="D121" s="136">
        <v>105.5</v>
      </c>
    </row>
    <row r="122" spans="1:4" x14ac:dyDescent="0.4">
      <c r="A122" s="135" t="s">
        <v>455</v>
      </c>
      <c r="B122" s="135" t="s">
        <v>83</v>
      </c>
      <c r="C122" s="135" t="s">
        <v>456</v>
      </c>
      <c r="D122" s="136">
        <v>106.7</v>
      </c>
    </row>
    <row r="123" spans="1:4" x14ac:dyDescent="0.4">
      <c r="A123" s="135" t="s">
        <v>455</v>
      </c>
      <c r="B123" s="135" t="s">
        <v>85</v>
      </c>
      <c r="C123" s="135" t="s">
        <v>457</v>
      </c>
      <c r="D123" s="136">
        <v>106.8</v>
      </c>
    </row>
    <row r="124" spans="1:4" x14ac:dyDescent="0.4">
      <c r="A124" s="135" t="s">
        <v>455</v>
      </c>
      <c r="B124" s="135" t="s">
        <v>87</v>
      </c>
      <c r="C124" s="135" t="s">
        <v>458</v>
      </c>
      <c r="D124" s="136">
        <v>106.5</v>
      </c>
    </row>
    <row r="125" spans="1:4" x14ac:dyDescent="0.4">
      <c r="A125" s="135" t="s">
        <v>455</v>
      </c>
      <c r="B125" s="135" t="s">
        <v>89</v>
      </c>
      <c r="C125" s="135" t="s">
        <v>459</v>
      </c>
      <c r="D125" s="136">
        <v>106.5</v>
      </c>
    </row>
    <row r="126" spans="1:4" x14ac:dyDescent="0.4">
      <c r="A126" s="135" t="s">
        <v>455</v>
      </c>
      <c r="B126" s="135" t="s">
        <v>91</v>
      </c>
      <c r="C126" s="135" t="s">
        <v>460</v>
      </c>
      <c r="D126" s="136">
        <v>107</v>
      </c>
    </row>
    <row r="127" spans="1:4" x14ac:dyDescent="0.4">
      <c r="A127" s="135" t="s">
        <v>455</v>
      </c>
      <c r="B127" s="135" t="s">
        <v>93</v>
      </c>
      <c r="C127" s="135" t="s">
        <v>461</v>
      </c>
      <c r="D127" s="136">
        <v>107.3</v>
      </c>
    </row>
    <row r="128" spans="1:4" x14ac:dyDescent="0.4">
      <c r="A128" s="135" t="s">
        <v>455</v>
      </c>
      <c r="B128" s="135" t="s">
        <v>95</v>
      </c>
      <c r="C128" s="135" t="s">
        <v>462</v>
      </c>
      <c r="D128" s="136">
        <v>107.3</v>
      </c>
    </row>
    <row r="129" spans="1:4" x14ac:dyDescent="0.4">
      <c r="A129" s="135" t="s">
        <v>455</v>
      </c>
      <c r="B129" s="135" t="s">
        <v>97</v>
      </c>
      <c r="C129" s="135" t="s">
        <v>463</v>
      </c>
      <c r="D129" s="136">
        <v>107.2</v>
      </c>
    </row>
    <row r="130" spans="1:4" x14ac:dyDescent="0.4">
      <c r="A130" s="135" t="s">
        <v>455</v>
      </c>
      <c r="B130" s="135" t="s">
        <v>99</v>
      </c>
      <c r="C130" s="135" t="s">
        <v>464</v>
      </c>
      <c r="D130" s="136">
        <v>100.2</v>
      </c>
    </row>
    <row r="131" spans="1:4" x14ac:dyDescent="0.4">
      <c r="A131" s="135" t="s">
        <v>455</v>
      </c>
      <c r="B131" s="135" t="s">
        <v>101</v>
      </c>
      <c r="C131" s="135" t="s">
        <v>465</v>
      </c>
      <c r="D131" s="136">
        <v>110.4</v>
      </c>
    </row>
    <row r="132" spans="1:4" x14ac:dyDescent="0.4">
      <c r="A132" s="135" t="s">
        <v>455</v>
      </c>
      <c r="B132" s="135" t="s">
        <v>103</v>
      </c>
      <c r="C132" s="135" t="s">
        <v>466</v>
      </c>
      <c r="D132" s="136">
        <v>110.4</v>
      </c>
    </row>
    <row r="133" spans="1:4" x14ac:dyDescent="0.4">
      <c r="A133" s="135" t="s">
        <v>455</v>
      </c>
      <c r="B133" s="135" t="s">
        <v>80</v>
      </c>
      <c r="C133" s="135" t="s">
        <v>467</v>
      </c>
      <c r="D133" s="136">
        <v>110.2</v>
      </c>
    </row>
    <row r="134" spans="1:4" x14ac:dyDescent="0.4">
      <c r="A134" s="135" t="s">
        <v>468</v>
      </c>
      <c r="B134" s="135" t="s">
        <v>83</v>
      </c>
      <c r="C134" s="135" t="s">
        <v>469</v>
      </c>
      <c r="D134" s="136">
        <v>109</v>
      </c>
    </row>
    <row r="135" spans="1:4" x14ac:dyDescent="0.4">
      <c r="A135" s="135" t="s">
        <v>468</v>
      </c>
      <c r="B135" s="135" t="s">
        <v>85</v>
      </c>
      <c r="C135" s="135" t="s">
        <v>470</v>
      </c>
      <c r="D135" s="136">
        <v>109.3</v>
      </c>
    </row>
    <row r="136" spans="1:4" x14ac:dyDescent="0.4">
      <c r="A136" s="135" t="s">
        <v>468</v>
      </c>
      <c r="B136" s="135" t="s">
        <v>87</v>
      </c>
      <c r="C136" s="135" t="s">
        <v>471</v>
      </c>
      <c r="D136" s="136">
        <v>108.7</v>
      </c>
    </row>
    <row r="137" spans="1:4" x14ac:dyDescent="0.4">
      <c r="A137" s="135" t="s">
        <v>468</v>
      </c>
      <c r="B137" s="135" t="s">
        <v>89</v>
      </c>
      <c r="C137" s="135" t="s">
        <v>472</v>
      </c>
      <c r="D137" s="136">
        <v>110.3</v>
      </c>
    </row>
    <row r="138" spans="1:4" x14ac:dyDescent="0.4">
      <c r="A138" s="135" t="s">
        <v>468</v>
      </c>
      <c r="B138" s="135" t="s">
        <v>91</v>
      </c>
      <c r="C138" s="135" t="s">
        <v>473</v>
      </c>
      <c r="D138" s="136">
        <v>110</v>
      </c>
    </row>
    <row r="139" spans="1:4" x14ac:dyDescent="0.4">
      <c r="A139" s="135" t="s">
        <v>468</v>
      </c>
      <c r="B139" s="135" t="s">
        <v>93</v>
      </c>
      <c r="C139" s="135" t="s">
        <v>474</v>
      </c>
      <c r="D139" s="136">
        <v>110.2</v>
      </c>
    </row>
    <row r="140" spans="1:4" x14ac:dyDescent="0.4">
      <c r="A140" s="135" t="s">
        <v>468</v>
      </c>
      <c r="B140" s="135" t="s">
        <v>95</v>
      </c>
      <c r="C140" s="135" t="s">
        <v>475</v>
      </c>
      <c r="D140" s="136">
        <v>110.3</v>
      </c>
    </row>
    <row r="141" spans="1:4" x14ac:dyDescent="0.4">
      <c r="A141" s="135" t="s">
        <v>468</v>
      </c>
      <c r="B141" s="135" t="s">
        <v>97</v>
      </c>
      <c r="C141" s="135" t="s">
        <v>476</v>
      </c>
      <c r="D141" s="136">
        <v>109.7</v>
      </c>
    </row>
    <row r="142" spans="1:4" x14ac:dyDescent="0.4">
      <c r="A142" s="135" t="s">
        <v>468</v>
      </c>
      <c r="B142" s="135" t="s">
        <v>99</v>
      </c>
      <c r="C142" s="135" t="s">
        <v>477</v>
      </c>
      <c r="D142" s="136">
        <v>105.6</v>
      </c>
    </row>
    <row r="143" spans="1:4" x14ac:dyDescent="0.4">
      <c r="A143" s="135" t="s">
        <v>468</v>
      </c>
      <c r="B143" s="135" t="s">
        <v>101</v>
      </c>
      <c r="C143" s="135" t="s">
        <v>478</v>
      </c>
      <c r="D143" s="136">
        <v>116.9</v>
      </c>
    </row>
    <row r="144" spans="1:4" x14ac:dyDescent="0.4">
      <c r="A144" s="135" t="s">
        <v>468</v>
      </c>
      <c r="B144" s="135" t="s">
        <v>103</v>
      </c>
      <c r="C144" s="135" t="s">
        <v>479</v>
      </c>
      <c r="D144" s="136">
        <v>116.7</v>
      </c>
    </row>
    <row r="145" spans="1:4" x14ac:dyDescent="0.4">
      <c r="A145" s="135" t="s">
        <v>468</v>
      </c>
      <c r="B145" s="135" t="s">
        <v>80</v>
      </c>
      <c r="C145" s="135" t="s">
        <v>480</v>
      </c>
      <c r="D145" s="136">
        <v>115.4</v>
      </c>
    </row>
    <row r="146" spans="1:4" x14ac:dyDescent="0.4">
      <c r="A146" s="135" t="s">
        <v>481</v>
      </c>
      <c r="B146" s="135" t="s">
        <v>83</v>
      </c>
      <c r="C146" s="135" t="s">
        <v>482</v>
      </c>
      <c r="D146" s="136">
        <v>115.3</v>
      </c>
    </row>
    <row r="147" spans="1:4" x14ac:dyDescent="0.4">
      <c r="A147" s="135" t="s">
        <v>481</v>
      </c>
      <c r="B147" s="135" t="s">
        <v>85</v>
      </c>
      <c r="C147" s="135" t="s">
        <v>483</v>
      </c>
      <c r="D147" s="136">
        <v>112.6</v>
      </c>
    </row>
    <row r="148" spans="1:4" x14ac:dyDescent="0.4">
      <c r="A148" s="135" t="s">
        <v>481</v>
      </c>
      <c r="B148" s="135" t="s">
        <v>87</v>
      </c>
      <c r="C148" s="135" t="s">
        <v>484</v>
      </c>
      <c r="D148" s="136">
        <v>111.9</v>
      </c>
    </row>
    <row r="149" spans="1:4" x14ac:dyDescent="0.4">
      <c r="A149" s="135" t="s">
        <v>481</v>
      </c>
      <c r="B149" s="135" t="s">
        <v>89</v>
      </c>
      <c r="C149" s="135" t="s">
        <v>485</v>
      </c>
      <c r="D149" s="136">
        <v>113.7</v>
      </c>
    </row>
    <row r="150" spans="1:4" x14ac:dyDescent="0.4">
      <c r="A150" s="135" t="s">
        <v>481</v>
      </c>
      <c r="B150" s="135" t="s">
        <v>91</v>
      </c>
      <c r="C150" s="135" t="s">
        <v>486</v>
      </c>
      <c r="D150" s="136">
        <v>112.9</v>
      </c>
    </row>
    <row r="151" spans="1:4" x14ac:dyDescent="0.4">
      <c r="A151" s="135" t="s">
        <v>481</v>
      </c>
      <c r="B151" s="135" t="s">
        <v>93</v>
      </c>
      <c r="C151" s="135" t="s">
        <v>487</v>
      </c>
      <c r="D151" s="136">
        <v>112.5</v>
      </c>
    </row>
    <row r="152" spans="1:4" x14ac:dyDescent="0.4">
      <c r="A152" s="135" t="s">
        <v>481</v>
      </c>
      <c r="B152" s="135" t="s">
        <v>95</v>
      </c>
      <c r="C152" s="135" t="s">
        <v>488</v>
      </c>
      <c r="D152" s="136">
        <v>112.4</v>
      </c>
    </row>
    <row r="153" spans="1:4" x14ac:dyDescent="0.4">
      <c r="A153" s="135" t="s">
        <v>481</v>
      </c>
      <c r="B153" s="135" t="s">
        <v>97</v>
      </c>
      <c r="C153" s="135" t="s">
        <v>489</v>
      </c>
      <c r="D153" s="136">
        <v>111.4</v>
      </c>
    </row>
    <row r="154" spans="1:4" x14ac:dyDescent="0.4">
      <c r="A154" s="135" t="s">
        <v>481</v>
      </c>
      <c r="B154" s="135" t="s">
        <v>99</v>
      </c>
      <c r="C154" s="135" t="s">
        <v>490</v>
      </c>
      <c r="D154" s="136">
        <v>108.4</v>
      </c>
    </row>
    <row r="155" spans="1:4" x14ac:dyDescent="0.4">
      <c r="A155" s="135" t="s">
        <v>481</v>
      </c>
      <c r="B155" s="135" t="s">
        <v>101</v>
      </c>
      <c r="C155" s="135" t="s">
        <v>491</v>
      </c>
      <c r="D155" s="136">
        <v>116.5</v>
      </c>
    </row>
    <row r="156" spans="1:4" x14ac:dyDescent="0.4">
      <c r="A156" s="135" t="s">
        <v>481</v>
      </c>
      <c r="B156" s="135" t="s">
        <v>103</v>
      </c>
      <c r="C156" s="135" t="s">
        <v>492</v>
      </c>
      <c r="D156" s="136">
        <v>115.2</v>
      </c>
    </row>
    <row r="157" spans="1:4" x14ac:dyDescent="0.4">
      <c r="A157" s="135" t="s">
        <v>481</v>
      </c>
      <c r="B157" s="135" t="s">
        <v>80</v>
      </c>
      <c r="C157" s="135" t="s">
        <v>493</v>
      </c>
      <c r="D157" s="136">
        <v>112.8</v>
      </c>
    </row>
    <row r="158" spans="1:4" x14ac:dyDescent="0.4">
      <c r="A158" s="135" t="s">
        <v>494</v>
      </c>
      <c r="B158" s="135" t="s">
        <v>83</v>
      </c>
      <c r="C158" s="135" t="s">
        <v>495</v>
      </c>
      <c r="D158" s="136">
        <v>113</v>
      </c>
    </row>
    <row r="159" spans="1:4" x14ac:dyDescent="0.4">
      <c r="A159" s="135" t="s">
        <v>494</v>
      </c>
      <c r="B159" s="135" t="s">
        <v>85</v>
      </c>
      <c r="C159" s="135" t="s">
        <v>496</v>
      </c>
      <c r="D159" s="136">
        <v>113</v>
      </c>
    </row>
    <row r="160" spans="1:4" x14ac:dyDescent="0.4">
      <c r="A160" s="135" t="s">
        <v>494</v>
      </c>
      <c r="B160" s="135" t="s">
        <v>87</v>
      </c>
      <c r="C160" s="135" t="s">
        <v>497</v>
      </c>
      <c r="D160" s="136">
        <v>112.5</v>
      </c>
    </row>
    <row r="161" spans="1:4" x14ac:dyDescent="0.4">
      <c r="A161" s="135" t="s">
        <v>494</v>
      </c>
      <c r="B161" s="135" t="s">
        <v>89</v>
      </c>
      <c r="C161" s="135" t="s">
        <v>498</v>
      </c>
      <c r="D161" s="136">
        <v>112.6</v>
      </c>
    </row>
    <row r="162" spans="1:4" x14ac:dyDescent="0.4">
      <c r="A162" s="135" t="s">
        <v>494</v>
      </c>
      <c r="B162" s="135" t="s">
        <v>91</v>
      </c>
      <c r="C162" s="135" t="s">
        <v>499</v>
      </c>
      <c r="D162" s="136">
        <v>113</v>
      </c>
    </row>
    <row r="163" spans="1:4" x14ac:dyDescent="0.4">
      <c r="A163" s="135" t="s">
        <v>494</v>
      </c>
      <c r="B163" s="135" t="s">
        <v>93</v>
      </c>
      <c r="C163" s="135" t="s">
        <v>500</v>
      </c>
      <c r="D163" s="136">
        <v>113.1</v>
      </c>
    </row>
    <row r="164" spans="1:4" x14ac:dyDescent="0.4">
      <c r="A164" s="135" t="s">
        <v>494</v>
      </c>
      <c r="B164" s="135" t="s">
        <v>95</v>
      </c>
      <c r="C164" s="135" t="s">
        <v>501</v>
      </c>
      <c r="D164" s="136">
        <v>113.2</v>
      </c>
    </row>
    <row r="165" spans="1:4" x14ac:dyDescent="0.4">
      <c r="A165" s="135" t="s">
        <v>494</v>
      </c>
      <c r="B165" s="135" t="s">
        <v>97</v>
      </c>
      <c r="C165" s="135" t="s">
        <v>502</v>
      </c>
      <c r="D165" s="136">
        <v>113.3</v>
      </c>
    </row>
    <row r="166" spans="1:4" x14ac:dyDescent="0.4">
      <c r="A166" s="135" t="s">
        <v>494</v>
      </c>
      <c r="B166" s="135" t="s">
        <v>99</v>
      </c>
      <c r="C166" s="135" t="s">
        <v>503</v>
      </c>
      <c r="D166" s="136">
        <v>110.2</v>
      </c>
    </row>
    <row r="167" spans="1:4" x14ac:dyDescent="0.4">
      <c r="A167" s="135" t="s">
        <v>494</v>
      </c>
      <c r="B167" s="135" t="s">
        <v>101</v>
      </c>
      <c r="C167" s="135" t="s">
        <v>504</v>
      </c>
      <c r="D167" s="136">
        <v>119.5</v>
      </c>
    </row>
    <row r="168" spans="1:4" x14ac:dyDescent="0.4">
      <c r="A168" s="135" t="s">
        <v>494</v>
      </c>
      <c r="B168" s="135" t="s">
        <v>103</v>
      </c>
      <c r="C168" s="135" t="s">
        <v>505</v>
      </c>
      <c r="D168" s="136">
        <v>118.1</v>
      </c>
    </row>
    <row r="169" spans="1:4" x14ac:dyDescent="0.4">
      <c r="A169" s="135" t="s">
        <v>494</v>
      </c>
      <c r="B169" s="135" t="s">
        <v>80</v>
      </c>
      <c r="C169" s="135" t="s">
        <v>506</v>
      </c>
      <c r="D169" s="136">
        <v>117.9</v>
      </c>
    </row>
    <row r="170" spans="1:4" x14ac:dyDescent="0.4">
      <c r="A170" s="135" t="s">
        <v>507</v>
      </c>
      <c r="B170" s="135" t="s">
        <v>83</v>
      </c>
      <c r="C170" s="135" t="s">
        <v>508</v>
      </c>
      <c r="D170" s="136">
        <v>117.8</v>
      </c>
    </row>
    <row r="171" spans="1:4" x14ac:dyDescent="0.4">
      <c r="A171" s="135" t="s">
        <v>507</v>
      </c>
      <c r="B171" s="135" t="s">
        <v>85</v>
      </c>
      <c r="C171" s="135" t="s">
        <v>509</v>
      </c>
      <c r="D171" s="136">
        <v>118.1</v>
      </c>
    </row>
    <row r="172" spans="1:4" x14ac:dyDescent="0.4">
      <c r="A172" s="135" t="s">
        <v>507</v>
      </c>
      <c r="B172" s="135" t="s">
        <v>87</v>
      </c>
      <c r="C172" s="135" t="s">
        <v>510</v>
      </c>
      <c r="D172" s="136">
        <v>116.4</v>
      </c>
    </row>
    <row r="173" spans="1:4" x14ac:dyDescent="0.4">
      <c r="A173" s="135" t="s">
        <v>507</v>
      </c>
      <c r="B173" s="135" t="s">
        <v>89</v>
      </c>
      <c r="C173" s="135" t="s">
        <v>511</v>
      </c>
      <c r="D173" s="136">
        <v>115.4</v>
      </c>
    </row>
    <row r="174" spans="1:4" x14ac:dyDescent="0.4">
      <c r="A174" s="135" t="s">
        <v>507</v>
      </c>
      <c r="B174" s="135" t="s">
        <v>91</v>
      </c>
      <c r="C174" s="135" t="s">
        <v>512</v>
      </c>
      <c r="D174" s="136">
        <v>116.6</v>
      </c>
    </row>
    <row r="175" spans="1:4" x14ac:dyDescent="0.4">
      <c r="A175" s="135" t="s">
        <v>507</v>
      </c>
      <c r="B175" s="135" t="s">
        <v>93</v>
      </c>
      <c r="C175" s="135" t="s">
        <v>513</v>
      </c>
      <c r="D175" s="136">
        <v>116.9</v>
      </c>
    </row>
    <row r="176" spans="1:4" x14ac:dyDescent="0.4">
      <c r="A176" s="135" t="s">
        <v>507</v>
      </c>
      <c r="B176" s="135" t="s">
        <v>95</v>
      </c>
      <c r="C176" s="135" t="s">
        <v>514</v>
      </c>
      <c r="D176" s="136">
        <v>114.7</v>
      </c>
    </row>
    <row r="177" spans="1:4" x14ac:dyDescent="0.4">
      <c r="A177" s="135" t="s">
        <v>507</v>
      </c>
      <c r="B177" s="135" t="s">
        <v>97</v>
      </c>
      <c r="C177" s="135" t="s">
        <v>515</v>
      </c>
      <c r="D177" s="136">
        <v>114.6</v>
      </c>
    </row>
    <row r="178" spans="1:4" x14ac:dyDescent="0.4">
      <c r="A178" s="135" t="s">
        <v>507</v>
      </c>
      <c r="B178" s="135" t="s">
        <v>99</v>
      </c>
      <c r="C178" s="135" t="s">
        <v>516</v>
      </c>
      <c r="D178" s="136">
        <v>113.3</v>
      </c>
    </row>
    <row r="179" spans="1:4" x14ac:dyDescent="0.4">
      <c r="A179" s="135" t="s">
        <v>507</v>
      </c>
      <c r="B179" s="135" t="s">
        <v>101</v>
      </c>
      <c r="C179" s="135" t="s">
        <v>517</v>
      </c>
      <c r="D179" s="136">
        <v>122.5</v>
      </c>
    </row>
    <row r="180" spans="1:4" x14ac:dyDescent="0.4">
      <c r="A180" s="135" t="s">
        <v>507</v>
      </c>
      <c r="B180" s="135" t="s">
        <v>103</v>
      </c>
      <c r="C180" s="135" t="s">
        <v>518</v>
      </c>
      <c r="D180" s="136">
        <v>121.2</v>
      </c>
    </row>
    <row r="181" spans="1:4" x14ac:dyDescent="0.4">
      <c r="A181" s="135" t="s">
        <v>507</v>
      </c>
      <c r="B181" s="135" t="s">
        <v>80</v>
      </c>
      <c r="C181" s="135" t="s">
        <v>519</v>
      </c>
      <c r="D181" s="136">
        <v>120.8</v>
      </c>
    </row>
    <row r="182" spans="1:4" x14ac:dyDescent="0.4">
      <c r="A182" s="135" t="s">
        <v>520</v>
      </c>
      <c r="B182" s="135" t="s">
        <v>83</v>
      </c>
      <c r="C182" s="135" t="s">
        <v>521</v>
      </c>
      <c r="D182" s="136">
        <v>118.4</v>
      </c>
    </row>
    <row r="183" spans="1:4" x14ac:dyDescent="0.4">
      <c r="A183" s="135" t="s">
        <v>520</v>
      </c>
      <c r="B183" s="135" t="s">
        <v>85</v>
      </c>
      <c r="C183" s="135" t="s">
        <v>522</v>
      </c>
      <c r="D183" s="136">
        <v>118.5</v>
      </c>
    </row>
    <row r="184" spans="1:4" x14ac:dyDescent="0.4">
      <c r="A184" s="135" t="s">
        <v>520</v>
      </c>
      <c r="B184" s="135" t="s">
        <v>87</v>
      </c>
      <c r="C184" s="135" t="s">
        <v>523</v>
      </c>
      <c r="D184" s="136">
        <v>118</v>
      </c>
    </row>
    <row r="185" spans="1:4" x14ac:dyDescent="0.4">
      <c r="A185" s="135" t="s">
        <v>520</v>
      </c>
      <c r="B185" s="135" t="s">
        <v>89</v>
      </c>
      <c r="C185" s="135" t="s">
        <v>524</v>
      </c>
      <c r="D185" s="136">
        <v>117.8</v>
      </c>
    </row>
    <row r="186" spans="1:4" x14ac:dyDescent="0.4">
      <c r="A186" s="135" t="s">
        <v>520</v>
      </c>
      <c r="B186" s="135" t="s">
        <v>91</v>
      </c>
      <c r="C186" s="135" t="s">
        <v>525</v>
      </c>
      <c r="D186" s="136">
        <v>117.3</v>
      </c>
    </row>
    <row r="187" spans="1:4" x14ac:dyDescent="0.4">
      <c r="A187" s="135" t="s">
        <v>520</v>
      </c>
      <c r="B187" s="135" t="s">
        <v>93</v>
      </c>
      <c r="C187" s="135" t="s">
        <v>526</v>
      </c>
      <c r="D187" s="136">
        <v>119</v>
      </c>
    </row>
    <row r="188" spans="1:4" x14ac:dyDescent="0.4">
      <c r="A188" s="135" t="s">
        <v>520</v>
      </c>
      <c r="B188" s="135" t="s">
        <v>95</v>
      </c>
      <c r="C188" s="135" t="s">
        <v>527</v>
      </c>
      <c r="D188" s="136">
        <v>119.2</v>
      </c>
    </row>
    <row r="189" spans="1:4" x14ac:dyDescent="0.4">
      <c r="A189" s="135" t="s">
        <v>520</v>
      </c>
      <c r="B189" s="135" t="s">
        <v>97</v>
      </c>
      <c r="C189" s="135" t="s">
        <v>528</v>
      </c>
      <c r="D189" s="136">
        <v>118.2</v>
      </c>
    </row>
    <row r="190" spans="1:4" x14ac:dyDescent="0.4">
      <c r="A190" s="135" t="s">
        <v>520</v>
      </c>
      <c r="B190" s="135" t="s">
        <v>99</v>
      </c>
      <c r="C190" s="135" t="s">
        <v>529</v>
      </c>
      <c r="D190" s="136">
        <v>117.2</v>
      </c>
    </row>
    <row r="191" spans="1:4" x14ac:dyDescent="0.4">
      <c r="A191" s="135" t="s">
        <v>520</v>
      </c>
      <c r="B191" s="135" t="s">
        <v>101</v>
      </c>
      <c r="C191" s="135" t="s">
        <v>530</v>
      </c>
      <c r="D191" s="136">
        <v>125</v>
      </c>
    </row>
    <row r="192" spans="1:4" x14ac:dyDescent="0.4">
      <c r="A192" s="135" t="s">
        <v>520</v>
      </c>
      <c r="B192" s="135" t="s">
        <v>103</v>
      </c>
      <c r="C192" s="135" t="s">
        <v>531</v>
      </c>
      <c r="D192" s="136">
        <v>124.8</v>
      </c>
    </row>
    <row r="193" spans="1:4" x14ac:dyDescent="0.4">
      <c r="A193" s="135" t="s">
        <v>520</v>
      </c>
      <c r="B193" s="135" t="s">
        <v>80</v>
      </c>
      <c r="C193" s="135" t="s">
        <v>532</v>
      </c>
      <c r="D193" s="136">
        <v>124.8</v>
      </c>
    </row>
    <row r="194" spans="1:4" x14ac:dyDescent="0.4">
      <c r="A194" s="135" t="s">
        <v>533</v>
      </c>
      <c r="B194" s="135" t="s">
        <v>83</v>
      </c>
      <c r="C194" s="135" t="s">
        <v>534</v>
      </c>
      <c r="D194" s="136">
        <v>125.1</v>
      </c>
    </row>
    <row r="195" spans="1:4" x14ac:dyDescent="0.4">
      <c r="A195" s="135" t="s">
        <v>533</v>
      </c>
      <c r="B195" s="135" t="s">
        <v>85</v>
      </c>
      <c r="C195" s="135" t="s">
        <v>535</v>
      </c>
      <c r="D195" s="136">
        <v>125.9</v>
      </c>
    </row>
    <row r="196" spans="1:4" x14ac:dyDescent="0.4">
      <c r="A196" s="135" t="s">
        <v>533</v>
      </c>
      <c r="B196" s="135" t="s">
        <v>87</v>
      </c>
      <c r="C196" s="135" t="s">
        <v>536</v>
      </c>
      <c r="D196" s="136">
        <v>125.5</v>
      </c>
    </row>
    <row r="197" spans="1:4" x14ac:dyDescent="0.4">
      <c r="A197" s="135" t="s">
        <v>533</v>
      </c>
      <c r="B197" s="135" t="s">
        <v>89</v>
      </c>
      <c r="C197" s="135" t="s">
        <v>537</v>
      </c>
      <c r="D197" s="136">
        <v>124.4</v>
      </c>
    </row>
    <row r="198" spans="1:4" x14ac:dyDescent="0.4">
      <c r="A198" s="135" t="s">
        <v>533</v>
      </c>
      <c r="B198" s="135" t="s">
        <v>91</v>
      </c>
      <c r="C198" s="135" t="s">
        <v>538</v>
      </c>
      <c r="D198" s="136">
        <v>123.2</v>
      </c>
    </row>
    <row r="199" spans="1:4" x14ac:dyDescent="0.4">
      <c r="A199" s="135" t="s">
        <v>533</v>
      </c>
      <c r="B199" s="135" t="s">
        <v>93</v>
      </c>
      <c r="C199" s="135" t="s">
        <v>539</v>
      </c>
      <c r="D199" s="136">
        <v>122.9</v>
      </c>
    </row>
    <row r="200" spans="1:4" x14ac:dyDescent="0.4">
      <c r="A200" s="135" t="s">
        <v>533</v>
      </c>
      <c r="B200" s="135" t="s">
        <v>95</v>
      </c>
      <c r="C200" s="135" t="s">
        <v>540</v>
      </c>
      <c r="D200" s="136">
        <v>122.8</v>
      </c>
    </row>
    <row r="201" spans="1:4" x14ac:dyDescent="0.4">
      <c r="A201" s="135" t="s">
        <v>533</v>
      </c>
      <c r="B201" s="135" t="s">
        <v>97</v>
      </c>
      <c r="C201" s="135" t="s">
        <v>541</v>
      </c>
      <c r="D201" s="136">
        <v>122.6</v>
      </c>
    </row>
    <row r="202" spans="1:4" x14ac:dyDescent="0.4">
      <c r="A202" s="135" t="s">
        <v>533</v>
      </c>
      <c r="B202" s="135" t="s">
        <v>99</v>
      </c>
      <c r="C202" s="135" t="s">
        <v>542</v>
      </c>
      <c r="D202" s="136">
        <v>120.3</v>
      </c>
    </row>
    <row r="203" spans="1:4" x14ac:dyDescent="0.4">
      <c r="A203" s="135" t="s">
        <v>533</v>
      </c>
      <c r="B203" s="135" t="s">
        <v>101</v>
      </c>
      <c r="C203" s="135" t="s">
        <v>543</v>
      </c>
      <c r="D203" s="136">
        <v>131</v>
      </c>
    </row>
    <row r="204" spans="1:4" x14ac:dyDescent="0.4">
      <c r="A204" s="135" t="s">
        <v>533</v>
      </c>
      <c r="B204" s="135" t="s">
        <v>103</v>
      </c>
      <c r="C204" s="135" t="s">
        <v>544</v>
      </c>
      <c r="D204" s="136">
        <v>130.30000000000001</v>
      </c>
    </row>
    <row r="205" spans="1:4" x14ac:dyDescent="0.4">
      <c r="A205" s="135" t="s">
        <v>533</v>
      </c>
      <c r="B205" s="135" t="s">
        <v>80</v>
      </c>
      <c r="C205" s="135" t="s">
        <v>545</v>
      </c>
      <c r="D205" s="136">
        <v>129.5</v>
      </c>
    </row>
    <row r="206" spans="1:4" x14ac:dyDescent="0.4">
      <c r="A206" s="135" t="s">
        <v>546</v>
      </c>
      <c r="B206" s="135" t="s">
        <v>83</v>
      </c>
      <c r="C206" s="135" t="s">
        <v>547</v>
      </c>
      <c r="D206" s="136">
        <v>129.19999999999999</v>
      </c>
    </row>
    <row r="207" spans="1:4" x14ac:dyDescent="0.4">
      <c r="A207" s="135" t="s">
        <v>546</v>
      </c>
      <c r="B207" s="135" t="s">
        <v>85</v>
      </c>
      <c r="C207" s="135" t="s">
        <v>548</v>
      </c>
      <c r="D207" s="136">
        <v>129</v>
      </c>
    </row>
    <row r="208" spans="1:4" x14ac:dyDescent="0.4">
      <c r="A208" s="135" t="s">
        <v>546</v>
      </c>
      <c r="B208" s="135" t="s">
        <v>87</v>
      </c>
      <c r="C208" s="135" t="s">
        <v>549</v>
      </c>
      <c r="D208" s="136">
        <v>129.30000000000001</v>
      </c>
    </row>
    <row r="209" spans="1:4" x14ac:dyDescent="0.4">
      <c r="A209" s="135" t="s">
        <v>546</v>
      </c>
      <c r="B209" s="135" t="s">
        <v>89</v>
      </c>
      <c r="C209" s="135" t="s">
        <v>550</v>
      </c>
      <c r="D209" s="136">
        <v>129.19999999999999</v>
      </c>
    </row>
    <row r="210" spans="1:4" x14ac:dyDescent="0.4">
      <c r="A210" s="135" t="s">
        <v>546</v>
      </c>
      <c r="B210" s="135" t="s">
        <v>91</v>
      </c>
      <c r="C210" s="135" t="s">
        <v>551</v>
      </c>
      <c r="D210" s="136">
        <v>128.9</v>
      </c>
    </row>
    <row r="211" spans="1:4" x14ac:dyDescent="0.4">
      <c r="A211" s="135" t="s">
        <v>546</v>
      </c>
      <c r="B211" s="135" t="s">
        <v>93</v>
      </c>
      <c r="C211" s="135" t="s">
        <v>552</v>
      </c>
      <c r="D211" s="136">
        <v>128.30000000000001</v>
      </c>
    </row>
    <row r="212" spans="1:4" x14ac:dyDescent="0.4">
      <c r="A212" s="135" t="s">
        <v>546</v>
      </c>
      <c r="B212" s="135" t="s">
        <v>95</v>
      </c>
      <c r="C212" s="135" t="s">
        <v>553</v>
      </c>
      <c r="D212" s="136">
        <v>128.4</v>
      </c>
    </row>
    <row r="213" spans="1:4" x14ac:dyDescent="0.4">
      <c r="A213" s="135" t="s">
        <v>546</v>
      </c>
      <c r="B213" s="135" t="s">
        <v>97</v>
      </c>
      <c r="C213" s="135" t="s">
        <v>554</v>
      </c>
      <c r="D213" s="136">
        <v>127.5</v>
      </c>
    </row>
    <row r="214" spans="1:4" x14ac:dyDescent="0.4">
      <c r="A214" s="135" t="s">
        <v>546</v>
      </c>
      <c r="B214" s="135" t="s">
        <v>99</v>
      </c>
      <c r="C214" s="135" t="s">
        <v>555</v>
      </c>
      <c r="D214" s="136">
        <v>123.5</v>
      </c>
    </row>
    <row r="215" spans="1:4" x14ac:dyDescent="0.4">
      <c r="A215" s="135" t="s">
        <v>546</v>
      </c>
      <c r="B215" s="135" t="s">
        <v>101</v>
      </c>
      <c r="C215" s="135" t="s">
        <v>556</v>
      </c>
      <c r="D215" s="136">
        <v>132.1</v>
      </c>
    </row>
    <row r="216" spans="1:4" x14ac:dyDescent="0.4">
      <c r="A216" s="135" t="s">
        <v>546</v>
      </c>
      <c r="B216" s="135" t="s">
        <v>103</v>
      </c>
      <c r="C216" s="135" t="s">
        <v>557</v>
      </c>
      <c r="D216" s="136">
        <v>132.1</v>
      </c>
    </row>
    <row r="217" spans="1:4" x14ac:dyDescent="0.4">
      <c r="A217" s="135" t="s">
        <v>546</v>
      </c>
      <c r="B217" s="135" t="s">
        <v>80</v>
      </c>
      <c r="C217" s="135" t="s">
        <v>558</v>
      </c>
      <c r="D217" s="136">
        <v>131.80000000000001</v>
      </c>
    </row>
    <row r="218" spans="1:4" x14ac:dyDescent="0.4">
      <c r="A218" s="135" t="s">
        <v>559</v>
      </c>
      <c r="B218" s="135" t="s">
        <v>83</v>
      </c>
      <c r="C218" s="135" t="s">
        <v>560</v>
      </c>
      <c r="D218" s="136">
        <v>132.1</v>
      </c>
    </row>
    <row r="219" spans="1:4" x14ac:dyDescent="0.4">
      <c r="A219" s="135" t="s">
        <v>559</v>
      </c>
      <c r="B219" s="135" t="s">
        <v>85</v>
      </c>
      <c r="C219" s="135" t="s">
        <v>561</v>
      </c>
      <c r="D219" s="136">
        <v>132.9</v>
      </c>
    </row>
    <row r="220" spans="1:4" x14ac:dyDescent="0.4">
      <c r="A220" s="135" t="s">
        <v>559</v>
      </c>
      <c r="B220" s="135" t="s">
        <v>87</v>
      </c>
      <c r="C220" s="135" t="s">
        <v>562</v>
      </c>
      <c r="D220" s="136">
        <v>133</v>
      </c>
    </row>
    <row r="221" spans="1:4" x14ac:dyDescent="0.4">
      <c r="A221" s="135" t="s">
        <v>559</v>
      </c>
      <c r="B221" s="135" t="s">
        <v>89</v>
      </c>
      <c r="C221" s="135" t="s">
        <v>563</v>
      </c>
      <c r="D221" s="136">
        <v>132.9</v>
      </c>
    </row>
    <row r="222" spans="1:4" x14ac:dyDescent="0.4">
      <c r="A222" s="135" t="s">
        <v>559</v>
      </c>
      <c r="B222" s="135" t="s">
        <v>91</v>
      </c>
      <c r="C222" s="135" t="s">
        <v>564</v>
      </c>
      <c r="D222" s="136">
        <v>132.6</v>
      </c>
    </row>
    <row r="223" spans="1:4" x14ac:dyDescent="0.4">
      <c r="A223" s="135" t="s">
        <v>559</v>
      </c>
      <c r="B223" s="135" t="s">
        <v>93</v>
      </c>
      <c r="C223" s="135" t="s">
        <v>565</v>
      </c>
      <c r="D223" s="136">
        <v>132.80000000000001</v>
      </c>
    </row>
    <row r="224" spans="1:4" x14ac:dyDescent="0.4">
      <c r="A224" s="135" t="s">
        <v>559</v>
      </c>
      <c r="B224" s="135" t="s">
        <v>95</v>
      </c>
      <c r="C224" s="135" t="s">
        <v>566</v>
      </c>
      <c r="D224" s="136">
        <v>132.9</v>
      </c>
    </row>
    <row r="225" spans="1:4" x14ac:dyDescent="0.4">
      <c r="A225" s="135" t="s">
        <v>559</v>
      </c>
      <c r="B225" s="135" t="s">
        <v>97</v>
      </c>
      <c r="C225" s="135" t="s">
        <v>567</v>
      </c>
      <c r="D225" s="136">
        <v>132.6</v>
      </c>
    </row>
    <row r="226" spans="1:4" x14ac:dyDescent="0.4">
      <c r="A226" s="135" t="s">
        <v>559</v>
      </c>
      <c r="B226" s="135" t="s">
        <v>99</v>
      </c>
      <c r="C226" s="135" t="s">
        <v>568</v>
      </c>
      <c r="D226" s="136">
        <v>128</v>
      </c>
    </row>
    <row r="227" spans="1:4" x14ac:dyDescent="0.4">
      <c r="A227" s="135" t="s">
        <v>559</v>
      </c>
      <c r="B227" s="135" t="s">
        <v>101</v>
      </c>
      <c r="C227" s="135" t="s">
        <v>569</v>
      </c>
      <c r="D227" s="136">
        <v>135.69999999999999</v>
      </c>
    </row>
    <row r="228" spans="1:4" x14ac:dyDescent="0.4">
      <c r="A228" s="135" t="s">
        <v>559</v>
      </c>
      <c r="B228" s="135" t="s">
        <v>103</v>
      </c>
      <c r="C228" s="135" t="s">
        <v>570</v>
      </c>
      <c r="D228" s="136">
        <v>136.19999999999999</v>
      </c>
    </row>
    <row r="229" spans="1:4" x14ac:dyDescent="0.4">
      <c r="A229" s="135" t="s">
        <v>559</v>
      </c>
      <c r="B229" s="135" t="s">
        <v>80</v>
      </c>
      <c r="C229" s="135" t="s">
        <v>571</v>
      </c>
      <c r="D229" s="136">
        <v>136.30000000000001</v>
      </c>
    </row>
    <row r="230" spans="1:4" x14ac:dyDescent="0.4">
      <c r="A230" s="135" t="s">
        <v>572</v>
      </c>
      <c r="B230" s="135" t="s">
        <v>83</v>
      </c>
      <c r="C230" s="135" t="s">
        <v>573</v>
      </c>
      <c r="D230" s="136">
        <v>137.30000000000001</v>
      </c>
    </row>
    <row r="231" spans="1:4" x14ac:dyDescent="0.4">
      <c r="A231" s="135" t="s">
        <v>572</v>
      </c>
      <c r="B231" s="135" t="s">
        <v>85</v>
      </c>
      <c r="C231" s="135" t="s">
        <v>574</v>
      </c>
      <c r="D231" s="136">
        <v>137.5</v>
      </c>
    </row>
    <row r="232" spans="1:4" x14ac:dyDescent="0.4">
      <c r="A232" s="135" t="s">
        <v>572</v>
      </c>
      <c r="B232" s="135" t="s">
        <v>87</v>
      </c>
      <c r="C232" s="135" t="s">
        <v>575</v>
      </c>
      <c r="D232" s="136">
        <v>137.4</v>
      </c>
    </row>
    <row r="233" spans="1:4" x14ac:dyDescent="0.4">
      <c r="A233" s="135" t="s">
        <v>572</v>
      </c>
      <c r="B233" s="135" t="s">
        <v>89</v>
      </c>
      <c r="C233" s="135" t="s">
        <v>576</v>
      </c>
      <c r="D233" s="136">
        <v>137.4</v>
      </c>
    </row>
    <row r="234" spans="1:4" x14ac:dyDescent="0.4">
      <c r="A234" s="135" t="s">
        <v>572</v>
      </c>
      <c r="B234" s="135" t="s">
        <v>91</v>
      </c>
      <c r="C234" s="135" t="s">
        <v>577</v>
      </c>
      <c r="D234" s="136">
        <v>138.30000000000001</v>
      </c>
    </row>
    <row r="235" spans="1:4" x14ac:dyDescent="0.4">
      <c r="A235" s="135" t="s">
        <v>572</v>
      </c>
      <c r="B235" s="135" t="s">
        <v>93</v>
      </c>
      <c r="C235" s="135" t="s">
        <v>578</v>
      </c>
      <c r="D235" s="136">
        <v>138.1</v>
      </c>
    </row>
    <row r="236" spans="1:4" x14ac:dyDescent="0.4">
      <c r="A236" s="135" t="s">
        <v>572</v>
      </c>
      <c r="B236" s="135" t="s">
        <v>95</v>
      </c>
      <c r="C236" s="135" t="s">
        <v>579</v>
      </c>
      <c r="D236" s="136">
        <v>138.19999999999999</v>
      </c>
    </row>
    <row r="237" spans="1:4" x14ac:dyDescent="0.4">
      <c r="A237" s="135" t="s">
        <v>572</v>
      </c>
      <c r="B237" s="135" t="s">
        <v>97</v>
      </c>
      <c r="C237" s="135" t="s">
        <v>580</v>
      </c>
      <c r="D237" s="136">
        <v>138.19999999999999</v>
      </c>
    </row>
    <row r="238" spans="1:4" x14ac:dyDescent="0.4">
      <c r="A238" s="135" t="s">
        <v>572</v>
      </c>
      <c r="B238" s="135" t="s">
        <v>99</v>
      </c>
      <c r="C238" s="135" t="s">
        <v>581</v>
      </c>
      <c r="D238" s="136">
        <v>133.9</v>
      </c>
    </row>
    <row r="239" spans="1:4" x14ac:dyDescent="0.4">
      <c r="A239" s="135" t="s">
        <v>572</v>
      </c>
      <c r="B239" s="135" t="s">
        <v>101</v>
      </c>
      <c r="C239" s="135" t="s">
        <v>582</v>
      </c>
      <c r="D239" s="136">
        <v>140</v>
      </c>
    </row>
    <row r="240" spans="1:4" x14ac:dyDescent="0.4">
      <c r="A240" s="135" t="s">
        <v>572</v>
      </c>
      <c r="B240" s="135" t="s">
        <v>103</v>
      </c>
      <c r="C240" s="135" t="s">
        <v>583</v>
      </c>
      <c r="D240" s="136">
        <v>139.30000000000001</v>
      </c>
    </row>
    <row r="241" spans="1:4" x14ac:dyDescent="0.4">
      <c r="A241" s="135" t="s">
        <v>572</v>
      </c>
      <c r="B241" s="135" t="s">
        <v>80</v>
      </c>
      <c r="C241" s="135" t="s">
        <v>584</v>
      </c>
      <c r="D241" s="136">
        <v>139.80000000000001</v>
      </c>
    </row>
    <row r="242" spans="1:4" x14ac:dyDescent="0.4">
      <c r="A242" s="135" t="s">
        <v>585</v>
      </c>
      <c r="B242" s="135" t="s">
        <v>83</v>
      </c>
      <c r="C242" s="135" t="s">
        <v>586</v>
      </c>
      <c r="D242" s="136">
        <v>140.1</v>
      </c>
    </row>
    <row r="243" spans="1:4" x14ac:dyDescent="0.4">
      <c r="A243" s="135" t="s">
        <v>585</v>
      </c>
      <c r="B243" s="135" t="s">
        <v>85</v>
      </c>
      <c r="C243" s="135" t="s">
        <v>587</v>
      </c>
      <c r="D243" s="136">
        <v>139.9</v>
      </c>
    </row>
    <row r="244" spans="1:4" x14ac:dyDescent="0.4">
      <c r="A244" s="135" t="s">
        <v>585</v>
      </c>
      <c r="B244" s="135" t="s">
        <v>87</v>
      </c>
      <c r="C244" s="135" t="s">
        <v>588</v>
      </c>
      <c r="D244" s="136">
        <v>139.30000000000001</v>
      </c>
    </row>
    <row r="245" spans="1:4" x14ac:dyDescent="0.4">
      <c r="A245" s="135" t="s">
        <v>585</v>
      </c>
      <c r="B245" s="135" t="s">
        <v>89</v>
      </c>
      <c r="C245" s="135" t="s">
        <v>589</v>
      </c>
      <c r="D245" s="136">
        <v>139.1</v>
      </c>
    </row>
    <row r="246" spans="1:4" x14ac:dyDescent="0.4">
      <c r="A246" s="135" t="s">
        <v>585</v>
      </c>
      <c r="B246" s="135" t="s">
        <v>91</v>
      </c>
      <c r="C246" s="135" t="s">
        <v>590</v>
      </c>
      <c r="D246" s="136">
        <v>138.69999999999999</v>
      </c>
    </row>
    <row r="247" spans="1:4" x14ac:dyDescent="0.4">
      <c r="A247" s="135" t="s">
        <v>585</v>
      </c>
      <c r="B247" s="135" t="s">
        <v>93</v>
      </c>
      <c r="C247" s="135" t="s">
        <v>591</v>
      </c>
      <c r="D247" s="136">
        <v>137.80000000000001</v>
      </c>
    </row>
    <row r="248" spans="1:4" x14ac:dyDescent="0.4">
      <c r="A248" s="135" t="s">
        <v>585</v>
      </c>
      <c r="B248" s="135" t="s">
        <v>95</v>
      </c>
      <c r="C248" s="135" t="s">
        <v>592</v>
      </c>
      <c r="D248" s="136">
        <v>137.69999999999999</v>
      </c>
    </row>
    <row r="249" spans="1:4" x14ac:dyDescent="0.4">
      <c r="A249" s="135" t="s">
        <v>585</v>
      </c>
      <c r="B249" s="135" t="s">
        <v>97</v>
      </c>
      <c r="C249" s="135" t="s">
        <v>593</v>
      </c>
      <c r="D249" s="136">
        <v>137.19999999999999</v>
      </c>
    </row>
    <row r="250" spans="1:4" x14ac:dyDescent="0.4">
      <c r="A250" s="135" t="s">
        <v>585</v>
      </c>
      <c r="B250" s="135" t="s">
        <v>99</v>
      </c>
      <c r="C250" s="135" t="s">
        <v>594</v>
      </c>
      <c r="D250" s="136">
        <v>132.9</v>
      </c>
    </row>
    <row r="251" spans="1:4" x14ac:dyDescent="0.4">
      <c r="A251" s="135" t="s">
        <v>585</v>
      </c>
      <c r="B251" s="135" t="s">
        <v>101</v>
      </c>
      <c r="C251" s="135" t="s">
        <v>595</v>
      </c>
      <c r="D251" s="136">
        <v>141.69999999999999</v>
      </c>
    </row>
    <row r="252" spans="1:4" x14ac:dyDescent="0.4">
      <c r="A252" s="135" t="s">
        <v>585</v>
      </c>
      <c r="B252" s="135" t="s">
        <v>103</v>
      </c>
      <c r="C252" s="135" t="s">
        <v>596</v>
      </c>
      <c r="D252" s="136">
        <v>142.4</v>
      </c>
    </row>
    <row r="253" spans="1:4" x14ac:dyDescent="0.4">
      <c r="A253" s="135" t="s">
        <v>585</v>
      </c>
      <c r="B253" s="135" t="s">
        <v>80</v>
      </c>
      <c r="C253" s="135" t="s">
        <v>597</v>
      </c>
      <c r="D253" s="136">
        <v>142.4</v>
      </c>
    </row>
    <row r="254" spans="1:4" x14ac:dyDescent="0.4">
      <c r="A254" s="135" t="s">
        <v>598</v>
      </c>
      <c r="B254" s="135" t="s">
        <v>83</v>
      </c>
      <c r="C254" s="135" t="s">
        <v>599</v>
      </c>
      <c r="D254" s="136">
        <v>141.19999999999999</v>
      </c>
    </row>
    <row r="255" spans="1:4" x14ac:dyDescent="0.4">
      <c r="A255" s="135" t="s">
        <v>598</v>
      </c>
      <c r="B255" s="135" t="s">
        <v>85</v>
      </c>
      <c r="C255" s="135" t="s">
        <v>600</v>
      </c>
      <c r="D255" s="136">
        <v>141.1</v>
      </c>
    </row>
    <row r="256" spans="1:4" x14ac:dyDescent="0.4">
      <c r="A256" s="135" t="s">
        <v>598</v>
      </c>
      <c r="B256" s="135" t="s">
        <v>87</v>
      </c>
      <c r="C256" s="135" t="s">
        <v>601</v>
      </c>
      <c r="D256" s="136">
        <v>141.1</v>
      </c>
    </row>
    <row r="257" spans="1:4" x14ac:dyDescent="0.4">
      <c r="A257" s="135" t="s">
        <v>598</v>
      </c>
      <c r="B257" s="135" t="s">
        <v>89</v>
      </c>
      <c r="C257" s="135" t="s">
        <v>602</v>
      </c>
      <c r="D257" s="136">
        <v>140.5</v>
      </c>
    </row>
    <row r="258" spans="1:4" x14ac:dyDescent="0.4">
      <c r="A258" s="135" t="s">
        <v>598</v>
      </c>
      <c r="B258" s="135" t="s">
        <v>91</v>
      </c>
      <c r="C258" s="135" t="s">
        <v>603</v>
      </c>
      <c r="D258" s="136">
        <v>140.6</v>
      </c>
    </row>
    <row r="259" spans="1:4" x14ac:dyDescent="0.4">
      <c r="A259" s="135" t="s">
        <v>598</v>
      </c>
      <c r="B259" s="135" t="s">
        <v>93</v>
      </c>
      <c r="C259" s="135" t="s">
        <v>604</v>
      </c>
      <c r="D259" s="136">
        <v>140.69999999999999</v>
      </c>
    </row>
    <row r="260" spans="1:4" x14ac:dyDescent="0.4">
      <c r="A260" s="135" t="s">
        <v>598</v>
      </c>
      <c r="B260" s="135" t="s">
        <v>95</v>
      </c>
      <c r="C260" s="135" t="s">
        <v>605</v>
      </c>
      <c r="D260" s="136">
        <v>139.5</v>
      </c>
    </row>
    <row r="261" spans="1:4" x14ac:dyDescent="0.4">
      <c r="A261" s="135" t="s">
        <v>598</v>
      </c>
      <c r="B261" s="135" t="s">
        <v>97</v>
      </c>
      <c r="C261" s="135" t="s">
        <v>606</v>
      </c>
      <c r="D261" s="136">
        <v>139.19999999999999</v>
      </c>
    </row>
    <row r="262" spans="1:4" x14ac:dyDescent="0.4">
      <c r="A262" s="135" t="s">
        <v>598</v>
      </c>
      <c r="B262" s="135" t="s">
        <v>99</v>
      </c>
      <c r="C262" s="135" t="s">
        <v>607</v>
      </c>
      <c r="D262" s="136">
        <v>135.6</v>
      </c>
    </row>
    <row r="263" spans="1:4" x14ac:dyDescent="0.4">
      <c r="A263" s="135" t="s">
        <v>598</v>
      </c>
      <c r="B263" s="135" t="s">
        <v>101</v>
      </c>
      <c r="C263" s="135" t="s">
        <v>608</v>
      </c>
      <c r="D263" s="136">
        <v>142.19999999999999</v>
      </c>
    </row>
    <row r="264" spans="1:4" x14ac:dyDescent="0.4">
      <c r="A264" s="135" t="s">
        <v>598</v>
      </c>
      <c r="B264" s="135" t="s">
        <v>103</v>
      </c>
      <c r="C264" s="135" t="s">
        <v>609</v>
      </c>
      <c r="D264" s="136">
        <v>141.9</v>
      </c>
    </row>
    <row r="265" spans="1:4" x14ac:dyDescent="0.4">
      <c r="A265" s="135" t="s">
        <v>598</v>
      </c>
      <c r="B265" s="135" t="s">
        <v>80</v>
      </c>
      <c r="C265" s="135" t="s">
        <v>610</v>
      </c>
      <c r="D265" s="136">
        <v>141.6</v>
      </c>
    </row>
    <row r="266" spans="1:4" x14ac:dyDescent="0.4">
      <c r="A266" s="135" t="s">
        <v>611</v>
      </c>
      <c r="B266" s="135" t="s">
        <v>83</v>
      </c>
      <c r="C266" s="135" t="s">
        <v>612</v>
      </c>
      <c r="D266" s="136">
        <v>141.69999999999999</v>
      </c>
    </row>
    <row r="267" spans="1:4" x14ac:dyDescent="0.4">
      <c r="A267" s="135" t="s">
        <v>611</v>
      </c>
      <c r="B267" s="135" t="s">
        <v>85</v>
      </c>
      <c r="C267" s="135" t="s">
        <v>613</v>
      </c>
      <c r="D267" s="136">
        <v>141.5</v>
      </c>
    </row>
    <row r="268" spans="1:4" x14ac:dyDescent="0.4">
      <c r="A268" s="135" t="s">
        <v>611</v>
      </c>
      <c r="B268" s="135" t="s">
        <v>87</v>
      </c>
      <c r="C268" s="135" t="s">
        <v>614</v>
      </c>
      <c r="D268" s="136">
        <v>141.19999999999999</v>
      </c>
    </row>
    <row r="269" spans="1:4" x14ac:dyDescent="0.4">
      <c r="A269" s="135" t="s">
        <v>611</v>
      </c>
      <c r="B269" s="135" t="s">
        <v>89</v>
      </c>
      <c r="C269" s="135" t="s">
        <v>615</v>
      </c>
      <c r="D269" s="136">
        <v>140.30000000000001</v>
      </c>
    </row>
    <row r="270" spans="1:4" x14ac:dyDescent="0.4">
      <c r="A270" s="135" t="s">
        <v>611</v>
      </c>
      <c r="B270" s="135" t="s">
        <v>91</v>
      </c>
      <c r="C270" s="135" t="s">
        <v>616</v>
      </c>
      <c r="D270" s="136">
        <v>138.4</v>
      </c>
    </row>
    <row r="271" spans="1:4" x14ac:dyDescent="0.4">
      <c r="A271" s="135" t="s">
        <v>611</v>
      </c>
      <c r="B271" s="135" t="s">
        <v>93</v>
      </c>
      <c r="C271" s="135" t="s">
        <v>617</v>
      </c>
      <c r="D271" s="136">
        <v>138</v>
      </c>
    </row>
    <row r="272" spans="1:4" x14ac:dyDescent="0.4">
      <c r="A272" s="135" t="s">
        <v>611</v>
      </c>
      <c r="B272" s="135" t="s">
        <v>95</v>
      </c>
      <c r="C272" s="135" t="s">
        <v>618</v>
      </c>
      <c r="D272" s="136">
        <v>135.9</v>
      </c>
    </row>
    <row r="273" spans="1:4" x14ac:dyDescent="0.4">
      <c r="A273" s="135" t="s">
        <v>611</v>
      </c>
      <c r="B273" s="135" t="s">
        <v>97</v>
      </c>
      <c r="C273" s="135" t="s">
        <v>619</v>
      </c>
      <c r="D273" s="136">
        <v>135.9</v>
      </c>
    </row>
    <row r="274" spans="1:4" x14ac:dyDescent="0.4">
      <c r="A274" s="135" t="s">
        <v>611</v>
      </c>
      <c r="B274" s="135" t="s">
        <v>99</v>
      </c>
      <c r="C274" s="135" t="s">
        <v>620</v>
      </c>
      <c r="D274" s="136">
        <v>133.69999999999999</v>
      </c>
    </row>
    <row r="275" spans="1:4" x14ac:dyDescent="0.4">
      <c r="A275" s="135" t="s">
        <v>611</v>
      </c>
      <c r="B275" s="135" t="s">
        <v>101</v>
      </c>
      <c r="C275" s="135" t="s">
        <v>621</v>
      </c>
      <c r="D275" s="136">
        <v>140.6</v>
      </c>
    </row>
    <row r="276" spans="1:4" x14ac:dyDescent="0.4">
      <c r="A276" s="135" t="s">
        <v>611</v>
      </c>
      <c r="B276" s="135" t="s">
        <v>103</v>
      </c>
      <c r="C276" s="135" t="s">
        <v>622</v>
      </c>
      <c r="D276" s="136">
        <v>139.4</v>
      </c>
    </row>
    <row r="277" spans="1:4" x14ac:dyDescent="0.4">
      <c r="A277" s="135" t="s">
        <v>611</v>
      </c>
      <c r="B277" s="135" t="s">
        <v>80</v>
      </c>
      <c r="C277" s="135" t="s">
        <v>623</v>
      </c>
      <c r="D277" s="136">
        <v>137.80000000000001</v>
      </c>
    </row>
    <row r="278" spans="1:4" x14ac:dyDescent="0.4">
      <c r="A278" s="135" t="s">
        <v>624</v>
      </c>
      <c r="B278" s="135" t="s">
        <v>83</v>
      </c>
      <c r="C278" s="135" t="s">
        <v>625</v>
      </c>
      <c r="D278" s="136">
        <v>137.80000000000001</v>
      </c>
    </row>
    <row r="279" spans="1:4" x14ac:dyDescent="0.4">
      <c r="A279" s="135" t="s">
        <v>624</v>
      </c>
      <c r="B279" s="135" t="s">
        <v>85</v>
      </c>
      <c r="C279" s="135" t="s">
        <v>626</v>
      </c>
      <c r="D279" s="136">
        <v>138</v>
      </c>
    </row>
    <row r="280" spans="1:4" x14ac:dyDescent="0.4">
      <c r="A280" s="135" t="s">
        <v>624</v>
      </c>
      <c r="B280" s="135" t="s">
        <v>87</v>
      </c>
      <c r="C280" s="135" t="s">
        <v>627</v>
      </c>
      <c r="D280" s="136">
        <v>137.80000000000001</v>
      </c>
    </row>
    <row r="281" spans="1:4" x14ac:dyDescent="0.4">
      <c r="A281" s="135" t="s">
        <v>624</v>
      </c>
      <c r="B281" s="135" t="s">
        <v>89</v>
      </c>
      <c r="C281" s="135" t="s">
        <v>628</v>
      </c>
      <c r="D281" s="136">
        <v>137.19999999999999</v>
      </c>
    </row>
    <row r="282" spans="1:4" x14ac:dyDescent="0.4">
      <c r="A282" s="135" t="s">
        <v>624</v>
      </c>
      <c r="B282" s="135" t="s">
        <v>91</v>
      </c>
      <c r="C282" s="135" t="s">
        <v>629</v>
      </c>
      <c r="D282" s="136">
        <v>135.4</v>
      </c>
    </row>
    <row r="283" spans="1:4" x14ac:dyDescent="0.4">
      <c r="A283" s="135" t="s">
        <v>624</v>
      </c>
      <c r="B283" s="135" t="s">
        <v>93</v>
      </c>
      <c r="C283" s="135" t="s">
        <v>630</v>
      </c>
      <c r="D283" s="136">
        <v>134.30000000000001</v>
      </c>
    </row>
    <row r="284" spans="1:4" x14ac:dyDescent="0.4">
      <c r="A284" s="135" t="s">
        <v>624</v>
      </c>
      <c r="B284" s="135" t="s">
        <v>95</v>
      </c>
      <c r="C284" s="135" t="s">
        <v>631</v>
      </c>
      <c r="D284" s="136">
        <v>134.80000000000001</v>
      </c>
    </row>
    <row r="285" spans="1:4" x14ac:dyDescent="0.4">
      <c r="A285" s="135" t="s">
        <v>624</v>
      </c>
      <c r="B285" s="135" t="s">
        <v>97</v>
      </c>
      <c r="C285" s="135" t="s">
        <v>632</v>
      </c>
      <c r="D285" s="136">
        <v>133.9</v>
      </c>
    </row>
    <row r="286" spans="1:4" x14ac:dyDescent="0.4">
      <c r="A286" s="135" t="s">
        <v>624</v>
      </c>
      <c r="B286" s="135" t="s">
        <v>99</v>
      </c>
      <c r="C286" s="135" t="s">
        <v>633</v>
      </c>
      <c r="D286" s="136">
        <v>132.69999999999999</v>
      </c>
    </row>
    <row r="287" spans="1:4" x14ac:dyDescent="0.4">
      <c r="A287" s="135" t="s">
        <v>624</v>
      </c>
      <c r="B287" s="135" t="s">
        <v>101</v>
      </c>
      <c r="C287" s="135" t="s">
        <v>634</v>
      </c>
      <c r="D287" s="136">
        <v>140.6</v>
      </c>
    </row>
    <row r="288" spans="1:4" x14ac:dyDescent="0.4">
      <c r="A288" s="135" t="s">
        <v>624</v>
      </c>
      <c r="B288" s="135" t="s">
        <v>103</v>
      </c>
      <c r="C288" s="135" t="s">
        <v>635</v>
      </c>
      <c r="D288" s="136">
        <v>140.4</v>
      </c>
    </row>
    <row r="289" spans="1:4" x14ac:dyDescent="0.4">
      <c r="A289" s="135" t="s">
        <v>624</v>
      </c>
      <c r="B289" s="135" t="s">
        <v>80</v>
      </c>
      <c r="C289" s="135" t="s">
        <v>636</v>
      </c>
      <c r="D289" s="136">
        <v>139.19999999999999</v>
      </c>
    </row>
    <row r="290" spans="1:4" x14ac:dyDescent="0.4">
      <c r="A290" s="135" t="s">
        <v>637</v>
      </c>
      <c r="B290" s="135" t="s">
        <v>83</v>
      </c>
      <c r="C290" s="135" t="s">
        <v>638</v>
      </c>
      <c r="D290" s="136">
        <v>138.19999999999999</v>
      </c>
    </row>
    <row r="291" spans="1:4" x14ac:dyDescent="0.4">
      <c r="A291" s="135" t="s">
        <v>637</v>
      </c>
      <c r="B291" s="135" t="s">
        <v>85</v>
      </c>
      <c r="C291" s="135" t="s">
        <v>639</v>
      </c>
      <c r="D291" s="136">
        <v>138.69999999999999</v>
      </c>
    </row>
    <row r="292" spans="1:4" x14ac:dyDescent="0.4">
      <c r="A292" s="135" t="s">
        <v>637</v>
      </c>
      <c r="B292" s="135" t="s">
        <v>87</v>
      </c>
      <c r="C292" s="135" t="s">
        <v>640</v>
      </c>
      <c r="D292" s="136">
        <v>137.69999999999999</v>
      </c>
    </row>
    <row r="293" spans="1:4" x14ac:dyDescent="0.4">
      <c r="A293" s="135" t="s">
        <v>637</v>
      </c>
      <c r="B293" s="135" t="s">
        <v>89</v>
      </c>
      <c r="C293" s="135" t="s">
        <v>641</v>
      </c>
      <c r="D293" s="136">
        <v>138</v>
      </c>
    </row>
    <row r="294" spans="1:4" x14ac:dyDescent="0.4">
      <c r="A294" s="135" t="s">
        <v>637</v>
      </c>
      <c r="B294" s="135" t="s">
        <v>91</v>
      </c>
      <c r="C294" s="135" t="s">
        <v>642</v>
      </c>
      <c r="D294" s="136">
        <v>137.19999999999999</v>
      </c>
    </row>
    <row r="295" spans="1:4" x14ac:dyDescent="0.4">
      <c r="A295" s="135" t="s">
        <v>637</v>
      </c>
      <c r="B295" s="135" t="s">
        <v>93</v>
      </c>
      <c r="C295" s="135" t="s">
        <v>643</v>
      </c>
      <c r="D295" s="136">
        <v>136</v>
      </c>
    </row>
    <row r="296" spans="1:4" x14ac:dyDescent="0.4">
      <c r="A296" s="135" t="s">
        <v>637</v>
      </c>
      <c r="B296" s="135" t="s">
        <v>95</v>
      </c>
      <c r="C296" s="135" t="s">
        <v>644</v>
      </c>
      <c r="D296" s="136">
        <v>134.69999999999999</v>
      </c>
    </row>
    <row r="297" spans="1:4" x14ac:dyDescent="0.4">
      <c r="A297" s="135" t="s">
        <v>637</v>
      </c>
      <c r="B297" s="135" t="s">
        <v>97</v>
      </c>
      <c r="C297" s="135" t="s">
        <v>645</v>
      </c>
      <c r="D297" s="136">
        <v>134.4</v>
      </c>
    </row>
    <row r="298" spans="1:4" x14ac:dyDescent="0.4">
      <c r="A298" s="135" t="s">
        <v>637</v>
      </c>
      <c r="B298" s="135" t="s">
        <v>99</v>
      </c>
      <c r="C298" s="135" t="s">
        <v>646</v>
      </c>
      <c r="D298" s="136">
        <v>133.4</v>
      </c>
    </row>
    <row r="299" spans="1:4" x14ac:dyDescent="0.4">
      <c r="A299" s="135" t="s">
        <v>637</v>
      </c>
      <c r="B299" s="135" t="s">
        <v>101</v>
      </c>
      <c r="C299" s="135" t="s">
        <v>647</v>
      </c>
      <c r="D299" s="136">
        <v>142.1</v>
      </c>
    </row>
    <row r="300" spans="1:4" x14ac:dyDescent="0.4">
      <c r="A300" s="135" t="s">
        <v>637</v>
      </c>
      <c r="B300" s="135" t="s">
        <v>103</v>
      </c>
      <c r="C300" s="135" t="s">
        <v>648</v>
      </c>
      <c r="D300" s="136">
        <v>140.80000000000001</v>
      </c>
    </row>
    <row r="301" spans="1:4" x14ac:dyDescent="0.4">
      <c r="A301" s="135" t="s">
        <v>637</v>
      </c>
      <c r="B301" s="135" t="s">
        <v>80</v>
      </c>
      <c r="C301" s="135" t="s">
        <v>649</v>
      </c>
      <c r="D301" s="136">
        <v>140.5</v>
      </c>
    </row>
    <row r="302" spans="1:4" x14ac:dyDescent="0.4">
      <c r="A302" s="135" t="s">
        <v>650</v>
      </c>
      <c r="B302" s="135" t="s">
        <v>83</v>
      </c>
      <c r="C302" s="135" t="s">
        <v>651</v>
      </c>
      <c r="D302" s="136">
        <v>139.9</v>
      </c>
    </row>
    <row r="303" spans="1:4" x14ac:dyDescent="0.4">
      <c r="A303" s="135" t="s">
        <v>650</v>
      </c>
      <c r="B303" s="135" t="s">
        <v>85</v>
      </c>
      <c r="C303" s="135" t="s">
        <v>652</v>
      </c>
      <c r="D303" s="136">
        <v>139.4</v>
      </c>
    </row>
    <row r="304" spans="1:4" x14ac:dyDescent="0.4">
      <c r="A304" s="135" t="s">
        <v>650</v>
      </c>
      <c r="B304" s="135" t="s">
        <v>87</v>
      </c>
      <c r="C304" s="135" t="s">
        <v>653</v>
      </c>
      <c r="D304" s="136">
        <v>139</v>
      </c>
    </row>
    <row r="305" spans="1:4" x14ac:dyDescent="0.4">
      <c r="A305" s="135" t="s">
        <v>650</v>
      </c>
      <c r="B305" s="135" t="s">
        <v>89</v>
      </c>
      <c r="C305" s="135" t="s">
        <v>654</v>
      </c>
      <c r="D305" s="136">
        <v>138.9</v>
      </c>
    </row>
    <row r="306" spans="1:4" x14ac:dyDescent="0.4">
      <c r="A306" s="135" t="s">
        <v>650</v>
      </c>
      <c r="B306" s="135" t="s">
        <v>91</v>
      </c>
      <c r="C306" s="135" t="s">
        <v>655</v>
      </c>
      <c r="D306" s="136">
        <v>138.9</v>
      </c>
    </row>
    <row r="307" spans="1:4" x14ac:dyDescent="0.4">
      <c r="A307" s="135" t="s">
        <v>650</v>
      </c>
      <c r="B307" s="135" t="s">
        <v>93</v>
      </c>
      <c r="C307" s="135" t="s">
        <v>656</v>
      </c>
      <c r="D307" s="136">
        <v>137.4</v>
      </c>
    </row>
    <row r="308" spans="1:4" x14ac:dyDescent="0.4">
      <c r="A308" s="135" t="s">
        <v>650</v>
      </c>
      <c r="B308" s="135" t="s">
        <v>95</v>
      </c>
      <c r="C308" s="135" t="s">
        <v>657</v>
      </c>
      <c r="D308" s="136">
        <v>136.80000000000001</v>
      </c>
    </row>
    <row r="309" spans="1:4" x14ac:dyDescent="0.4">
      <c r="A309" s="135" t="s">
        <v>650</v>
      </c>
      <c r="B309" s="135" t="s">
        <v>97</v>
      </c>
      <c r="C309" s="135" t="s">
        <v>658</v>
      </c>
      <c r="D309" s="136">
        <v>135.80000000000001</v>
      </c>
    </row>
    <row r="310" spans="1:4" x14ac:dyDescent="0.4">
      <c r="A310" s="135" t="s">
        <v>650</v>
      </c>
      <c r="B310" s="135" t="s">
        <v>99</v>
      </c>
      <c r="C310" s="135" t="s">
        <v>659</v>
      </c>
      <c r="D310" s="136">
        <v>135.5</v>
      </c>
    </row>
    <row r="311" spans="1:4" x14ac:dyDescent="0.4">
      <c r="A311" s="135" t="s">
        <v>650</v>
      </c>
      <c r="B311" s="135" t="s">
        <v>101</v>
      </c>
      <c r="C311" s="135" t="s">
        <v>660</v>
      </c>
      <c r="D311" s="136">
        <v>141.19999999999999</v>
      </c>
    </row>
    <row r="312" spans="1:4" x14ac:dyDescent="0.4">
      <c r="A312" s="135" t="s">
        <v>650</v>
      </c>
      <c r="B312" s="135" t="s">
        <v>103</v>
      </c>
      <c r="C312" s="135" t="s">
        <v>661</v>
      </c>
      <c r="D312" s="136">
        <v>141.30000000000001</v>
      </c>
    </row>
    <row r="313" spans="1:4" x14ac:dyDescent="0.4">
      <c r="A313" s="135" t="s">
        <v>650</v>
      </c>
      <c r="B313" s="135" t="s">
        <v>80</v>
      </c>
      <c r="C313" s="135" t="s">
        <v>662</v>
      </c>
      <c r="D313" s="136">
        <v>141.1</v>
      </c>
    </row>
    <row r="314" spans="1:4" x14ac:dyDescent="0.4">
      <c r="A314" s="135" t="s">
        <v>663</v>
      </c>
      <c r="B314" s="135" t="s">
        <v>83</v>
      </c>
      <c r="C314" s="135" t="s">
        <v>664</v>
      </c>
      <c r="D314" s="136">
        <v>140.30000000000001</v>
      </c>
    </row>
    <row r="315" spans="1:4" x14ac:dyDescent="0.4">
      <c r="A315" s="135" t="s">
        <v>663</v>
      </c>
      <c r="B315" s="135" t="s">
        <v>85</v>
      </c>
      <c r="C315" s="135" t="s">
        <v>665</v>
      </c>
      <c r="D315" s="136">
        <v>137.69999999999999</v>
      </c>
    </row>
    <row r="316" spans="1:4" x14ac:dyDescent="0.4">
      <c r="A316" s="135" t="s">
        <v>663</v>
      </c>
      <c r="B316" s="135" t="s">
        <v>87</v>
      </c>
      <c r="C316" s="135" t="s">
        <v>666</v>
      </c>
      <c r="D316" s="136">
        <v>138.1</v>
      </c>
    </row>
    <row r="317" spans="1:4" x14ac:dyDescent="0.4">
      <c r="A317" s="135" t="s">
        <v>663</v>
      </c>
      <c r="B317" s="135" t="s">
        <v>89</v>
      </c>
      <c r="C317" s="135" t="s">
        <v>667</v>
      </c>
      <c r="D317" s="136">
        <v>138.9</v>
      </c>
    </row>
    <row r="318" spans="1:4" x14ac:dyDescent="0.4">
      <c r="A318" s="135" t="s">
        <v>663</v>
      </c>
      <c r="B318" s="135" t="s">
        <v>91</v>
      </c>
      <c r="C318" s="135" t="s">
        <v>668</v>
      </c>
      <c r="D318" s="136">
        <v>136.9</v>
      </c>
    </row>
    <row r="319" spans="1:4" x14ac:dyDescent="0.4">
      <c r="A319" s="135" t="s">
        <v>663</v>
      </c>
      <c r="B319" s="135" t="s">
        <v>93</v>
      </c>
      <c r="C319" s="135" t="s">
        <v>669</v>
      </c>
      <c r="D319" s="136">
        <v>135.9</v>
      </c>
    </row>
    <row r="320" spans="1:4" x14ac:dyDescent="0.4">
      <c r="A320" s="135" t="s">
        <v>663</v>
      </c>
      <c r="B320" s="135" t="s">
        <v>95</v>
      </c>
      <c r="C320" s="135" t="s">
        <v>670</v>
      </c>
      <c r="D320" s="136">
        <v>136.5</v>
      </c>
    </row>
    <row r="321" spans="1:4" x14ac:dyDescent="0.4">
      <c r="A321" s="135" t="s">
        <v>663</v>
      </c>
      <c r="B321" s="135" t="s">
        <v>97</v>
      </c>
      <c r="C321" s="135" t="s">
        <v>671</v>
      </c>
      <c r="D321" s="136">
        <v>136</v>
      </c>
    </row>
    <row r="322" spans="1:4" x14ac:dyDescent="0.4">
      <c r="A322" s="135" t="s">
        <v>663</v>
      </c>
      <c r="B322" s="135" t="s">
        <v>99</v>
      </c>
      <c r="C322" s="135" t="s">
        <v>672</v>
      </c>
      <c r="D322" s="136">
        <v>135.80000000000001</v>
      </c>
    </row>
    <row r="323" spans="1:4" x14ac:dyDescent="0.4">
      <c r="A323" s="135" t="s">
        <v>663</v>
      </c>
      <c r="B323" s="135" t="s">
        <v>101</v>
      </c>
      <c r="C323" s="135" t="s">
        <v>673</v>
      </c>
      <c r="D323" s="136">
        <v>138.30000000000001</v>
      </c>
    </row>
    <row r="324" spans="1:4" x14ac:dyDescent="0.4">
      <c r="A324" s="135" t="s">
        <v>663</v>
      </c>
      <c r="B324" s="135" t="s">
        <v>103</v>
      </c>
      <c r="C324" s="135" t="s">
        <v>674</v>
      </c>
      <c r="D324" s="136">
        <v>137.80000000000001</v>
      </c>
    </row>
    <row r="325" spans="1:4" x14ac:dyDescent="0.4">
      <c r="A325" s="135" t="s">
        <v>663</v>
      </c>
      <c r="B325" s="135" t="s">
        <v>80</v>
      </c>
      <c r="C325" s="135" t="s">
        <v>675</v>
      </c>
      <c r="D325" s="136">
        <v>138.30000000000001</v>
      </c>
    </row>
    <row r="326" spans="1:4" x14ac:dyDescent="0.4">
      <c r="A326" s="135" t="s">
        <v>676</v>
      </c>
      <c r="B326" s="135" t="s">
        <v>83</v>
      </c>
      <c r="C326" s="135" t="s">
        <v>677</v>
      </c>
      <c r="D326" s="136">
        <v>136.80000000000001</v>
      </c>
    </row>
    <row r="327" spans="1:4" x14ac:dyDescent="0.4">
      <c r="A327" s="135" t="s">
        <v>676</v>
      </c>
      <c r="B327" s="135" t="s">
        <v>85</v>
      </c>
      <c r="C327" s="135" t="s">
        <v>678</v>
      </c>
      <c r="D327" s="136">
        <v>137.69999999999999</v>
      </c>
    </row>
    <row r="328" spans="1:4" x14ac:dyDescent="0.4">
      <c r="A328" s="135" t="s">
        <v>676</v>
      </c>
      <c r="B328" s="135" t="s">
        <v>87</v>
      </c>
      <c r="C328" s="135" t="s">
        <v>679</v>
      </c>
      <c r="D328" s="136">
        <v>136.4</v>
      </c>
    </row>
    <row r="329" spans="1:4" x14ac:dyDescent="0.4">
      <c r="A329" s="135" t="s">
        <v>676</v>
      </c>
      <c r="B329" s="135" t="s">
        <v>89</v>
      </c>
      <c r="C329" s="135" t="s">
        <v>680</v>
      </c>
      <c r="D329" s="136">
        <v>136</v>
      </c>
    </row>
    <row r="330" spans="1:4" x14ac:dyDescent="0.4">
      <c r="A330" s="135" t="s">
        <v>676</v>
      </c>
      <c r="B330" s="135" t="s">
        <v>91</v>
      </c>
      <c r="C330" s="135" t="s">
        <v>681</v>
      </c>
      <c r="D330" s="136">
        <v>134.9</v>
      </c>
    </row>
    <row r="331" spans="1:4" x14ac:dyDescent="0.4">
      <c r="A331" s="135" t="s">
        <v>676</v>
      </c>
      <c r="B331" s="135" t="s">
        <v>93</v>
      </c>
      <c r="C331" s="135" t="s">
        <v>682</v>
      </c>
      <c r="D331" s="136">
        <v>134.4</v>
      </c>
    </row>
    <row r="332" spans="1:4" x14ac:dyDescent="0.4">
      <c r="A332" s="135" t="s">
        <v>676</v>
      </c>
      <c r="B332" s="135" t="s">
        <v>95</v>
      </c>
      <c r="C332" s="135" t="s">
        <v>683</v>
      </c>
      <c r="D332" s="136">
        <v>131.30000000000001</v>
      </c>
    </row>
    <row r="333" spans="1:4" x14ac:dyDescent="0.4">
      <c r="A333" s="135" t="s">
        <v>676</v>
      </c>
      <c r="B333" s="135" t="s">
        <v>97</v>
      </c>
      <c r="C333" s="135" t="s">
        <v>684</v>
      </c>
      <c r="D333" s="136">
        <v>130.30000000000001</v>
      </c>
    </row>
    <row r="334" spans="1:4" x14ac:dyDescent="0.4">
      <c r="A334" s="135" t="s">
        <v>676</v>
      </c>
      <c r="B334" s="135" t="s">
        <v>99</v>
      </c>
      <c r="C334" s="135" t="s">
        <v>685</v>
      </c>
      <c r="D334" s="136">
        <v>130.4</v>
      </c>
    </row>
    <row r="335" spans="1:4" x14ac:dyDescent="0.4">
      <c r="A335" s="135" t="s">
        <v>676</v>
      </c>
      <c r="B335" s="135" t="s">
        <v>101</v>
      </c>
      <c r="C335" s="135" t="s">
        <v>686</v>
      </c>
      <c r="D335" s="136">
        <v>139</v>
      </c>
    </row>
    <row r="336" spans="1:4" x14ac:dyDescent="0.4">
      <c r="A336" s="135" t="s">
        <v>676</v>
      </c>
      <c r="B336" s="135" t="s">
        <v>103</v>
      </c>
      <c r="C336" s="135" t="s">
        <v>687</v>
      </c>
      <c r="D336" s="136">
        <v>136.5</v>
      </c>
    </row>
    <row r="337" spans="1:4" x14ac:dyDescent="0.4">
      <c r="A337" s="135" t="s">
        <v>676</v>
      </c>
      <c r="B337" s="135" t="s">
        <v>80</v>
      </c>
      <c r="C337" s="135" t="s">
        <v>688</v>
      </c>
      <c r="D337" s="136">
        <v>135</v>
      </c>
    </row>
    <row r="338" spans="1:4" x14ac:dyDescent="0.4">
      <c r="A338" s="135" t="s">
        <v>79</v>
      </c>
      <c r="B338" s="135" t="s">
        <v>83</v>
      </c>
      <c r="C338" s="135" t="s">
        <v>689</v>
      </c>
      <c r="D338" s="136">
        <v>135.69999999999999</v>
      </c>
    </row>
    <row r="339" spans="1:4" x14ac:dyDescent="0.4">
      <c r="A339" s="135" t="s">
        <v>79</v>
      </c>
      <c r="B339" s="135" t="s">
        <v>85</v>
      </c>
      <c r="C339" s="135" t="s">
        <v>690</v>
      </c>
      <c r="D339" s="136">
        <v>135.80000000000001</v>
      </c>
    </row>
    <row r="340" spans="1:4" x14ac:dyDescent="0.4">
      <c r="A340" s="135" t="s">
        <v>79</v>
      </c>
      <c r="B340" s="135" t="s">
        <v>87</v>
      </c>
      <c r="C340" s="135" t="s">
        <v>691</v>
      </c>
      <c r="D340" s="136">
        <v>138.5</v>
      </c>
    </row>
    <row r="341" spans="1:4" x14ac:dyDescent="0.4">
      <c r="A341" s="135" t="s">
        <v>79</v>
      </c>
      <c r="B341" s="135" t="s">
        <v>89</v>
      </c>
      <c r="C341" s="135" t="s">
        <v>692</v>
      </c>
      <c r="D341" s="136">
        <v>134</v>
      </c>
    </row>
    <row r="342" spans="1:4" x14ac:dyDescent="0.4">
      <c r="A342" s="135" t="s">
        <v>79</v>
      </c>
      <c r="B342" s="135" t="s">
        <v>91</v>
      </c>
      <c r="C342" s="135" t="s">
        <v>693</v>
      </c>
      <c r="D342" s="136">
        <v>133.6</v>
      </c>
    </row>
    <row r="343" spans="1:4" x14ac:dyDescent="0.4">
      <c r="A343" s="135" t="s">
        <v>79</v>
      </c>
      <c r="B343" s="135" t="s">
        <v>93</v>
      </c>
      <c r="C343" s="135" t="s">
        <v>694</v>
      </c>
      <c r="D343" s="136">
        <v>132</v>
      </c>
    </row>
    <row r="344" spans="1:4" x14ac:dyDescent="0.4">
      <c r="A344" s="135" t="s">
        <v>79</v>
      </c>
      <c r="B344" s="135" t="s">
        <v>95</v>
      </c>
      <c r="C344" s="135" t="s">
        <v>695</v>
      </c>
      <c r="D344" s="136">
        <v>131.6</v>
      </c>
    </row>
    <row r="345" spans="1:4" x14ac:dyDescent="0.4">
      <c r="A345" s="135" t="s">
        <v>79</v>
      </c>
      <c r="B345" s="135" t="s">
        <v>97</v>
      </c>
      <c r="C345" s="135" t="s">
        <v>696</v>
      </c>
      <c r="D345" s="136">
        <v>132</v>
      </c>
    </row>
    <row r="346" spans="1:4" x14ac:dyDescent="0.4">
      <c r="A346" s="135" t="s">
        <v>79</v>
      </c>
      <c r="B346" s="135" t="s">
        <v>99</v>
      </c>
      <c r="C346" s="135" t="s">
        <v>697</v>
      </c>
      <c r="D346" s="136">
        <v>130.5</v>
      </c>
    </row>
    <row r="347" spans="1:4" x14ac:dyDescent="0.4">
      <c r="A347" s="135" t="s">
        <v>79</v>
      </c>
      <c r="B347" s="135" t="s">
        <v>101</v>
      </c>
      <c r="C347" s="135" t="s">
        <v>698</v>
      </c>
      <c r="D347" s="136">
        <v>140.69999999999999</v>
      </c>
    </row>
    <row r="348" spans="1:4" x14ac:dyDescent="0.4">
      <c r="A348" s="135" t="s">
        <v>79</v>
      </c>
      <c r="B348" s="135" t="s">
        <v>103</v>
      </c>
      <c r="C348" s="135" t="s">
        <v>699</v>
      </c>
      <c r="D348" s="136">
        <v>139</v>
      </c>
    </row>
    <row r="349" spans="1:4" x14ac:dyDescent="0.4">
      <c r="A349" s="135" t="s">
        <v>79</v>
      </c>
      <c r="B349" s="135" t="s">
        <v>80</v>
      </c>
      <c r="C349" s="135" t="s">
        <v>81</v>
      </c>
      <c r="D349" s="136">
        <v>137.6</v>
      </c>
    </row>
    <row r="350" spans="1:4" x14ac:dyDescent="0.4">
      <c r="A350" s="135" t="s">
        <v>82</v>
      </c>
      <c r="B350" s="135" t="s">
        <v>83</v>
      </c>
      <c r="C350" s="135" t="s">
        <v>84</v>
      </c>
      <c r="D350" s="136">
        <v>137.4</v>
      </c>
    </row>
    <row r="351" spans="1:4" x14ac:dyDescent="0.4">
      <c r="A351" s="135" t="s">
        <v>82</v>
      </c>
      <c r="B351" s="135" t="s">
        <v>85</v>
      </c>
      <c r="C351" s="135" t="s">
        <v>86</v>
      </c>
      <c r="D351" s="136">
        <v>136.80000000000001</v>
      </c>
    </row>
    <row r="352" spans="1:4" x14ac:dyDescent="0.4">
      <c r="A352" s="135" t="s">
        <v>82</v>
      </c>
      <c r="B352" s="135" t="s">
        <v>87</v>
      </c>
      <c r="C352" s="135" t="s">
        <v>88</v>
      </c>
      <c r="D352" s="136">
        <v>137.1</v>
      </c>
    </row>
    <row r="353" spans="1:4" x14ac:dyDescent="0.4">
      <c r="A353" s="135" t="s">
        <v>82</v>
      </c>
      <c r="B353" s="135" t="s">
        <v>89</v>
      </c>
      <c r="C353" s="135" t="s">
        <v>90</v>
      </c>
      <c r="D353" s="136">
        <v>135.9</v>
      </c>
    </row>
    <row r="354" spans="1:4" x14ac:dyDescent="0.4">
      <c r="A354" s="135" t="s">
        <v>82</v>
      </c>
      <c r="B354" s="135" t="s">
        <v>91</v>
      </c>
      <c r="C354" s="135" t="s">
        <v>92</v>
      </c>
      <c r="D354" s="136">
        <v>136.19999999999999</v>
      </c>
    </row>
    <row r="355" spans="1:4" x14ac:dyDescent="0.4">
      <c r="A355" s="135" t="s">
        <v>82</v>
      </c>
      <c r="B355" s="135" t="s">
        <v>93</v>
      </c>
      <c r="C355" s="135" t="s">
        <v>94</v>
      </c>
      <c r="D355" s="136">
        <v>136.19999999999999</v>
      </c>
    </row>
    <row r="356" spans="1:4" x14ac:dyDescent="0.4">
      <c r="A356" s="135" t="s">
        <v>82</v>
      </c>
      <c r="B356" s="135" t="s">
        <v>95</v>
      </c>
      <c r="C356" s="135" t="s">
        <v>96</v>
      </c>
      <c r="D356" s="136">
        <v>132.80000000000001</v>
      </c>
    </row>
    <row r="357" spans="1:4" x14ac:dyDescent="0.4">
      <c r="A357" s="135" t="s">
        <v>82</v>
      </c>
      <c r="B357" s="135" t="s">
        <v>97</v>
      </c>
      <c r="C357" s="135" t="s">
        <v>98</v>
      </c>
      <c r="D357" s="136">
        <v>132.4</v>
      </c>
    </row>
    <row r="358" spans="1:4" x14ac:dyDescent="0.4">
      <c r="A358" s="135" t="s">
        <v>82</v>
      </c>
      <c r="B358" s="135" t="s">
        <v>99</v>
      </c>
      <c r="C358" s="135" t="s">
        <v>100</v>
      </c>
      <c r="D358" s="136">
        <v>131.5</v>
      </c>
    </row>
    <row r="359" spans="1:4" x14ac:dyDescent="0.4">
      <c r="A359" s="135" t="s">
        <v>82</v>
      </c>
      <c r="B359" s="135" t="s">
        <v>101</v>
      </c>
      <c r="C359" s="135" t="s">
        <v>102</v>
      </c>
      <c r="D359" s="136">
        <v>142</v>
      </c>
    </row>
    <row r="360" spans="1:4" x14ac:dyDescent="0.4">
      <c r="A360" s="135" t="s">
        <v>82</v>
      </c>
      <c r="B360" s="135" t="s">
        <v>103</v>
      </c>
      <c r="C360" s="135" t="s">
        <v>104</v>
      </c>
      <c r="D360" s="136">
        <v>139.9</v>
      </c>
    </row>
    <row r="361" spans="1:4" x14ac:dyDescent="0.4">
      <c r="A361" s="135" t="s">
        <v>82</v>
      </c>
      <c r="B361" s="135" t="s">
        <v>80</v>
      </c>
      <c r="C361" s="135" t="s">
        <v>105</v>
      </c>
      <c r="D361" s="136">
        <v>139.5</v>
      </c>
    </row>
    <row r="362" spans="1:4" x14ac:dyDescent="0.4">
      <c r="A362" s="135" t="s">
        <v>106</v>
      </c>
      <c r="B362" s="135" t="s">
        <v>83</v>
      </c>
      <c r="C362" s="135" t="s">
        <v>107</v>
      </c>
      <c r="D362" s="136">
        <v>139.80000000000001</v>
      </c>
    </row>
    <row r="363" spans="1:4" x14ac:dyDescent="0.4">
      <c r="A363" s="135" t="s">
        <v>106</v>
      </c>
      <c r="B363" s="135" t="s">
        <v>85</v>
      </c>
      <c r="C363" s="135" t="s">
        <v>108</v>
      </c>
      <c r="D363" s="136">
        <v>137.4</v>
      </c>
    </row>
    <row r="364" spans="1:4" x14ac:dyDescent="0.4">
      <c r="A364" s="135" t="s">
        <v>106</v>
      </c>
      <c r="B364" s="135" t="s">
        <v>87</v>
      </c>
      <c r="C364" s="135" t="s">
        <v>109</v>
      </c>
      <c r="D364" s="136">
        <v>136.80000000000001</v>
      </c>
    </row>
    <row r="365" spans="1:4" x14ac:dyDescent="0.4">
      <c r="A365" s="135" t="s">
        <v>106</v>
      </c>
      <c r="B365" s="135" t="s">
        <v>89</v>
      </c>
      <c r="C365" s="135" t="s">
        <v>110</v>
      </c>
      <c r="D365" s="136">
        <v>136.5</v>
      </c>
    </row>
    <row r="366" spans="1:4" x14ac:dyDescent="0.4">
      <c r="A366" s="135" t="s">
        <v>106</v>
      </c>
      <c r="B366" s="135" t="s">
        <v>91</v>
      </c>
      <c r="C366" s="135" t="s">
        <v>111</v>
      </c>
      <c r="D366" s="136">
        <v>135.80000000000001</v>
      </c>
    </row>
    <row r="367" spans="1:4" x14ac:dyDescent="0.4">
      <c r="A367" s="135" t="s">
        <v>106</v>
      </c>
      <c r="B367" s="135" t="s">
        <v>93</v>
      </c>
      <c r="C367" s="135" t="s">
        <v>112</v>
      </c>
      <c r="D367" s="136">
        <v>132.6</v>
      </c>
    </row>
    <row r="368" spans="1:4" x14ac:dyDescent="0.4">
      <c r="A368" s="135" t="s">
        <v>106</v>
      </c>
      <c r="B368" s="135" t="s">
        <v>95</v>
      </c>
      <c r="C368" s="135" t="s">
        <v>113</v>
      </c>
      <c r="D368" s="136">
        <v>132.80000000000001</v>
      </c>
    </row>
    <row r="369" spans="1:4" x14ac:dyDescent="0.4">
      <c r="A369" s="135" t="s">
        <v>106</v>
      </c>
      <c r="B369" s="135" t="s">
        <v>97</v>
      </c>
      <c r="C369" s="135" t="s">
        <v>114</v>
      </c>
      <c r="D369" s="136">
        <v>131.69999999999999</v>
      </c>
    </row>
    <row r="370" spans="1:4" x14ac:dyDescent="0.4">
      <c r="A370" s="135" t="s">
        <v>106</v>
      </c>
      <c r="B370" s="135" t="s">
        <v>99</v>
      </c>
      <c r="C370" s="135" t="s">
        <v>115</v>
      </c>
      <c r="D370" s="136">
        <v>131.9</v>
      </c>
    </row>
    <row r="371" spans="1:4" x14ac:dyDescent="0.4">
      <c r="A371" s="135" t="s">
        <v>106</v>
      </c>
      <c r="B371" s="135" t="s">
        <v>101</v>
      </c>
      <c r="C371" s="135" t="s">
        <v>116</v>
      </c>
      <c r="D371" s="136">
        <v>137.80000000000001</v>
      </c>
    </row>
    <row r="372" spans="1:4" x14ac:dyDescent="0.4">
      <c r="A372" s="135" t="s">
        <v>106</v>
      </c>
      <c r="B372" s="135" t="s">
        <v>103</v>
      </c>
      <c r="C372" s="135" t="s">
        <v>117</v>
      </c>
      <c r="D372" s="136">
        <v>134.80000000000001</v>
      </c>
    </row>
    <row r="373" spans="1:4" x14ac:dyDescent="0.4">
      <c r="A373" s="135" t="s">
        <v>106</v>
      </c>
      <c r="B373" s="135" t="s">
        <v>80</v>
      </c>
      <c r="C373" s="135" t="s">
        <v>118</v>
      </c>
      <c r="D373" s="136">
        <v>132.9</v>
      </c>
    </row>
    <row r="374" spans="1:4" x14ac:dyDescent="0.4">
      <c r="A374" s="135" t="s">
        <v>119</v>
      </c>
      <c r="B374" s="135" t="s">
        <v>83</v>
      </c>
      <c r="C374" s="135" t="s">
        <v>120</v>
      </c>
      <c r="D374" s="136">
        <v>133.69999999999999</v>
      </c>
    </row>
    <row r="375" spans="1:4" x14ac:dyDescent="0.4">
      <c r="A375" s="135" t="s">
        <v>119</v>
      </c>
      <c r="B375" s="135" t="s">
        <v>85</v>
      </c>
      <c r="C375" s="135" t="s">
        <v>121</v>
      </c>
      <c r="D375" s="136">
        <v>133.69999999999999</v>
      </c>
    </row>
    <row r="376" spans="1:4" x14ac:dyDescent="0.4">
      <c r="A376" s="135" t="s">
        <v>119</v>
      </c>
      <c r="B376" s="135" t="s">
        <v>87</v>
      </c>
      <c r="C376" s="135" t="s">
        <v>122</v>
      </c>
      <c r="D376" s="136">
        <v>133.4</v>
      </c>
    </row>
    <row r="377" spans="1:4" x14ac:dyDescent="0.4">
      <c r="A377" s="135" t="s">
        <v>119</v>
      </c>
      <c r="B377" s="135" t="s">
        <v>89</v>
      </c>
      <c r="C377" s="135" t="s">
        <v>123</v>
      </c>
      <c r="D377" s="136">
        <v>132.30000000000001</v>
      </c>
    </row>
    <row r="378" spans="1:4" x14ac:dyDescent="0.4">
      <c r="A378" s="135" t="s">
        <v>119</v>
      </c>
      <c r="B378" s="135" t="s">
        <v>91</v>
      </c>
      <c r="C378" s="135" t="s">
        <v>124</v>
      </c>
      <c r="D378" s="136">
        <v>132</v>
      </c>
    </row>
    <row r="379" spans="1:4" x14ac:dyDescent="0.4">
      <c r="A379" s="135" t="s">
        <v>119</v>
      </c>
      <c r="B379" s="135" t="s">
        <v>93</v>
      </c>
      <c r="C379" s="135" t="s">
        <v>125</v>
      </c>
      <c r="D379" s="136">
        <v>130.6</v>
      </c>
    </row>
    <row r="380" spans="1:4" x14ac:dyDescent="0.4">
      <c r="A380" s="135" t="s">
        <v>119</v>
      </c>
      <c r="B380" s="135" t="s">
        <v>95</v>
      </c>
      <c r="C380" s="135" t="s">
        <v>126</v>
      </c>
      <c r="D380" s="136">
        <v>123.7</v>
      </c>
    </row>
    <row r="381" spans="1:4" x14ac:dyDescent="0.4">
      <c r="A381" s="135" t="s">
        <v>119</v>
      </c>
      <c r="B381" s="135" t="s">
        <v>97</v>
      </c>
      <c r="C381" s="135" t="s">
        <v>127</v>
      </c>
      <c r="D381" s="136">
        <v>125.7</v>
      </c>
    </row>
    <row r="382" spans="1:4" x14ac:dyDescent="0.4">
      <c r="A382" s="135" t="s">
        <v>119</v>
      </c>
      <c r="B382" s="135" t="s">
        <v>99</v>
      </c>
      <c r="C382" s="135" t="s">
        <v>128</v>
      </c>
      <c r="D382" s="136">
        <v>126.5</v>
      </c>
    </row>
    <row r="383" spans="1:4" x14ac:dyDescent="0.4">
      <c r="A383" s="135" t="s">
        <v>119</v>
      </c>
      <c r="B383" s="135" t="s">
        <v>101</v>
      </c>
      <c r="C383" s="135" t="s">
        <v>129</v>
      </c>
      <c r="D383" s="136">
        <v>129.4</v>
      </c>
    </row>
    <row r="384" spans="1:4" x14ac:dyDescent="0.4">
      <c r="A384" s="135" t="s">
        <v>119</v>
      </c>
      <c r="B384" s="135" t="s">
        <v>103</v>
      </c>
      <c r="C384" s="135" t="s">
        <v>130</v>
      </c>
      <c r="D384" s="136">
        <v>135</v>
      </c>
    </row>
    <row r="385" spans="1:4" x14ac:dyDescent="0.4">
      <c r="A385" s="135" t="s">
        <v>119</v>
      </c>
      <c r="B385" s="135" t="s">
        <v>80</v>
      </c>
      <c r="C385" s="135" t="s">
        <v>131</v>
      </c>
      <c r="D385" s="136">
        <v>133.80000000000001</v>
      </c>
    </row>
    <row r="386" spans="1:4" x14ac:dyDescent="0.4">
      <c r="A386" s="135" t="s">
        <v>132</v>
      </c>
      <c r="B386" s="135" t="s">
        <v>83</v>
      </c>
      <c r="C386" s="135" t="s">
        <v>133</v>
      </c>
      <c r="D386" s="136">
        <v>132.80000000000001</v>
      </c>
    </row>
    <row r="387" spans="1:4" x14ac:dyDescent="0.4">
      <c r="A387" s="135" t="s">
        <v>132</v>
      </c>
      <c r="B387" s="135" t="s">
        <v>85</v>
      </c>
      <c r="C387" s="135" t="s">
        <v>134</v>
      </c>
      <c r="D387" s="136">
        <v>132.5</v>
      </c>
    </row>
    <row r="388" spans="1:4" x14ac:dyDescent="0.4">
      <c r="A388" s="135" t="s">
        <v>132</v>
      </c>
      <c r="B388" s="135" t="s">
        <v>87</v>
      </c>
      <c r="C388" s="135" t="s">
        <v>135</v>
      </c>
      <c r="D388" s="136">
        <v>131.9</v>
      </c>
    </row>
    <row r="389" spans="1:4" x14ac:dyDescent="0.4">
      <c r="A389" s="135" t="s">
        <v>132</v>
      </c>
      <c r="B389" s="135" t="s">
        <v>89</v>
      </c>
      <c r="C389" s="135" t="s">
        <v>136</v>
      </c>
      <c r="D389" s="136">
        <v>130.5</v>
      </c>
    </row>
    <row r="390" spans="1:4" x14ac:dyDescent="0.4">
      <c r="A390" s="135" t="s">
        <v>132</v>
      </c>
      <c r="B390" s="135" t="s">
        <v>91</v>
      </c>
      <c r="C390" s="135" t="s">
        <v>137</v>
      </c>
      <c r="D390" s="136">
        <v>130.1</v>
      </c>
    </row>
    <row r="391" spans="1:4" x14ac:dyDescent="0.4">
      <c r="A391" s="135" t="s">
        <v>132</v>
      </c>
      <c r="B391" s="135" t="s">
        <v>93</v>
      </c>
      <c r="C391" s="135" t="s">
        <v>138</v>
      </c>
      <c r="D391" s="136">
        <v>129.80000000000001</v>
      </c>
    </row>
    <row r="392" spans="1:4" x14ac:dyDescent="0.4">
      <c r="A392" s="135" t="s">
        <v>132</v>
      </c>
      <c r="B392" s="135" t="s">
        <v>95</v>
      </c>
      <c r="C392" s="135" t="s">
        <v>139</v>
      </c>
      <c r="D392" s="136">
        <v>129.19999999999999</v>
      </c>
    </row>
    <row r="393" spans="1:4" x14ac:dyDescent="0.4">
      <c r="A393" s="135" t="s">
        <v>132</v>
      </c>
      <c r="B393" s="135" t="s">
        <v>97</v>
      </c>
      <c r="C393" s="135" t="s">
        <v>140</v>
      </c>
      <c r="D393" s="136">
        <v>128.19999999999999</v>
      </c>
    </row>
    <row r="394" spans="1:4" x14ac:dyDescent="0.4">
      <c r="A394" s="135" t="s">
        <v>132</v>
      </c>
      <c r="B394" s="135" t="s">
        <v>99</v>
      </c>
      <c r="C394" s="135" t="s">
        <v>141</v>
      </c>
      <c r="D394" s="136">
        <v>126.6</v>
      </c>
    </row>
    <row r="395" spans="1:4" x14ac:dyDescent="0.4">
      <c r="A395" s="135" t="s">
        <v>132</v>
      </c>
      <c r="B395" s="135" t="s">
        <v>101</v>
      </c>
      <c r="C395" s="135" t="s">
        <v>142</v>
      </c>
      <c r="D395" s="136">
        <v>134.1</v>
      </c>
    </row>
    <row r="396" spans="1:4" x14ac:dyDescent="0.4">
      <c r="A396" s="135" t="s">
        <v>132</v>
      </c>
      <c r="B396" s="135" t="s">
        <v>103</v>
      </c>
      <c r="C396" s="135" t="s">
        <v>143</v>
      </c>
      <c r="D396" s="136">
        <v>134.80000000000001</v>
      </c>
    </row>
    <row r="397" spans="1:4" x14ac:dyDescent="0.4">
      <c r="A397" s="135" t="s">
        <v>132</v>
      </c>
      <c r="B397" s="135" t="s">
        <v>80</v>
      </c>
      <c r="C397" s="135" t="s">
        <v>144</v>
      </c>
      <c r="D397" s="136">
        <v>132.9</v>
      </c>
    </row>
    <row r="398" spans="1:4" x14ac:dyDescent="0.4">
      <c r="A398" s="135" t="s">
        <v>145</v>
      </c>
      <c r="B398" s="135" t="s">
        <v>83</v>
      </c>
      <c r="C398" s="135" t="s">
        <v>146</v>
      </c>
      <c r="D398" s="136">
        <v>133.6</v>
      </c>
    </row>
    <row r="399" spans="1:4" x14ac:dyDescent="0.4">
      <c r="A399" s="135" t="s">
        <v>145</v>
      </c>
      <c r="B399" s="135" t="s">
        <v>85</v>
      </c>
      <c r="C399" s="135" t="s">
        <v>147</v>
      </c>
      <c r="D399" s="136">
        <v>133.5</v>
      </c>
    </row>
    <row r="400" spans="1:4" x14ac:dyDescent="0.4">
      <c r="A400" s="135" t="s">
        <v>145</v>
      </c>
      <c r="B400" s="135" t="s">
        <v>87</v>
      </c>
      <c r="C400" s="135" t="s">
        <v>148</v>
      </c>
      <c r="D400" s="136">
        <v>132.1</v>
      </c>
    </row>
    <row r="401" spans="1:4" x14ac:dyDescent="0.4">
      <c r="A401" s="135" t="s">
        <v>145</v>
      </c>
      <c r="B401" s="135" t="s">
        <v>89</v>
      </c>
      <c r="C401" s="135" t="s">
        <v>149</v>
      </c>
      <c r="D401" s="136">
        <v>133.1</v>
      </c>
    </row>
    <row r="402" spans="1:4" x14ac:dyDescent="0.4">
      <c r="A402" s="135" t="s">
        <v>145</v>
      </c>
      <c r="B402" s="135" t="s">
        <v>91</v>
      </c>
      <c r="C402" s="135" t="s">
        <v>150</v>
      </c>
      <c r="D402" s="136">
        <v>132.19999999999999</v>
      </c>
    </row>
    <row r="403" spans="1:4" x14ac:dyDescent="0.4">
      <c r="A403" s="135" t="s">
        <v>145</v>
      </c>
      <c r="B403" s="135" t="s">
        <v>93</v>
      </c>
      <c r="C403" s="135" t="s">
        <v>151</v>
      </c>
      <c r="D403" s="136">
        <v>129.5</v>
      </c>
    </row>
    <row r="404" spans="1:4" x14ac:dyDescent="0.4">
      <c r="A404" s="135" t="s">
        <v>145</v>
      </c>
      <c r="B404" s="135" t="s">
        <v>95</v>
      </c>
      <c r="C404" s="135" t="s">
        <v>152</v>
      </c>
      <c r="D404" s="136">
        <v>128.19999999999999</v>
      </c>
    </row>
    <row r="405" spans="1:4" x14ac:dyDescent="0.4">
      <c r="A405" s="135" t="s">
        <v>145</v>
      </c>
      <c r="B405" s="135" t="s">
        <v>97</v>
      </c>
      <c r="C405" s="135" t="s">
        <v>153</v>
      </c>
      <c r="D405" s="136">
        <v>129.1</v>
      </c>
    </row>
    <row r="406" spans="1:4" x14ac:dyDescent="0.4">
      <c r="A406" s="135" t="s">
        <v>145</v>
      </c>
      <c r="B406" s="135" t="s">
        <v>99</v>
      </c>
      <c r="C406" s="135" t="s">
        <v>154</v>
      </c>
      <c r="D406" s="136">
        <v>128.69999999999999</v>
      </c>
    </row>
    <row r="407" spans="1:4" x14ac:dyDescent="0.4">
      <c r="A407" s="135" t="s">
        <v>145</v>
      </c>
      <c r="B407" s="135" t="s">
        <v>101</v>
      </c>
      <c r="C407" s="135" t="s">
        <v>155</v>
      </c>
      <c r="D407" s="136">
        <v>139.4</v>
      </c>
    </row>
    <row r="408" spans="1:4" x14ac:dyDescent="0.4">
      <c r="A408" s="135" t="s">
        <v>145</v>
      </c>
      <c r="B408" s="135" t="s">
        <v>103</v>
      </c>
      <c r="C408" s="135" t="s">
        <v>156</v>
      </c>
      <c r="D408" s="136">
        <v>137.69999999999999</v>
      </c>
    </row>
    <row r="409" spans="1:4" x14ac:dyDescent="0.4">
      <c r="A409" s="135" t="s">
        <v>145</v>
      </c>
      <c r="B409" s="135" t="s">
        <v>80</v>
      </c>
      <c r="C409" s="135" t="s">
        <v>157</v>
      </c>
      <c r="D409" s="136">
        <v>137.6</v>
      </c>
    </row>
    <row r="410" spans="1:4" x14ac:dyDescent="0.4">
      <c r="A410" s="135" t="s">
        <v>158</v>
      </c>
      <c r="B410" s="135" t="s">
        <v>83</v>
      </c>
      <c r="C410" s="135" t="s">
        <v>159</v>
      </c>
      <c r="D410" s="136">
        <v>137</v>
      </c>
    </row>
    <row r="411" spans="1:4" x14ac:dyDescent="0.4">
      <c r="A411" s="135" t="s">
        <v>158</v>
      </c>
      <c r="B411" s="135" t="s">
        <v>85</v>
      </c>
      <c r="C411" s="135" t="s">
        <v>160</v>
      </c>
      <c r="D411" s="136">
        <v>136.80000000000001</v>
      </c>
    </row>
    <row r="412" spans="1:4" x14ac:dyDescent="0.4">
      <c r="A412" s="135" t="s">
        <v>158</v>
      </c>
      <c r="B412" s="135" t="s">
        <v>87</v>
      </c>
      <c r="C412" s="135" t="s">
        <v>161</v>
      </c>
      <c r="D412" s="136">
        <v>136</v>
      </c>
    </row>
    <row r="413" spans="1:4" x14ac:dyDescent="0.4">
      <c r="A413" s="135" t="s">
        <v>158</v>
      </c>
      <c r="B413" s="135" t="s">
        <v>89</v>
      </c>
      <c r="C413" s="135" t="s">
        <v>162</v>
      </c>
      <c r="D413" s="136">
        <v>136.69999999999999</v>
      </c>
    </row>
    <row r="414" spans="1:4" x14ac:dyDescent="0.4">
      <c r="A414" s="135" t="s">
        <v>158</v>
      </c>
      <c r="B414" s="135" t="s">
        <v>91</v>
      </c>
      <c r="C414" s="135" t="s">
        <v>163</v>
      </c>
      <c r="D414" s="136">
        <v>136.1</v>
      </c>
    </row>
    <row r="415" spans="1:4" x14ac:dyDescent="0.4">
      <c r="A415" s="135" t="s">
        <v>158</v>
      </c>
      <c r="B415" s="135" t="s">
        <v>93</v>
      </c>
      <c r="C415" s="135" t="s">
        <v>164</v>
      </c>
      <c r="D415" s="136">
        <v>137.9</v>
      </c>
    </row>
    <row r="416" spans="1:4" x14ac:dyDescent="0.4">
      <c r="A416" s="135" t="s">
        <v>158</v>
      </c>
      <c r="B416" s="135" t="s">
        <v>95</v>
      </c>
      <c r="C416" s="135" t="s">
        <v>165</v>
      </c>
      <c r="D416" s="136">
        <v>134.6</v>
      </c>
    </row>
    <row r="417" spans="1:4" x14ac:dyDescent="0.4">
      <c r="A417" s="135" t="s">
        <v>158</v>
      </c>
      <c r="B417" s="135" t="s">
        <v>97</v>
      </c>
      <c r="C417" s="135" t="s">
        <v>166</v>
      </c>
      <c r="D417" s="136">
        <v>136.1</v>
      </c>
    </row>
    <row r="418" spans="1:4" x14ac:dyDescent="0.4">
      <c r="A418" s="135" t="s">
        <v>158</v>
      </c>
      <c r="B418" s="135" t="s">
        <v>99</v>
      </c>
      <c r="C418" s="135" t="s">
        <v>167</v>
      </c>
      <c r="D418" s="136">
        <v>133.80000000000001</v>
      </c>
    </row>
    <row r="419" spans="1:4" x14ac:dyDescent="0.4">
      <c r="A419" s="135" t="s">
        <v>158</v>
      </c>
      <c r="B419" s="135" t="s">
        <v>101</v>
      </c>
      <c r="C419" s="135" t="s">
        <v>168</v>
      </c>
      <c r="D419" s="136">
        <v>138.30000000000001</v>
      </c>
    </row>
    <row r="420" spans="1:4" x14ac:dyDescent="0.4">
      <c r="A420" s="135" t="s">
        <v>158</v>
      </c>
      <c r="B420" s="135" t="s">
        <v>103</v>
      </c>
      <c r="C420" s="135" t="s">
        <v>169</v>
      </c>
      <c r="D420" s="136">
        <v>139.5</v>
      </c>
    </row>
    <row r="421" spans="1:4" x14ac:dyDescent="0.4">
      <c r="A421" s="135" t="s">
        <v>158</v>
      </c>
      <c r="B421" s="135" t="s">
        <v>80</v>
      </c>
      <c r="C421" s="135" t="s">
        <v>170</v>
      </c>
      <c r="D421" s="136">
        <v>138.1</v>
      </c>
    </row>
    <row r="422" spans="1:4" x14ac:dyDescent="0.4">
      <c r="A422" s="135" t="s">
        <v>171</v>
      </c>
      <c r="B422" s="135" t="s">
        <v>83</v>
      </c>
      <c r="C422" s="135" t="s">
        <v>172</v>
      </c>
      <c r="D422" s="136">
        <v>139.30000000000001</v>
      </c>
    </row>
    <row r="423" spans="1:4" x14ac:dyDescent="0.4">
      <c r="A423" s="135" t="s">
        <v>171</v>
      </c>
      <c r="B423" s="135" t="s">
        <v>85</v>
      </c>
      <c r="C423" s="135" t="s">
        <v>173</v>
      </c>
      <c r="D423" s="136">
        <v>139</v>
      </c>
    </row>
    <row r="424" spans="1:4" x14ac:dyDescent="0.4">
      <c r="A424" s="135" t="s">
        <v>171</v>
      </c>
      <c r="B424" s="135" t="s">
        <v>87</v>
      </c>
      <c r="C424" s="135" t="s">
        <v>174</v>
      </c>
      <c r="D424" s="136">
        <v>137.80000000000001</v>
      </c>
    </row>
    <row r="425" spans="1:4" x14ac:dyDescent="0.4">
      <c r="A425" s="135" t="s">
        <v>171</v>
      </c>
      <c r="B425" s="135" t="s">
        <v>89</v>
      </c>
      <c r="C425" s="135" t="s">
        <v>175</v>
      </c>
      <c r="D425" s="136">
        <v>137.19999999999999</v>
      </c>
    </row>
    <row r="426" spans="1:4" x14ac:dyDescent="0.4">
      <c r="A426" s="135" t="s">
        <v>171</v>
      </c>
      <c r="B426" s="135" t="s">
        <v>91</v>
      </c>
      <c r="C426" s="135" t="s">
        <v>176</v>
      </c>
      <c r="D426" s="136">
        <v>137.30000000000001</v>
      </c>
    </row>
    <row r="427" spans="1:4" x14ac:dyDescent="0.4">
      <c r="A427" s="135" t="s">
        <v>171</v>
      </c>
      <c r="B427" s="135" t="s">
        <v>93</v>
      </c>
      <c r="C427" s="135" t="s">
        <v>177</v>
      </c>
      <c r="D427" s="136">
        <v>135.4</v>
      </c>
    </row>
    <row r="428" spans="1:4" x14ac:dyDescent="0.4">
      <c r="A428" s="135" t="s">
        <v>171</v>
      </c>
      <c r="B428" s="135" t="s">
        <v>95</v>
      </c>
      <c r="C428" s="135" t="s">
        <v>178</v>
      </c>
      <c r="D428" s="136">
        <v>134.80000000000001</v>
      </c>
    </row>
    <row r="429" spans="1:4" x14ac:dyDescent="0.4">
      <c r="A429" s="135" t="s">
        <v>171</v>
      </c>
      <c r="B429" s="135" t="s">
        <v>97</v>
      </c>
      <c r="C429" s="135" t="s">
        <v>179</v>
      </c>
      <c r="D429" s="136">
        <v>135</v>
      </c>
    </row>
    <row r="430" spans="1:4" x14ac:dyDescent="0.4">
      <c r="A430" s="135" t="s">
        <v>171</v>
      </c>
      <c r="B430" s="135" t="s">
        <v>99</v>
      </c>
      <c r="C430" s="135" t="s">
        <v>180</v>
      </c>
      <c r="D430" s="136">
        <v>134.5</v>
      </c>
    </row>
    <row r="431" spans="1:4" x14ac:dyDescent="0.4">
      <c r="A431" s="135" t="s">
        <v>171</v>
      </c>
      <c r="B431" s="135" t="s">
        <v>101</v>
      </c>
      <c r="C431" s="135" t="s">
        <v>181</v>
      </c>
      <c r="D431" s="136">
        <v>137.69999999999999</v>
      </c>
    </row>
    <row r="432" spans="1:4" x14ac:dyDescent="0.4">
      <c r="A432" s="135" t="s">
        <v>171</v>
      </c>
      <c r="B432" s="135" t="s">
        <v>103</v>
      </c>
      <c r="C432" s="135" t="s">
        <v>182</v>
      </c>
      <c r="D432" s="136">
        <v>137</v>
      </c>
    </row>
    <row r="433" spans="1:4" x14ac:dyDescent="0.4">
      <c r="A433" s="135" t="s">
        <v>171</v>
      </c>
      <c r="B433" s="135" t="s">
        <v>80</v>
      </c>
      <c r="C433" s="135" t="s">
        <v>183</v>
      </c>
      <c r="D433" s="136">
        <v>136.4</v>
      </c>
    </row>
    <row r="434" spans="1:4" x14ac:dyDescent="0.4">
      <c r="A434" s="135" t="s">
        <v>184</v>
      </c>
      <c r="B434" s="135" t="s">
        <v>83</v>
      </c>
      <c r="C434" s="135" t="s">
        <v>185</v>
      </c>
      <c r="D434" s="136">
        <v>137</v>
      </c>
    </row>
    <row r="435" spans="1:4" x14ac:dyDescent="0.4">
      <c r="A435" s="135" t="s">
        <v>184</v>
      </c>
      <c r="B435" s="135" t="s">
        <v>85</v>
      </c>
      <c r="C435" s="135" t="s">
        <v>186</v>
      </c>
      <c r="D435" s="136">
        <v>137</v>
      </c>
    </row>
    <row r="436" spans="1:4" x14ac:dyDescent="0.4">
      <c r="A436" s="135" t="s">
        <v>184</v>
      </c>
      <c r="B436" s="135" t="s">
        <v>87</v>
      </c>
      <c r="C436" s="135" t="s">
        <v>187</v>
      </c>
      <c r="D436" s="136">
        <v>136.69999999999999</v>
      </c>
    </row>
    <row r="437" spans="1:4" x14ac:dyDescent="0.4">
      <c r="A437" s="135" t="s">
        <v>184</v>
      </c>
      <c r="B437" s="135" t="s">
        <v>89</v>
      </c>
      <c r="C437" s="135" t="s">
        <v>188</v>
      </c>
      <c r="D437" s="136">
        <v>137.4</v>
      </c>
    </row>
    <row r="438" spans="1:4" x14ac:dyDescent="0.4">
      <c r="A438" s="135" t="s">
        <v>184</v>
      </c>
      <c r="B438" s="135" t="s">
        <v>91</v>
      </c>
      <c r="C438" s="135" t="s">
        <v>189</v>
      </c>
      <c r="D438" s="136">
        <v>136.69999999999999</v>
      </c>
    </row>
    <row r="439" spans="1:4" x14ac:dyDescent="0.4">
      <c r="A439" s="135" t="s">
        <v>184</v>
      </c>
      <c r="B439" s="135" t="s">
        <v>93</v>
      </c>
      <c r="C439" s="135" t="s">
        <v>190</v>
      </c>
      <c r="D439" s="136">
        <v>136.9</v>
      </c>
    </row>
    <row r="440" spans="1:4" x14ac:dyDescent="0.4">
      <c r="A440" s="135" t="s">
        <v>184</v>
      </c>
      <c r="B440" s="135" t="s">
        <v>95</v>
      </c>
      <c r="C440" s="135" t="s">
        <v>191</v>
      </c>
      <c r="D440" s="136">
        <v>136.69999999999999</v>
      </c>
    </row>
    <row r="441" spans="1:4" x14ac:dyDescent="0.4">
      <c r="A441" s="135" t="s">
        <v>184</v>
      </c>
      <c r="B441" s="135" t="s">
        <v>97</v>
      </c>
      <c r="C441" s="135" t="s">
        <v>192</v>
      </c>
      <c r="D441" s="136">
        <v>136.5</v>
      </c>
    </row>
    <row r="442" spans="1:4" x14ac:dyDescent="0.4">
      <c r="A442" s="135" t="s">
        <v>184</v>
      </c>
      <c r="B442" s="135" t="s">
        <v>99</v>
      </c>
      <c r="C442" s="135" t="s">
        <v>193</v>
      </c>
      <c r="D442" s="136">
        <v>135.69999999999999</v>
      </c>
    </row>
    <row r="443" spans="1:4" x14ac:dyDescent="0.4">
      <c r="A443" s="135" t="s">
        <v>184</v>
      </c>
      <c r="B443" s="135" t="s">
        <v>101</v>
      </c>
      <c r="C443" s="135" t="s">
        <v>194</v>
      </c>
      <c r="D443" s="136">
        <v>140.6</v>
      </c>
    </row>
    <row r="444" spans="1:4" x14ac:dyDescent="0.4">
      <c r="A444" s="135" t="s">
        <v>184</v>
      </c>
      <c r="B444" s="135" t="s">
        <v>103</v>
      </c>
      <c r="C444" s="135" t="s">
        <v>195</v>
      </c>
      <c r="D444" s="136">
        <v>140.69999999999999</v>
      </c>
    </row>
    <row r="445" spans="1:4" x14ac:dyDescent="0.4">
      <c r="A445" s="135" t="s">
        <v>184</v>
      </c>
      <c r="B445" s="135" t="s">
        <v>80</v>
      </c>
      <c r="C445" s="135" t="s">
        <v>196</v>
      </c>
      <c r="D445" s="136">
        <v>140.30000000000001</v>
      </c>
    </row>
    <row r="446" spans="1:4" x14ac:dyDescent="0.4">
      <c r="A446" s="135" t="s">
        <v>197</v>
      </c>
      <c r="B446" s="135" t="s">
        <v>83</v>
      </c>
      <c r="C446" s="135" t="s">
        <v>198</v>
      </c>
      <c r="D446" s="136">
        <v>141</v>
      </c>
    </row>
    <row r="447" spans="1:4" x14ac:dyDescent="0.4">
      <c r="A447" s="135" t="s">
        <v>197</v>
      </c>
      <c r="B447" s="135" t="s">
        <v>85</v>
      </c>
      <c r="C447" s="135" t="s">
        <v>199</v>
      </c>
      <c r="D447" s="136">
        <v>140.4</v>
      </c>
    </row>
    <row r="448" spans="1:4" x14ac:dyDescent="0.4">
      <c r="A448" s="135" t="s">
        <v>197</v>
      </c>
      <c r="B448" s="135" t="s">
        <v>87</v>
      </c>
      <c r="C448" s="135" t="s">
        <v>200</v>
      </c>
      <c r="D448" s="136">
        <v>140.30000000000001</v>
      </c>
    </row>
    <row r="449" spans="1:4" x14ac:dyDescent="0.4">
      <c r="A449" s="135" t="s">
        <v>197</v>
      </c>
      <c r="B449" s="135" t="s">
        <v>89</v>
      </c>
      <c r="C449" s="135" t="s">
        <v>201</v>
      </c>
      <c r="D449" s="136">
        <v>140.6</v>
      </c>
    </row>
    <row r="450" spans="1:4" x14ac:dyDescent="0.4">
      <c r="A450" s="135" t="s">
        <v>197</v>
      </c>
      <c r="B450" s="135" t="s">
        <v>91</v>
      </c>
      <c r="C450" s="135" t="s">
        <v>202</v>
      </c>
      <c r="D450" s="136">
        <v>139.69999999999999</v>
      </c>
    </row>
    <row r="451" spans="1:4" x14ac:dyDescent="0.4">
      <c r="A451" s="135" t="s">
        <v>197</v>
      </c>
      <c r="B451" s="135" t="s">
        <v>93</v>
      </c>
      <c r="C451" s="135" t="s">
        <v>203</v>
      </c>
      <c r="D451" s="136">
        <v>140.1</v>
      </c>
    </row>
    <row r="452" spans="1:4" x14ac:dyDescent="0.4">
      <c r="A452" s="135" t="s">
        <v>197</v>
      </c>
      <c r="B452" s="135" t="s">
        <v>95</v>
      </c>
      <c r="C452" s="135" t="s">
        <v>204</v>
      </c>
      <c r="D452" s="136">
        <v>140.9</v>
      </c>
    </row>
    <row r="453" spans="1:4" x14ac:dyDescent="0.4">
      <c r="A453" s="135" t="s">
        <v>197</v>
      </c>
      <c r="B453" s="135" t="s">
        <v>97</v>
      </c>
      <c r="C453" s="135" t="s">
        <v>205</v>
      </c>
      <c r="D453" s="136">
        <v>140.80000000000001</v>
      </c>
    </row>
    <row r="454" spans="1:4" x14ac:dyDescent="0.4">
      <c r="A454" s="135" t="s">
        <v>197</v>
      </c>
      <c r="B454" s="135" t="s">
        <v>99</v>
      </c>
      <c r="C454" s="135" t="s">
        <v>206</v>
      </c>
      <c r="D454" s="136">
        <v>139.6</v>
      </c>
    </row>
    <row r="455" spans="1:4" x14ac:dyDescent="0.4">
      <c r="A455" s="135" t="s">
        <v>197</v>
      </c>
      <c r="B455" s="135" t="s">
        <v>101</v>
      </c>
      <c r="C455" s="135" t="s">
        <v>207</v>
      </c>
      <c r="D455" s="136">
        <v>143.9</v>
      </c>
    </row>
    <row r="456" spans="1:4" x14ac:dyDescent="0.4">
      <c r="A456" s="135" t="s">
        <v>197</v>
      </c>
      <c r="B456" s="135" t="s">
        <v>103</v>
      </c>
      <c r="C456" s="135" t="s">
        <v>208</v>
      </c>
      <c r="D456" s="136">
        <v>144.1</v>
      </c>
    </row>
    <row r="457" spans="1:4" x14ac:dyDescent="0.4">
      <c r="A457" s="135" t="s">
        <v>197</v>
      </c>
      <c r="B457" s="135" t="s">
        <v>80</v>
      </c>
      <c r="C457" s="135" t="s">
        <v>209</v>
      </c>
      <c r="D457" s="136">
        <v>143.6</v>
      </c>
    </row>
    <row r="458" spans="1:4" x14ac:dyDescent="0.4">
      <c r="A458" s="135" t="s">
        <v>210</v>
      </c>
      <c r="B458" s="135" t="s">
        <v>83</v>
      </c>
      <c r="C458" s="135" t="s">
        <v>211</v>
      </c>
      <c r="D458" s="136">
        <v>143.4</v>
      </c>
    </row>
    <row r="459" spans="1:4" x14ac:dyDescent="0.4">
      <c r="A459" s="135" t="s">
        <v>210</v>
      </c>
      <c r="B459" s="135" t="s">
        <v>85</v>
      </c>
      <c r="C459" s="135" t="s">
        <v>212</v>
      </c>
      <c r="D459" s="136">
        <v>143.30000000000001</v>
      </c>
    </row>
    <row r="460" spans="1:4" x14ac:dyDescent="0.4">
      <c r="A460" s="135" t="s">
        <v>210</v>
      </c>
      <c r="B460" s="135" t="s">
        <v>87</v>
      </c>
      <c r="C460" s="135" t="s">
        <v>213</v>
      </c>
      <c r="D460" s="136">
        <v>142.6</v>
      </c>
    </row>
    <row r="461" spans="1:4" x14ac:dyDescent="0.4">
      <c r="A461" s="135" t="s">
        <v>210</v>
      </c>
      <c r="B461" s="135" t="s">
        <v>89</v>
      </c>
      <c r="C461" s="135" t="s">
        <v>214</v>
      </c>
      <c r="D461" s="136">
        <v>142.4</v>
      </c>
    </row>
    <row r="462" spans="1:4" x14ac:dyDescent="0.4">
      <c r="A462" s="135" t="s">
        <v>210</v>
      </c>
      <c r="B462" s="135" t="s">
        <v>91</v>
      </c>
      <c r="C462" s="135" t="s">
        <v>215</v>
      </c>
      <c r="D462" s="136">
        <v>141.69999999999999</v>
      </c>
    </row>
    <row r="463" spans="1:4" x14ac:dyDescent="0.4">
      <c r="A463" s="135" t="s">
        <v>210</v>
      </c>
      <c r="B463" s="135" t="s">
        <v>93</v>
      </c>
      <c r="C463" s="135" t="s">
        <v>216</v>
      </c>
      <c r="D463" s="136">
        <v>141.30000000000001</v>
      </c>
    </row>
    <row r="464" spans="1:4" x14ac:dyDescent="0.4">
      <c r="A464" s="135" t="s">
        <v>210</v>
      </c>
      <c r="B464" s="135" t="s">
        <v>95</v>
      </c>
      <c r="C464" s="135" t="s">
        <v>217</v>
      </c>
      <c r="D464" s="136">
        <v>140.69999999999999</v>
      </c>
    </row>
    <row r="465" spans="1:4" x14ac:dyDescent="0.4">
      <c r="A465" s="135" t="s">
        <v>210</v>
      </c>
      <c r="B465" s="135" t="s">
        <v>97</v>
      </c>
      <c r="C465" s="135" t="s">
        <v>218</v>
      </c>
      <c r="D465" s="136">
        <v>140.4</v>
      </c>
    </row>
    <row r="466" spans="1:4" x14ac:dyDescent="0.4">
      <c r="A466" s="135" t="s">
        <v>210</v>
      </c>
      <c r="B466" s="135" t="s">
        <v>99</v>
      </c>
      <c r="C466" s="135" t="s">
        <v>219</v>
      </c>
      <c r="D466" s="136">
        <v>140.19999999999999</v>
      </c>
    </row>
    <row r="467" spans="1:4" x14ac:dyDescent="0.4">
      <c r="A467" s="135" t="s">
        <v>210</v>
      </c>
      <c r="B467" s="135" t="s">
        <v>101</v>
      </c>
      <c r="C467" s="135" t="s">
        <v>220</v>
      </c>
      <c r="D467" s="136">
        <v>144.80000000000001</v>
      </c>
    </row>
    <row r="468" spans="1:4" x14ac:dyDescent="0.4">
      <c r="A468" s="135" t="s">
        <v>210</v>
      </c>
      <c r="B468" s="135" t="s">
        <v>103</v>
      </c>
      <c r="C468" s="135" t="s">
        <v>221</v>
      </c>
      <c r="D468" s="136">
        <v>145.6</v>
      </c>
    </row>
    <row r="469" spans="1:4" x14ac:dyDescent="0.4">
      <c r="A469" s="135" t="s">
        <v>210</v>
      </c>
      <c r="B469" s="135" t="s">
        <v>80</v>
      </c>
      <c r="C469" s="135" t="s">
        <v>222</v>
      </c>
      <c r="D469" s="136">
        <v>146.4</v>
      </c>
    </row>
    <row r="470" spans="1:4" x14ac:dyDescent="0.4">
      <c r="A470" s="135" t="s">
        <v>223</v>
      </c>
      <c r="B470" s="135" t="s">
        <v>83</v>
      </c>
      <c r="C470" s="135" t="s">
        <v>224</v>
      </c>
      <c r="D470" s="136">
        <v>146.80000000000001</v>
      </c>
    </row>
    <row r="471" spans="1:4" x14ac:dyDescent="0.4">
      <c r="A471" s="135" t="s">
        <v>223</v>
      </c>
      <c r="B471" s="135" t="s">
        <v>85</v>
      </c>
      <c r="C471" s="135" t="s">
        <v>225</v>
      </c>
      <c r="D471" s="136">
        <v>146.6</v>
      </c>
    </row>
    <row r="472" spans="1:4" x14ac:dyDescent="0.4">
      <c r="A472" s="135" t="s">
        <v>223</v>
      </c>
      <c r="B472" s="135" t="s">
        <v>87</v>
      </c>
      <c r="C472" s="135" t="s">
        <v>226</v>
      </c>
      <c r="D472" s="136">
        <v>145.5</v>
      </c>
    </row>
    <row r="473" spans="1:4" x14ac:dyDescent="0.4">
      <c r="A473" s="135" t="s">
        <v>223</v>
      </c>
      <c r="B473" s="135" t="s">
        <v>89</v>
      </c>
      <c r="C473" s="135" t="s">
        <v>227</v>
      </c>
      <c r="D473" s="136">
        <v>145.19999999999999</v>
      </c>
    </row>
    <row r="474" spans="1:4" x14ac:dyDescent="0.4">
      <c r="A474" s="135" t="s">
        <v>223</v>
      </c>
      <c r="B474" s="135" t="s">
        <v>91</v>
      </c>
      <c r="C474" s="135" t="s">
        <v>228</v>
      </c>
      <c r="D474" s="136">
        <v>144.4</v>
      </c>
    </row>
    <row r="475" spans="1:4" x14ac:dyDescent="0.4">
      <c r="A475" s="135" t="s">
        <v>223</v>
      </c>
      <c r="B475" s="135" t="s">
        <v>93</v>
      </c>
      <c r="C475" s="135" t="s">
        <v>229</v>
      </c>
      <c r="D475" s="136">
        <v>143.80000000000001</v>
      </c>
    </row>
    <row r="476" spans="1:4" x14ac:dyDescent="0.4">
      <c r="A476" s="135" t="s">
        <v>223</v>
      </c>
      <c r="B476" s="135" t="s">
        <v>95</v>
      </c>
      <c r="C476" s="135" t="s">
        <v>230</v>
      </c>
      <c r="D476" s="136">
        <v>143.6</v>
      </c>
    </row>
    <row r="477" spans="1:4" x14ac:dyDescent="0.4">
      <c r="A477" s="135" t="s">
        <v>223</v>
      </c>
      <c r="B477" s="135" t="s">
        <v>97</v>
      </c>
      <c r="C477" s="135" t="s">
        <v>231</v>
      </c>
      <c r="D477" s="136">
        <v>143.4</v>
      </c>
    </row>
    <row r="478" spans="1:4" x14ac:dyDescent="0.4">
      <c r="A478" s="135" t="s">
        <v>223</v>
      </c>
      <c r="B478" s="135" t="s">
        <v>99</v>
      </c>
      <c r="C478" s="135" t="s">
        <v>232</v>
      </c>
      <c r="D478" s="136">
        <v>142.6</v>
      </c>
    </row>
    <row r="479" spans="1:4" x14ac:dyDescent="0.4">
      <c r="A479" s="135" t="s">
        <v>223</v>
      </c>
      <c r="B479" s="135" t="s">
        <v>101</v>
      </c>
      <c r="C479" s="135" t="s">
        <v>233</v>
      </c>
      <c r="D479" s="136">
        <v>148</v>
      </c>
    </row>
    <row r="480" spans="1:4" x14ac:dyDescent="0.4">
      <c r="A480" s="135" t="s">
        <v>223</v>
      </c>
      <c r="B480" s="135" t="s">
        <v>103</v>
      </c>
      <c r="C480" s="135" t="s">
        <v>234</v>
      </c>
      <c r="D480" s="136">
        <v>147.80000000000001</v>
      </c>
    </row>
    <row r="481" spans="1:4" x14ac:dyDescent="0.4">
      <c r="A481" s="135" t="s">
        <v>223</v>
      </c>
      <c r="B481" s="135" t="s">
        <v>80</v>
      </c>
      <c r="C481" s="135" t="s">
        <v>235</v>
      </c>
      <c r="D481" s="136">
        <v>146.30000000000001</v>
      </c>
    </row>
    <row r="482" spans="1:4" x14ac:dyDescent="0.4">
      <c r="A482" s="135" t="s">
        <v>236</v>
      </c>
      <c r="B482" s="135" t="s">
        <v>83</v>
      </c>
      <c r="C482" s="135" t="s">
        <v>237</v>
      </c>
      <c r="D482" s="136">
        <v>147.80000000000001</v>
      </c>
    </row>
    <row r="483" spans="1:4" x14ac:dyDescent="0.4">
      <c r="A483" s="135" t="s">
        <v>236</v>
      </c>
      <c r="B483" s="135" t="s">
        <v>85</v>
      </c>
      <c r="C483" s="135" t="s">
        <v>238</v>
      </c>
      <c r="D483" s="136">
        <v>149.4</v>
      </c>
    </row>
    <row r="484" spans="1:4" x14ac:dyDescent="0.4">
      <c r="A484" s="135" t="s">
        <v>236</v>
      </c>
      <c r="B484" s="135" t="s">
        <v>87</v>
      </c>
      <c r="C484" s="135" t="s">
        <v>239</v>
      </c>
      <c r="D484" s="136">
        <v>149.19999999999999</v>
      </c>
    </row>
    <row r="485" spans="1:4" x14ac:dyDescent="0.4">
      <c r="A485" s="135" t="s">
        <v>236</v>
      </c>
      <c r="B485" s="135" t="s">
        <v>89</v>
      </c>
      <c r="C485" s="135" t="s">
        <v>240</v>
      </c>
      <c r="D485" s="136">
        <v>148.69999999999999</v>
      </c>
    </row>
    <row r="486" spans="1:4" x14ac:dyDescent="0.4">
      <c r="A486" s="135" t="s">
        <v>236</v>
      </c>
      <c r="B486" s="135" t="s">
        <v>91</v>
      </c>
      <c r="C486" s="135" t="s">
        <v>241</v>
      </c>
      <c r="D486" s="136">
        <v>148.5</v>
      </c>
    </row>
    <row r="487" spans="1:4" x14ac:dyDescent="0.4">
      <c r="A487" s="135" t="s">
        <v>236</v>
      </c>
      <c r="B487" s="135" t="s">
        <v>93</v>
      </c>
      <c r="C487" s="135" t="s">
        <v>242</v>
      </c>
      <c r="D487" s="136">
        <v>148.1</v>
      </c>
    </row>
    <row r="488" spans="1:4" x14ac:dyDescent="0.4">
      <c r="A488" s="135" t="s">
        <v>236</v>
      </c>
      <c r="B488" s="135" t="s">
        <v>95</v>
      </c>
      <c r="C488" s="135" t="s">
        <v>243</v>
      </c>
      <c r="D488" s="136">
        <v>148.5</v>
      </c>
    </row>
    <row r="489" spans="1:4" x14ac:dyDescent="0.4">
      <c r="A489" s="135" t="s">
        <v>236</v>
      </c>
      <c r="B489" s="135" t="s">
        <v>97</v>
      </c>
      <c r="C489" s="135" t="s">
        <v>244</v>
      </c>
      <c r="D489" s="136">
        <v>147.4</v>
      </c>
    </row>
    <row r="490" spans="1:4" x14ac:dyDescent="0.4">
      <c r="A490" s="135" t="s">
        <v>236</v>
      </c>
      <c r="B490" s="135" t="s">
        <v>99</v>
      </c>
      <c r="C490" s="135" t="s">
        <v>245</v>
      </c>
      <c r="D490" s="136">
        <v>147.19999999999999</v>
      </c>
    </row>
    <row r="491" spans="1:4" x14ac:dyDescent="0.4">
      <c r="A491" s="135" t="s">
        <v>236</v>
      </c>
      <c r="B491" s="135" t="s">
        <v>101</v>
      </c>
      <c r="C491" s="135" t="s">
        <v>246</v>
      </c>
      <c r="D491" s="136">
        <v>150.69999999999999</v>
      </c>
    </row>
    <row r="492" spans="1:4" x14ac:dyDescent="0.4">
      <c r="A492" s="135" t="s">
        <v>236</v>
      </c>
      <c r="B492" s="135" t="s">
        <v>103</v>
      </c>
      <c r="C492" s="135" t="s">
        <v>247</v>
      </c>
      <c r="D492" s="136">
        <v>150.6</v>
      </c>
    </row>
    <row r="493" spans="1:4" x14ac:dyDescent="0.4">
      <c r="A493" s="135" t="s">
        <v>236</v>
      </c>
      <c r="B493" s="135" t="s">
        <v>80</v>
      </c>
      <c r="C493" s="135" t="s">
        <v>248</v>
      </c>
      <c r="D493" s="136">
        <v>150.5</v>
      </c>
    </row>
    <row r="494" spans="1:4" x14ac:dyDescent="0.4">
      <c r="A494" s="135" t="s">
        <v>249</v>
      </c>
      <c r="B494" s="135" t="s">
        <v>83</v>
      </c>
      <c r="C494" s="135" t="s">
        <v>250</v>
      </c>
      <c r="D494" s="136">
        <v>149.9</v>
      </c>
    </row>
    <row r="495" spans="1:4" x14ac:dyDescent="0.4">
      <c r="A495" s="135" t="s">
        <v>249</v>
      </c>
      <c r="B495" s="135" t="s">
        <v>85</v>
      </c>
      <c r="C495" s="135" t="s">
        <v>251</v>
      </c>
      <c r="D495" s="136">
        <v>150.19999999999999</v>
      </c>
    </row>
    <row r="496" spans="1:4" x14ac:dyDescent="0.4">
      <c r="A496" s="135" t="s">
        <v>249</v>
      </c>
      <c r="B496" s="135" t="s">
        <v>87</v>
      </c>
      <c r="C496" s="135" t="s">
        <v>252</v>
      </c>
      <c r="D496" s="136">
        <v>149.80000000000001</v>
      </c>
    </row>
    <row r="497" spans="1:4" x14ac:dyDescent="0.4">
      <c r="A497" s="135" t="s">
        <v>249</v>
      </c>
      <c r="B497" s="135" t="s">
        <v>89</v>
      </c>
      <c r="C497" s="135" t="s">
        <v>253</v>
      </c>
      <c r="D497" s="136">
        <v>149.6</v>
      </c>
    </row>
    <row r="498" spans="1:4" x14ac:dyDescent="0.4">
      <c r="A498" s="135" t="s">
        <v>249</v>
      </c>
      <c r="B498" s="135" t="s">
        <v>91</v>
      </c>
      <c r="C498" s="135" t="s">
        <v>254</v>
      </c>
      <c r="D498" s="136">
        <v>149.69999999999999</v>
      </c>
    </row>
    <row r="499" spans="1:4" x14ac:dyDescent="0.4">
      <c r="A499" s="135" t="s">
        <v>249</v>
      </c>
      <c r="B499" s="135" t="s">
        <v>93</v>
      </c>
      <c r="C499" s="135" t="s">
        <v>255</v>
      </c>
      <c r="D499" s="136">
        <v>149.80000000000001</v>
      </c>
    </row>
    <row r="500" spans="1:4" x14ac:dyDescent="0.4">
      <c r="A500" s="135" t="s">
        <v>249</v>
      </c>
      <c r="B500" s="135" t="s">
        <v>95</v>
      </c>
      <c r="C500" s="135" t="s">
        <v>256</v>
      </c>
      <c r="D500" s="136">
        <v>148.5</v>
      </c>
    </row>
    <row r="501" spans="1:4" x14ac:dyDescent="0.4">
      <c r="A501" s="135" t="s">
        <v>249</v>
      </c>
      <c r="B501" s="135" t="s">
        <v>97</v>
      </c>
      <c r="C501" s="135" t="s">
        <v>257</v>
      </c>
      <c r="D501" s="136">
        <v>147.69999999999999</v>
      </c>
    </row>
    <row r="502" spans="1:4" x14ac:dyDescent="0.4">
      <c r="A502" s="135" t="s">
        <v>249</v>
      </c>
      <c r="B502" s="135" t="s">
        <v>99</v>
      </c>
      <c r="C502" s="135" t="s">
        <v>258</v>
      </c>
      <c r="D502" s="136">
        <v>147.6</v>
      </c>
    </row>
    <row r="503" spans="1:4" x14ac:dyDescent="0.4">
      <c r="A503" s="135" t="s">
        <v>249</v>
      </c>
      <c r="B503" s="135" t="s">
        <v>101</v>
      </c>
      <c r="C503" s="135" t="s">
        <v>259</v>
      </c>
      <c r="D503" s="136">
        <v>152.69999999999999</v>
      </c>
    </row>
    <row r="504" spans="1:4" x14ac:dyDescent="0.4">
      <c r="A504" s="135" t="s">
        <v>249</v>
      </c>
      <c r="B504" s="135" t="s">
        <v>103</v>
      </c>
      <c r="C504" s="135" t="s">
        <v>260</v>
      </c>
      <c r="D504" s="136">
        <v>152.4</v>
      </c>
    </row>
    <row r="505" spans="1:4" x14ac:dyDescent="0.4">
      <c r="A505" s="135" t="s">
        <v>249</v>
      </c>
      <c r="B505" s="135" t="s">
        <v>80</v>
      </c>
      <c r="C505" s="135" t="s">
        <v>261</v>
      </c>
      <c r="D505" s="136">
        <v>153.4</v>
      </c>
    </row>
    <row r="506" spans="1:4" x14ac:dyDescent="0.4">
      <c r="A506" s="135" t="s">
        <v>262</v>
      </c>
      <c r="B506" s="135" t="s">
        <v>83</v>
      </c>
      <c r="C506" s="135" t="s">
        <v>263</v>
      </c>
      <c r="D506" s="136">
        <v>152.6</v>
      </c>
    </row>
    <row r="507" spans="1:4" x14ac:dyDescent="0.4">
      <c r="A507" s="135" t="s">
        <v>262</v>
      </c>
      <c r="B507" s="135" t="s">
        <v>85</v>
      </c>
      <c r="C507" s="135" t="s">
        <v>264</v>
      </c>
      <c r="D507" s="136">
        <v>152.30000000000001</v>
      </c>
    </row>
    <row r="508" spans="1:4" x14ac:dyDescent="0.4">
      <c r="A508" s="135" t="s">
        <v>262</v>
      </c>
      <c r="B508" s="135" t="s">
        <v>87</v>
      </c>
      <c r="C508" s="135" t="s">
        <v>265</v>
      </c>
      <c r="D508" s="136">
        <v>152.9</v>
      </c>
    </row>
    <row r="509" spans="1:4" x14ac:dyDescent="0.4">
      <c r="A509" s="135" t="s">
        <v>262</v>
      </c>
      <c r="B509" s="135" t="s">
        <v>89</v>
      </c>
      <c r="C509" s="135" t="s">
        <v>266</v>
      </c>
      <c r="D509" s="136">
        <v>152.80000000000001</v>
      </c>
    </row>
    <row r="510" spans="1:4" x14ac:dyDescent="0.4">
      <c r="A510" s="135" t="s">
        <v>262</v>
      </c>
      <c r="B510" s="135" t="s">
        <v>91</v>
      </c>
      <c r="C510" s="135" t="s">
        <v>267</v>
      </c>
      <c r="D510" s="136">
        <v>151.19999999999999</v>
      </c>
    </row>
    <row r="511" spans="1:4" x14ac:dyDescent="0.4">
      <c r="A511" s="135" t="s">
        <v>262</v>
      </c>
      <c r="B511" s="135" t="s">
        <v>93</v>
      </c>
      <c r="C511" s="135" t="s">
        <v>268</v>
      </c>
      <c r="D511" s="136">
        <v>151.19999999999999</v>
      </c>
    </row>
    <row r="512" spans="1:4" x14ac:dyDescent="0.4">
      <c r="A512" s="135" t="s">
        <v>262</v>
      </c>
      <c r="B512" s="135" t="s">
        <v>95</v>
      </c>
      <c r="C512" s="135" t="s">
        <v>269</v>
      </c>
      <c r="D512" s="136">
        <v>150.1</v>
      </c>
    </row>
    <row r="513" spans="1:4" x14ac:dyDescent="0.4">
      <c r="A513" s="135" t="s">
        <v>262</v>
      </c>
      <c r="B513" s="135" t="s">
        <v>97</v>
      </c>
      <c r="C513" s="135" t="s">
        <v>270</v>
      </c>
      <c r="D513" s="136">
        <v>149.80000000000001</v>
      </c>
    </row>
    <row r="514" spans="1:4" x14ac:dyDescent="0.4">
      <c r="A514" s="135" t="s">
        <v>262</v>
      </c>
      <c r="B514" s="135" t="s">
        <v>99</v>
      </c>
      <c r="C514" s="135" t="s">
        <v>271</v>
      </c>
      <c r="D514" s="136">
        <v>149.80000000000001</v>
      </c>
    </row>
    <row r="515" spans="1:4" x14ac:dyDescent="0.4">
      <c r="A515" s="135" t="s">
        <v>262</v>
      </c>
      <c r="B515" s="135" t="s">
        <v>101</v>
      </c>
      <c r="C515" s="135" t="s">
        <v>272</v>
      </c>
      <c r="D515" s="136">
        <v>153.5</v>
      </c>
    </row>
    <row r="516" spans="1:4" x14ac:dyDescent="0.4">
      <c r="A516" s="135" t="s">
        <v>262</v>
      </c>
      <c r="B516" s="135" t="s">
        <v>103</v>
      </c>
      <c r="C516" s="135" t="s">
        <v>273</v>
      </c>
      <c r="D516" s="136">
        <v>154.30000000000001</v>
      </c>
    </row>
    <row r="517" spans="1:4" x14ac:dyDescent="0.4">
      <c r="A517" s="135" t="s">
        <v>262</v>
      </c>
      <c r="B517" s="135" t="s">
        <v>80</v>
      </c>
      <c r="C517" s="135" t="s">
        <v>274</v>
      </c>
      <c r="D517" s="136">
        <v>154.30000000000001</v>
      </c>
    </row>
    <row r="518" spans="1:4" x14ac:dyDescent="0.4">
      <c r="A518" s="135" t="s">
        <v>275</v>
      </c>
      <c r="B518" s="135" t="s">
        <v>83</v>
      </c>
      <c r="C518" s="135" t="s">
        <v>276</v>
      </c>
      <c r="D518" s="136">
        <v>153.30000000000001</v>
      </c>
    </row>
    <row r="519" spans="1:4" x14ac:dyDescent="0.4">
      <c r="A519" s="135" t="s">
        <v>275</v>
      </c>
      <c r="B519" s="135" t="s">
        <v>85</v>
      </c>
      <c r="C519" s="135" t="s">
        <v>277</v>
      </c>
      <c r="D519" s="136">
        <v>152.9</v>
      </c>
    </row>
    <row r="520" spans="1:4" x14ac:dyDescent="0.4">
      <c r="A520" s="135" t="s">
        <v>275</v>
      </c>
      <c r="B520" s="135" t="s">
        <v>87</v>
      </c>
      <c r="C520" s="135" t="s">
        <v>278</v>
      </c>
      <c r="D520" s="136">
        <v>152.9</v>
      </c>
    </row>
    <row r="521" spans="1:4" x14ac:dyDescent="0.4">
      <c r="A521" s="135" t="s">
        <v>275</v>
      </c>
      <c r="B521" s="135" t="s">
        <v>89</v>
      </c>
      <c r="C521" s="135" t="s">
        <v>279</v>
      </c>
      <c r="D521" s="136">
        <v>152.5</v>
      </c>
    </row>
    <row r="522" spans="1:4" x14ac:dyDescent="0.4">
      <c r="A522" s="135" t="s">
        <v>275</v>
      </c>
      <c r="B522" s="135" t="s">
        <v>91</v>
      </c>
      <c r="C522" s="135" t="s">
        <v>280</v>
      </c>
      <c r="D522" s="136">
        <v>152.5</v>
      </c>
    </row>
    <row r="523" spans="1:4" x14ac:dyDescent="0.4">
      <c r="A523" s="135" t="s">
        <v>275</v>
      </c>
      <c r="B523" s="135" t="s">
        <v>93</v>
      </c>
      <c r="C523" s="135" t="s">
        <v>281</v>
      </c>
      <c r="D523" s="136">
        <v>152.69999999999999</v>
      </c>
    </row>
    <row r="524" spans="1:4" x14ac:dyDescent="0.4">
      <c r="A524" s="135" t="s">
        <v>275</v>
      </c>
      <c r="B524" s="135" t="s">
        <v>95</v>
      </c>
      <c r="C524" s="135" t="s">
        <v>282</v>
      </c>
      <c r="D524" s="136">
        <v>152.19999999999999</v>
      </c>
    </row>
    <row r="525" spans="1:4" x14ac:dyDescent="0.4">
      <c r="A525" s="135" t="s">
        <v>275</v>
      </c>
      <c r="B525" s="135" t="s">
        <v>97</v>
      </c>
      <c r="C525" s="135" t="s">
        <v>283</v>
      </c>
      <c r="D525" s="136">
        <v>152.1</v>
      </c>
    </row>
    <row r="526" spans="1:4" x14ac:dyDescent="0.4">
      <c r="A526" s="135" t="s">
        <v>275</v>
      </c>
      <c r="B526" s="135" t="s">
        <v>99</v>
      </c>
      <c r="C526" s="135" t="s">
        <v>284</v>
      </c>
      <c r="D526" s="136">
        <v>152.4</v>
      </c>
    </row>
    <row r="527" spans="1:4" x14ac:dyDescent="0.4">
      <c r="A527" s="135" t="s">
        <v>275</v>
      </c>
      <c r="B527" s="135" t="s">
        <v>101</v>
      </c>
      <c r="C527" s="135" t="s">
        <v>285</v>
      </c>
      <c r="D527" s="136">
        <v>155.30000000000001</v>
      </c>
    </row>
    <row r="528" spans="1:4" x14ac:dyDescent="0.4">
      <c r="A528" s="135" t="s">
        <v>275</v>
      </c>
      <c r="B528" s="135" t="s">
        <v>103</v>
      </c>
      <c r="C528" s="135" t="s">
        <v>286</v>
      </c>
      <c r="D528" s="136">
        <v>155.19999999999999</v>
      </c>
    </row>
    <row r="529" spans="1:4" x14ac:dyDescent="0.4">
      <c r="A529" s="135" t="s">
        <v>275</v>
      </c>
      <c r="B529" s="135" t="s">
        <v>80</v>
      </c>
      <c r="C529" s="135" t="s">
        <v>287</v>
      </c>
      <c r="D529" s="136">
        <v>155</v>
      </c>
    </row>
    <row r="530" spans="1:4" x14ac:dyDescent="0.4">
      <c r="A530" s="135" t="s">
        <v>288</v>
      </c>
      <c r="B530" s="135" t="s">
        <v>83</v>
      </c>
      <c r="C530" s="135" t="s">
        <v>289</v>
      </c>
      <c r="D530" s="136">
        <v>154.80000000000001</v>
      </c>
    </row>
    <row r="531" spans="1:4" x14ac:dyDescent="0.4">
      <c r="A531" s="135" t="s">
        <v>288</v>
      </c>
      <c r="B531" s="135" t="s">
        <v>85</v>
      </c>
      <c r="C531" s="135" t="s">
        <v>290</v>
      </c>
      <c r="D531" s="136">
        <v>154.5</v>
      </c>
    </row>
    <row r="532" spans="1:4" x14ac:dyDescent="0.4">
      <c r="A532" s="135" t="s">
        <v>288</v>
      </c>
      <c r="B532" s="135" t="s">
        <v>87</v>
      </c>
      <c r="C532" s="135" t="s">
        <v>291</v>
      </c>
      <c r="D532" s="136">
        <v>153.69999999999999</v>
      </c>
    </row>
    <row r="533" spans="1:4" x14ac:dyDescent="0.4">
      <c r="A533" s="135" t="s">
        <v>288</v>
      </c>
      <c r="B533" s="135" t="s">
        <v>89</v>
      </c>
      <c r="C533" s="135" t="s">
        <v>292</v>
      </c>
      <c r="D533" s="136">
        <v>153.4</v>
      </c>
    </row>
    <row r="534" spans="1:4" x14ac:dyDescent="0.4">
      <c r="A534" s="135" t="s">
        <v>288</v>
      </c>
      <c r="B534" s="135" t="s">
        <v>91</v>
      </c>
      <c r="C534" s="135" t="s">
        <v>293</v>
      </c>
      <c r="D534" s="136">
        <v>153.19999999999999</v>
      </c>
    </row>
    <row r="535" spans="1:4" x14ac:dyDescent="0.4">
      <c r="A535" s="135" t="s">
        <v>288</v>
      </c>
      <c r="B535" s="135" t="s">
        <v>93</v>
      </c>
      <c r="C535" s="135" t="s">
        <v>294</v>
      </c>
      <c r="D535" s="136">
        <v>153</v>
      </c>
    </row>
    <row r="536" spans="1:4" x14ac:dyDescent="0.4">
      <c r="A536" s="135" t="s">
        <v>288</v>
      </c>
      <c r="B536" s="135" t="s">
        <v>95</v>
      </c>
      <c r="C536" s="135" t="s">
        <v>295</v>
      </c>
      <c r="D536" s="136">
        <v>152.6</v>
      </c>
    </row>
    <row r="537" spans="1:4" x14ac:dyDescent="0.4">
      <c r="A537" s="135" t="s">
        <v>288</v>
      </c>
      <c r="B537" s="135" t="s">
        <v>97</v>
      </c>
      <c r="C537" s="135" t="s">
        <v>296</v>
      </c>
      <c r="D537" s="136">
        <v>152</v>
      </c>
    </row>
    <row r="538" spans="1:4" x14ac:dyDescent="0.4">
      <c r="A538" s="135" t="s">
        <v>288</v>
      </c>
      <c r="B538" s="135" t="s">
        <v>99</v>
      </c>
      <c r="C538" s="135" t="s">
        <v>297</v>
      </c>
      <c r="D538" s="136">
        <v>151.69999999999999</v>
      </c>
    </row>
    <row r="539" spans="1:4" x14ac:dyDescent="0.4">
      <c r="A539" s="135" t="s">
        <v>288</v>
      </c>
      <c r="B539" s="135" t="s">
        <v>101</v>
      </c>
      <c r="C539" s="135" t="s">
        <v>298</v>
      </c>
      <c r="D539" s="136">
        <v>154.6</v>
      </c>
    </row>
    <row r="540" spans="1:4" x14ac:dyDescent="0.4">
      <c r="A540" s="135" t="s">
        <v>288</v>
      </c>
      <c r="B540" s="135" t="s">
        <v>103</v>
      </c>
      <c r="C540" s="135" t="s">
        <v>299</v>
      </c>
      <c r="D540" s="136">
        <v>155.1</v>
      </c>
    </row>
    <row r="541" spans="1:4" x14ac:dyDescent="0.4">
      <c r="A541" s="135" t="s">
        <v>288</v>
      </c>
      <c r="B541" s="135" t="s">
        <v>80</v>
      </c>
      <c r="C541" s="135" t="s">
        <v>300</v>
      </c>
      <c r="D541" s="136">
        <v>154.5</v>
      </c>
    </row>
    <row r="542" spans="1:4" x14ac:dyDescent="0.4">
      <c r="A542" s="135" t="s">
        <v>301</v>
      </c>
      <c r="B542" s="135" t="s">
        <v>83</v>
      </c>
      <c r="C542" s="135" t="s">
        <v>302</v>
      </c>
      <c r="D542" s="136">
        <v>152.9</v>
      </c>
    </row>
    <row r="543" spans="1:4" x14ac:dyDescent="0.4">
      <c r="A543" s="135" t="s">
        <v>301</v>
      </c>
      <c r="B543" s="135" t="s">
        <v>85</v>
      </c>
      <c r="C543" s="135" t="s">
        <v>303</v>
      </c>
      <c r="D543" s="136">
        <v>153.6</v>
      </c>
    </row>
    <row r="544" spans="1:4" x14ac:dyDescent="0.4">
      <c r="A544" s="135" t="s">
        <v>301</v>
      </c>
      <c r="B544" s="135" t="s">
        <v>87</v>
      </c>
      <c r="C544" s="135" t="s">
        <v>304</v>
      </c>
      <c r="D544" s="136">
        <v>152</v>
      </c>
    </row>
    <row r="545" spans="1:4" x14ac:dyDescent="0.4">
      <c r="A545" s="135" t="s">
        <v>301</v>
      </c>
      <c r="B545" s="135" t="s">
        <v>89</v>
      </c>
      <c r="C545" s="135" t="s">
        <v>305</v>
      </c>
      <c r="D545" s="136">
        <v>153</v>
      </c>
    </row>
    <row r="546" spans="1:4" x14ac:dyDescent="0.4">
      <c r="A546" s="135" t="s">
        <v>301</v>
      </c>
      <c r="B546" s="135" t="s">
        <v>91</v>
      </c>
      <c r="C546" s="135" t="s">
        <v>306</v>
      </c>
      <c r="D546" s="136">
        <v>152.4</v>
      </c>
    </row>
    <row r="547" spans="1:4" x14ac:dyDescent="0.4">
      <c r="A547" s="135" t="s">
        <v>301</v>
      </c>
      <c r="B547" s="135" t="s">
        <v>93</v>
      </c>
      <c r="C547" s="135" t="s">
        <v>307</v>
      </c>
      <c r="D547" s="136">
        <v>152</v>
      </c>
    </row>
    <row r="548" spans="1:4" x14ac:dyDescent="0.4">
      <c r="A548" s="135" t="s">
        <v>301</v>
      </c>
      <c r="B548" s="135" t="s">
        <v>95</v>
      </c>
      <c r="C548" s="135" t="s">
        <v>308</v>
      </c>
      <c r="D548" s="136">
        <v>152.1</v>
      </c>
    </row>
    <row r="549" spans="1:4" x14ac:dyDescent="0.4">
      <c r="A549" s="135" t="s">
        <v>301</v>
      </c>
      <c r="B549" s="135" t="s">
        <v>97</v>
      </c>
      <c r="C549" s="135" t="s">
        <v>309</v>
      </c>
      <c r="D549" s="136">
        <v>152.30000000000001</v>
      </c>
    </row>
    <row r="550" spans="1:4" x14ac:dyDescent="0.4">
      <c r="A550" s="135" t="s">
        <v>301</v>
      </c>
      <c r="B550" s="135" t="s">
        <v>99</v>
      </c>
      <c r="C550" s="135" t="s">
        <v>310</v>
      </c>
      <c r="D550" s="136">
        <v>152.30000000000001</v>
      </c>
    </row>
    <row r="551" spans="1:4" x14ac:dyDescent="0.4">
      <c r="A551" s="135" t="s">
        <v>301</v>
      </c>
      <c r="B551" s="135" t="s">
        <v>101</v>
      </c>
      <c r="C551" s="135" t="s">
        <v>311</v>
      </c>
      <c r="D551" s="136">
        <v>154.30000000000001</v>
      </c>
    </row>
    <row r="552" spans="1:4" x14ac:dyDescent="0.4">
      <c r="A552" s="135" t="s">
        <v>301</v>
      </c>
      <c r="B552" s="135" t="s">
        <v>103</v>
      </c>
      <c r="C552" s="135" t="s">
        <v>312</v>
      </c>
      <c r="D552" s="136">
        <v>154.9</v>
      </c>
    </row>
    <row r="553" spans="1:4" x14ac:dyDescent="0.4">
      <c r="A553" s="135" t="s">
        <v>301</v>
      </c>
      <c r="B553" s="135" t="s">
        <v>80</v>
      </c>
      <c r="C553" s="135" t="s">
        <v>313</v>
      </c>
      <c r="D553" s="136">
        <v>155.5</v>
      </c>
    </row>
    <row r="554" spans="1:4" x14ac:dyDescent="0.4">
      <c r="A554" s="135" t="s">
        <v>314</v>
      </c>
      <c r="B554" s="135" t="s">
        <v>83</v>
      </c>
      <c r="C554" s="135" t="s">
        <v>315</v>
      </c>
      <c r="D554" s="136">
        <v>156</v>
      </c>
    </row>
    <row r="555" spans="1:4" x14ac:dyDescent="0.4">
      <c r="A555" s="135" t="s">
        <v>314</v>
      </c>
      <c r="B555" s="135" t="s">
        <v>85</v>
      </c>
      <c r="C555" s="135" t="s">
        <v>316</v>
      </c>
      <c r="D555" s="136">
        <v>155.80000000000001</v>
      </c>
    </row>
    <row r="556" spans="1:4" x14ac:dyDescent="0.4">
      <c r="A556" s="135" t="s">
        <v>314</v>
      </c>
      <c r="B556" s="135" t="s">
        <v>87</v>
      </c>
      <c r="C556" s="135" t="s">
        <v>317</v>
      </c>
      <c r="D556" s="136">
        <v>155.4</v>
      </c>
    </row>
    <row r="557" spans="1:4" x14ac:dyDescent="0.4">
      <c r="A557" s="135" t="s">
        <v>314</v>
      </c>
      <c r="B557" s="135" t="s">
        <v>89</v>
      </c>
      <c r="C557" s="135" t="s">
        <v>318</v>
      </c>
      <c r="D557" s="136">
        <v>155.69999999999999</v>
      </c>
    </row>
    <row r="558" spans="1:4" x14ac:dyDescent="0.4">
      <c r="A558" s="135" t="s">
        <v>314</v>
      </c>
      <c r="B558" s="135" t="s">
        <v>91</v>
      </c>
      <c r="C558" s="135" t="s">
        <v>319</v>
      </c>
      <c r="D558" s="136">
        <v>156.69999999999999</v>
      </c>
    </row>
    <row r="559" spans="1:4" x14ac:dyDescent="0.4">
      <c r="A559" s="135" t="s">
        <v>314</v>
      </c>
      <c r="B559" s="135" t="s">
        <v>93</v>
      </c>
      <c r="C559" s="135" t="s">
        <v>320</v>
      </c>
      <c r="D559" s="136">
        <v>157.5</v>
      </c>
    </row>
    <row r="560" spans="1:4" x14ac:dyDescent="0.4">
      <c r="A560" s="135" t="s">
        <v>314</v>
      </c>
      <c r="B560" s="135" t="s">
        <v>95</v>
      </c>
      <c r="C560" s="135" t="s">
        <v>321</v>
      </c>
      <c r="D560" s="138">
        <v>157.86000000000001</v>
      </c>
    </row>
    <row r="561" spans="1:4" x14ac:dyDescent="0.4">
      <c r="A561" s="135" t="s">
        <v>314</v>
      </c>
      <c r="B561" s="135" t="s">
        <v>97</v>
      </c>
      <c r="C561" s="135" t="s">
        <v>322</v>
      </c>
      <c r="D561" s="138">
        <v>158.19</v>
      </c>
    </row>
    <row r="562" spans="1:4" x14ac:dyDescent="0.4">
      <c r="A562" s="135" t="s">
        <v>314</v>
      </c>
      <c r="B562" s="135" t="s">
        <v>99</v>
      </c>
      <c r="C562" s="135" t="s">
        <v>323</v>
      </c>
      <c r="D562" s="138">
        <v>158.14699999999999</v>
      </c>
    </row>
    <row r="563" spans="1:4" x14ac:dyDescent="0.4">
      <c r="A563" s="135" t="s">
        <v>314</v>
      </c>
      <c r="B563" s="135" t="s">
        <v>101</v>
      </c>
      <c r="C563" s="135" t="s">
        <v>324</v>
      </c>
      <c r="D563" s="138">
        <v>159.50700000000001</v>
      </c>
    </row>
    <row r="564" spans="1:4" x14ac:dyDescent="0.4">
      <c r="A564" s="135" t="s">
        <v>314</v>
      </c>
      <c r="B564" s="135" t="s">
        <v>103</v>
      </c>
      <c r="C564" s="135" t="s">
        <v>325</v>
      </c>
      <c r="D564" s="138">
        <v>159.72999999999999</v>
      </c>
    </row>
    <row r="565" spans="1:4" x14ac:dyDescent="0.4">
      <c r="A565" s="135" t="s">
        <v>314</v>
      </c>
      <c r="B565" s="135" t="s">
        <v>80</v>
      </c>
      <c r="C565" s="135" t="s">
        <v>326</v>
      </c>
      <c r="D565" s="138">
        <v>159.84700000000001</v>
      </c>
    </row>
    <row r="566" spans="1:4" x14ac:dyDescent="0.4">
      <c r="A566" s="135" t="s">
        <v>327</v>
      </c>
      <c r="B566" s="135" t="s">
        <v>83</v>
      </c>
      <c r="C566" s="135" t="s">
        <v>328</v>
      </c>
      <c r="D566" s="138">
        <v>160.20099999999999</v>
      </c>
    </row>
    <row r="567" spans="1:4" x14ac:dyDescent="0.4">
      <c r="A567" s="135" t="s">
        <v>327</v>
      </c>
      <c r="B567" s="135" t="s">
        <v>85</v>
      </c>
      <c r="C567" s="135" t="s">
        <v>329</v>
      </c>
      <c r="D567" s="138">
        <v>161.18600000000001</v>
      </c>
    </row>
    <row r="568" spans="1:4" x14ac:dyDescent="0.4">
      <c r="A568" s="135" t="s">
        <v>327</v>
      </c>
      <c r="B568" s="135" t="s">
        <v>87</v>
      </c>
      <c r="C568" s="135" t="s">
        <v>330</v>
      </c>
      <c r="D568" s="138">
        <v>161.19</v>
      </c>
    </row>
    <row r="569" spans="1:4" x14ac:dyDescent="0.4">
      <c r="A569" s="135" t="s">
        <v>327</v>
      </c>
      <c r="B569" s="135" t="s">
        <v>89</v>
      </c>
      <c r="C569" s="135" t="s">
        <v>331</v>
      </c>
      <c r="D569" s="138">
        <v>162.80699999999999</v>
      </c>
    </row>
    <row r="570" spans="1:4" x14ac:dyDescent="0.4">
      <c r="A570" s="135" t="s">
        <v>327</v>
      </c>
      <c r="B570" s="135" t="s">
        <v>91</v>
      </c>
      <c r="C570" s="135" t="s">
        <v>332</v>
      </c>
      <c r="D570" s="138">
        <v>163.48099999999999</v>
      </c>
    </row>
    <row r="571" spans="1:4" x14ac:dyDescent="0.4">
      <c r="A571" s="135" t="s">
        <v>327</v>
      </c>
      <c r="B571" s="135" t="s">
        <v>93</v>
      </c>
      <c r="C571" s="135" t="s">
        <v>700</v>
      </c>
      <c r="D571" s="138">
        <v>164.00700000000001</v>
      </c>
    </row>
    <row r="572" spans="1:4" x14ac:dyDescent="0.4">
      <c r="A572" s="135" t="s">
        <v>327</v>
      </c>
      <c r="B572" s="135" t="s">
        <v>95</v>
      </c>
      <c r="C572" s="135" t="s">
        <v>978</v>
      </c>
      <c r="D572" s="135">
        <v>164.54499999999999</v>
      </c>
    </row>
    <row r="573" spans="1:4" x14ac:dyDescent="0.4">
      <c r="A573" s="135" t="s">
        <v>327</v>
      </c>
      <c r="B573" s="135" t="s">
        <v>97</v>
      </c>
      <c r="C573" s="135" t="s">
        <v>979</v>
      </c>
      <c r="D573" s="135">
        <v>164.81200000000001</v>
      </c>
    </row>
    <row r="574" spans="1:4" x14ac:dyDescent="0.4">
      <c r="A574" s="135" t="s">
        <v>327</v>
      </c>
      <c r="B574" s="135" t="s">
        <v>99</v>
      </c>
      <c r="C574" s="135" t="s">
        <v>980</v>
      </c>
      <c r="D574" s="135">
        <v>164.87799999999999</v>
      </c>
    </row>
    <row r="575" spans="1:4" x14ac:dyDescent="0.4">
      <c r="A575" s="135" t="s">
        <v>327</v>
      </c>
      <c r="B575" s="135" t="s">
        <v>101</v>
      </c>
      <c r="C575" s="135" t="s">
        <v>981</v>
      </c>
      <c r="D575" s="135">
        <v>166.89</v>
      </c>
    </row>
    <row r="576" spans="1:4" x14ac:dyDescent="0.4">
      <c r="A576" s="135" t="s">
        <v>327</v>
      </c>
      <c r="B576" s="135" t="s">
        <v>103</v>
      </c>
      <c r="C576" s="135" t="s">
        <v>982</v>
      </c>
      <c r="D576" s="135">
        <v>167.07900000000001</v>
      </c>
    </row>
    <row r="577" spans="1:4" x14ac:dyDescent="0.4">
      <c r="A577" s="135" t="s">
        <v>327</v>
      </c>
      <c r="B577" s="135" t="s">
        <v>80</v>
      </c>
      <c r="C577" s="135" t="s">
        <v>983</v>
      </c>
      <c r="D577" s="135">
        <v>167.71199999999999</v>
      </c>
    </row>
    <row r="578" spans="1:4" x14ac:dyDescent="0.4">
      <c r="A578" s="236">
        <v>2023</v>
      </c>
      <c r="B578" s="135" t="s">
        <v>83</v>
      </c>
      <c r="C578" s="135" t="s">
        <v>984</v>
      </c>
      <c r="D578" s="341">
        <v>168.28399999999999</v>
      </c>
    </row>
    <row r="579" spans="1:4" x14ac:dyDescent="0.4">
      <c r="A579" s="236">
        <v>2023</v>
      </c>
      <c r="B579" s="135" t="s">
        <v>85</v>
      </c>
      <c r="C579" s="135" t="s">
        <v>985</v>
      </c>
      <c r="D579" s="341">
        <v>168.28399999999999</v>
      </c>
    </row>
    <row r="580" spans="1:4" x14ac:dyDescent="0.4">
      <c r="A580" s="236">
        <v>2023</v>
      </c>
      <c r="B580" s="135" t="s">
        <v>87</v>
      </c>
      <c r="C580" s="135" t="s">
        <v>986</v>
      </c>
      <c r="D580" s="341">
        <v>167.93799999999999</v>
      </c>
    </row>
    <row r="581" spans="1:4" x14ac:dyDescent="0.4">
      <c r="A581" s="236">
        <v>2023</v>
      </c>
      <c r="B581" s="135" t="s">
        <v>89</v>
      </c>
      <c r="C581" s="135" t="s">
        <v>987</v>
      </c>
      <c r="D581" s="341">
        <v>167.559</v>
      </c>
    </row>
  </sheetData>
  <mergeCells count="1">
    <mergeCell ref="A1:M1"/>
  </mergeCells>
  <pageMargins left="0.7" right="0.7" top="0.75" bottom="0.75" header="0.3" footer="0.3"/>
  <headerFooter>
    <oddHeader>&amp;CBureau of Labor Statistics</oddHeader>
    <oddFooter>&amp;LSource: Bureau of Labor Statistics&amp;RGenerated on: October 13, 2022 (11:46:26 AM)</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0B196-FF93-48C2-8F30-44ACC46E84EA}">
  <sheetPr>
    <pageSetUpPr fitToPage="1"/>
  </sheetPr>
  <dimension ref="A1:H22"/>
  <sheetViews>
    <sheetView view="pageBreakPreview" zoomScale="85" zoomScaleNormal="100" zoomScaleSheetLayoutView="85" workbookViewId="0">
      <selection sqref="A1:H1"/>
    </sheetView>
  </sheetViews>
  <sheetFormatPr defaultColWidth="8.84375" defaultRowHeight="15" x14ac:dyDescent="0.35"/>
  <cols>
    <col min="1" max="1" width="7.69140625" style="630" customWidth="1"/>
    <col min="2" max="2" width="20.15234375" style="630" customWidth="1"/>
    <col min="3" max="3" width="4" style="630" customWidth="1"/>
    <col min="4" max="4" width="11" style="630" bestFit="1" customWidth="1"/>
    <col min="5" max="5" width="4" style="630" customWidth="1"/>
    <col min="6" max="6" width="10.53515625" style="630" customWidth="1"/>
    <col min="7" max="7" width="4.3046875" style="630" customWidth="1"/>
    <col min="8" max="8" width="13" style="630" customWidth="1"/>
    <col min="9" max="16384" width="8.84375" style="630"/>
  </cols>
  <sheetData>
    <row r="1" spans="1:8" x14ac:dyDescent="0.35">
      <c r="A1" s="916" t="str">
        <f>Input!G29</f>
        <v>City of Ansonia</v>
      </c>
      <c r="B1" s="916"/>
      <c r="C1" s="916"/>
      <c r="D1" s="916"/>
      <c r="E1" s="916"/>
      <c r="F1" s="916"/>
      <c r="G1" s="916"/>
      <c r="H1" s="916"/>
    </row>
    <row r="2" spans="1:8" x14ac:dyDescent="0.35">
      <c r="A2" s="917" t="s">
        <v>1155</v>
      </c>
      <c r="B2" s="917"/>
      <c r="C2" s="917"/>
      <c r="D2" s="917"/>
      <c r="E2" s="917"/>
      <c r="F2" s="917"/>
      <c r="G2" s="917"/>
      <c r="H2" s="917"/>
    </row>
    <row r="5" spans="1:8" ht="31.5" customHeight="1" x14ac:dyDescent="0.35">
      <c r="B5" s="632" t="s">
        <v>1156</v>
      </c>
      <c r="D5" s="633" t="s">
        <v>1157</v>
      </c>
      <c r="E5" s="631"/>
      <c r="F5" s="633" t="s">
        <v>1158</v>
      </c>
      <c r="H5" s="634" t="s">
        <v>1159</v>
      </c>
    </row>
    <row r="7" spans="1:8" x14ac:dyDescent="0.35">
      <c r="B7" s="630" t="s">
        <v>1160</v>
      </c>
      <c r="D7" s="635">
        <f>Input!F13</f>
        <v>0.5</v>
      </c>
      <c r="F7" s="635">
        <f>Input!F16</f>
        <v>5.4023333333333354E-2</v>
      </c>
      <c r="G7" s="636" t="s">
        <v>1161</v>
      </c>
      <c r="H7" s="637">
        <f>ROUND(F7*D7,5)</f>
        <v>2.7009999999999999E-2</v>
      </c>
    </row>
    <row r="8" spans="1:8" x14ac:dyDescent="0.35">
      <c r="B8" s="630" t="s">
        <v>1162</v>
      </c>
      <c r="D8" s="638">
        <f>Input!F14</f>
        <v>0.5</v>
      </c>
      <c r="E8" s="636"/>
      <c r="F8" s="639">
        <f>'1.3 Summary of CE Models'!E15</f>
        <v>9.9614038625000012E-2</v>
      </c>
      <c r="G8" s="636" t="s">
        <v>1163</v>
      </c>
      <c r="H8" s="640">
        <f>ROUND(F8*D8,5)</f>
        <v>4.981E-2</v>
      </c>
    </row>
    <row r="10" spans="1:8" ht="15.45" thickBot="1" x14ac:dyDescent="0.4">
      <c r="B10" s="630" t="s">
        <v>21</v>
      </c>
      <c r="D10" s="641">
        <f>SUM(D7:D8)</f>
        <v>1</v>
      </c>
      <c r="H10" s="642">
        <f>SUM(H7:H8)</f>
        <v>7.6819999999999999E-2</v>
      </c>
    </row>
    <row r="11" spans="1:8" ht="15.45" thickTop="1" x14ac:dyDescent="0.35">
      <c r="D11" s="635"/>
      <c r="H11" s="637"/>
    </row>
    <row r="12" spans="1:8" x14ac:dyDescent="0.35">
      <c r="D12" s="635"/>
      <c r="H12" s="637"/>
    </row>
    <row r="13" spans="1:8" x14ac:dyDescent="0.35">
      <c r="A13" s="630" t="s">
        <v>1164</v>
      </c>
    </row>
    <row r="14" spans="1:8" x14ac:dyDescent="0.35">
      <c r="A14" s="643" t="s">
        <v>1165</v>
      </c>
      <c r="B14" s="644" t="s">
        <v>1166</v>
      </c>
      <c r="C14" s="644"/>
      <c r="D14" s="644"/>
      <c r="E14" s="644"/>
      <c r="F14" s="644"/>
    </row>
    <row r="15" spans="1:8" ht="15.75" customHeight="1" x14ac:dyDescent="0.35">
      <c r="A15" s="643" t="s">
        <v>1161</v>
      </c>
      <c r="B15" s="644" t="s">
        <v>1167</v>
      </c>
      <c r="C15" s="645"/>
      <c r="D15" s="645"/>
      <c r="E15" s="645"/>
      <c r="F15" s="645"/>
    </row>
    <row r="16" spans="1:8" x14ac:dyDescent="0.35">
      <c r="A16" s="643" t="s">
        <v>1163</v>
      </c>
      <c r="B16" s="644" t="s">
        <v>1168</v>
      </c>
      <c r="C16" s="645"/>
      <c r="D16" s="645"/>
      <c r="E16" s="645"/>
      <c r="F16" s="645"/>
    </row>
    <row r="22" spans="2:2" x14ac:dyDescent="0.35">
      <c r="B22" s="646"/>
    </row>
  </sheetData>
  <mergeCells count="2">
    <mergeCell ref="A1:H1"/>
    <mergeCell ref="A2:H2"/>
  </mergeCells>
  <printOptions horizontalCentered="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898C-FFE1-4D9C-BAC1-67D933A33141}">
  <dimension ref="A1:D42"/>
  <sheetViews>
    <sheetView view="pageBreakPreview" zoomScaleNormal="100" zoomScaleSheetLayoutView="100" workbookViewId="0">
      <selection sqref="A1:C1"/>
    </sheetView>
  </sheetViews>
  <sheetFormatPr defaultColWidth="9.15234375" defaultRowHeight="12.45" x14ac:dyDescent="0.3"/>
  <cols>
    <col min="1" max="1" width="36.3828125" style="343" bestFit="1" customWidth="1"/>
    <col min="2" max="2" width="9.15234375" style="343"/>
    <col min="3" max="3" width="19" style="343" bestFit="1" customWidth="1"/>
    <col min="4" max="16384" width="9.15234375" style="343"/>
  </cols>
  <sheetData>
    <row r="1" spans="1:4" ht="15" x14ac:dyDescent="0.35">
      <c r="A1" s="916" t="str">
        <f>Input!G29</f>
        <v>City of Ansonia</v>
      </c>
      <c r="B1" s="916"/>
      <c r="C1" s="916"/>
      <c r="D1" s="836"/>
    </row>
    <row r="2" spans="1:4" ht="15" x14ac:dyDescent="0.35">
      <c r="A2" s="918" t="s">
        <v>1169</v>
      </c>
      <c r="B2" s="918"/>
      <c r="C2" s="918"/>
    </row>
    <row r="3" spans="1:4" ht="15" x14ac:dyDescent="0.35">
      <c r="A3" s="919" t="s">
        <v>1170</v>
      </c>
      <c r="B3" s="919"/>
      <c r="C3" s="919"/>
    </row>
    <row r="4" spans="1:4" ht="15" x14ac:dyDescent="0.35">
      <c r="A4" s="838"/>
      <c r="B4" s="838"/>
      <c r="C4" s="838"/>
    </row>
    <row r="5" spans="1:4" ht="15" x14ac:dyDescent="0.35">
      <c r="A5" s="838"/>
      <c r="B5" s="838"/>
      <c r="C5" s="837" t="s">
        <v>1171</v>
      </c>
    </row>
    <row r="6" spans="1:4" ht="15" x14ac:dyDescent="0.35">
      <c r="A6" s="838"/>
      <c r="B6" s="838"/>
      <c r="C6" s="837" t="s">
        <v>1172</v>
      </c>
    </row>
    <row r="7" spans="1:4" ht="15" x14ac:dyDescent="0.35">
      <c r="A7" s="839" t="s">
        <v>744</v>
      </c>
      <c r="B7" s="838"/>
      <c r="C7" s="839" t="s">
        <v>1173</v>
      </c>
    </row>
    <row r="8" spans="1:4" ht="15" x14ac:dyDescent="0.35">
      <c r="A8" s="840">
        <v>45121</v>
      </c>
      <c r="B8" s="838"/>
      <c r="C8" s="841">
        <v>5.3800000000000001E-2</v>
      </c>
    </row>
    <row r="9" spans="1:4" ht="15" x14ac:dyDescent="0.35">
      <c r="A9" s="840">
        <v>45120</v>
      </c>
      <c r="B9" s="838"/>
      <c r="C9" s="841">
        <v>5.3499999999999999E-2</v>
      </c>
    </row>
    <row r="10" spans="1:4" ht="15" x14ac:dyDescent="0.35">
      <c r="A10" s="840">
        <v>45119</v>
      </c>
      <c r="B10" s="838"/>
      <c r="C10" s="841">
        <v>5.4199999999999998E-2</v>
      </c>
    </row>
    <row r="11" spans="1:4" ht="15" x14ac:dyDescent="0.35">
      <c r="A11" s="840">
        <v>45118</v>
      </c>
      <c r="B11" s="838"/>
      <c r="C11" s="841">
        <v>5.5E-2</v>
      </c>
    </row>
    <row r="12" spans="1:4" ht="15" x14ac:dyDescent="0.35">
      <c r="A12" s="840">
        <v>45117</v>
      </c>
      <c r="B12" s="838"/>
      <c r="C12" s="841">
        <v>5.5399999999999998E-2</v>
      </c>
    </row>
    <row r="13" spans="1:4" ht="15" x14ac:dyDescent="0.35">
      <c r="A13" s="840">
        <v>45114</v>
      </c>
      <c r="B13" s="838"/>
      <c r="C13" s="841">
        <v>5.5300000000000002E-2</v>
      </c>
    </row>
    <row r="14" spans="1:4" ht="15" x14ac:dyDescent="0.35">
      <c r="A14" s="840">
        <v>45113</v>
      </c>
      <c r="B14" s="838"/>
      <c r="C14" s="841">
        <v>5.5099999999999996E-2</v>
      </c>
    </row>
    <row r="15" spans="1:4" ht="15" x14ac:dyDescent="0.35">
      <c r="A15" s="840">
        <v>45112</v>
      </c>
      <c r="B15" s="838"/>
      <c r="C15" s="841">
        <v>5.4400000000000004E-2</v>
      </c>
    </row>
    <row r="16" spans="1:4" ht="15" x14ac:dyDescent="0.35">
      <c r="A16" s="840">
        <v>45110</v>
      </c>
      <c r="B16" s="838"/>
      <c r="C16" s="841">
        <v>5.3800000000000001E-2</v>
      </c>
    </row>
    <row r="17" spans="1:3" ht="15" x14ac:dyDescent="0.35">
      <c r="A17" s="840">
        <v>45107</v>
      </c>
      <c r="B17" s="838"/>
      <c r="C17" s="841">
        <v>5.3499999999999999E-2</v>
      </c>
    </row>
    <row r="18" spans="1:3" ht="15" x14ac:dyDescent="0.35">
      <c r="A18" s="840">
        <v>45106</v>
      </c>
      <c r="B18" s="838"/>
      <c r="C18" s="841">
        <v>5.4299999999999994E-2</v>
      </c>
    </row>
    <row r="19" spans="1:3" ht="15" x14ac:dyDescent="0.35">
      <c r="A19" s="840">
        <v>45105</v>
      </c>
      <c r="B19" s="838"/>
      <c r="C19" s="841">
        <v>5.33E-2</v>
      </c>
    </row>
    <row r="20" spans="1:3" ht="15" x14ac:dyDescent="0.35">
      <c r="A20" s="840">
        <v>45104</v>
      </c>
      <c r="B20" s="838"/>
      <c r="C20" s="841">
        <v>5.3699999999999998E-2</v>
      </c>
    </row>
    <row r="21" spans="1:3" ht="15" x14ac:dyDescent="0.35">
      <c r="A21" s="840">
        <v>45103</v>
      </c>
      <c r="B21" s="838"/>
      <c r="C21" s="841">
        <v>5.3600000000000002E-2</v>
      </c>
    </row>
    <row r="22" spans="1:3" ht="15" x14ac:dyDescent="0.35">
      <c r="A22" s="840">
        <v>45100</v>
      </c>
      <c r="B22" s="838"/>
      <c r="C22" s="841">
        <v>5.3600000000000002E-2</v>
      </c>
    </row>
    <row r="23" spans="1:3" ht="15" x14ac:dyDescent="0.35">
      <c r="A23" s="840">
        <v>45099</v>
      </c>
      <c r="B23" s="838"/>
      <c r="C23" s="841">
        <v>5.4000000000000006E-2</v>
      </c>
    </row>
    <row r="24" spans="1:3" ht="15" x14ac:dyDescent="0.35">
      <c r="A24" s="840">
        <v>45098</v>
      </c>
      <c r="B24" s="838"/>
      <c r="C24" s="841">
        <v>5.33E-2</v>
      </c>
    </row>
    <row r="25" spans="1:3" ht="15" x14ac:dyDescent="0.35">
      <c r="A25" s="840">
        <v>45097</v>
      </c>
      <c r="B25" s="838"/>
      <c r="C25" s="841">
        <v>5.33E-2</v>
      </c>
    </row>
    <row r="26" spans="1:3" ht="15" x14ac:dyDescent="0.35">
      <c r="A26" s="840">
        <v>45093</v>
      </c>
      <c r="B26" s="838"/>
      <c r="C26" s="841">
        <v>5.3699999999999998E-2</v>
      </c>
    </row>
    <row r="27" spans="1:3" ht="15" x14ac:dyDescent="0.35">
      <c r="A27" s="840">
        <v>45092</v>
      </c>
      <c r="B27" s="838"/>
      <c r="C27" s="841">
        <v>5.3699999999999998E-2</v>
      </c>
    </row>
    <row r="28" spans="1:3" ht="15" x14ac:dyDescent="0.35">
      <c r="A28" s="840">
        <v>45091</v>
      </c>
      <c r="B28" s="838"/>
      <c r="C28" s="841">
        <v>5.3899999999999997E-2</v>
      </c>
    </row>
    <row r="29" spans="1:3" ht="15" x14ac:dyDescent="0.35">
      <c r="A29" s="840">
        <v>45090</v>
      </c>
      <c r="B29" s="838"/>
      <c r="C29" s="841">
        <v>5.45E-2</v>
      </c>
    </row>
    <row r="30" spans="1:3" ht="15" x14ac:dyDescent="0.35">
      <c r="A30" s="840">
        <v>45089</v>
      </c>
      <c r="B30" s="838"/>
      <c r="C30" s="841">
        <v>5.4199999999999998E-2</v>
      </c>
    </row>
    <row r="31" spans="1:3" ht="15" x14ac:dyDescent="0.35">
      <c r="A31" s="840">
        <v>45086</v>
      </c>
      <c r="B31" s="838"/>
      <c r="C31" s="841">
        <v>5.4000000000000006E-2</v>
      </c>
    </row>
    <row r="32" spans="1:3" ht="15" x14ac:dyDescent="0.35">
      <c r="A32" s="840">
        <v>45085</v>
      </c>
      <c r="B32" s="838"/>
      <c r="C32" s="841">
        <v>5.3899999999999997E-2</v>
      </c>
    </row>
    <row r="33" spans="1:3" ht="15" x14ac:dyDescent="0.35">
      <c r="A33" s="840">
        <v>45084</v>
      </c>
      <c r="B33" s="838"/>
      <c r="C33" s="841">
        <v>5.45E-2</v>
      </c>
    </row>
    <row r="34" spans="1:3" ht="15" x14ac:dyDescent="0.35">
      <c r="A34" s="840">
        <v>45083</v>
      </c>
      <c r="B34" s="838"/>
      <c r="C34" s="841">
        <v>5.3800000000000001E-2</v>
      </c>
    </row>
    <row r="35" spans="1:3" ht="15" x14ac:dyDescent="0.35">
      <c r="A35" s="840">
        <v>45082</v>
      </c>
      <c r="B35" s="838"/>
      <c r="C35" s="841">
        <v>5.3899999999999997E-2</v>
      </c>
    </row>
    <row r="36" spans="1:3" ht="15" x14ac:dyDescent="0.35">
      <c r="A36" s="840">
        <v>45079</v>
      </c>
      <c r="B36" s="838"/>
      <c r="C36" s="841">
        <v>5.3899999999999997E-2</v>
      </c>
    </row>
    <row r="37" spans="1:3" ht="15" x14ac:dyDescent="0.35">
      <c r="A37" s="840">
        <v>45078</v>
      </c>
      <c r="B37" s="838"/>
      <c r="C37" s="842">
        <v>5.3600000000000002E-2</v>
      </c>
    </row>
    <row r="38" spans="1:3" ht="15" x14ac:dyDescent="0.35">
      <c r="A38" s="837"/>
      <c r="B38" s="838"/>
      <c r="C38" s="838"/>
    </row>
    <row r="39" spans="1:3" ht="15.45" thickBot="1" x14ac:dyDescent="0.4">
      <c r="A39" s="837" t="s">
        <v>721</v>
      </c>
      <c r="B39" s="838"/>
      <c r="C39" s="843">
        <f>AVERAGE(C8:C37)</f>
        <v>5.4023333333333354E-2</v>
      </c>
    </row>
    <row r="40" spans="1:3" ht="15.45" thickTop="1" x14ac:dyDescent="0.35">
      <c r="A40" s="838"/>
      <c r="B40" s="838"/>
      <c r="C40" s="838"/>
    </row>
    <row r="41" spans="1:3" ht="15" x14ac:dyDescent="0.35">
      <c r="A41" s="346" t="s">
        <v>1174</v>
      </c>
      <c r="B41" s="346"/>
      <c r="C41" s="346"/>
    </row>
    <row r="42" spans="1:3" ht="15" x14ac:dyDescent="0.35">
      <c r="A42" s="844" t="s">
        <v>1175</v>
      </c>
      <c r="B42" s="838"/>
      <c r="C42" s="838"/>
    </row>
  </sheetData>
  <mergeCells count="3">
    <mergeCell ref="A1:C1"/>
    <mergeCell ref="A2:C2"/>
    <mergeCell ref="A3:C3"/>
  </mergeCells>
  <printOptions horizontalCentered="1"/>
  <pageMargins left="0.7" right="0.7" top="0.75" bottom="0.75" header="0.3" footer="0.3"/>
  <pageSetup fitToWidth="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BCC81-43EC-47C5-84A0-9C3D196E7B80}">
  <sheetPr>
    <pageSetUpPr fitToPage="1"/>
  </sheetPr>
  <dimension ref="A1:HS26"/>
  <sheetViews>
    <sheetView view="pageBreakPreview" zoomScale="85" zoomScaleNormal="110" zoomScaleSheetLayoutView="85" workbookViewId="0">
      <selection sqref="A1:E1"/>
    </sheetView>
  </sheetViews>
  <sheetFormatPr defaultColWidth="12.3828125" defaultRowHeight="15" x14ac:dyDescent="0.35"/>
  <cols>
    <col min="1" max="1" width="8.53515625" style="735" customWidth="1"/>
    <col min="2" max="2" width="4.3828125" style="735" customWidth="1"/>
    <col min="3" max="3" width="52.53515625" style="735" customWidth="1"/>
    <col min="4" max="4" width="6.15234375" style="735" customWidth="1"/>
    <col min="5" max="5" width="23.15234375" style="735" customWidth="1"/>
    <col min="6" max="16384" width="12.3828125" style="735"/>
  </cols>
  <sheetData>
    <row r="1" spans="1:227" ht="15.75" customHeight="1" x14ac:dyDescent="0.35">
      <c r="A1" s="920" t="str">
        <f>Input!G29</f>
        <v>City of Ansonia</v>
      </c>
      <c r="B1" s="920"/>
      <c r="C1" s="920"/>
      <c r="D1" s="920"/>
      <c r="E1" s="920"/>
    </row>
    <row r="2" spans="1:227" x14ac:dyDescent="0.35">
      <c r="A2" s="920" t="s">
        <v>1176</v>
      </c>
      <c r="B2" s="920"/>
      <c r="C2" s="920"/>
      <c r="D2" s="920"/>
      <c r="E2" s="920"/>
    </row>
    <row r="3" spans="1:227" x14ac:dyDescent="0.35">
      <c r="A3" s="736"/>
      <c r="B3" s="736"/>
      <c r="C3" s="736"/>
      <c r="D3" s="736"/>
      <c r="E3" s="736"/>
    </row>
    <row r="4" spans="1:227" ht="15" customHeight="1" x14ac:dyDescent="0.35">
      <c r="A4" s="736"/>
      <c r="B4" s="736"/>
      <c r="C4" s="736"/>
    </row>
    <row r="5" spans="1:227" ht="41.15" customHeight="1" x14ac:dyDescent="0.35">
      <c r="A5" s="776" t="s">
        <v>1177</v>
      </c>
      <c r="B5" s="736"/>
      <c r="C5" s="825" t="s">
        <v>1178</v>
      </c>
      <c r="D5" s="736"/>
      <c r="E5" s="826" t="str">
        <f>Input!I32</f>
        <v>Proxy Group of Six Water Companies</v>
      </c>
      <c r="F5" s="780"/>
    </row>
    <row r="6" spans="1:227" x14ac:dyDescent="0.35">
      <c r="A6" s="736"/>
      <c r="B6" s="736"/>
      <c r="C6" s="736"/>
      <c r="E6" s="346"/>
      <c r="G6" s="827">
        <f>MIN(E7:E11)</f>
        <v>8.3628077250000002E-2</v>
      </c>
      <c r="H6" s="735" t="s">
        <v>1179</v>
      </c>
    </row>
    <row r="7" spans="1:227" x14ac:dyDescent="0.35">
      <c r="A7" s="778" t="s">
        <v>1180</v>
      </c>
      <c r="B7" s="778"/>
      <c r="C7" s="769" t="s">
        <v>1181</v>
      </c>
      <c r="E7" s="828">
        <f>IFERROR('1.5 DCF Summary'!V24,"NA")/100</f>
        <v>8.3628077250000002E-2</v>
      </c>
      <c r="F7" s="769"/>
      <c r="G7" s="829">
        <f>MAX(E7:E11)</f>
        <v>0.11560000000000001</v>
      </c>
      <c r="H7" s="757" t="s">
        <v>1182</v>
      </c>
      <c r="I7" s="769"/>
      <c r="J7" s="769"/>
      <c r="K7" s="769"/>
      <c r="L7" s="769"/>
      <c r="M7" s="769"/>
      <c r="N7" s="769"/>
      <c r="O7" s="769"/>
      <c r="P7" s="769"/>
      <c r="Q7" s="769"/>
      <c r="R7" s="769"/>
      <c r="S7" s="769"/>
      <c r="T7" s="769"/>
      <c r="U7" s="769"/>
      <c r="V7" s="769"/>
      <c r="W7" s="769"/>
      <c r="X7" s="769"/>
      <c r="Y7" s="769"/>
      <c r="Z7" s="769"/>
      <c r="AA7" s="769"/>
      <c r="AB7" s="769"/>
      <c r="AC7" s="769"/>
      <c r="AD7" s="769"/>
      <c r="AE7" s="769"/>
      <c r="AF7" s="769"/>
      <c r="AG7" s="769"/>
      <c r="AH7" s="769"/>
      <c r="AI7" s="769"/>
      <c r="AJ7" s="769"/>
      <c r="AK7" s="769"/>
      <c r="AL7" s="769"/>
      <c r="AM7" s="769"/>
      <c r="AN7" s="769"/>
      <c r="AO7" s="769"/>
      <c r="AP7" s="769"/>
      <c r="AQ7" s="769"/>
      <c r="AR7" s="769"/>
      <c r="AS7" s="769"/>
      <c r="AT7" s="769"/>
      <c r="AU7" s="769"/>
      <c r="AV7" s="769"/>
      <c r="AW7" s="769"/>
      <c r="AX7" s="769"/>
      <c r="AY7" s="769"/>
      <c r="AZ7" s="769"/>
      <c r="BA7" s="769"/>
      <c r="BB7" s="769"/>
      <c r="BC7" s="769"/>
      <c r="BD7" s="769"/>
      <c r="BE7" s="769"/>
      <c r="BF7" s="769"/>
      <c r="BG7" s="769"/>
      <c r="BH7" s="769"/>
      <c r="BI7" s="769"/>
      <c r="BJ7" s="769"/>
      <c r="BK7" s="769"/>
      <c r="BL7" s="769"/>
      <c r="BM7" s="769"/>
      <c r="BN7" s="769"/>
      <c r="BO7" s="769"/>
      <c r="BP7" s="769"/>
      <c r="BQ7" s="769"/>
      <c r="BR7" s="769"/>
      <c r="BS7" s="769"/>
      <c r="BT7" s="769"/>
      <c r="BU7" s="769"/>
      <c r="BV7" s="769"/>
      <c r="BW7" s="769"/>
      <c r="BX7" s="769"/>
      <c r="BY7" s="769"/>
      <c r="BZ7" s="769"/>
      <c r="CA7" s="769"/>
      <c r="CB7" s="769"/>
      <c r="CC7" s="769"/>
      <c r="CD7" s="769"/>
      <c r="CE7" s="769"/>
      <c r="CF7" s="769"/>
      <c r="CG7" s="769"/>
      <c r="CH7" s="769"/>
      <c r="CI7" s="769"/>
      <c r="CJ7" s="769"/>
      <c r="CK7" s="769"/>
      <c r="CL7" s="769"/>
      <c r="CM7" s="769"/>
      <c r="CN7" s="769"/>
      <c r="CO7" s="769"/>
      <c r="CP7" s="769"/>
      <c r="CQ7" s="769"/>
      <c r="CR7" s="769"/>
      <c r="CS7" s="769"/>
      <c r="CT7" s="769"/>
      <c r="CU7" s="769"/>
      <c r="CV7" s="769"/>
      <c r="CW7" s="769"/>
      <c r="CX7" s="769"/>
      <c r="CY7" s="769"/>
      <c r="CZ7" s="769"/>
      <c r="DA7" s="769"/>
      <c r="DB7" s="769"/>
      <c r="DC7" s="769"/>
      <c r="DD7" s="769"/>
      <c r="DE7" s="769"/>
      <c r="DF7" s="769"/>
      <c r="DG7" s="769"/>
      <c r="DH7" s="769"/>
      <c r="DI7" s="769"/>
      <c r="DJ7" s="769"/>
      <c r="DK7" s="769"/>
      <c r="DL7" s="769"/>
      <c r="DM7" s="769"/>
      <c r="DN7" s="769"/>
      <c r="DO7" s="769"/>
      <c r="DP7" s="769"/>
      <c r="DQ7" s="769"/>
      <c r="DR7" s="769"/>
      <c r="DS7" s="769"/>
      <c r="DT7" s="769"/>
      <c r="DU7" s="769"/>
      <c r="DV7" s="769"/>
      <c r="DW7" s="769"/>
      <c r="DX7" s="769"/>
      <c r="DY7" s="769"/>
      <c r="DZ7" s="769"/>
      <c r="EA7" s="769"/>
      <c r="EB7" s="769"/>
      <c r="EC7" s="769"/>
      <c r="ED7" s="769"/>
      <c r="EE7" s="769"/>
      <c r="EF7" s="769"/>
      <c r="EG7" s="769"/>
      <c r="EH7" s="769"/>
      <c r="EI7" s="769"/>
      <c r="EJ7" s="769"/>
      <c r="EK7" s="769"/>
      <c r="EL7" s="769"/>
      <c r="EM7" s="769"/>
      <c r="EN7" s="769"/>
      <c r="EO7" s="769"/>
      <c r="EP7" s="769"/>
      <c r="EQ7" s="769"/>
      <c r="ER7" s="769"/>
      <c r="ES7" s="769"/>
      <c r="ET7" s="769"/>
      <c r="EU7" s="769"/>
      <c r="EV7" s="769"/>
      <c r="EW7" s="769"/>
      <c r="EX7" s="769"/>
      <c r="EY7" s="769"/>
      <c r="EZ7" s="769"/>
      <c r="FA7" s="769"/>
      <c r="FB7" s="769"/>
      <c r="FC7" s="769"/>
      <c r="FD7" s="769"/>
      <c r="FE7" s="769"/>
      <c r="FF7" s="769"/>
      <c r="FG7" s="769"/>
      <c r="FH7" s="769"/>
      <c r="FI7" s="769"/>
      <c r="FJ7" s="769"/>
      <c r="FK7" s="769"/>
      <c r="FL7" s="769"/>
      <c r="FM7" s="769"/>
      <c r="FN7" s="769"/>
      <c r="FO7" s="769"/>
      <c r="FP7" s="769"/>
      <c r="FQ7" s="769"/>
      <c r="FR7" s="769"/>
      <c r="FS7" s="769"/>
      <c r="FT7" s="769"/>
      <c r="FU7" s="769"/>
      <c r="FV7" s="769"/>
      <c r="FW7" s="769"/>
      <c r="FX7" s="769"/>
      <c r="FY7" s="769"/>
      <c r="FZ7" s="769"/>
      <c r="GA7" s="769"/>
      <c r="GB7" s="769"/>
      <c r="GC7" s="769"/>
      <c r="GD7" s="769"/>
      <c r="GE7" s="769"/>
      <c r="GF7" s="769"/>
      <c r="GG7" s="769"/>
      <c r="GH7" s="769"/>
      <c r="GI7" s="769"/>
      <c r="GJ7" s="769"/>
      <c r="GK7" s="769"/>
      <c r="GL7" s="769"/>
      <c r="GM7" s="769"/>
      <c r="GN7" s="769"/>
      <c r="GO7" s="769"/>
      <c r="GP7" s="769"/>
      <c r="GQ7" s="769"/>
      <c r="GR7" s="769"/>
      <c r="GS7" s="769"/>
      <c r="GT7" s="769"/>
      <c r="GU7" s="769"/>
      <c r="GV7" s="769"/>
      <c r="GW7" s="769"/>
      <c r="GX7" s="769"/>
      <c r="GY7" s="769"/>
      <c r="GZ7" s="769"/>
      <c r="HA7" s="769"/>
      <c r="HB7" s="769"/>
      <c r="HC7" s="769"/>
      <c r="HD7" s="769"/>
      <c r="HE7" s="769"/>
      <c r="HF7" s="769"/>
      <c r="HG7" s="769"/>
      <c r="HH7" s="769"/>
      <c r="HI7" s="769"/>
      <c r="HJ7" s="769"/>
      <c r="HK7" s="769"/>
      <c r="HL7" s="769"/>
      <c r="HM7" s="769"/>
      <c r="HN7" s="769"/>
      <c r="HO7" s="769"/>
      <c r="HP7" s="769"/>
      <c r="HQ7" s="769"/>
      <c r="HR7" s="769"/>
      <c r="HS7" s="769"/>
    </row>
    <row r="8" spans="1:227" x14ac:dyDescent="0.35">
      <c r="A8" s="778"/>
      <c r="B8" s="778"/>
      <c r="C8" s="769"/>
      <c r="D8" s="773"/>
      <c r="E8" s="830"/>
      <c r="F8" s="769"/>
      <c r="G8" s="829">
        <f>AVERAGE(G6:G7)</f>
        <v>9.9614038625000012E-2</v>
      </c>
      <c r="H8" s="757" t="s">
        <v>1183</v>
      </c>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69"/>
      <c r="AM8" s="769"/>
      <c r="AN8" s="769"/>
      <c r="AO8" s="769"/>
      <c r="AP8" s="769"/>
      <c r="AQ8" s="769"/>
      <c r="AR8" s="769"/>
      <c r="AS8" s="769"/>
      <c r="AT8" s="769"/>
      <c r="AU8" s="769"/>
      <c r="AV8" s="769"/>
      <c r="AW8" s="769"/>
      <c r="AX8" s="769"/>
      <c r="AY8" s="769"/>
      <c r="AZ8" s="769"/>
      <c r="BA8" s="769"/>
      <c r="BB8" s="769"/>
      <c r="BC8" s="769"/>
      <c r="BD8" s="769"/>
      <c r="BE8" s="769"/>
      <c r="BF8" s="769"/>
      <c r="BG8" s="769"/>
      <c r="BH8" s="769"/>
      <c r="BI8" s="769"/>
      <c r="BJ8" s="769"/>
      <c r="BK8" s="769"/>
      <c r="BL8" s="769"/>
      <c r="BM8" s="769"/>
      <c r="BN8" s="769"/>
      <c r="BO8" s="769"/>
      <c r="BP8" s="769"/>
      <c r="BQ8" s="769"/>
      <c r="BR8" s="769"/>
      <c r="BS8" s="769"/>
      <c r="BT8" s="769"/>
      <c r="BU8" s="769"/>
      <c r="BV8" s="769"/>
      <c r="BW8" s="769"/>
      <c r="BX8" s="769"/>
      <c r="BY8" s="769"/>
      <c r="BZ8" s="769"/>
      <c r="CA8" s="769"/>
      <c r="CB8" s="769"/>
      <c r="CC8" s="769"/>
      <c r="CD8" s="769"/>
      <c r="CE8" s="769"/>
      <c r="CF8" s="769"/>
      <c r="CG8" s="769"/>
      <c r="CH8" s="769"/>
      <c r="CI8" s="769"/>
      <c r="CJ8" s="769"/>
      <c r="CK8" s="769"/>
      <c r="CL8" s="769"/>
      <c r="CM8" s="769"/>
      <c r="CN8" s="769"/>
      <c r="CO8" s="769"/>
      <c r="CP8" s="769"/>
      <c r="CQ8" s="769"/>
      <c r="CR8" s="769"/>
      <c r="CS8" s="769"/>
      <c r="CT8" s="769"/>
      <c r="CU8" s="769"/>
      <c r="CV8" s="769"/>
      <c r="CW8" s="769"/>
      <c r="CX8" s="769"/>
      <c r="CY8" s="769"/>
      <c r="CZ8" s="769"/>
      <c r="DA8" s="769"/>
      <c r="DB8" s="769"/>
      <c r="DC8" s="769"/>
      <c r="DD8" s="769"/>
      <c r="DE8" s="769"/>
      <c r="DF8" s="769"/>
      <c r="DG8" s="769"/>
      <c r="DH8" s="769"/>
      <c r="DI8" s="769"/>
      <c r="DJ8" s="769"/>
      <c r="DK8" s="769"/>
      <c r="DL8" s="769"/>
      <c r="DM8" s="769"/>
      <c r="DN8" s="769"/>
      <c r="DO8" s="769"/>
      <c r="DP8" s="769"/>
      <c r="DQ8" s="769"/>
      <c r="DR8" s="769"/>
      <c r="DS8" s="769"/>
      <c r="DT8" s="769"/>
      <c r="DU8" s="769"/>
      <c r="DV8" s="769"/>
      <c r="DW8" s="769"/>
      <c r="DX8" s="769"/>
      <c r="DY8" s="769"/>
      <c r="DZ8" s="769"/>
      <c r="EA8" s="769"/>
      <c r="EB8" s="769"/>
      <c r="EC8" s="769"/>
      <c r="ED8" s="769"/>
      <c r="EE8" s="769"/>
      <c r="EF8" s="769"/>
      <c r="EG8" s="769"/>
      <c r="EH8" s="769"/>
      <c r="EI8" s="769"/>
      <c r="EJ8" s="769"/>
      <c r="EK8" s="769"/>
      <c r="EL8" s="769"/>
      <c r="EM8" s="769"/>
      <c r="EN8" s="769"/>
      <c r="EO8" s="769"/>
      <c r="EP8" s="769"/>
      <c r="EQ8" s="769"/>
      <c r="ER8" s="769"/>
      <c r="ES8" s="769"/>
      <c r="ET8" s="769"/>
      <c r="EU8" s="769"/>
      <c r="EV8" s="769"/>
      <c r="EW8" s="769"/>
      <c r="EX8" s="769"/>
      <c r="EY8" s="769"/>
      <c r="EZ8" s="769"/>
      <c r="FA8" s="769"/>
      <c r="FB8" s="769"/>
      <c r="FC8" s="769"/>
      <c r="FD8" s="769"/>
      <c r="FE8" s="769"/>
      <c r="FF8" s="769"/>
      <c r="FG8" s="769"/>
      <c r="FH8" s="769"/>
      <c r="FI8" s="769"/>
      <c r="FJ8" s="769"/>
      <c r="FK8" s="769"/>
      <c r="FL8" s="769"/>
      <c r="FM8" s="769"/>
      <c r="FN8" s="769"/>
      <c r="FO8" s="769"/>
      <c r="FP8" s="769"/>
      <c r="FQ8" s="769"/>
      <c r="FR8" s="769"/>
      <c r="FS8" s="769"/>
      <c r="FT8" s="769"/>
      <c r="FU8" s="769"/>
      <c r="FV8" s="769"/>
      <c r="FW8" s="769"/>
      <c r="FX8" s="769"/>
      <c r="FY8" s="769"/>
      <c r="FZ8" s="769"/>
      <c r="GA8" s="769"/>
      <c r="GB8" s="769"/>
      <c r="GC8" s="769"/>
      <c r="GD8" s="769"/>
      <c r="GE8" s="769"/>
      <c r="GF8" s="769"/>
      <c r="GG8" s="769"/>
      <c r="GH8" s="769"/>
      <c r="GI8" s="769"/>
      <c r="GJ8" s="769"/>
      <c r="GK8" s="769"/>
      <c r="GL8" s="769"/>
      <c r="GM8" s="769"/>
      <c r="GN8" s="769"/>
      <c r="GO8" s="769"/>
      <c r="GP8" s="769"/>
      <c r="GQ8" s="769"/>
      <c r="GR8" s="769"/>
      <c r="GS8" s="769"/>
      <c r="GT8" s="769"/>
      <c r="GU8" s="769"/>
      <c r="GV8" s="769"/>
      <c r="GW8" s="769"/>
      <c r="GX8" s="769"/>
      <c r="GY8" s="769"/>
      <c r="GZ8" s="769"/>
      <c r="HA8" s="769"/>
      <c r="HB8" s="769"/>
      <c r="HC8" s="769"/>
      <c r="HD8" s="769"/>
      <c r="HE8" s="769"/>
      <c r="HF8" s="769"/>
      <c r="HG8" s="769"/>
      <c r="HH8" s="769"/>
      <c r="HI8" s="769"/>
      <c r="HJ8" s="769"/>
      <c r="HK8" s="769"/>
      <c r="HL8" s="769"/>
      <c r="HM8" s="769"/>
      <c r="HN8" s="769"/>
      <c r="HO8" s="769"/>
      <c r="HP8" s="769"/>
      <c r="HQ8" s="769"/>
      <c r="HR8" s="769"/>
      <c r="HS8" s="769"/>
    </row>
    <row r="9" spans="1:227" x14ac:dyDescent="0.35">
      <c r="A9" s="778" t="s">
        <v>1184</v>
      </c>
      <c r="B9" s="778"/>
      <c r="C9" s="769" t="s">
        <v>1185</v>
      </c>
      <c r="D9" s="769"/>
      <c r="E9" s="828">
        <f>IFERROR('1.12 Risk Premium Summary'!G28,"NA")/100</f>
        <v>0.11216666666666666</v>
      </c>
      <c r="F9" s="769"/>
      <c r="G9" s="829">
        <f>G8-0.01</f>
        <v>8.9614038625000017E-2</v>
      </c>
      <c r="H9" s="757" t="s">
        <v>724</v>
      </c>
      <c r="I9" s="769"/>
      <c r="J9" s="769"/>
      <c r="K9" s="769"/>
      <c r="L9" s="769"/>
      <c r="M9" s="769"/>
      <c r="N9" s="769"/>
      <c r="O9" s="769"/>
      <c r="P9" s="769"/>
      <c r="Q9" s="769"/>
      <c r="R9" s="769"/>
      <c r="S9" s="769"/>
      <c r="T9" s="769"/>
      <c r="U9" s="769"/>
      <c r="V9" s="769"/>
      <c r="W9" s="769"/>
      <c r="X9" s="769"/>
      <c r="Y9" s="769"/>
      <c r="Z9" s="769"/>
      <c r="AA9" s="769"/>
      <c r="AB9" s="769"/>
      <c r="AC9" s="769"/>
      <c r="AD9" s="769"/>
      <c r="AE9" s="769"/>
      <c r="AF9" s="769"/>
      <c r="AG9" s="769"/>
      <c r="AH9" s="769"/>
      <c r="AI9" s="769"/>
      <c r="AJ9" s="769"/>
      <c r="AK9" s="769"/>
      <c r="AL9" s="769"/>
      <c r="AM9" s="769"/>
      <c r="AN9" s="769"/>
      <c r="AO9" s="769"/>
      <c r="AP9" s="769"/>
      <c r="AQ9" s="769"/>
      <c r="AR9" s="769"/>
      <c r="AS9" s="769"/>
      <c r="AT9" s="769"/>
      <c r="AU9" s="769"/>
      <c r="AV9" s="769"/>
      <c r="AW9" s="769"/>
      <c r="AX9" s="769"/>
      <c r="AY9" s="769"/>
      <c r="AZ9" s="769"/>
      <c r="BA9" s="769"/>
      <c r="BB9" s="769"/>
      <c r="BC9" s="769"/>
      <c r="BD9" s="769"/>
      <c r="BE9" s="769"/>
      <c r="BF9" s="769"/>
      <c r="BG9" s="769"/>
      <c r="BH9" s="769"/>
      <c r="BI9" s="769"/>
      <c r="BJ9" s="769"/>
      <c r="BK9" s="769"/>
      <c r="BL9" s="769"/>
      <c r="BM9" s="769"/>
      <c r="BN9" s="769"/>
      <c r="BO9" s="769"/>
      <c r="BP9" s="769"/>
      <c r="BQ9" s="769"/>
      <c r="BR9" s="769"/>
      <c r="BS9" s="769"/>
      <c r="BT9" s="769"/>
      <c r="BU9" s="769"/>
      <c r="BV9" s="769"/>
      <c r="BW9" s="769"/>
      <c r="BX9" s="769"/>
      <c r="BY9" s="769"/>
      <c r="BZ9" s="769"/>
      <c r="CA9" s="769"/>
      <c r="CB9" s="769"/>
      <c r="CC9" s="769"/>
      <c r="CD9" s="769"/>
      <c r="CE9" s="769"/>
      <c r="CF9" s="769"/>
      <c r="CG9" s="769"/>
      <c r="CH9" s="769"/>
      <c r="CI9" s="769"/>
      <c r="CJ9" s="769"/>
      <c r="CK9" s="769"/>
      <c r="CL9" s="769"/>
      <c r="CM9" s="769"/>
      <c r="CN9" s="769"/>
      <c r="CO9" s="769"/>
      <c r="CP9" s="769"/>
      <c r="CQ9" s="769"/>
      <c r="CR9" s="769"/>
      <c r="CS9" s="769"/>
      <c r="CT9" s="769"/>
      <c r="CU9" s="769"/>
      <c r="CV9" s="769"/>
      <c r="CW9" s="769"/>
      <c r="CX9" s="769"/>
      <c r="CY9" s="769"/>
      <c r="CZ9" s="769"/>
      <c r="DA9" s="769"/>
      <c r="DB9" s="769"/>
      <c r="DC9" s="769"/>
      <c r="DD9" s="769"/>
      <c r="DE9" s="769"/>
      <c r="DF9" s="769"/>
      <c r="DG9" s="769"/>
      <c r="DH9" s="769"/>
      <c r="DI9" s="769"/>
      <c r="DJ9" s="769"/>
      <c r="DK9" s="769"/>
      <c r="DL9" s="769"/>
      <c r="DM9" s="769"/>
      <c r="DN9" s="769"/>
      <c r="DO9" s="769"/>
      <c r="DP9" s="769"/>
      <c r="DQ9" s="769"/>
      <c r="DR9" s="769"/>
      <c r="DS9" s="769"/>
      <c r="DT9" s="769"/>
      <c r="DU9" s="769"/>
      <c r="DV9" s="769"/>
      <c r="DW9" s="769"/>
      <c r="DX9" s="769"/>
      <c r="DY9" s="769"/>
      <c r="DZ9" s="769"/>
      <c r="EA9" s="769"/>
      <c r="EB9" s="769"/>
      <c r="EC9" s="769"/>
      <c r="ED9" s="769"/>
      <c r="EE9" s="769"/>
      <c r="EF9" s="769"/>
      <c r="EG9" s="769"/>
      <c r="EH9" s="769"/>
      <c r="EI9" s="769"/>
      <c r="EJ9" s="769"/>
      <c r="EK9" s="769"/>
      <c r="EL9" s="769"/>
      <c r="EM9" s="769"/>
      <c r="EN9" s="769"/>
      <c r="EO9" s="769"/>
      <c r="EP9" s="769"/>
      <c r="EQ9" s="769"/>
      <c r="ER9" s="769"/>
      <c r="ES9" s="769"/>
      <c r="ET9" s="769"/>
      <c r="EU9" s="769"/>
      <c r="EV9" s="769"/>
      <c r="EW9" s="769"/>
      <c r="EX9" s="769"/>
      <c r="EY9" s="769"/>
      <c r="EZ9" s="769"/>
      <c r="FA9" s="769"/>
      <c r="FB9" s="769"/>
      <c r="FC9" s="769"/>
      <c r="FD9" s="769"/>
      <c r="FE9" s="769"/>
      <c r="FF9" s="769"/>
      <c r="FG9" s="769"/>
      <c r="FH9" s="769"/>
      <c r="FI9" s="769"/>
      <c r="FJ9" s="769"/>
      <c r="FK9" s="769"/>
      <c r="FL9" s="769"/>
      <c r="FM9" s="769"/>
      <c r="FN9" s="769"/>
      <c r="FO9" s="769"/>
      <c r="FP9" s="769"/>
      <c r="FQ9" s="769"/>
      <c r="FR9" s="769"/>
      <c r="FS9" s="769"/>
      <c r="FT9" s="769"/>
      <c r="FU9" s="769"/>
      <c r="FV9" s="769"/>
      <c r="FW9" s="769"/>
      <c r="FX9" s="769"/>
      <c r="FY9" s="769"/>
      <c r="FZ9" s="769"/>
      <c r="GA9" s="769"/>
      <c r="GB9" s="769"/>
      <c r="GC9" s="769"/>
      <c r="GD9" s="769"/>
      <c r="GE9" s="769"/>
      <c r="GF9" s="769"/>
      <c r="GG9" s="769"/>
      <c r="GH9" s="769"/>
      <c r="GI9" s="769"/>
      <c r="GJ9" s="769"/>
      <c r="GK9" s="769"/>
      <c r="GL9" s="769"/>
      <c r="GM9" s="769"/>
      <c r="GN9" s="769"/>
      <c r="GO9" s="769"/>
      <c r="GP9" s="769"/>
      <c r="GQ9" s="769"/>
      <c r="GR9" s="769"/>
      <c r="GS9" s="769"/>
      <c r="GT9" s="769"/>
      <c r="GU9" s="769"/>
      <c r="GV9" s="769"/>
      <c r="GW9" s="769"/>
      <c r="GX9" s="769"/>
      <c r="GY9" s="769"/>
      <c r="GZ9" s="769"/>
      <c r="HA9" s="769"/>
      <c r="HB9" s="769"/>
      <c r="HC9" s="769"/>
      <c r="HD9" s="769"/>
      <c r="HE9" s="769"/>
      <c r="HF9" s="769"/>
      <c r="HG9" s="769"/>
      <c r="HH9" s="769"/>
      <c r="HI9" s="769"/>
      <c r="HJ9" s="769"/>
      <c r="HK9" s="769"/>
      <c r="HL9" s="769"/>
      <c r="HM9" s="769"/>
      <c r="HN9" s="769"/>
      <c r="HO9" s="769"/>
      <c r="HP9" s="769"/>
      <c r="HQ9" s="769"/>
      <c r="HR9" s="769"/>
      <c r="HS9" s="769"/>
    </row>
    <row r="10" spans="1:227" x14ac:dyDescent="0.35">
      <c r="A10" s="778"/>
      <c r="B10" s="778"/>
      <c r="C10" s="778"/>
      <c r="D10" s="769"/>
      <c r="E10" s="828"/>
      <c r="F10" s="769"/>
      <c r="G10" s="829">
        <f>G8+0.01</f>
        <v>0.10961403862500001</v>
      </c>
      <c r="H10" s="831" t="s">
        <v>725</v>
      </c>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69"/>
      <c r="AM10" s="769"/>
      <c r="AN10" s="769"/>
      <c r="AO10" s="769"/>
      <c r="AP10" s="769"/>
      <c r="AQ10" s="769"/>
      <c r="AR10" s="769"/>
      <c r="AS10" s="769"/>
      <c r="AT10" s="769"/>
      <c r="AU10" s="769"/>
      <c r="AV10" s="769"/>
      <c r="AW10" s="769"/>
      <c r="AX10" s="769"/>
      <c r="AY10" s="769"/>
      <c r="AZ10" s="769"/>
      <c r="BA10" s="769"/>
      <c r="BB10" s="769"/>
      <c r="BC10" s="769"/>
      <c r="BD10" s="769"/>
      <c r="BE10" s="769"/>
      <c r="BF10" s="769"/>
      <c r="BG10" s="769"/>
      <c r="BH10" s="769"/>
      <c r="BI10" s="769"/>
      <c r="BJ10" s="769"/>
      <c r="BK10" s="769"/>
      <c r="BL10" s="769"/>
      <c r="BM10" s="769"/>
      <c r="BN10" s="769"/>
      <c r="BO10" s="769"/>
      <c r="BP10" s="769"/>
      <c r="BQ10" s="769"/>
      <c r="BR10" s="769"/>
      <c r="BS10" s="769"/>
      <c r="BT10" s="769"/>
      <c r="BU10" s="769"/>
      <c r="BV10" s="769"/>
      <c r="BW10" s="769"/>
      <c r="BX10" s="769"/>
      <c r="BY10" s="769"/>
      <c r="BZ10" s="769"/>
      <c r="CA10" s="769"/>
      <c r="CB10" s="769"/>
      <c r="CC10" s="769"/>
      <c r="CD10" s="769"/>
      <c r="CE10" s="769"/>
      <c r="CF10" s="769"/>
      <c r="CG10" s="769"/>
      <c r="CH10" s="769"/>
      <c r="CI10" s="769"/>
      <c r="CJ10" s="769"/>
      <c r="CK10" s="769"/>
      <c r="CL10" s="769"/>
      <c r="CM10" s="769"/>
      <c r="CN10" s="769"/>
      <c r="CO10" s="769"/>
      <c r="CP10" s="769"/>
      <c r="CQ10" s="769"/>
      <c r="CR10" s="769"/>
      <c r="CS10" s="769"/>
      <c r="CT10" s="769"/>
      <c r="CU10" s="769"/>
      <c r="CV10" s="769"/>
      <c r="CW10" s="769"/>
      <c r="CX10" s="769"/>
      <c r="CY10" s="769"/>
      <c r="CZ10" s="769"/>
      <c r="DA10" s="769"/>
      <c r="DB10" s="769"/>
      <c r="DC10" s="769"/>
      <c r="DD10" s="769"/>
      <c r="DE10" s="769"/>
      <c r="DF10" s="769"/>
      <c r="DG10" s="769"/>
      <c r="DH10" s="769"/>
      <c r="DI10" s="769"/>
      <c r="DJ10" s="769"/>
      <c r="DK10" s="769"/>
      <c r="DL10" s="769"/>
      <c r="DM10" s="769"/>
      <c r="DN10" s="769"/>
      <c r="DO10" s="769"/>
      <c r="DP10" s="769"/>
      <c r="DQ10" s="769"/>
      <c r="DR10" s="769"/>
      <c r="DS10" s="769"/>
      <c r="DT10" s="769"/>
      <c r="DU10" s="769"/>
      <c r="DV10" s="769"/>
      <c r="DW10" s="769"/>
      <c r="DX10" s="769"/>
      <c r="DY10" s="769"/>
      <c r="DZ10" s="769"/>
      <c r="EA10" s="769"/>
      <c r="EB10" s="769"/>
      <c r="EC10" s="769"/>
      <c r="ED10" s="769"/>
      <c r="EE10" s="769"/>
      <c r="EF10" s="769"/>
      <c r="EG10" s="769"/>
      <c r="EH10" s="769"/>
      <c r="EI10" s="769"/>
      <c r="EJ10" s="769"/>
      <c r="EK10" s="769"/>
      <c r="EL10" s="769"/>
      <c r="EM10" s="769"/>
      <c r="EN10" s="769"/>
      <c r="EO10" s="769"/>
      <c r="EP10" s="769"/>
      <c r="EQ10" s="769"/>
      <c r="ER10" s="769"/>
      <c r="ES10" s="769"/>
      <c r="ET10" s="769"/>
      <c r="EU10" s="769"/>
      <c r="EV10" s="769"/>
      <c r="EW10" s="769"/>
      <c r="EX10" s="769"/>
      <c r="EY10" s="769"/>
      <c r="EZ10" s="769"/>
      <c r="FA10" s="769"/>
      <c r="FB10" s="769"/>
      <c r="FC10" s="769"/>
      <c r="FD10" s="769"/>
      <c r="FE10" s="769"/>
      <c r="FF10" s="769"/>
      <c r="FG10" s="769"/>
      <c r="FH10" s="769"/>
      <c r="FI10" s="769"/>
      <c r="FJ10" s="769"/>
      <c r="FK10" s="769"/>
      <c r="FL10" s="769"/>
      <c r="FM10" s="769"/>
      <c r="FN10" s="769"/>
      <c r="FO10" s="769"/>
      <c r="FP10" s="769"/>
      <c r="FQ10" s="769"/>
      <c r="FR10" s="769"/>
      <c r="FS10" s="769"/>
      <c r="FT10" s="769"/>
      <c r="FU10" s="769"/>
      <c r="FV10" s="769"/>
      <c r="FW10" s="769"/>
      <c r="FX10" s="769"/>
      <c r="FY10" s="769"/>
      <c r="FZ10" s="769"/>
      <c r="GA10" s="769"/>
      <c r="GB10" s="769"/>
      <c r="GC10" s="769"/>
      <c r="GD10" s="769"/>
      <c r="GE10" s="769"/>
      <c r="GF10" s="769"/>
      <c r="GG10" s="769"/>
      <c r="GH10" s="769"/>
      <c r="GI10" s="769"/>
      <c r="GJ10" s="769"/>
      <c r="GK10" s="769"/>
      <c r="GL10" s="769"/>
      <c r="GM10" s="769"/>
      <c r="GN10" s="769"/>
      <c r="GO10" s="769"/>
      <c r="GP10" s="769"/>
      <c r="GQ10" s="769"/>
      <c r="GR10" s="769"/>
      <c r="GS10" s="769"/>
      <c r="GT10" s="769"/>
      <c r="GU10" s="769"/>
      <c r="GV10" s="769"/>
      <c r="GW10" s="769"/>
      <c r="GX10" s="769"/>
      <c r="GY10" s="769"/>
      <c r="GZ10" s="769"/>
      <c r="HA10" s="769"/>
      <c r="HB10" s="769"/>
      <c r="HC10" s="769"/>
      <c r="HD10" s="769"/>
      <c r="HE10" s="769"/>
      <c r="HF10" s="769"/>
      <c r="HG10" s="769"/>
      <c r="HH10" s="769"/>
      <c r="HI10" s="769"/>
      <c r="HJ10" s="769"/>
      <c r="HK10" s="769"/>
      <c r="HL10" s="769"/>
      <c r="HM10" s="769"/>
      <c r="HN10" s="769"/>
      <c r="HO10" s="769"/>
      <c r="HP10" s="769"/>
      <c r="HQ10" s="769"/>
      <c r="HR10" s="769"/>
      <c r="HS10" s="769"/>
    </row>
    <row r="11" spans="1:227" x14ac:dyDescent="0.35">
      <c r="A11" s="778" t="s">
        <v>1186</v>
      </c>
      <c r="B11" s="778"/>
      <c r="C11" s="769" t="s">
        <v>1187</v>
      </c>
      <c r="E11" s="832">
        <f>IFERROR('1.21 CAPM'!V20,"NA")/100</f>
        <v>0.11560000000000001</v>
      </c>
      <c r="F11" s="769"/>
      <c r="G11" s="769"/>
      <c r="H11" s="769"/>
      <c r="I11" s="769"/>
      <c r="J11" s="769"/>
      <c r="K11" s="769"/>
      <c r="L11" s="769"/>
      <c r="M11" s="769"/>
      <c r="N11" s="769"/>
      <c r="O11" s="769"/>
      <c r="P11" s="769"/>
      <c r="Q11" s="769"/>
      <c r="R11" s="769"/>
      <c r="S11" s="769"/>
      <c r="T11" s="769"/>
      <c r="U11" s="769"/>
      <c r="V11" s="769"/>
      <c r="W11" s="769"/>
      <c r="X11" s="769"/>
      <c r="Y11" s="769"/>
      <c r="Z11" s="769"/>
      <c r="AA11" s="769"/>
      <c r="AB11" s="769"/>
      <c r="AC11" s="769"/>
      <c r="AD11" s="769"/>
      <c r="AE11" s="769"/>
      <c r="AF11" s="769"/>
      <c r="AG11" s="769"/>
      <c r="AH11" s="769"/>
      <c r="AI11" s="769"/>
      <c r="AJ11" s="769"/>
      <c r="AK11" s="769"/>
      <c r="AL11" s="769"/>
      <c r="AM11" s="769"/>
      <c r="AN11" s="769"/>
      <c r="AO11" s="769"/>
      <c r="AP11" s="769"/>
      <c r="AQ11" s="769"/>
      <c r="AR11" s="769"/>
      <c r="AS11" s="769"/>
      <c r="AT11" s="769"/>
      <c r="AU11" s="769"/>
      <c r="AV11" s="769"/>
      <c r="AW11" s="769"/>
      <c r="AX11" s="769"/>
      <c r="AY11" s="769"/>
      <c r="AZ11" s="769"/>
      <c r="BA11" s="769"/>
      <c r="BB11" s="769"/>
      <c r="BC11" s="769"/>
      <c r="BD11" s="769"/>
      <c r="BE11" s="769"/>
      <c r="BF11" s="769"/>
      <c r="BG11" s="769"/>
      <c r="BH11" s="769"/>
      <c r="BI11" s="769"/>
      <c r="BJ11" s="769"/>
      <c r="BK11" s="769"/>
      <c r="BL11" s="769"/>
      <c r="BM11" s="769"/>
      <c r="BN11" s="769"/>
      <c r="BO11" s="769"/>
      <c r="BP11" s="769"/>
      <c r="BQ11" s="769"/>
      <c r="BR11" s="769"/>
      <c r="BS11" s="769"/>
      <c r="BT11" s="769"/>
      <c r="BU11" s="769"/>
      <c r="BV11" s="769"/>
      <c r="BW11" s="769"/>
      <c r="BX11" s="769"/>
      <c r="BY11" s="769"/>
      <c r="BZ11" s="769"/>
      <c r="CA11" s="769"/>
      <c r="CB11" s="769"/>
      <c r="CC11" s="769"/>
      <c r="CD11" s="769"/>
      <c r="CE11" s="769"/>
      <c r="CF11" s="769"/>
      <c r="CG11" s="769"/>
      <c r="CH11" s="769"/>
      <c r="CI11" s="769"/>
      <c r="CJ11" s="769"/>
      <c r="CK11" s="769"/>
      <c r="CL11" s="769"/>
      <c r="CM11" s="769"/>
      <c r="CN11" s="769"/>
      <c r="CO11" s="769"/>
      <c r="CP11" s="769"/>
      <c r="CQ11" s="769"/>
      <c r="CR11" s="769"/>
      <c r="CS11" s="769"/>
      <c r="CT11" s="769"/>
      <c r="CU11" s="769"/>
      <c r="CV11" s="769"/>
      <c r="CW11" s="769"/>
      <c r="CX11" s="769"/>
      <c r="CY11" s="769"/>
      <c r="CZ11" s="769"/>
      <c r="DA11" s="769"/>
      <c r="DB11" s="769"/>
      <c r="DC11" s="769"/>
      <c r="DD11" s="769"/>
      <c r="DE11" s="769"/>
      <c r="DF11" s="769"/>
      <c r="DG11" s="769"/>
      <c r="DH11" s="769"/>
      <c r="DI11" s="769"/>
      <c r="DJ11" s="769"/>
      <c r="DK11" s="769"/>
      <c r="DL11" s="769"/>
      <c r="DM11" s="769"/>
      <c r="DN11" s="769"/>
      <c r="DO11" s="769"/>
      <c r="DP11" s="769"/>
      <c r="DQ11" s="769"/>
      <c r="DR11" s="769"/>
      <c r="DS11" s="769"/>
      <c r="DT11" s="769"/>
      <c r="DU11" s="769"/>
      <c r="DV11" s="769"/>
      <c r="DW11" s="769"/>
      <c r="DX11" s="769"/>
      <c r="DY11" s="769"/>
      <c r="DZ11" s="769"/>
      <c r="EA11" s="769"/>
      <c r="EB11" s="769"/>
      <c r="EC11" s="769"/>
      <c r="ED11" s="769"/>
      <c r="EE11" s="769"/>
      <c r="EF11" s="769"/>
      <c r="EG11" s="769"/>
      <c r="EH11" s="769"/>
      <c r="EI11" s="769"/>
      <c r="EJ11" s="769"/>
      <c r="EK11" s="769"/>
      <c r="EL11" s="769"/>
      <c r="EM11" s="769"/>
      <c r="EN11" s="769"/>
      <c r="EO11" s="769"/>
      <c r="EP11" s="769"/>
      <c r="EQ11" s="769"/>
      <c r="ER11" s="769"/>
      <c r="ES11" s="769"/>
      <c r="ET11" s="769"/>
      <c r="EU11" s="769"/>
      <c r="EV11" s="769"/>
      <c r="EW11" s="769"/>
      <c r="EX11" s="769"/>
      <c r="EY11" s="769"/>
      <c r="EZ11" s="769"/>
      <c r="FA11" s="769"/>
      <c r="FB11" s="769"/>
      <c r="FC11" s="769"/>
      <c r="FD11" s="769"/>
      <c r="FE11" s="769"/>
      <c r="FF11" s="769"/>
      <c r="FG11" s="769"/>
      <c r="FH11" s="769"/>
      <c r="FI11" s="769"/>
      <c r="FJ11" s="769"/>
      <c r="FK11" s="769"/>
      <c r="FL11" s="769"/>
      <c r="FM11" s="769"/>
      <c r="FN11" s="769"/>
      <c r="FO11" s="769"/>
      <c r="FP11" s="769"/>
      <c r="FQ11" s="769"/>
      <c r="FR11" s="769"/>
      <c r="FS11" s="769"/>
      <c r="FT11" s="769"/>
      <c r="FU11" s="769"/>
      <c r="FV11" s="769"/>
      <c r="FW11" s="769"/>
      <c r="FX11" s="769"/>
      <c r="FY11" s="769"/>
      <c r="FZ11" s="769"/>
      <c r="GA11" s="769"/>
      <c r="GB11" s="769"/>
      <c r="GC11" s="769"/>
      <c r="GD11" s="769"/>
      <c r="GE11" s="769"/>
      <c r="GF11" s="769"/>
      <c r="GG11" s="769"/>
      <c r="GH11" s="769"/>
      <c r="GI11" s="769"/>
      <c r="GJ11" s="769"/>
      <c r="GK11" s="769"/>
      <c r="GL11" s="769"/>
      <c r="GM11" s="769"/>
      <c r="GN11" s="769"/>
      <c r="GO11" s="769"/>
      <c r="GP11" s="769"/>
      <c r="GQ11" s="769"/>
      <c r="GR11" s="769"/>
      <c r="GS11" s="769"/>
      <c r="GT11" s="769"/>
      <c r="GU11" s="769"/>
      <c r="GV11" s="769"/>
      <c r="GW11" s="769"/>
      <c r="GX11" s="769"/>
      <c r="GY11" s="769"/>
      <c r="GZ11" s="769"/>
      <c r="HA11" s="769"/>
      <c r="HB11" s="769"/>
      <c r="HC11" s="769"/>
      <c r="HD11" s="769"/>
      <c r="HE11" s="769"/>
      <c r="HF11" s="769"/>
      <c r="HG11" s="769"/>
      <c r="HH11" s="769"/>
      <c r="HI11" s="769"/>
      <c r="HJ11" s="769"/>
      <c r="HK11" s="769"/>
      <c r="HL11" s="769"/>
      <c r="HM11" s="769"/>
      <c r="HN11" s="769"/>
      <c r="HO11" s="769"/>
      <c r="HP11" s="769"/>
      <c r="HQ11" s="769"/>
      <c r="HR11" s="769"/>
      <c r="HS11" s="769"/>
    </row>
    <row r="12" spans="1:227" x14ac:dyDescent="0.35">
      <c r="A12" s="778"/>
      <c r="B12" s="778"/>
      <c r="C12" s="778"/>
      <c r="D12" s="769"/>
      <c r="E12" s="828"/>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c r="AH12" s="769"/>
      <c r="AI12" s="769"/>
      <c r="AJ12" s="769"/>
      <c r="AK12" s="769"/>
      <c r="AL12" s="769"/>
      <c r="AM12" s="769"/>
      <c r="AN12" s="769"/>
      <c r="AO12" s="769"/>
      <c r="AP12" s="769"/>
      <c r="AQ12" s="769"/>
      <c r="AR12" s="769"/>
      <c r="AS12" s="769"/>
      <c r="AT12" s="769"/>
      <c r="AU12" s="769"/>
      <c r="AV12" s="769"/>
      <c r="AW12" s="769"/>
      <c r="AX12" s="769"/>
      <c r="AY12" s="769"/>
      <c r="AZ12" s="769"/>
      <c r="BA12" s="769"/>
      <c r="BB12" s="769"/>
      <c r="BC12" s="769"/>
      <c r="BD12" s="769"/>
      <c r="BE12" s="769"/>
      <c r="BF12" s="769"/>
      <c r="BG12" s="769"/>
      <c r="BH12" s="769"/>
      <c r="BI12" s="769"/>
      <c r="BJ12" s="769"/>
      <c r="BK12" s="769"/>
      <c r="BL12" s="769"/>
      <c r="BM12" s="769"/>
      <c r="BN12" s="769"/>
      <c r="BO12" s="769"/>
      <c r="BP12" s="769"/>
      <c r="BQ12" s="769"/>
      <c r="BR12" s="769"/>
      <c r="BS12" s="769"/>
      <c r="BT12" s="769"/>
      <c r="BU12" s="769"/>
      <c r="BV12" s="769"/>
      <c r="BW12" s="769"/>
      <c r="BX12" s="769"/>
      <c r="BY12" s="769"/>
      <c r="BZ12" s="769"/>
      <c r="CA12" s="769"/>
      <c r="CB12" s="769"/>
      <c r="CC12" s="769"/>
      <c r="CD12" s="769"/>
      <c r="CE12" s="769"/>
      <c r="CF12" s="769"/>
      <c r="CG12" s="769"/>
      <c r="CH12" s="769"/>
      <c r="CI12" s="769"/>
      <c r="CJ12" s="769"/>
      <c r="CK12" s="769"/>
      <c r="CL12" s="769"/>
      <c r="CM12" s="769"/>
      <c r="CN12" s="769"/>
      <c r="CO12" s="769"/>
      <c r="CP12" s="769"/>
      <c r="CQ12" s="769"/>
      <c r="CR12" s="769"/>
      <c r="CS12" s="769"/>
      <c r="CT12" s="769"/>
      <c r="CU12" s="769"/>
      <c r="CV12" s="769"/>
      <c r="CW12" s="769"/>
      <c r="CX12" s="769"/>
      <c r="CY12" s="769"/>
      <c r="CZ12" s="769"/>
      <c r="DA12" s="769"/>
      <c r="DB12" s="769"/>
      <c r="DC12" s="769"/>
      <c r="DD12" s="769"/>
      <c r="DE12" s="769"/>
      <c r="DF12" s="769"/>
      <c r="DG12" s="769"/>
      <c r="DH12" s="769"/>
      <c r="DI12" s="769"/>
      <c r="DJ12" s="769"/>
      <c r="DK12" s="769"/>
      <c r="DL12" s="769"/>
      <c r="DM12" s="769"/>
      <c r="DN12" s="769"/>
      <c r="DO12" s="769"/>
      <c r="DP12" s="769"/>
      <c r="DQ12" s="769"/>
      <c r="DR12" s="769"/>
      <c r="DS12" s="769"/>
      <c r="DT12" s="769"/>
      <c r="DU12" s="769"/>
      <c r="DV12" s="769"/>
      <c r="DW12" s="769"/>
      <c r="DX12" s="769"/>
      <c r="DY12" s="769"/>
      <c r="DZ12" s="769"/>
      <c r="EA12" s="769"/>
      <c r="EB12" s="769"/>
      <c r="EC12" s="769"/>
      <c r="ED12" s="769"/>
      <c r="EE12" s="769"/>
      <c r="EF12" s="769"/>
      <c r="EG12" s="769"/>
      <c r="EH12" s="769"/>
      <c r="EI12" s="769"/>
      <c r="EJ12" s="769"/>
      <c r="EK12" s="769"/>
      <c r="EL12" s="769"/>
      <c r="EM12" s="769"/>
      <c r="EN12" s="769"/>
      <c r="EO12" s="769"/>
      <c r="EP12" s="769"/>
      <c r="EQ12" s="769"/>
      <c r="ER12" s="769"/>
      <c r="ES12" s="769"/>
      <c r="ET12" s="769"/>
      <c r="EU12" s="769"/>
      <c r="EV12" s="769"/>
      <c r="EW12" s="769"/>
      <c r="EX12" s="769"/>
      <c r="EY12" s="769"/>
      <c r="EZ12" s="769"/>
      <c r="FA12" s="769"/>
      <c r="FB12" s="769"/>
      <c r="FC12" s="769"/>
      <c r="FD12" s="769"/>
      <c r="FE12" s="769"/>
      <c r="FF12" s="769"/>
      <c r="FG12" s="769"/>
      <c r="FH12" s="769"/>
      <c r="FI12" s="769"/>
      <c r="FJ12" s="769"/>
      <c r="FK12" s="769"/>
      <c r="FL12" s="769"/>
      <c r="FM12" s="769"/>
      <c r="FN12" s="769"/>
      <c r="FO12" s="769"/>
      <c r="FP12" s="769"/>
      <c r="FQ12" s="769"/>
      <c r="FR12" s="769"/>
      <c r="FS12" s="769"/>
      <c r="FT12" s="769"/>
      <c r="FU12" s="769"/>
      <c r="FV12" s="769"/>
      <c r="FW12" s="769"/>
      <c r="FX12" s="769"/>
      <c r="FY12" s="769"/>
      <c r="FZ12" s="769"/>
      <c r="GA12" s="769"/>
      <c r="GB12" s="769"/>
      <c r="GC12" s="769"/>
      <c r="GD12" s="769"/>
      <c r="GE12" s="769"/>
      <c r="GF12" s="769"/>
      <c r="GG12" s="769"/>
      <c r="GH12" s="769"/>
      <c r="GI12" s="769"/>
      <c r="GJ12" s="769"/>
      <c r="GK12" s="769"/>
      <c r="GL12" s="769"/>
      <c r="GM12" s="769"/>
      <c r="GN12" s="769"/>
      <c r="GO12" s="769"/>
      <c r="GP12" s="769"/>
      <c r="GQ12" s="769"/>
      <c r="GR12" s="769"/>
      <c r="GS12" s="769"/>
      <c r="GT12" s="769"/>
      <c r="GU12" s="769"/>
      <c r="GV12" s="769"/>
      <c r="GW12" s="769"/>
      <c r="GX12" s="769"/>
      <c r="GY12" s="769"/>
      <c r="GZ12" s="769"/>
      <c r="HA12" s="769"/>
      <c r="HB12" s="769"/>
      <c r="HC12" s="769"/>
      <c r="HD12" s="769"/>
      <c r="HE12" s="769"/>
      <c r="HF12" s="769"/>
      <c r="HG12" s="769"/>
      <c r="HH12" s="769"/>
      <c r="HI12" s="769"/>
      <c r="HJ12" s="769"/>
      <c r="HK12" s="769"/>
      <c r="HL12" s="769"/>
      <c r="HM12" s="769"/>
      <c r="HN12" s="769"/>
      <c r="HO12" s="769"/>
      <c r="HP12" s="769"/>
      <c r="HQ12" s="769"/>
      <c r="HR12" s="769"/>
      <c r="HS12" s="769"/>
    </row>
    <row r="13" spans="1:227" x14ac:dyDescent="0.35">
      <c r="A13" s="847" t="s">
        <v>1238</v>
      </c>
      <c r="B13" s="736"/>
      <c r="C13" s="765" t="s">
        <v>3218</v>
      </c>
      <c r="D13" s="745"/>
      <c r="E13" s="833" t="s">
        <v>1188</v>
      </c>
      <c r="F13" s="807"/>
      <c r="G13" s="827"/>
      <c r="H13" s="827"/>
    </row>
    <row r="14" spans="1:227" x14ac:dyDescent="0.35">
      <c r="A14" s="744"/>
      <c r="B14" s="811"/>
      <c r="C14" s="750"/>
      <c r="D14" s="750"/>
      <c r="E14" s="830"/>
    </row>
    <row r="15" spans="1:227" ht="15.45" thickBot="1" x14ac:dyDescent="0.4">
      <c r="A15" s="761" t="s">
        <v>3217</v>
      </c>
      <c r="C15" s="753" t="s">
        <v>3208</v>
      </c>
      <c r="E15" s="835">
        <f>G8</f>
        <v>9.9614038625000012E-2</v>
      </c>
    </row>
    <row r="16" spans="1:227" ht="15" customHeight="1" thickTop="1" x14ac:dyDescent="0.35">
      <c r="A16" s="744"/>
      <c r="B16" s="736"/>
      <c r="C16" s="753"/>
      <c r="D16" s="834"/>
      <c r="E16" s="830"/>
    </row>
    <row r="17" spans="1:5" ht="15" customHeight="1" x14ac:dyDescent="0.35">
      <c r="A17" s="736" t="s">
        <v>1190</v>
      </c>
      <c r="B17" s="752" t="s">
        <v>1165</v>
      </c>
      <c r="C17" s="753" t="s">
        <v>1191</v>
      </c>
      <c r="D17" s="765"/>
      <c r="E17" s="765"/>
    </row>
    <row r="18" spans="1:5" ht="15" customHeight="1" x14ac:dyDescent="0.35">
      <c r="A18" s="736"/>
      <c r="B18" s="740" t="s">
        <v>1161</v>
      </c>
      <c r="C18" s="753" t="s">
        <v>3207</v>
      </c>
    </row>
    <row r="19" spans="1:5" x14ac:dyDescent="0.35">
      <c r="A19" s="736"/>
      <c r="B19" s="740" t="s">
        <v>1163</v>
      </c>
      <c r="C19" s="753" t="s">
        <v>1192</v>
      </c>
    </row>
    <row r="20" spans="1:5" x14ac:dyDescent="0.35">
      <c r="C20" s="753"/>
    </row>
    <row r="21" spans="1:5" x14ac:dyDescent="0.35">
      <c r="C21" s="753"/>
    </row>
    <row r="22" spans="1:5" x14ac:dyDescent="0.35">
      <c r="C22" s="753"/>
    </row>
    <row r="23" spans="1:5" x14ac:dyDescent="0.35">
      <c r="C23" s="753"/>
    </row>
    <row r="24" spans="1:5" x14ac:dyDescent="0.35">
      <c r="C24" s="753"/>
    </row>
    <row r="25" spans="1:5" x14ac:dyDescent="0.35">
      <c r="C25" s="753"/>
    </row>
    <row r="26" spans="1:5" x14ac:dyDescent="0.35">
      <c r="C26" s="753"/>
    </row>
  </sheetData>
  <mergeCells count="2">
    <mergeCell ref="A1:E1"/>
    <mergeCell ref="A2:E2"/>
  </mergeCells>
  <conditionalFormatting sqref="H6:H10">
    <cfRule type="duplicateValues" dxfId="1" priority="1"/>
  </conditionalFormatting>
  <printOptions horizontalCentered="1"/>
  <pageMargins left="0.7" right="0.7" top="0.75" bottom="0.75" header="0.3" footer="0.3"/>
  <pageSetup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6164F-B516-4B80-A1FA-9370BF4A0150}">
  <dimension ref="A1:D18"/>
  <sheetViews>
    <sheetView view="pageBreakPreview" zoomScaleNormal="100" zoomScaleSheetLayoutView="100" workbookViewId="0">
      <selection sqref="A1:D1"/>
    </sheetView>
  </sheetViews>
  <sheetFormatPr defaultColWidth="8.69140625" defaultRowHeight="14.15" x14ac:dyDescent="0.35"/>
  <cols>
    <col min="1" max="1" width="35.921875" style="17" customWidth="1"/>
    <col min="2" max="4" width="20.69140625" style="17" customWidth="1"/>
    <col min="5" max="16384" width="8.69140625" style="17"/>
  </cols>
  <sheetData>
    <row r="1" spans="1:4" x14ac:dyDescent="0.35">
      <c r="A1" s="865" t="str">
        <f>Summary!A1</f>
        <v>City of Ansonia</v>
      </c>
      <c r="B1" s="865"/>
      <c r="C1" s="865"/>
      <c r="D1" s="865"/>
    </row>
    <row r="2" spans="1:4" x14ac:dyDescent="0.35">
      <c r="A2" s="866" t="s">
        <v>13</v>
      </c>
      <c r="B2" s="866"/>
      <c r="C2" s="866"/>
      <c r="D2" s="866"/>
    </row>
    <row r="3" spans="1:4" x14ac:dyDescent="0.35">
      <c r="A3" s="865" t="s">
        <v>14</v>
      </c>
      <c r="B3" s="865"/>
      <c r="C3" s="865"/>
      <c r="D3" s="865"/>
    </row>
    <row r="4" spans="1:4" x14ac:dyDescent="0.35">
      <c r="A4" s="18"/>
      <c r="B4" s="18"/>
      <c r="C4" s="18"/>
      <c r="D4" s="18"/>
    </row>
    <row r="5" spans="1:4" x14ac:dyDescent="0.35">
      <c r="A5" s="19" t="s">
        <v>15</v>
      </c>
      <c r="B5" s="19" t="s">
        <v>16</v>
      </c>
      <c r="C5" s="19" t="s">
        <v>17</v>
      </c>
      <c r="D5" s="19" t="s">
        <v>1117</v>
      </c>
    </row>
    <row r="6" spans="1:4" x14ac:dyDescent="0.35">
      <c r="A6" s="20"/>
      <c r="B6" s="316"/>
      <c r="C6" s="20"/>
      <c r="D6" s="20"/>
    </row>
    <row r="7" spans="1:4" ht="44.7" customHeight="1" x14ac:dyDescent="0.35">
      <c r="A7" s="21" t="s">
        <v>63</v>
      </c>
      <c r="B7" s="308" t="s">
        <v>18</v>
      </c>
      <c r="C7" s="308" t="s">
        <v>19</v>
      </c>
      <c r="D7" s="308" t="s">
        <v>20</v>
      </c>
    </row>
    <row r="8" spans="1:4" x14ac:dyDescent="0.35">
      <c r="A8" s="862"/>
      <c r="B8" s="862"/>
      <c r="C8" s="862"/>
      <c r="D8" s="862"/>
    </row>
    <row r="9" spans="1:4" x14ac:dyDescent="0.35">
      <c r="A9" s="218" t="s">
        <v>45</v>
      </c>
      <c r="B9" s="337">
        <f>SUMIF('1.2 Cost Asset List'!$I$6:$I$275,A9,'1.2 Cost Asset List'!$D$6:$D$275)</f>
        <v>47687000.330000013</v>
      </c>
      <c r="C9" s="337">
        <f>SUMIF('1.2 Cost Asset List'!$I$6:$I$275,A9,'1.2 Cost Asset List'!$H$6:$H$275)</f>
        <v>34204392.853000015</v>
      </c>
      <c r="D9" s="337">
        <f>SUMIF('1.2 Cost Asset List'!$I$6:$I$275,A9,'1.2 Cost Asset List'!$M$6:$M$275)</f>
        <v>57166272.047155313</v>
      </c>
    </row>
    <row r="10" spans="1:4" x14ac:dyDescent="0.35">
      <c r="A10" s="218" t="s">
        <v>29</v>
      </c>
      <c r="B10" s="219">
        <f>SUMIF('1.2 Cost Asset List'!$I$6:$I$275,A10,'1.2 Cost Asset List'!$D$6:$D$275)</f>
        <v>7344615.8499999996</v>
      </c>
      <c r="C10" s="239">
        <f>SUMIF('1.2 Cost Asset List'!$I$6:$I$275,A10,'1.2 Cost Asset List'!$H$6:$H$275)</f>
        <v>3425775.3478666674</v>
      </c>
      <c r="D10" s="239">
        <f>SUMIF('1.2 Cost Asset List'!$I$6:$I$275,A10,'1.2 Cost Asset List'!$M$6:$M$275)</f>
        <v>13474791.109907338</v>
      </c>
    </row>
    <row r="11" spans="1:4" x14ac:dyDescent="0.35">
      <c r="A11" s="218" t="s">
        <v>23</v>
      </c>
      <c r="B11" s="219">
        <f>SUMIF('1.2 Cost Asset List'!$I$6:$I$275,A11,'1.2 Cost Asset List'!$D$6:$D$275)</f>
        <v>467903.44</v>
      </c>
      <c r="C11" s="239">
        <f>SUMIF('1.2 Cost Asset List'!$I$6:$I$275,A11,'1.2 Cost Asset List'!$H$6:$H$275)</f>
        <v>291556.30959999998</v>
      </c>
      <c r="D11" s="239">
        <f>SUMIF('1.2 Cost Asset List'!$I$6:$I$275,A11,'1.2 Cost Asset List'!$M$6:$M$275)</f>
        <v>457702.9830419065</v>
      </c>
    </row>
    <row r="12" spans="1:4" x14ac:dyDescent="0.35">
      <c r="A12" s="218" t="s">
        <v>28</v>
      </c>
      <c r="B12" s="219">
        <f>SUMIF('1.2 Cost Asset List'!$I$6:$I$275,A12,'1.2 Cost Asset List'!$D$6:$D$275)</f>
        <v>2965150</v>
      </c>
      <c r="C12" s="846">
        <f>SUMIF('1.2 Cost Asset List'!$I$6:$I$275,A12,'1.2 Cost Asset List'!$H$6:$H$275)</f>
        <v>0</v>
      </c>
      <c r="D12" s="846">
        <f>SUMIF('1.2 Cost Asset List'!$I$6:$I$275,A12,'1.2 Cost Asset List'!$M$6:$M$275)</f>
        <v>0</v>
      </c>
    </row>
    <row r="13" spans="1:4" x14ac:dyDescent="0.35">
      <c r="A13" s="218" t="s">
        <v>701</v>
      </c>
      <c r="B13" s="219">
        <f>SUMIF('1.2 Cost Asset List'!$I$6:$I$275,A13,'1.2 Cost Asset List'!$D$6:$D$275)</f>
        <v>88100</v>
      </c>
      <c r="C13" s="239">
        <f>SUMIF('1.2 Cost Asset List'!$I$6:$I$275,A13,'1.2 Cost Asset List'!$H$6:$H$275)</f>
        <v>77776.600000000006</v>
      </c>
      <c r="D13" s="239">
        <f>SUMIF('1.2 Cost Asset List'!$I$6:$I$275,A13,'1.2 Cost Asset List'!$M$6:$M$275)</f>
        <v>86076.451529717364</v>
      </c>
    </row>
    <row r="14" spans="1:4" x14ac:dyDescent="0.35">
      <c r="A14" s="218" t="s">
        <v>702</v>
      </c>
      <c r="B14" s="219">
        <f>SUMIF('1.2 Cost Asset List'!$I$6:$I$275,A14,'1.2 Cost Asset List'!$D$6:$D$275)</f>
        <v>59051</v>
      </c>
      <c r="C14" s="239">
        <f>SUMIF('1.2 Cost Asset List'!$I$6:$I$275,A14,'1.2 Cost Asset List'!$H$6:$H$275)</f>
        <v>14825.7</v>
      </c>
      <c r="D14" s="239">
        <f>SUMIF('1.2 Cost Asset List'!$I$6:$I$275,A14,'1.2 Cost Asset List'!$M$6:$M$275)</f>
        <v>16647.628865235292</v>
      </c>
    </row>
    <row r="15" spans="1:4" x14ac:dyDescent="0.35">
      <c r="A15" s="218" t="s">
        <v>1133</v>
      </c>
      <c r="B15" s="338">
        <f>SUMIF('1.2 Cost Asset List'!$I$6:$I$275,A15,'1.2 Cost Asset List'!$D$6:$D$275)</f>
        <v>701900</v>
      </c>
      <c r="C15" s="296">
        <f>SUMIF('1.2 Cost Asset List'!$I$6:$I$275,A15,'1.2 Cost Asset List'!$H$6:$H$275)</f>
        <v>701900</v>
      </c>
      <c r="D15" s="296">
        <f>SUMIF('1.2 Cost Asset List'!$I$6:$I$275,A15,'1.2 Cost Asset List'!$M$6:$M$275)</f>
        <v>701900</v>
      </c>
    </row>
    <row r="17" spans="1:4" ht="14.6" thickBot="1" x14ac:dyDescent="0.4">
      <c r="A17" s="22" t="s">
        <v>21</v>
      </c>
      <c r="B17" s="297">
        <f>SUM(B9:B15)</f>
        <v>59313720.620000012</v>
      </c>
      <c r="C17" s="297">
        <f>SUM(C9:C15)</f>
        <v>38716226.810466692</v>
      </c>
      <c r="D17" s="297">
        <f>SUM(D9:D15)</f>
        <v>71903390.220499516</v>
      </c>
    </row>
    <row r="18" spans="1:4" ht="14.6" thickTop="1" x14ac:dyDescent="0.35"/>
  </sheetData>
  <mergeCells count="3">
    <mergeCell ref="A1:D1"/>
    <mergeCell ref="A2:D2"/>
    <mergeCell ref="A3:D3"/>
  </mergeCells>
  <printOptions horizontalCentered="1"/>
  <pageMargins left="0.7" right="0.7" top="0.75" bottom="0.75" header="0.3" footer="0.3"/>
  <pageSetup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5D495-7C94-44D6-BA92-AF0E9757CD9D}">
  <sheetPr codeName="Sheet30">
    <pageSetUpPr fitToPage="1"/>
  </sheetPr>
  <dimension ref="A1:R51"/>
  <sheetViews>
    <sheetView view="pageBreakPreview" zoomScale="85" zoomScaleNormal="100" zoomScaleSheetLayoutView="85" workbookViewId="0"/>
  </sheetViews>
  <sheetFormatPr defaultColWidth="9.15234375" defaultRowHeight="15" x14ac:dyDescent="0.35"/>
  <cols>
    <col min="1" max="1" width="9.15234375" style="346"/>
    <col min="2" max="2" width="41" style="346" bestFit="1" customWidth="1"/>
    <col min="3" max="3" width="1.3828125" style="346" customWidth="1"/>
    <col min="4" max="4" width="9.69140625" style="346" customWidth="1"/>
    <col min="5" max="5" width="3.69140625" style="346" customWidth="1"/>
    <col min="6" max="6" width="10" style="346" customWidth="1"/>
    <col min="7" max="7" width="3.69140625" style="346" customWidth="1"/>
    <col min="8" max="8" width="9.53515625" style="346" customWidth="1"/>
    <col min="9" max="9" width="3.69140625" style="346" customWidth="1"/>
    <col min="10" max="10" width="10.3828125" style="346" customWidth="1"/>
    <col min="11" max="11" width="3.69140625" style="346" customWidth="1"/>
    <col min="12" max="12" width="10" style="346" customWidth="1"/>
    <col min="13" max="13" width="3.69140625" style="346" customWidth="1"/>
    <col min="14" max="14" width="9.69140625" style="346" customWidth="1"/>
    <col min="15" max="15" width="3.69140625" style="346" customWidth="1"/>
    <col min="16" max="16" width="9.15234375" style="346"/>
    <col min="17" max="19" width="9.15234375" style="346" customWidth="1"/>
    <col min="20" max="16384" width="9.15234375" style="346"/>
  </cols>
  <sheetData>
    <row r="1" spans="1:18" x14ac:dyDescent="0.35">
      <c r="B1" s="647" t="s">
        <v>1194</v>
      </c>
      <c r="C1" s="647"/>
      <c r="D1" s="647"/>
      <c r="E1" s="647"/>
      <c r="F1" s="647"/>
      <c r="G1" s="647"/>
      <c r="H1" s="647"/>
      <c r="I1" s="647"/>
      <c r="J1" s="647"/>
      <c r="K1" s="647"/>
      <c r="L1" s="647"/>
      <c r="M1" s="647"/>
      <c r="N1" s="647"/>
      <c r="O1" s="647"/>
    </row>
    <row r="2" spans="1:18" x14ac:dyDescent="0.35">
      <c r="B2" s="647" t="str">
        <f>Input!I32</f>
        <v>Proxy Group of Six Water Companies</v>
      </c>
      <c r="C2" s="647"/>
      <c r="D2" s="647"/>
      <c r="E2" s="647"/>
      <c r="F2" s="647"/>
      <c r="G2" s="647"/>
      <c r="H2" s="647"/>
      <c r="I2" s="647"/>
      <c r="J2" s="647"/>
      <c r="K2" s="647"/>
      <c r="L2" s="647"/>
      <c r="M2" s="647"/>
      <c r="N2" s="647"/>
      <c r="O2" s="647"/>
    </row>
    <row r="3" spans="1:18" x14ac:dyDescent="0.35">
      <c r="B3" s="647" t="str">
        <f>Input!G29</f>
        <v>City of Ansonia</v>
      </c>
      <c r="C3" s="647"/>
      <c r="D3" s="647"/>
      <c r="E3" s="647"/>
      <c r="F3" s="647"/>
      <c r="G3" s="647"/>
      <c r="H3" s="647"/>
      <c r="I3" s="647"/>
      <c r="J3" s="647"/>
      <c r="K3" s="647"/>
      <c r="L3" s="647"/>
      <c r="M3" s="647"/>
      <c r="N3" s="647"/>
      <c r="O3" s="647"/>
    </row>
    <row r="4" spans="1:18" x14ac:dyDescent="0.35">
      <c r="B4" s="647"/>
      <c r="C4" s="647"/>
      <c r="D4" s="647"/>
      <c r="E4" s="647"/>
      <c r="F4" s="647"/>
      <c r="G4" s="647"/>
      <c r="H4" s="647"/>
      <c r="I4" s="647"/>
      <c r="J4" s="647"/>
      <c r="K4" s="647"/>
      <c r="L4" s="647"/>
      <c r="M4" s="647"/>
      <c r="N4" s="647"/>
      <c r="O4" s="647"/>
    </row>
    <row r="5" spans="1:18" x14ac:dyDescent="0.35">
      <c r="B5" s="647"/>
      <c r="C5" s="647"/>
      <c r="D5" s="647"/>
      <c r="E5" s="647"/>
      <c r="F5" s="647"/>
      <c r="G5" s="647"/>
      <c r="H5" s="647"/>
      <c r="I5" s="647"/>
      <c r="J5" s="647"/>
      <c r="K5" s="647"/>
      <c r="L5" s="647"/>
      <c r="M5" s="647"/>
      <c r="N5" s="710" t="s">
        <v>1195</v>
      </c>
      <c r="O5" s="647"/>
    </row>
    <row r="6" spans="1:18" x14ac:dyDescent="0.35">
      <c r="D6" s="713">
        <v>2022</v>
      </c>
      <c r="F6" s="713">
        <f>D6-1</f>
        <v>2021</v>
      </c>
      <c r="H6" s="713">
        <f>F6-1</f>
        <v>2020</v>
      </c>
      <c r="J6" s="713">
        <f>H6-1</f>
        <v>2019</v>
      </c>
      <c r="L6" s="713">
        <f>J6-1</f>
        <v>2018</v>
      </c>
      <c r="N6" s="710" t="s">
        <v>1196</v>
      </c>
    </row>
    <row r="8" spans="1:18" x14ac:dyDescent="0.35">
      <c r="A8" s="346" t="str">
        <f>Input!A2</f>
        <v>AWR</v>
      </c>
      <c r="B8" s="822" t="str">
        <f>VLOOKUP($A8,'Proxy Data Lookup'!$A:$B,2,FALSE)</f>
        <v>American States Water Company</v>
      </c>
    </row>
    <row r="9" spans="1:18" x14ac:dyDescent="0.35">
      <c r="B9" s="346" t="s">
        <v>1160</v>
      </c>
      <c r="D9" s="733">
        <f>ROUND('3. AWR'!C12/'3. AWR'!C50*100,2)</f>
        <v>38.65</v>
      </c>
      <c r="E9" s="733" t="s">
        <v>1197</v>
      </c>
      <c r="F9" s="733">
        <f>ROUND('3. AWR'!E12/'3. AWR'!E50*100,2)</f>
        <v>37.56</v>
      </c>
      <c r="G9" s="733" t="s">
        <v>1197</v>
      </c>
      <c r="H9" s="733">
        <f>ROUND('3. AWR'!G12/'3. AWR'!G50*100,2)</f>
        <v>40.72</v>
      </c>
      <c r="I9" s="733" t="s">
        <v>1197</v>
      </c>
      <c r="J9" s="733">
        <f>ROUND('3. AWR'!I12/'3. AWR'!I50*100,2)</f>
        <v>31.87</v>
      </c>
      <c r="K9" s="733" t="s">
        <v>1197</v>
      </c>
      <c r="L9" s="733">
        <f>ROUND('3. AWR'!K12/'3. AWR'!K50*100,2)</f>
        <v>36.54</v>
      </c>
      <c r="M9" s="733" t="s">
        <v>1197</v>
      </c>
      <c r="N9" s="733">
        <f>ROUND(AVERAGE(D9:L9),2)</f>
        <v>37.07</v>
      </c>
      <c r="O9" s="654" t="s">
        <v>1197</v>
      </c>
      <c r="Q9" s="733">
        <f>MAX(D$11,D$17,D$23,D$29,D$35,D$41)</f>
        <v>61.35</v>
      </c>
      <c r="R9" s="346" t="s">
        <v>1198</v>
      </c>
    </row>
    <row r="10" spans="1:18" x14ac:dyDescent="0.35">
      <c r="B10" s="346" t="s">
        <v>1199</v>
      </c>
      <c r="D10" s="733">
        <f>ROUND('3. AWR'!C13/'3. AWR'!C50*100,2)</f>
        <v>0</v>
      </c>
      <c r="E10" s="733"/>
      <c r="F10" s="733">
        <f>ROUND('3. AWR'!E13/'3. AWR'!E50*100,2)</f>
        <v>0</v>
      </c>
      <c r="G10" s="733"/>
      <c r="H10" s="733">
        <f>ROUND('3. AWR'!G13/'3. AWR'!G50*100,2)</f>
        <v>0</v>
      </c>
      <c r="I10" s="733"/>
      <c r="J10" s="733">
        <f>ROUND('3. AWR'!I13/'3. AWR'!I50*100,2)</f>
        <v>0</v>
      </c>
      <c r="K10" s="733"/>
      <c r="L10" s="733">
        <f>ROUND('3. AWR'!K13/'3. AWR'!K50*100,2)</f>
        <v>0</v>
      </c>
      <c r="M10" s="733"/>
      <c r="N10" s="733">
        <f>ROUND(AVERAGE(D10:L10),2)</f>
        <v>0</v>
      </c>
      <c r="Q10" s="733">
        <f>MIN(D$11,D$17,D$23,D$29,D$35,D$41)</f>
        <v>40.700000000000003</v>
      </c>
      <c r="R10" s="346" t="s">
        <v>1200</v>
      </c>
    </row>
    <row r="11" spans="1:18" x14ac:dyDescent="0.35">
      <c r="B11" s="346" t="s">
        <v>1162</v>
      </c>
      <c r="D11" s="733">
        <f>ROUND('3. AWR'!C16/'3. AWR'!C50*100,2)</f>
        <v>61.35</v>
      </c>
      <c r="E11" s="733"/>
      <c r="F11" s="733">
        <f>ROUND('3. AWR'!E16/'3. AWR'!E50*100,2)</f>
        <v>62.44</v>
      </c>
      <c r="G11" s="733"/>
      <c r="H11" s="733">
        <f>ROUND('3. AWR'!G16/'3. AWR'!G50*100,2)</f>
        <v>59.28</v>
      </c>
      <c r="I11" s="733"/>
      <c r="J11" s="733">
        <f>ROUND('3. AWR'!I16/'3. AWR'!I50*100,2)</f>
        <v>68.13</v>
      </c>
      <c r="K11" s="733"/>
      <c r="L11" s="733">
        <f>ROUND('3. AWR'!K16/'3. AWR'!K50*100,2)</f>
        <v>63.46</v>
      </c>
      <c r="M11" s="733"/>
      <c r="N11" s="733">
        <f>ROUND(AVERAGE(D11:L11),2)</f>
        <v>62.93</v>
      </c>
      <c r="Q11" s="733"/>
    </row>
    <row r="12" spans="1:18" ht="15.45" thickBot="1" x14ac:dyDescent="0.4">
      <c r="B12" s="346" t="s">
        <v>1201</v>
      </c>
      <c r="D12" s="823">
        <f>SUM(D9:D11)</f>
        <v>100</v>
      </c>
      <c r="E12" s="824" t="s">
        <v>1197</v>
      </c>
      <c r="F12" s="823">
        <f>SUM(F9:F11)</f>
        <v>100</v>
      </c>
      <c r="G12" s="824" t="s">
        <v>1197</v>
      </c>
      <c r="H12" s="823">
        <f>SUM(H9:H11)</f>
        <v>100</v>
      </c>
      <c r="I12" s="824" t="s">
        <v>1197</v>
      </c>
      <c r="J12" s="823">
        <f>SUM(J9:J11)</f>
        <v>100</v>
      </c>
      <c r="K12" s="824" t="s">
        <v>1197</v>
      </c>
      <c r="L12" s="823">
        <f>SUM(L9:L11)</f>
        <v>100</v>
      </c>
      <c r="M12" s="824" t="s">
        <v>1197</v>
      </c>
      <c r="N12" s="823">
        <f>SUM(N9:N11)</f>
        <v>100</v>
      </c>
      <c r="O12" s="654" t="s">
        <v>1197</v>
      </c>
      <c r="Q12" s="733"/>
    </row>
    <row r="13" spans="1:18" ht="15.45" thickTop="1" x14ac:dyDescent="0.35">
      <c r="D13" s="733"/>
      <c r="E13" s="824"/>
      <c r="F13" s="733"/>
      <c r="G13" s="824"/>
      <c r="H13" s="733"/>
      <c r="I13" s="824"/>
      <c r="J13" s="733"/>
      <c r="K13" s="824"/>
      <c r="L13" s="733"/>
      <c r="M13" s="824"/>
      <c r="N13" s="733"/>
      <c r="O13" s="654"/>
    </row>
    <row r="14" spans="1:18" x14ac:dyDescent="0.35">
      <c r="A14" s="346" t="str">
        <f>Input!A3</f>
        <v>AWK</v>
      </c>
      <c r="B14" s="822" t="str">
        <f>VLOOKUP($A14,'Proxy Data Lookup'!$A:$B,2,FALSE)</f>
        <v>American Water Works Company, Inc.</v>
      </c>
    </row>
    <row r="15" spans="1:18" x14ac:dyDescent="0.35">
      <c r="B15" s="346" t="s">
        <v>1160</v>
      </c>
      <c r="D15" s="733">
        <f>ROUND('3. AWK'!C12/'3. AWK'!C50*100,2)</f>
        <v>59.29</v>
      </c>
      <c r="E15" s="824" t="s">
        <v>1197</v>
      </c>
      <c r="F15" s="733">
        <f>ROUND('3. AWK'!E12/'3. AWK'!E50*100,2)</f>
        <v>58.75</v>
      </c>
      <c r="G15" s="824" t="s">
        <v>1197</v>
      </c>
      <c r="H15" s="733">
        <f>ROUND('3. AWK'!G12/'3. AWK'!G50*100,2)</f>
        <v>59.93</v>
      </c>
      <c r="I15" s="824" t="s">
        <v>1197</v>
      </c>
      <c r="J15" s="733">
        <f>ROUND('3. AWK'!I12/'3. AWK'!I50*100,2)</f>
        <v>58.59</v>
      </c>
      <c r="K15" s="824" t="s">
        <v>1197</v>
      </c>
      <c r="L15" s="733">
        <f>ROUND('3. AWK'!K12/'3. AWK'!K50*100,2)</f>
        <v>56.55</v>
      </c>
      <c r="M15" s="824" t="s">
        <v>1197</v>
      </c>
      <c r="N15" s="733">
        <f>ROUND(AVERAGE(D15:L15),4)</f>
        <v>58.622</v>
      </c>
      <c r="O15" s="654" t="s">
        <v>1197</v>
      </c>
    </row>
    <row r="16" spans="1:18" x14ac:dyDescent="0.35">
      <c r="B16" s="346" t="s">
        <v>1199</v>
      </c>
      <c r="D16" s="733">
        <f>ROUND('3. AWK'!C13/'3. AWK'!C50*100,2)-0.01</f>
        <v>0.01</v>
      </c>
      <c r="E16" s="733"/>
      <c r="F16" s="733">
        <f>ROUND('3. AWK'!E13/'3. AWK'!E50*100,2)</f>
        <v>0.02</v>
      </c>
      <c r="G16" s="733"/>
      <c r="H16" s="733">
        <f>ROUND('3. AWK'!G13/'3. AWK'!G50*100,2)</f>
        <v>0.02</v>
      </c>
      <c r="I16" s="733"/>
      <c r="J16" s="733">
        <f>ROUND('3. AWK'!I13/'3. AWK'!I50*100,2)</f>
        <v>0.03</v>
      </c>
      <c r="K16" s="733"/>
      <c r="L16" s="733">
        <f>ROUND('3. AWK'!K13/'3. AWK'!K50*100,2)</f>
        <v>0.05</v>
      </c>
      <c r="M16" s="733"/>
      <c r="N16" s="733">
        <f>ROUND(AVERAGE(D16:L16),4)</f>
        <v>2.5999999999999999E-2</v>
      </c>
    </row>
    <row r="17" spans="1:15" x14ac:dyDescent="0.35">
      <c r="B17" s="346" t="s">
        <v>1162</v>
      </c>
      <c r="D17" s="733">
        <f>ROUND('3. AWK'!C16/'3. AWK'!C50*100,2)</f>
        <v>40.700000000000003</v>
      </c>
      <c r="E17" s="733"/>
      <c r="F17" s="733">
        <f>ROUND('3. AWK'!E16/'3. AWK'!E50*100,2)</f>
        <v>41.23</v>
      </c>
      <c r="G17" s="733"/>
      <c r="H17" s="733">
        <f>ROUND('3. AWK'!G16/'3. AWK'!G50*100,2)</f>
        <v>40.049999999999997</v>
      </c>
      <c r="I17" s="733"/>
      <c r="J17" s="733">
        <f>ROUND('3. AWK'!I16/'3. AWK'!I50*100,2)</f>
        <v>41.38</v>
      </c>
      <c r="K17" s="733"/>
      <c r="L17" s="733">
        <f>ROUND('3. AWK'!K16/'3. AWK'!K50*100,2)</f>
        <v>43.4</v>
      </c>
      <c r="M17" s="733"/>
      <c r="N17" s="733">
        <f>ROUND(AVERAGE(D17:L17),2)</f>
        <v>41.35</v>
      </c>
    </row>
    <row r="18" spans="1:15" ht="15.45" thickBot="1" x14ac:dyDescent="0.4">
      <c r="B18" s="346" t="s">
        <v>1201</v>
      </c>
      <c r="D18" s="823">
        <f>SUM(D15:D17)</f>
        <v>100</v>
      </c>
      <c r="E18" s="824" t="s">
        <v>1197</v>
      </c>
      <c r="F18" s="823">
        <f>SUM(F15:F17)</f>
        <v>100</v>
      </c>
      <c r="G18" s="824" t="s">
        <v>1197</v>
      </c>
      <c r="H18" s="823">
        <f>SUM(H15:H17)</f>
        <v>100</v>
      </c>
      <c r="I18" s="824" t="s">
        <v>1197</v>
      </c>
      <c r="J18" s="823">
        <f>SUM(J15:J17)</f>
        <v>100</v>
      </c>
      <c r="K18" s="824" t="s">
        <v>1197</v>
      </c>
      <c r="L18" s="823">
        <f>SUM(L15:L17)</f>
        <v>100</v>
      </c>
      <c r="M18" s="824" t="s">
        <v>1197</v>
      </c>
      <c r="N18" s="823">
        <f>SUM(N15:N17)</f>
        <v>99.998000000000005</v>
      </c>
      <c r="O18" s="654" t="s">
        <v>1197</v>
      </c>
    </row>
    <row r="19" spans="1:15" ht="15.45" thickTop="1" x14ac:dyDescent="0.35">
      <c r="D19" s="733"/>
      <c r="E19" s="824"/>
      <c r="F19" s="733"/>
      <c r="G19" s="824"/>
      <c r="H19" s="733"/>
      <c r="I19" s="824"/>
      <c r="J19" s="733"/>
      <c r="K19" s="824"/>
      <c r="L19" s="733"/>
      <c r="M19" s="824"/>
      <c r="N19" s="733"/>
      <c r="O19" s="654"/>
    </row>
    <row r="20" spans="1:15" x14ac:dyDescent="0.35">
      <c r="A20" s="346" t="str">
        <f>Input!A4</f>
        <v>CWT</v>
      </c>
      <c r="B20" s="822" t="str">
        <f>VLOOKUP($A20,'Proxy Data Lookup'!$A:$B,2,FALSE)</f>
        <v>California Water Service Group</v>
      </c>
    </row>
    <row r="21" spans="1:15" x14ac:dyDescent="0.35">
      <c r="B21" s="346" t="s">
        <v>1160</v>
      </c>
      <c r="D21" s="733">
        <f>ROUND('3. CWT'!C$12/'3. CWT'!C$50*100,2)</f>
        <v>44.39</v>
      </c>
      <c r="E21" s="824" t="s">
        <v>1197</v>
      </c>
      <c r="F21" s="733">
        <f>ROUND('3. CWT'!E$12/'3. CWT'!E$50*100,2)</f>
        <v>47.28</v>
      </c>
      <c r="G21" s="824" t="s">
        <v>1197</v>
      </c>
      <c r="H21" s="733">
        <f>ROUND('3. CWT'!G$12/'3. CWT'!G$50*100,2)</f>
        <v>46.04</v>
      </c>
      <c r="I21" s="824" t="s">
        <v>1197</v>
      </c>
      <c r="J21" s="733">
        <f>ROUND('3. CWT'!I$12/'3. CWT'!I$50*100,2)</f>
        <v>50.9</v>
      </c>
      <c r="K21" s="824" t="s">
        <v>1197</v>
      </c>
      <c r="L21" s="733">
        <f>ROUND('3. CWT'!K$12/'3. CWT'!K$50*100,2)</f>
        <v>52.74</v>
      </c>
      <c r="M21" s="824" t="s">
        <v>1197</v>
      </c>
      <c r="N21" s="733">
        <f>ROUND(AVERAGE(D21:L21),2)</f>
        <v>48.27</v>
      </c>
      <c r="O21" s="654" t="s">
        <v>1197</v>
      </c>
    </row>
    <row r="22" spans="1:15" x14ac:dyDescent="0.35">
      <c r="B22" s="346" t="s">
        <v>1199</v>
      </c>
      <c r="D22" s="733">
        <f>ROUND('3. CWT'!C$13/'3. CWT'!C$50*100,2)</f>
        <v>0</v>
      </c>
      <c r="E22" s="733"/>
      <c r="F22" s="733">
        <f>ROUND('3. CWT'!E$13/'3. CWT'!E$50*100,2)</f>
        <v>0</v>
      </c>
      <c r="G22" s="733"/>
      <c r="H22" s="733">
        <f>ROUND('3. CWT'!G$13/'3. CWT'!G$50*100,2)</f>
        <v>0</v>
      </c>
      <c r="I22" s="733"/>
      <c r="J22" s="733">
        <f>ROUND('3. CWT'!I$13/'3. CWT'!I$50*100,2)</f>
        <v>0</v>
      </c>
      <c r="K22" s="733"/>
      <c r="L22" s="733">
        <f>ROUND('3. CWT'!K$13/'3. CWT'!K$50*100,2)</f>
        <v>0</v>
      </c>
      <c r="M22" s="733"/>
      <c r="N22" s="733">
        <f>ROUND(AVERAGE(D22:L22),2)</f>
        <v>0</v>
      </c>
    </row>
    <row r="23" spans="1:15" x14ac:dyDescent="0.35">
      <c r="B23" s="346" t="s">
        <v>1162</v>
      </c>
      <c r="D23" s="733">
        <f>ROUND('3. CWT'!C$16/'3. CWT'!C$50*100,2)</f>
        <v>55.61</v>
      </c>
      <c r="E23" s="733"/>
      <c r="F23" s="733">
        <f>ROUND('3. CWT'!E$16/'3. CWT'!E$50*100,2)</f>
        <v>52.72</v>
      </c>
      <c r="G23" s="733"/>
      <c r="H23" s="733">
        <f>ROUND('3. CWT'!G$16/'3. CWT'!G$50*100,2)</f>
        <v>53.96</v>
      </c>
      <c r="I23" s="733"/>
      <c r="J23" s="733">
        <f>ROUND('3. CWT'!I$16/'3. CWT'!I$50*100,2)</f>
        <v>49.1</v>
      </c>
      <c r="K23" s="733"/>
      <c r="L23" s="733">
        <f>ROUND('3. CWT'!K$16/'3. CWT'!K$50*100,2)</f>
        <v>47.26</v>
      </c>
      <c r="M23" s="733"/>
      <c r="N23" s="733">
        <f>ROUND(AVERAGE(D23:L23),2)</f>
        <v>51.73</v>
      </c>
    </row>
    <row r="24" spans="1:15" ht="15.45" thickBot="1" x14ac:dyDescent="0.4">
      <c r="B24" s="346" t="s">
        <v>1201</v>
      </c>
      <c r="D24" s="823">
        <f>SUM(D21:D23)</f>
        <v>100</v>
      </c>
      <c r="E24" s="824" t="s">
        <v>1197</v>
      </c>
      <c r="F24" s="823">
        <f>SUM(F21:F23)</f>
        <v>100</v>
      </c>
      <c r="G24" s="824" t="s">
        <v>1197</v>
      </c>
      <c r="H24" s="823">
        <f>SUM(H21:H23)</f>
        <v>100</v>
      </c>
      <c r="I24" s="824" t="s">
        <v>1197</v>
      </c>
      <c r="J24" s="823">
        <f>SUM(J21:J23)</f>
        <v>100</v>
      </c>
      <c r="K24" s="824" t="s">
        <v>1197</v>
      </c>
      <c r="L24" s="823">
        <f>SUM(L21:L23)</f>
        <v>100</v>
      </c>
      <c r="M24" s="824" t="s">
        <v>1197</v>
      </c>
      <c r="N24" s="823">
        <f>SUM(N21:N23)</f>
        <v>100</v>
      </c>
      <c r="O24" s="654" t="s">
        <v>1197</v>
      </c>
    </row>
    <row r="25" spans="1:15" ht="15.45" thickTop="1" x14ac:dyDescent="0.35">
      <c r="D25" s="733"/>
      <c r="E25" s="824"/>
      <c r="F25" s="733"/>
      <c r="G25" s="824"/>
      <c r="H25" s="733"/>
      <c r="I25" s="824"/>
      <c r="J25" s="733"/>
      <c r="K25" s="824"/>
      <c r="L25" s="733"/>
      <c r="M25" s="824"/>
      <c r="N25" s="733"/>
      <c r="O25" s="654"/>
    </row>
    <row r="26" spans="1:15" x14ac:dyDescent="0.35">
      <c r="A26" s="346" t="str">
        <f>Input!A5</f>
        <v>WTRG</v>
      </c>
      <c r="B26" s="822" t="str">
        <f>VLOOKUP($A26,'Proxy Data Lookup'!$A:$B,2,FALSE)</f>
        <v>Essential Utilities Inc.</v>
      </c>
    </row>
    <row r="27" spans="1:15" x14ac:dyDescent="0.35">
      <c r="B27" s="346" t="s">
        <v>1160</v>
      </c>
      <c r="D27" s="733">
        <f>ROUND('3. WTRG'!C$12/'3. WTRG'!C$50*100,2)</f>
        <v>54.99</v>
      </c>
      <c r="E27" s="824" t="s">
        <v>1197</v>
      </c>
      <c r="F27" s="733">
        <f>ROUND('3. WTRG'!E$12/'3. WTRG'!E$50*100,2)</f>
        <v>53.28</v>
      </c>
      <c r="G27" s="824" t="s">
        <v>1197</v>
      </c>
      <c r="H27" s="733">
        <f>ROUND('3. WTRG'!G$12/'3. WTRG'!G$50*100,2)</f>
        <v>54.42</v>
      </c>
      <c r="I27" s="824" t="s">
        <v>1197</v>
      </c>
      <c r="J27" s="733">
        <f>ROUND('3. WTRG'!I$12/'3. WTRG'!I$50*100,2)</f>
        <v>44.23</v>
      </c>
      <c r="K27" s="824" t="s">
        <v>1197</v>
      </c>
      <c r="L27" s="733">
        <f>ROUND('3. WTRG'!K$12/'3. WTRG'!K$50*100,2)</f>
        <v>56.06</v>
      </c>
      <c r="M27" s="824" t="s">
        <v>1197</v>
      </c>
      <c r="N27" s="733">
        <f>ROUND(AVERAGE(D27:L27),2)</f>
        <v>52.6</v>
      </c>
      <c r="O27" s="654" t="s">
        <v>1197</v>
      </c>
    </row>
    <row r="28" spans="1:15" x14ac:dyDescent="0.35">
      <c r="B28" s="346" t="s">
        <v>1199</v>
      </c>
      <c r="D28" s="733">
        <f>ROUND('3. WTRG'!C$13/'3. WTRG'!C$50*100,2)</f>
        <v>0</v>
      </c>
      <c r="E28" s="733"/>
      <c r="F28" s="733">
        <f>ROUND('3. WTRG'!E$13/'3. WTRG'!E$50*100,2)</f>
        <v>0</v>
      </c>
      <c r="G28" s="733"/>
      <c r="H28" s="733">
        <f>ROUND('3. WTRG'!G$13/'3. WTRG'!G$50*100,2)</f>
        <v>0</v>
      </c>
      <c r="I28" s="733"/>
      <c r="J28" s="733">
        <f>ROUND('3. WTRG'!I$13/'3. WTRG'!I$50*100,2)</f>
        <v>0</v>
      </c>
      <c r="K28" s="733"/>
      <c r="L28" s="733">
        <f>ROUND('3. WTRG'!K$13/'3. WTRG'!K$50*100,2)</f>
        <v>0</v>
      </c>
      <c r="M28" s="733"/>
      <c r="N28" s="733">
        <f>ROUND(AVERAGE(D28:L28),2)</f>
        <v>0</v>
      </c>
    </row>
    <row r="29" spans="1:15" x14ac:dyDescent="0.35">
      <c r="B29" s="346" t="s">
        <v>1162</v>
      </c>
      <c r="D29" s="733">
        <f>ROUND('3. WTRG'!C$16/'3. WTRG'!C$50*100,2)</f>
        <v>45.01</v>
      </c>
      <c r="E29" s="733"/>
      <c r="F29" s="733">
        <f>ROUND('3. WTRG'!E$16/'3. WTRG'!E$50*100,2)</f>
        <v>46.72</v>
      </c>
      <c r="G29" s="733"/>
      <c r="H29" s="733">
        <f>ROUND('3. WTRG'!G$16/'3. WTRG'!G$50*100,2)</f>
        <v>45.58</v>
      </c>
      <c r="I29" s="733"/>
      <c r="J29" s="733">
        <f>ROUND('3. WTRG'!I$16/'3. WTRG'!I$50*100,2)</f>
        <v>55.77</v>
      </c>
      <c r="K29" s="733"/>
      <c r="L29" s="733">
        <f>ROUND('3. WTRG'!K$16/'3. WTRG'!K$50*100,2)</f>
        <v>43.94</v>
      </c>
      <c r="M29" s="733"/>
      <c r="N29" s="733">
        <f>ROUND(AVERAGE(D29:L29),2)</f>
        <v>47.4</v>
      </c>
    </row>
    <row r="30" spans="1:15" ht="15.45" thickBot="1" x14ac:dyDescent="0.4">
      <c r="B30" s="346" t="s">
        <v>1201</v>
      </c>
      <c r="D30" s="823">
        <f>SUM(D27:D29)</f>
        <v>100</v>
      </c>
      <c r="E30" s="824" t="s">
        <v>1197</v>
      </c>
      <c r="F30" s="823">
        <f>SUM(F27:F29)</f>
        <v>100</v>
      </c>
      <c r="G30" s="824" t="s">
        <v>1197</v>
      </c>
      <c r="H30" s="823">
        <f>SUM(H27:H29)</f>
        <v>100</v>
      </c>
      <c r="I30" s="824" t="s">
        <v>1197</v>
      </c>
      <c r="J30" s="823">
        <f>SUM(J27:J29)</f>
        <v>100</v>
      </c>
      <c r="K30" s="824" t="s">
        <v>1197</v>
      </c>
      <c r="L30" s="823">
        <f>SUM(L27:L29)</f>
        <v>100</v>
      </c>
      <c r="M30" s="824" t="s">
        <v>1197</v>
      </c>
      <c r="N30" s="823">
        <f>SUM(N27:N29)</f>
        <v>100</v>
      </c>
      <c r="O30" s="654" t="s">
        <v>1197</v>
      </c>
    </row>
    <row r="31" spans="1:15" ht="15.45" thickTop="1" x14ac:dyDescent="0.35">
      <c r="D31" s="733"/>
      <c r="E31" s="824"/>
      <c r="F31" s="733"/>
      <c r="G31" s="824"/>
      <c r="H31" s="733"/>
      <c r="I31" s="824"/>
      <c r="J31" s="733"/>
      <c r="K31" s="824"/>
      <c r="L31" s="733"/>
      <c r="M31" s="824"/>
      <c r="N31" s="733"/>
      <c r="O31" s="654"/>
    </row>
    <row r="32" spans="1:15" x14ac:dyDescent="0.35">
      <c r="A32" s="346" t="str">
        <f>Input!A6</f>
        <v>MSEX</v>
      </c>
      <c r="B32" s="822" t="str">
        <f>VLOOKUP($A32,'Proxy Data Lookup'!$A:$B,2,FALSE)</f>
        <v>Middlesex Water Company</v>
      </c>
    </row>
    <row r="33" spans="1:16" x14ac:dyDescent="0.35">
      <c r="B33" s="346" t="s">
        <v>1160</v>
      </c>
      <c r="D33" s="733">
        <f>ROUND('3. MSEX'!C$12/'3. MSEX'!C$50*100,2)+0.01</f>
        <v>43.339999999999996</v>
      </c>
      <c r="E33" s="824" t="s">
        <v>1197</v>
      </c>
      <c r="F33" s="733">
        <f>ROUND('3. MSEX'!E$12/'3. MSEX'!E$50*100,2)</f>
        <v>45.86</v>
      </c>
      <c r="G33" s="824" t="s">
        <v>1197</v>
      </c>
      <c r="H33" s="733">
        <f>ROUND('3. MSEX'!G$12/'3. MSEX'!G$50*100,2)</f>
        <v>44.61</v>
      </c>
      <c r="I33" s="824" t="s">
        <v>1197</v>
      </c>
      <c r="J33" s="733">
        <f>ROUND('3. MSEX'!I$12/'3. MSEX'!I$50*100,2)</f>
        <v>42.2</v>
      </c>
      <c r="K33" s="824" t="s">
        <v>1197</v>
      </c>
      <c r="L33" s="733">
        <f>ROUND('3. MSEX'!K$12/'3. MSEX'!K$50*100,2)</f>
        <v>38.94</v>
      </c>
      <c r="M33" s="824" t="s">
        <v>1197</v>
      </c>
      <c r="N33" s="733">
        <f>ROUND(AVERAGE(D33:L33),2)</f>
        <v>42.99</v>
      </c>
      <c r="O33" s="654" t="s">
        <v>1197</v>
      </c>
    </row>
    <row r="34" spans="1:16" x14ac:dyDescent="0.35">
      <c r="B34" s="346" t="s">
        <v>1199</v>
      </c>
      <c r="D34" s="733">
        <f>ROUND('3. MSEX'!C$13/'3. MSEX'!C$50*100,2)</f>
        <v>0.28999999999999998</v>
      </c>
      <c r="E34" s="733"/>
      <c r="F34" s="733">
        <f>ROUND('3. MSEX'!E$13/'3. MSEX'!E$50*100,2)-0.01</f>
        <v>0.3</v>
      </c>
      <c r="G34" s="733"/>
      <c r="H34" s="733">
        <f>ROUND('3. MSEX'!G$13/'3. MSEX'!G$50*100,2)</f>
        <v>0.33</v>
      </c>
      <c r="I34" s="733"/>
      <c r="J34" s="733">
        <f>ROUND('3. MSEX'!I$13/'3. MSEX'!I$50*100,2)</f>
        <v>0.37</v>
      </c>
      <c r="K34" s="733"/>
      <c r="L34" s="733">
        <f>ROUND('3. MSEX'!K$13/'3. MSEX'!K$50*100,2)</f>
        <v>0.59</v>
      </c>
      <c r="M34" s="733"/>
      <c r="N34" s="733">
        <f>ROUND(AVERAGE(D34:L34),2)</f>
        <v>0.38</v>
      </c>
    </row>
    <row r="35" spans="1:16" x14ac:dyDescent="0.35">
      <c r="B35" s="346" t="s">
        <v>1162</v>
      </c>
      <c r="D35" s="733">
        <f>ROUND('3. MSEX'!C$16/'3. MSEX'!C$50*100,2)</f>
        <v>56.37</v>
      </c>
      <c r="E35" s="733"/>
      <c r="F35" s="733">
        <f>ROUND('3. MSEX'!E$16/'3. MSEX'!E$50*100,2)</f>
        <v>53.84</v>
      </c>
      <c r="G35" s="733"/>
      <c r="H35" s="733">
        <f>ROUND('3. MSEX'!G$16/'3. MSEX'!G$50*100,2)</f>
        <v>55.06</v>
      </c>
      <c r="I35" s="733"/>
      <c r="J35" s="733">
        <f>ROUND('3. MSEX'!I$16/'3. MSEX'!I$50*100,2)</f>
        <v>57.43</v>
      </c>
      <c r="K35" s="733"/>
      <c r="L35" s="733">
        <f>ROUND('3. MSEX'!K$16/'3. MSEX'!K$50*100,2)</f>
        <v>60.47</v>
      </c>
      <c r="M35" s="733"/>
      <c r="N35" s="733">
        <f>ROUND(AVERAGE(D35:L35),2)</f>
        <v>56.63</v>
      </c>
    </row>
    <row r="36" spans="1:16" ht="15.45" thickBot="1" x14ac:dyDescent="0.4">
      <c r="B36" s="346" t="s">
        <v>1201</v>
      </c>
      <c r="D36" s="823">
        <f>SUM(D33:D35)</f>
        <v>100</v>
      </c>
      <c r="E36" s="824" t="s">
        <v>1197</v>
      </c>
      <c r="F36" s="823">
        <f>SUM(F33:F35)</f>
        <v>100</v>
      </c>
      <c r="G36" s="824" t="s">
        <v>1197</v>
      </c>
      <c r="H36" s="823">
        <f>SUM(H33:H35)</f>
        <v>100</v>
      </c>
      <c r="I36" s="824" t="s">
        <v>1197</v>
      </c>
      <c r="J36" s="823">
        <f>SUM(J33:J35)</f>
        <v>100</v>
      </c>
      <c r="K36" s="824" t="s">
        <v>1197</v>
      </c>
      <c r="L36" s="823">
        <f>SUM(L33:L35)</f>
        <v>100</v>
      </c>
      <c r="M36" s="824" t="s">
        <v>1197</v>
      </c>
      <c r="N36" s="823">
        <f>SUM(N33:N35)</f>
        <v>100</v>
      </c>
      <c r="O36" s="654" t="s">
        <v>1197</v>
      </c>
    </row>
    <row r="37" spans="1:16" ht="15.45" thickTop="1" x14ac:dyDescent="0.35">
      <c r="D37" s="733"/>
      <c r="E37" s="824"/>
      <c r="F37" s="733"/>
      <c r="G37" s="824"/>
      <c r="H37" s="733"/>
      <c r="I37" s="824"/>
      <c r="J37" s="733"/>
      <c r="K37" s="824"/>
      <c r="L37" s="733"/>
      <c r="M37" s="824"/>
      <c r="N37" s="733"/>
      <c r="O37" s="654"/>
    </row>
    <row r="38" spans="1:16" x14ac:dyDescent="0.35">
      <c r="A38" s="346" t="str">
        <f>Input!A7</f>
        <v>SJW</v>
      </c>
      <c r="B38" s="822" t="str">
        <f>VLOOKUP($A38,'Proxy Data Lookup'!$A:$B,2,FALSE)</f>
        <v>SJW Group</v>
      </c>
    </row>
    <row r="39" spans="1:16" x14ac:dyDescent="0.35">
      <c r="B39" s="346" t="s">
        <v>1160</v>
      </c>
      <c r="D39" s="733">
        <f>ROUND('3. SJW'!C$12/'3. SJW'!C$50*100,2)</f>
        <v>57.39</v>
      </c>
      <c r="E39" s="824" t="s">
        <v>1197</v>
      </c>
      <c r="F39" s="733">
        <f>ROUND('3. SJW'!E$12/'3. SJW'!E$50*100,2)</f>
        <v>59.69</v>
      </c>
      <c r="G39" s="824" t="s">
        <v>1197</v>
      </c>
      <c r="H39" s="733">
        <f>ROUND('3. SJW'!G$12/'3. SJW'!G$50*100,2)</f>
        <v>59.79</v>
      </c>
      <c r="I39" s="824" t="s">
        <v>1197</v>
      </c>
      <c r="J39" s="733">
        <f>ROUND('3. SJW'!I$12/'3. SJW'!I$50*100,2)</f>
        <v>59.05</v>
      </c>
      <c r="K39" s="824" t="s">
        <v>1197</v>
      </c>
      <c r="L39" s="733">
        <f>ROUND('3. SJW'!K$12/'3. SJW'!K$50*100,2)</f>
        <v>32.67</v>
      </c>
      <c r="M39" s="824" t="s">
        <v>1197</v>
      </c>
      <c r="N39" s="733">
        <f>ROUND(AVERAGE(D39:L39),2)</f>
        <v>53.72</v>
      </c>
      <c r="O39" s="654" t="s">
        <v>1197</v>
      </c>
    </row>
    <row r="40" spans="1:16" x14ac:dyDescent="0.35">
      <c r="B40" s="346" t="s">
        <v>1199</v>
      </c>
      <c r="D40" s="733">
        <f>ROUND('3. SJW'!C$13/'3. SJW'!C$50*100,2)</f>
        <v>0</v>
      </c>
      <c r="E40" s="733"/>
      <c r="F40" s="733">
        <f>ROUND('3. SJW'!E$13/'3. SJW'!E$50*100,2)</f>
        <v>0</v>
      </c>
      <c r="G40" s="733"/>
      <c r="H40" s="733">
        <f>ROUND('3. SJW'!G$13/'3. SJW'!G$50*100,2)</f>
        <v>0</v>
      </c>
      <c r="I40" s="733"/>
      <c r="J40" s="733">
        <f>ROUND('3. SJW'!I$13/'3. SJW'!I$50*100,2)</f>
        <v>0</v>
      </c>
      <c r="K40" s="733"/>
      <c r="L40" s="733">
        <f>ROUND('3. SJW'!K$13/'3. SJW'!K$50*100,2)</f>
        <v>0</v>
      </c>
      <c r="M40" s="733"/>
      <c r="N40" s="733">
        <f>ROUND(AVERAGE(D40:L40),2)</f>
        <v>0</v>
      </c>
    </row>
    <row r="41" spans="1:16" x14ac:dyDescent="0.35">
      <c r="B41" s="346" t="s">
        <v>1162</v>
      </c>
      <c r="D41" s="733">
        <f>ROUND('3. SJW'!C$16/'3. SJW'!C$50*100,2)</f>
        <v>42.61</v>
      </c>
      <c r="E41" s="733"/>
      <c r="F41" s="733">
        <f>ROUND('3. SJW'!E$16/'3. SJW'!E$50*100,2)</f>
        <v>40.31</v>
      </c>
      <c r="G41" s="733"/>
      <c r="H41" s="733">
        <f>ROUND('3. SJW'!G$16/'3. SJW'!G$50*100,2)</f>
        <v>40.21</v>
      </c>
      <c r="I41" s="733"/>
      <c r="J41" s="733">
        <f>ROUND('3. SJW'!I$16/'3. SJW'!I$50*100,2)</f>
        <v>40.950000000000003</v>
      </c>
      <c r="K41" s="733"/>
      <c r="L41" s="733">
        <f>ROUND('3. SJW'!K$16/'3. SJW'!K$50*100,2)</f>
        <v>67.33</v>
      </c>
      <c r="M41" s="733"/>
      <c r="N41" s="733">
        <f>ROUND(AVERAGE(D41:L41),2)</f>
        <v>46.28</v>
      </c>
    </row>
    <row r="42" spans="1:16" ht="15.45" thickBot="1" x14ac:dyDescent="0.4">
      <c r="B42" s="346" t="s">
        <v>1201</v>
      </c>
      <c r="D42" s="823">
        <f>SUM(D39:D41)</f>
        <v>100</v>
      </c>
      <c r="E42" s="824" t="s">
        <v>1197</v>
      </c>
      <c r="F42" s="823">
        <f>SUM(F39:F41)</f>
        <v>100</v>
      </c>
      <c r="G42" s="824" t="s">
        <v>1197</v>
      </c>
      <c r="H42" s="823">
        <f>SUM(H39:H41)</f>
        <v>100</v>
      </c>
      <c r="I42" s="824" t="s">
        <v>1197</v>
      </c>
      <c r="J42" s="823">
        <f>SUM(J39:J41)</f>
        <v>100</v>
      </c>
      <c r="K42" s="824" t="s">
        <v>1197</v>
      </c>
      <c r="L42" s="823">
        <f>SUM(L39:L41)</f>
        <v>100</v>
      </c>
      <c r="M42" s="824" t="s">
        <v>1197</v>
      </c>
      <c r="N42" s="823">
        <f>SUM(N39:N41)</f>
        <v>100</v>
      </c>
      <c r="O42" s="654" t="s">
        <v>1197</v>
      </c>
    </row>
    <row r="43" spans="1:16" ht="15.45" thickTop="1" x14ac:dyDescent="0.35">
      <c r="D43" s="733"/>
      <c r="E43" s="824"/>
      <c r="F43" s="733"/>
      <c r="G43" s="824"/>
      <c r="H43" s="733"/>
      <c r="I43" s="824"/>
      <c r="J43" s="733"/>
      <c r="K43" s="824"/>
      <c r="L43" s="733"/>
      <c r="M43" s="824"/>
      <c r="N43" s="733"/>
      <c r="O43" s="654"/>
    </row>
    <row r="44" spans="1:16" x14ac:dyDescent="0.35">
      <c r="B44" s="822" t="str">
        <f>B2</f>
        <v>Proxy Group of Six Water Companies</v>
      </c>
      <c r="D44" s="733"/>
      <c r="E44" s="733"/>
      <c r="F44" s="733"/>
      <c r="G44" s="733"/>
      <c r="H44" s="733"/>
      <c r="I44" s="733"/>
      <c r="J44" s="733"/>
      <c r="K44" s="733"/>
      <c r="L44" s="733"/>
      <c r="M44" s="733"/>
      <c r="N44" s="733"/>
    </row>
    <row r="45" spans="1:16" x14ac:dyDescent="0.35">
      <c r="B45" s="346" t="s">
        <v>1160</v>
      </c>
      <c r="D45" s="733">
        <f>ROUND(AVERAGE(D9,D15,D21,D27,D33,D39),2)-0.01</f>
        <v>49.67</v>
      </c>
      <c r="E45" s="824" t="s">
        <v>1197</v>
      </c>
      <c r="F45" s="733">
        <f>ROUND(AVERAGE(F9,F15,F21,F27,F33,F39),2)+0.01</f>
        <v>50.41</v>
      </c>
      <c r="G45" s="824" t="s">
        <v>1197</v>
      </c>
      <c r="H45" s="733">
        <f>ROUND(AVERAGE(H9,H15,H21,H27,H33,H39),2)</f>
        <v>50.92</v>
      </c>
      <c r="I45" s="824" t="s">
        <v>1197</v>
      </c>
      <c r="J45" s="733">
        <f>ROUND(AVERAGE(J9,J15,J21,J27,J33,J39),2)-0.01</f>
        <v>47.800000000000004</v>
      </c>
      <c r="K45" s="824" t="s">
        <v>1197</v>
      </c>
      <c r="L45" s="733">
        <f>ROUND(AVERAGE(L9,L15,L21,L27,L33,L39),2)</f>
        <v>45.58</v>
      </c>
      <c r="M45" s="824" t="s">
        <v>1197</v>
      </c>
      <c r="N45" s="733">
        <f>ROUND(AVERAGEIF($B$9:$B$43,$B45,N$9:N$43),4)</f>
        <v>48.878700000000002</v>
      </c>
      <c r="O45" s="654" t="s">
        <v>1197</v>
      </c>
      <c r="P45" s="733"/>
    </row>
    <row r="46" spans="1:16" x14ac:dyDescent="0.35">
      <c r="B46" s="346" t="s">
        <v>1199</v>
      </c>
      <c r="D46" s="733">
        <f>ROUND(AVERAGE(D10,D16,D22,D28,D34,D40),2)</f>
        <v>0.05</v>
      </c>
      <c r="E46" s="733"/>
      <c r="F46" s="733">
        <f>ROUND(AVERAGE(F10,F16,F22,F28,F34,F40),2)</f>
        <v>0.05</v>
      </c>
      <c r="G46" s="733"/>
      <c r="H46" s="733">
        <f>ROUND(AVERAGE(H10,H16,H22,H28,H34,H40),2)</f>
        <v>0.06</v>
      </c>
      <c r="I46" s="733"/>
      <c r="J46" s="733">
        <f>ROUND(AVERAGE(J10,J16,J22,J28,J34,J40),2)</f>
        <v>7.0000000000000007E-2</v>
      </c>
      <c r="K46" s="733"/>
      <c r="L46" s="733">
        <f>ROUND(AVERAGE(L10,L16,L22,L28,L34,L40),2)</f>
        <v>0.11</v>
      </c>
      <c r="M46" s="733"/>
      <c r="N46" s="733">
        <f>ROUND(AVERAGEIF($B$9:$B$43,$B46,N$9:N$43),4)</f>
        <v>6.7699999999999996E-2</v>
      </c>
    </row>
    <row r="47" spans="1:16" x14ac:dyDescent="0.35">
      <c r="B47" s="346" t="s">
        <v>1162</v>
      </c>
      <c r="D47" s="733">
        <f>ROUND(AVERAGE(D11,D17,D23,D29,D35,D41),2)</f>
        <v>50.28</v>
      </c>
      <c r="E47" s="733"/>
      <c r="F47" s="733">
        <f>ROUND(AVERAGE(F11,F17,F23,F29,F35,F41),2)</f>
        <v>49.54</v>
      </c>
      <c r="G47" s="733"/>
      <c r="H47" s="733">
        <f>ROUND(AVERAGE(H11,H17,H23,H29,H35,H41),2)</f>
        <v>49.02</v>
      </c>
      <c r="I47" s="733"/>
      <c r="J47" s="733">
        <f>ROUND(AVERAGE(J11,J17,J23,J29,J35,J41),2)</f>
        <v>52.13</v>
      </c>
      <c r="K47" s="733"/>
      <c r="L47" s="733">
        <f>ROUND(AVERAGE(L11,L17,L23,L29,L35,L41),2)</f>
        <v>54.31</v>
      </c>
      <c r="M47" s="733"/>
      <c r="N47" s="733">
        <f>ROUND(AVERAGEIF($B$9:$B$43,$B47,N$9:N$43),4)</f>
        <v>51.0533</v>
      </c>
    </row>
    <row r="48" spans="1:16" ht="15.45" thickBot="1" x14ac:dyDescent="0.4">
      <c r="B48" s="346" t="s">
        <v>1201</v>
      </c>
      <c r="D48" s="823">
        <f>SUM(D45:D47)</f>
        <v>100</v>
      </c>
      <c r="E48" s="824" t="s">
        <v>1197</v>
      </c>
      <c r="F48" s="823">
        <f>SUM(F45:F47)</f>
        <v>100</v>
      </c>
      <c r="G48" s="824" t="s">
        <v>1197</v>
      </c>
      <c r="H48" s="823">
        <f>SUM(H45:H47)</f>
        <v>100</v>
      </c>
      <c r="I48" s="824" t="s">
        <v>1197</v>
      </c>
      <c r="J48" s="823">
        <f>SUM(J45:J47)</f>
        <v>100</v>
      </c>
      <c r="K48" s="824" t="s">
        <v>1197</v>
      </c>
      <c r="L48" s="823">
        <f>SUM(L45:L47)</f>
        <v>100</v>
      </c>
      <c r="M48" s="824" t="s">
        <v>1197</v>
      </c>
      <c r="N48" s="823">
        <f>SUM(N45:N47)</f>
        <v>99.999700000000004</v>
      </c>
      <c r="O48" s="654" t="s">
        <v>1197</v>
      </c>
    </row>
    <row r="49" spans="2:15" ht="15.45" thickTop="1" x14ac:dyDescent="0.35">
      <c r="O49" s="654"/>
    </row>
    <row r="50" spans="2:15" x14ac:dyDescent="0.35">
      <c r="B50" s="346" t="s">
        <v>1174</v>
      </c>
    </row>
    <row r="51" spans="2:15" x14ac:dyDescent="0.35">
      <c r="B51" s="346" t="s">
        <v>1202</v>
      </c>
    </row>
  </sheetData>
  <printOptions horizontalCentered="1"/>
  <pageMargins left="0.7" right="0.7" top="0.75" bottom="0.75" header="0.3" footer="0.3"/>
  <pageSetup scale="7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09D1F-E475-4FD9-A552-3A6BF19FD15D}">
  <sheetPr>
    <pageSetUpPr fitToPage="1"/>
  </sheetPr>
  <dimension ref="A1:AE39"/>
  <sheetViews>
    <sheetView view="pageBreakPreview" zoomScale="85" zoomScaleNormal="80" zoomScaleSheetLayoutView="85" workbookViewId="0"/>
  </sheetViews>
  <sheetFormatPr defaultColWidth="9.15234375" defaultRowHeight="15" x14ac:dyDescent="0.35"/>
  <cols>
    <col min="1" max="1" width="9.15234375" style="346"/>
    <col min="2" max="2" width="39.53515625" style="346" customWidth="1"/>
    <col min="3" max="3" width="4.3046875" style="346" customWidth="1"/>
    <col min="4" max="4" width="8.53515625" style="346" customWidth="1"/>
    <col min="5" max="5" width="3.53515625" style="346" customWidth="1"/>
    <col min="6" max="6" width="2.53515625" style="346" customWidth="1"/>
    <col min="7" max="7" width="11.53515625" style="346" bestFit="1" customWidth="1"/>
    <col min="8" max="8" width="3.53515625" style="346" customWidth="1"/>
    <col min="9" max="9" width="2.53515625" style="346" customWidth="1"/>
    <col min="10" max="10" width="11.53515625" style="346" customWidth="1"/>
    <col min="11" max="11" width="3.53515625" style="346" customWidth="1"/>
    <col min="12" max="12" width="2.53515625" style="346" customWidth="1"/>
    <col min="13" max="13" width="8.53515625" style="346" customWidth="1"/>
    <col min="14" max="14" width="3.53515625" style="346" customWidth="1"/>
    <col min="15" max="15" width="2.53515625" style="346" customWidth="1"/>
    <col min="16" max="16" width="10.3828125" style="346" bestFit="1" customWidth="1"/>
    <col min="17" max="17" width="3.53515625" style="346" customWidth="1"/>
    <col min="18" max="18" width="2.53515625" style="346" customWidth="1"/>
    <col min="19" max="19" width="13.84375" style="346" customWidth="1"/>
    <col min="20" max="20" width="3.53515625" style="346" customWidth="1"/>
    <col min="21" max="21" width="2.53515625" style="346" customWidth="1"/>
    <col min="22" max="22" width="10.3828125" style="346" bestFit="1" customWidth="1"/>
    <col min="23" max="23" width="5" style="346" customWidth="1"/>
    <col min="24" max="16384" width="9.15234375" style="346"/>
  </cols>
  <sheetData>
    <row r="1" spans="1:31" x14ac:dyDescent="0.35">
      <c r="B1" s="647" t="str">
        <f>Input!G29</f>
        <v>City of Ansonia</v>
      </c>
      <c r="C1" s="648"/>
      <c r="D1" s="648"/>
      <c r="E1" s="648"/>
      <c r="F1" s="648"/>
      <c r="G1" s="648"/>
      <c r="H1" s="648"/>
      <c r="I1" s="648"/>
      <c r="J1" s="648"/>
      <c r="K1" s="648"/>
      <c r="L1" s="648"/>
      <c r="M1" s="648"/>
      <c r="N1" s="648"/>
      <c r="O1" s="648"/>
      <c r="P1" s="648"/>
      <c r="Q1" s="648"/>
      <c r="R1" s="648"/>
      <c r="S1" s="648"/>
      <c r="T1" s="648"/>
      <c r="U1" s="648"/>
      <c r="V1" s="648"/>
      <c r="W1" s="648"/>
    </row>
    <row r="2" spans="1:31" x14ac:dyDescent="0.35">
      <c r="B2" s="648" t="s">
        <v>1203</v>
      </c>
      <c r="C2" s="648"/>
      <c r="D2" s="648"/>
      <c r="E2" s="648"/>
      <c r="F2" s="648"/>
      <c r="G2" s="648"/>
      <c r="H2" s="648"/>
      <c r="I2" s="648"/>
      <c r="J2" s="648"/>
      <c r="K2" s="648"/>
      <c r="L2" s="648"/>
      <c r="M2" s="648"/>
      <c r="N2" s="648"/>
      <c r="O2" s="648"/>
      <c r="P2" s="648"/>
      <c r="Q2" s="648"/>
      <c r="R2" s="648"/>
      <c r="S2" s="648"/>
      <c r="T2" s="648"/>
      <c r="U2" s="648"/>
      <c r="V2" s="648"/>
      <c r="W2" s="648"/>
    </row>
    <row r="3" spans="1:31" x14ac:dyDescent="0.35">
      <c r="B3" s="922" t="str">
        <f>Input!I32</f>
        <v>Proxy Group of Six Water Companies</v>
      </c>
      <c r="C3" s="922"/>
      <c r="D3" s="922"/>
      <c r="E3" s="922"/>
      <c r="F3" s="922"/>
      <c r="G3" s="922"/>
      <c r="H3" s="922"/>
      <c r="I3" s="922"/>
      <c r="J3" s="922"/>
      <c r="K3" s="922"/>
      <c r="L3" s="922"/>
      <c r="M3" s="922"/>
      <c r="N3" s="922"/>
      <c r="O3" s="922"/>
      <c r="P3" s="922"/>
      <c r="Q3" s="922"/>
      <c r="R3" s="922"/>
      <c r="S3" s="922"/>
      <c r="T3" s="922"/>
      <c r="U3" s="922"/>
      <c r="V3" s="922"/>
      <c r="W3" s="922"/>
    </row>
    <row r="5" spans="1:31" x14ac:dyDescent="0.35">
      <c r="D5" s="813" t="s">
        <v>15</v>
      </c>
      <c r="E5" s="648"/>
      <c r="G5" s="813" t="s">
        <v>16</v>
      </c>
      <c r="H5" s="648"/>
      <c r="J5" s="813" t="s">
        <v>17</v>
      </c>
      <c r="K5" s="648"/>
      <c r="M5" s="651" t="s">
        <v>1117</v>
      </c>
      <c r="N5" s="651"/>
      <c r="P5" s="651" t="s">
        <v>1204</v>
      </c>
      <c r="Q5" s="651"/>
      <c r="S5" s="923" t="s">
        <v>1205</v>
      </c>
      <c r="T5" s="923"/>
      <c r="V5" s="923" t="s">
        <v>1206</v>
      </c>
      <c r="W5" s="923"/>
      <c r="X5" s="813"/>
      <c r="Y5" s="648"/>
    </row>
    <row r="7" spans="1:31" ht="98.15" customHeight="1" x14ac:dyDescent="0.35">
      <c r="B7" s="652" t="str">
        <f>B3</f>
        <v>Proxy Group of Six Water Companies</v>
      </c>
      <c r="D7" s="814" t="s">
        <v>1207</v>
      </c>
      <c r="E7" s="815"/>
      <c r="G7" s="814" t="s">
        <v>1208</v>
      </c>
      <c r="H7" s="815"/>
      <c r="J7" s="814" t="s">
        <v>1209</v>
      </c>
      <c r="K7" s="815"/>
      <c r="M7" s="814" t="s">
        <v>1210</v>
      </c>
      <c r="N7" s="815"/>
      <c r="P7" s="814" t="s">
        <v>1211</v>
      </c>
      <c r="Q7" s="815"/>
      <c r="S7" s="814" t="s">
        <v>1212</v>
      </c>
      <c r="T7" s="815"/>
      <c r="V7" s="814" t="s">
        <v>1213</v>
      </c>
      <c r="W7" s="815"/>
    </row>
    <row r="8" spans="1:31" x14ac:dyDescent="0.35">
      <c r="Y8" s="783"/>
      <c r="Z8" s="783"/>
      <c r="AA8" s="783"/>
      <c r="AB8" s="783"/>
    </row>
    <row r="9" spans="1:31" x14ac:dyDescent="0.35">
      <c r="A9" s="346" t="str">
        <f>Input!A2</f>
        <v>AWR</v>
      </c>
      <c r="B9" s="346" t="str">
        <f>'Proxy Data Lookup'!B3</f>
        <v>American States Water Company</v>
      </c>
      <c r="D9" s="715">
        <f>IFERROR(HLOOKUP(CONCATENATE($A9," US Equity"),'Proxy Prices'!$B$5:$H$71,67,FALSE)*100,"NA")</f>
        <v>1.79</v>
      </c>
      <c r="E9" s="715" t="s">
        <v>1197</v>
      </c>
      <c r="F9" s="715"/>
      <c r="G9" s="720">
        <f>IFERROR('Proxy Data Lookup'!E3*100,"NA")</f>
        <v>6.5</v>
      </c>
      <c r="H9" s="715" t="s">
        <v>1197</v>
      </c>
      <c r="I9" s="715"/>
      <c r="J9" s="816">
        <f>IFERROR('Proxy Data Lookup'!C3*100,"NA")</f>
        <v>6.3</v>
      </c>
      <c r="K9" s="715" t="s">
        <v>1197</v>
      </c>
      <c r="L9" s="715"/>
      <c r="M9" s="816">
        <f>IFERROR('Proxy Data Lookup'!D3*100,"NA")</f>
        <v>4.3999999999999995</v>
      </c>
      <c r="N9" s="715" t="s">
        <v>1197</v>
      </c>
      <c r="O9" s="715"/>
      <c r="P9" s="715">
        <f t="shared" ref="P9:P14" si="0">IFERROR(ROUND(AVERAGE(G9,J9,M9),2),"NA")</f>
        <v>5.73</v>
      </c>
      <c r="Q9" s="715" t="s">
        <v>1197</v>
      </c>
      <c r="R9" s="715"/>
      <c r="S9" s="733">
        <f t="shared" ref="S9:S14" si="1">IFERROR(D9*(1+(0.5*(P9/100))),"NA")</f>
        <v>1.8412835000000001</v>
      </c>
      <c r="T9" s="715" t="s">
        <v>1197</v>
      </c>
      <c r="U9" s="715"/>
      <c r="V9" s="715">
        <f t="shared" ref="V9:V14" si="2">IFERROR(S9 + P9,"NA")</f>
        <v>7.5712835000000007</v>
      </c>
      <c r="W9" s="346" t="s">
        <v>1197</v>
      </c>
      <c r="Z9" s="715"/>
      <c r="AA9" s="817"/>
      <c r="AB9" s="817"/>
      <c r="AD9" s="715"/>
      <c r="AE9" s="715"/>
    </row>
    <row r="10" spans="1:31" x14ac:dyDescent="0.35">
      <c r="A10" s="346" t="str">
        <f>Input!A3</f>
        <v>AWK</v>
      </c>
      <c r="B10" s="346" t="str">
        <f>'Proxy Data Lookup'!B4</f>
        <v>American Water Works Company, Inc.</v>
      </c>
      <c r="D10" s="715">
        <f>IFERROR(HLOOKUP(CONCATENATE($A10," US Equity"),'Proxy Prices'!$B$5:$H$71,67,FALSE)*100,"NA")</f>
        <v>1.94</v>
      </c>
      <c r="E10" s="715"/>
      <c r="F10" s="715"/>
      <c r="G10" s="720">
        <f>IFERROR('Proxy Data Lookup'!E4*100,"NA")</f>
        <v>3</v>
      </c>
      <c r="H10" s="715"/>
      <c r="I10" s="715"/>
      <c r="J10" s="816">
        <f>IFERROR('Proxy Data Lookup'!C4*100,"NA")</f>
        <v>8.2000000000000011</v>
      </c>
      <c r="K10" s="715"/>
      <c r="L10" s="715"/>
      <c r="M10" s="816">
        <f>IFERROR('Proxy Data Lookup'!D4*100,"NA")</f>
        <v>8.2799999999999994</v>
      </c>
      <c r="N10" s="715"/>
      <c r="O10" s="715"/>
      <c r="P10" s="715">
        <f t="shared" si="0"/>
        <v>6.49</v>
      </c>
      <c r="Q10" s="715"/>
      <c r="R10" s="715"/>
      <c r="S10" s="733">
        <f t="shared" si="1"/>
        <v>2.0029530000000002</v>
      </c>
      <c r="T10" s="715"/>
      <c r="U10" s="715"/>
      <c r="V10" s="715">
        <f t="shared" si="2"/>
        <v>8.492953</v>
      </c>
      <c r="W10" s="715"/>
      <c r="Z10" s="715"/>
      <c r="AA10" s="817"/>
      <c r="AB10" s="817"/>
      <c r="AD10" s="715"/>
      <c r="AE10" s="715"/>
    </row>
    <row r="11" spans="1:31" x14ac:dyDescent="0.35">
      <c r="A11" s="346" t="str">
        <f>Input!A4</f>
        <v>CWT</v>
      </c>
      <c r="B11" s="346" t="str">
        <f>'Proxy Data Lookup'!B5</f>
        <v>California Water Service Group</v>
      </c>
      <c r="D11" s="715">
        <f>IFERROR(HLOOKUP(CONCATENATE($A11," US Equity"),'Proxy Prices'!$B$5:$H$71,67,FALSE)*100,"NA")</f>
        <v>1.9</v>
      </c>
      <c r="E11" s="715"/>
      <c r="F11" s="715"/>
      <c r="G11" s="720">
        <f>IFERROR('Proxy Data Lookup'!E5*100,"NA")</f>
        <v>6.5</v>
      </c>
      <c r="H11" s="715"/>
      <c r="I11" s="715"/>
      <c r="J11" s="816" t="str">
        <f>IFERROR('Proxy Data Lookup'!C5*100,"NA")</f>
        <v>NA</v>
      </c>
      <c r="K11" s="715"/>
      <c r="L11" s="715"/>
      <c r="M11" s="816">
        <f>IFERROR('Proxy Data Lookup'!D5*100,"NA")</f>
        <v>7.5</v>
      </c>
      <c r="N11" s="715"/>
      <c r="O11" s="715"/>
      <c r="P11" s="715">
        <f t="shared" si="0"/>
        <v>7</v>
      </c>
      <c r="Q11" s="715"/>
      <c r="R11" s="715"/>
      <c r="S11" s="733">
        <f t="shared" si="1"/>
        <v>1.9664999999999997</v>
      </c>
      <c r="T11" s="715"/>
      <c r="U11" s="715"/>
      <c r="V11" s="715">
        <f t="shared" si="2"/>
        <v>8.9664999999999999</v>
      </c>
      <c r="W11" s="715"/>
      <c r="Z11" s="715"/>
      <c r="AA11" s="817"/>
      <c r="AB11" s="817"/>
      <c r="AD11" s="715"/>
      <c r="AE11" s="715"/>
    </row>
    <row r="12" spans="1:31" x14ac:dyDescent="0.35">
      <c r="A12" s="346" t="str">
        <f>Input!A5</f>
        <v>WTRG</v>
      </c>
      <c r="B12" s="346" t="str">
        <f>'Proxy Data Lookup'!B6</f>
        <v>Essential Utilities Inc.</v>
      </c>
      <c r="D12" s="715">
        <f>IFERROR(HLOOKUP(CONCATENATE($A12," US Equity"),'Proxy Prices'!$B$5:$H$71,67,FALSE)*100,"NA")</f>
        <v>2.78</v>
      </c>
      <c r="E12" s="715"/>
      <c r="F12" s="715"/>
      <c r="G12" s="720">
        <f>IFERROR('Proxy Data Lookup'!E6*100,"NA")</f>
        <v>7.5</v>
      </c>
      <c r="H12" s="715"/>
      <c r="I12" s="715"/>
      <c r="J12" s="816">
        <f>IFERROR('Proxy Data Lookup'!C6*100,"NA")</f>
        <v>5.6000000000000005</v>
      </c>
      <c r="K12" s="715"/>
      <c r="L12" s="715"/>
      <c r="M12" s="816">
        <f>IFERROR('Proxy Data Lookup'!D6*100,"NA")</f>
        <v>5.4</v>
      </c>
      <c r="N12" s="715"/>
      <c r="O12" s="715"/>
      <c r="P12" s="715">
        <f t="shared" si="0"/>
        <v>6.17</v>
      </c>
      <c r="Q12" s="715"/>
      <c r="R12" s="715"/>
      <c r="S12" s="733">
        <f t="shared" si="1"/>
        <v>2.8657629999999998</v>
      </c>
      <c r="T12" s="715"/>
      <c r="U12" s="715"/>
      <c r="V12" s="715">
        <f t="shared" si="2"/>
        <v>9.0357629999999993</v>
      </c>
      <c r="W12" s="715"/>
      <c r="Z12" s="715"/>
      <c r="AA12" s="817"/>
      <c r="AB12" s="817"/>
      <c r="AD12" s="715"/>
      <c r="AE12" s="715"/>
    </row>
    <row r="13" spans="1:31" x14ac:dyDescent="0.35">
      <c r="A13" s="346" t="str">
        <f>Input!A6</f>
        <v>MSEX</v>
      </c>
      <c r="B13" s="346" t="str">
        <f>'Proxy Data Lookup'!B7</f>
        <v>Middlesex Water Company</v>
      </c>
      <c r="D13" s="715">
        <f>IFERROR(HLOOKUP(CONCATENATE($A13," US Equity"),'Proxy Prices'!$B$5:$H$71,67,FALSE)*100,"NA")</f>
        <v>1.6</v>
      </c>
      <c r="E13" s="715"/>
      <c r="F13" s="715"/>
      <c r="G13" s="720">
        <f>IFERROR('Proxy Data Lookup'!E7*100,"NA")</f>
        <v>5</v>
      </c>
      <c r="H13" s="715"/>
      <c r="I13" s="715"/>
      <c r="J13" s="816" t="str">
        <f>IFERROR('Proxy Data Lookup'!C7*100,"NA")</f>
        <v>NA</v>
      </c>
      <c r="K13" s="715"/>
      <c r="L13" s="715"/>
      <c r="M13" s="816">
        <f>IFERROR('Proxy Data Lookup'!D7*100,"NA")</f>
        <v>2.7</v>
      </c>
      <c r="N13" s="715"/>
      <c r="O13" s="715"/>
      <c r="P13" s="715">
        <f t="shared" si="0"/>
        <v>3.85</v>
      </c>
      <c r="Q13" s="715"/>
      <c r="R13" s="715"/>
      <c r="S13" s="733">
        <f t="shared" si="1"/>
        <v>1.6308</v>
      </c>
      <c r="T13" s="715"/>
      <c r="U13" s="715"/>
      <c r="V13" s="715">
        <f t="shared" si="2"/>
        <v>5.4808000000000003</v>
      </c>
      <c r="W13" s="818"/>
      <c r="Z13" s="715"/>
      <c r="AA13" s="817"/>
      <c r="AB13" s="817"/>
      <c r="AD13" s="715"/>
      <c r="AE13" s="715"/>
    </row>
    <row r="14" spans="1:31" x14ac:dyDescent="0.35">
      <c r="A14" s="346" t="str">
        <f>Input!A7</f>
        <v>SJW</v>
      </c>
      <c r="B14" s="346" t="str">
        <f>'Proxy Data Lookup'!B8</f>
        <v>SJW Group</v>
      </c>
      <c r="D14" s="715">
        <f>IFERROR(HLOOKUP(CONCATENATE($A14," US Equity"),'Proxy Prices'!$B$5:$H$71,67,FALSE)*100,"NA")</f>
        <v>2.06</v>
      </c>
      <c r="E14" s="715"/>
      <c r="F14" s="715"/>
      <c r="G14" s="720">
        <f>IFERROR('Proxy Data Lookup'!E8*100,"NA")</f>
        <v>6.5</v>
      </c>
      <c r="H14" s="715"/>
      <c r="I14" s="715"/>
      <c r="J14" s="816" t="str">
        <f>IFERROR('Proxy Data Lookup'!C8*100,"NA")</f>
        <v>NA</v>
      </c>
      <c r="K14" s="715"/>
      <c r="L14" s="715"/>
      <c r="M14" s="816">
        <f>IFERROR('Proxy Data Lookup'!D8*100,"NA")</f>
        <v>6.1</v>
      </c>
      <c r="N14" s="715"/>
      <c r="O14" s="715"/>
      <c r="P14" s="715">
        <f t="shared" si="0"/>
        <v>6.3</v>
      </c>
      <c r="Q14" s="715"/>
      <c r="R14" s="715"/>
      <c r="S14" s="733">
        <f t="shared" si="1"/>
        <v>2.1248900000000002</v>
      </c>
      <c r="T14" s="715"/>
      <c r="U14" s="715"/>
      <c r="V14" s="715">
        <f t="shared" si="2"/>
        <v>8.4248899999999995</v>
      </c>
      <c r="W14" s="715"/>
      <c r="Z14" s="715"/>
      <c r="AA14" s="817"/>
      <c r="AB14" s="817"/>
      <c r="AD14" s="715"/>
      <c r="AE14" s="715"/>
    </row>
    <row r="15" spans="1:31" x14ac:dyDescent="0.35">
      <c r="D15" s="715"/>
      <c r="E15" s="715"/>
      <c r="F15" s="715"/>
      <c r="G15" s="715"/>
      <c r="H15" s="715"/>
      <c r="I15" s="715"/>
      <c r="J15" s="816"/>
      <c r="K15" s="715"/>
      <c r="L15" s="715"/>
      <c r="M15" s="816"/>
      <c r="N15" s="715"/>
      <c r="O15" s="715"/>
      <c r="P15" s="715"/>
      <c r="Q15" s="715"/>
      <c r="R15" s="715"/>
      <c r="T15" s="715"/>
      <c r="U15" s="715"/>
      <c r="V15" s="819"/>
      <c r="Z15" s="820"/>
      <c r="AA15" s="821"/>
      <c r="AB15" s="821"/>
    </row>
    <row r="16" spans="1:31" ht="15.45" thickBot="1" x14ac:dyDescent="0.4">
      <c r="D16" s="715"/>
      <c r="E16" s="715"/>
      <c r="F16" s="715"/>
      <c r="G16" s="715"/>
      <c r="H16" s="715"/>
      <c r="I16" s="715"/>
      <c r="J16" s="715"/>
      <c r="K16" s="715"/>
      <c r="L16" s="715"/>
      <c r="M16" s="715"/>
      <c r="N16" s="715"/>
      <c r="O16" s="715"/>
      <c r="P16" s="715"/>
      <c r="Q16" s="715"/>
      <c r="R16" s="715"/>
      <c r="S16" s="670" t="s">
        <v>721</v>
      </c>
      <c r="T16" s="715"/>
      <c r="U16" s="715"/>
      <c r="V16" s="717">
        <f>ROUND(AVERAGE(V9:V14),2)</f>
        <v>8</v>
      </c>
      <c r="W16" s="346" t="s">
        <v>1197</v>
      </c>
      <c r="Y16" s="715">
        <f>AVERAGE(V14,V9:V12)</f>
        <v>8.4982778999999997</v>
      </c>
      <c r="Z16" s="346" t="s">
        <v>1214</v>
      </c>
      <c r="AA16" s="821"/>
      <c r="AB16" s="821"/>
    </row>
    <row r="17" spans="2:28" ht="15.45" thickTop="1" x14ac:dyDescent="0.35">
      <c r="D17" s="715"/>
      <c r="E17" s="715"/>
      <c r="F17" s="715"/>
      <c r="G17" s="715"/>
      <c r="H17" s="715"/>
      <c r="I17" s="715"/>
      <c r="J17" s="715"/>
      <c r="K17" s="715"/>
      <c r="L17" s="715"/>
      <c r="M17" s="715"/>
      <c r="N17" s="715"/>
      <c r="O17" s="715"/>
      <c r="P17" s="715"/>
      <c r="Q17" s="715"/>
      <c r="R17" s="715"/>
      <c r="T17" s="715"/>
      <c r="U17" s="715"/>
      <c r="V17" s="715"/>
      <c r="AA17" s="821"/>
      <c r="AB17" s="821"/>
    </row>
    <row r="18" spans="2:28" ht="15.45" thickBot="1" x14ac:dyDescent="0.4">
      <c r="D18" s="715"/>
      <c r="E18" s="715"/>
      <c r="F18" s="715"/>
      <c r="G18" s="715"/>
      <c r="H18" s="715"/>
      <c r="I18" s="715"/>
      <c r="J18" s="715"/>
      <c r="K18" s="715"/>
      <c r="L18" s="715"/>
      <c r="M18" s="715"/>
      <c r="N18" s="715"/>
      <c r="O18" s="715"/>
      <c r="P18" s="715"/>
      <c r="Q18" s="715"/>
      <c r="R18" s="715"/>
      <c r="S18" s="670" t="s">
        <v>723</v>
      </c>
      <c r="T18" s="715"/>
      <c r="U18" s="715"/>
      <c r="V18" s="717">
        <f>ROUND(MEDIAN(V9:V14),2)</f>
        <v>8.4600000000000009</v>
      </c>
      <c r="W18" s="346" t="s">
        <v>1197</v>
      </c>
      <c r="Y18" s="715">
        <f>MEDIAN(V14,V9:V12)</f>
        <v>8.492953</v>
      </c>
      <c r="Z18" s="346" t="s">
        <v>1215</v>
      </c>
    </row>
    <row r="19" spans="2:28" ht="15.45" thickTop="1" x14ac:dyDescent="0.35"/>
    <row r="20" spans="2:28" ht="15.45" thickBot="1" x14ac:dyDescent="0.4">
      <c r="S20" s="670" t="s">
        <v>1216</v>
      </c>
      <c r="V20" s="717">
        <f>ROUND(AVERAGE(V16:V18),2)</f>
        <v>8.23</v>
      </c>
      <c r="W20" s="346" t="s">
        <v>1197</v>
      </c>
    </row>
    <row r="21" spans="2:28" ht="15.45" thickTop="1" x14ac:dyDescent="0.35">
      <c r="S21" s="670"/>
      <c r="V21" s="715"/>
    </row>
    <row r="22" spans="2:28" ht="15.45" thickBot="1" x14ac:dyDescent="0.4">
      <c r="S22" s="670" t="s">
        <v>1217</v>
      </c>
      <c r="V22" s="717">
        <f>AVERAGE(Y16:Y18)</f>
        <v>8.495615449999999</v>
      </c>
      <c r="W22" s="346" t="s">
        <v>1197</v>
      </c>
    </row>
    <row r="23" spans="2:28" ht="15.45" thickTop="1" x14ac:dyDescent="0.35">
      <c r="S23" s="670"/>
    </row>
    <row r="24" spans="2:28" ht="15.45" thickBot="1" x14ac:dyDescent="0.4">
      <c r="S24" s="670" t="s">
        <v>1218</v>
      </c>
      <c r="V24" s="717">
        <f>AVERAGE(V20:V22)</f>
        <v>8.3628077249999997</v>
      </c>
      <c r="W24" s="346" t="s">
        <v>1197</v>
      </c>
    </row>
    <row r="25" spans="2:28" ht="15.45" thickTop="1" x14ac:dyDescent="0.35"/>
    <row r="26" spans="2:28" x14ac:dyDescent="0.35">
      <c r="E26" s="346" t="s">
        <v>1219</v>
      </c>
      <c r="P26" s="733"/>
      <c r="S26" s="733"/>
    </row>
    <row r="28" spans="2:28" x14ac:dyDescent="0.35">
      <c r="B28" s="670" t="s">
        <v>1164</v>
      </c>
    </row>
    <row r="29" spans="2:28" ht="33" customHeight="1" x14ac:dyDescent="0.35">
      <c r="C29" s="671" t="s">
        <v>1165</v>
      </c>
      <c r="D29" s="924" t="str">
        <f>CONCATENATE("Indicated dividend at ",TEXT(Input!E2,"mm/dd/yyyy")," divided by the average closing price of the last 60 trading days ending ",TEXT(Input!E2,"mm/dd/yyyy")," for each company.")</f>
        <v>Indicated dividend at 07/14/2023 divided by the average closing price of the last 60 trading days ending 07/14/2023 for each company.</v>
      </c>
      <c r="E29" s="924"/>
      <c r="F29" s="924"/>
      <c r="G29" s="924"/>
      <c r="H29" s="924"/>
      <c r="I29" s="924"/>
      <c r="J29" s="924"/>
      <c r="K29" s="924"/>
      <c r="L29" s="924"/>
      <c r="M29" s="924"/>
      <c r="N29" s="924"/>
      <c r="O29" s="924"/>
      <c r="P29" s="924"/>
      <c r="Q29" s="924"/>
      <c r="R29" s="924"/>
      <c r="S29" s="924"/>
      <c r="T29" s="924"/>
      <c r="U29" s="924"/>
      <c r="V29" s="924"/>
      <c r="W29" s="924"/>
    </row>
    <row r="30" spans="2:28" x14ac:dyDescent="0.35">
      <c r="C30" s="671" t="s">
        <v>1161</v>
      </c>
      <c r="D30" s="346" t="s">
        <v>1220</v>
      </c>
    </row>
    <row r="31" spans="2:28" ht="15" customHeight="1" x14ac:dyDescent="0.35">
      <c r="C31" s="654" t="s">
        <v>1163</v>
      </c>
      <c r="D31" s="346" t="s">
        <v>1221</v>
      </c>
    </row>
    <row r="32" spans="2:28" ht="50.25" customHeight="1" x14ac:dyDescent="0.35">
      <c r="C32" s="671" t="s">
        <v>1193</v>
      </c>
      <c r="D32" s="924" t="str">
        <f>CONCATENATE("This reflects a growth rate component equal to one-half the conclusion of growth rate (from column 5) x column 1 to reflect the periodic payment of dividends (Gordon Model) as opposed to the continuous payment.  Thus, for ",B9,", ",TEXT(D9,"#0.00"),"% x (1+( 1/2 x ",TEXT(P9,"#0.00"),"%) ) = ",TEXT(S9,"#0.00"),"%.")</f>
        <v>This reflects a growth rate component equal to one-half the conclusion of growth rate (from column 5) x column 1 to reflect the periodic payment of dividends (Gordon Model) as opposed to the continuous payment.  Thus, for American States Water Company, 1.79% x (1+( 1/2 x 5.73%) ) = 1.84%.</v>
      </c>
      <c r="E32" s="924"/>
      <c r="F32" s="924"/>
      <c r="G32" s="924"/>
      <c r="H32" s="924"/>
      <c r="I32" s="924"/>
      <c r="J32" s="924"/>
      <c r="K32" s="924"/>
      <c r="L32" s="924"/>
      <c r="M32" s="924"/>
      <c r="N32" s="924"/>
      <c r="O32" s="924"/>
      <c r="P32" s="924"/>
      <c r="Q32" s="924"/>
      <c r="R32" s="924"/>
      <c r="S32" s="924"/>
      <c r="T32" s="924"/>
      <c r="U32" s="924"/>
      <c r="V32" s="924"/>
      <c r="W32" s="924"/>
    </row>
    <row r="33" spans="2:23" x14ac:dyDescent="0.35">
      <c r="C33" s="654" t="s">
        <v>1222</v>
      </c>
      <c r="D33" s="346" t="s">
        <v>1223</v>
      </c>
    </row>
    <row r="34" spans="2:23" ht="35.25" customHeight="1" x14ac:dyDescent="0.35">
      <c r="C34" s="671" t="s">
        <v>1224</v>
      </c>
      <c r="D34" s="921" t="s">
        <v>1225</v>
      </c>
      <c r="E34" s="921"/>
      <c r="F34" s="921"/>
      <c r="G34" s="921"/>
      <c r="H34" s="921"/>
      <c r="I34" s="921"/>
      <c r="J34" s="921"/>
      <c r="K34" s="921"/>
      <c r="L34" s="921"/>
      <c r="M34" s="921"/>
      <c r="N34" s="921"/>
      <c r="O34" s="921"/>
      <c r="P34" s="921"/>
      <c r="Q34" s="921"/>
      <c r="R34" s="921"/>
      <c r="S34" s="921"/>
      <c r="T34" s="921"/>
      <c r="U34" s="921"/>
      <c r="V34" s="921"/>
      <c r="W34" s="921"/>
    </row>
    <row r="35" spans="2:23" x14ac:dyDescent="0.35">
      <c r="F35" s="712"/>
      <c r="G35" s="712"/>
      <c r="H35" s="712"/>
      <c r="I35" s="712"/>
      <c r="J35" s="712"/>
      <c r="K35" s="712"/>
      <c r="L35" s="712"/>
      <c r="M35" s="712"/>
      <c r="N35" s="712"/>
      <c r="O35" s="712"/>
      <c r="P35" s="712"/>
      <c r="Q35" s="712"/>
      <c r="R35" s="712"/>
      <c r="S35" s="712"/>
    </row>
    <row r="36" spans="2:23" x14ac:dyDescent="0.35">
      <c r="B36" s="670" t="s">
        <v>1174</v>
      </c>
      <c r="E36" s="346" t="s">
        <v>1226</v>
      </c>
    </row>
    <row r="37" spans="2:23" x14ac:dyDescent="0.35">
      <c r="E37" s="346" t="str">
        <f>CONCATENATE("www.zacks.com Downloaded on ",TEXT(Input!E2,"mm/dd/yyyy"))</f>
        <v>www.zacks.com Downloaded on 07/14/2023</v>
      </c>
    </row>
    <row r="38" spans="2:23" x14ac:dyDescent="0.35">
      <c r="E38" s="346" t="str">
        <f>CONCATENATE("www.yahoo.com Downloaded on ",TEXT(Input!E2,"mm/dd/yyyy"))</f>
        <v>www.yahoo.com Downloaded on 07/14/2023</v>
      </c>
    </row>
    <row r="39" spans="2:23" x14ac:dyDescent="0.35">
      <c r="W39" s="712"/>
    </row>
  </sheetData>
  <mergeCells count="6">
    <mergeCell ref="D34:W34"/>
    <mergeCell ref="B3:W3"/>
    <mergeCell ref="S5:T5"/>
    <mergeCell ref="V5:W5"/>
    <mergeCell ref="D29:W29"/>
    <mergeCell ref="D32:W32"/>
  </mergeCells>
  <printOptions horizontalCentered="1"/>
  <pageMargins left="0.7" right="0.7" top="0.75" bottom="0.75" header="0.3" footer="0.3"/>
  <pageSetup scale="71" orientation="landscape" horizontalDpi="4294967294"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4A011-61B9-4F57-A50A-F7D78F75C8E8}">
  <sheetPr>
    <pageSetUpPr fitToPage="1"/>
  </sheetPr>
  <dimension ref="A1:J34"/>
  <sheetViews>
    <sheetView view="pageBreakPreview" zoomScale="85" zoomScaleNormal="100" zoomScaleSheetLayoutView="85" workbookViewId="0">
      <selection sqref="A1:H1"/>
    </sheetView>
  </sheetViews>
  <sheetFormatPr defaultColWidth="12.3828125" defaultRowHeight="15" x14ac:dyDescent="0.35"/>
  <cols>
    <col min="1" max="1" width="9.84375" style="735" customWidth="1"/>
    <col min="2" max="2" width="6" style="735" customWidth="1"/>
    <col min="3" max="5" width="12.3828125" style="735" customWidth="1"/>
    <col min="6" max="6" width="8.53515625" style="735" customWidth="1"/>
    <col min="7" max="7" width="14.15234375" style="735" customWidth="1"/>
    <col min="8" max="8" width="5" style="735" customWidth="1"/>
    <col min="9" max="9" width="12.3828125" style="735"/>
    <col min="10" max="10" width="5" style="735" customWidth="1"/>
    <col min="11" max="16384" width="12.3828125" style="735"/>
  </cols>
  <sheetData>
    <row r="1" spans="1:10" x14ac:dyDescent="0.35">
      <c r="A1" s="920" t="str">
        <f>Input!G29</f>
        <v>City of Ansonia</v>
      </c>
      <c r="B1" s="920"/>
      <c r="C1" s="920"/>
      <c r="D1" s="920"/>
      <c r="E1" s="920"/>
      <c r="F1" s="920"/>
      <c r="G1" s="920"/>
      <c r="H1" s="920"/>
      <c r="I1" s="806"/>
      <c r="J1" s="806"/>
    </row>
    <row r="2" spans="1:10" x14ac:dyDescent="0.35">
      <c r="A2" s="926" t="s">
        <v>1227</v>
      </c>
      <c r="B2" s="926"/>
      <c r="C2" s="926"/>
      <c r="D2" s="926"/>
      <c r="E2" s="926"/>
      <c r="F2" s="926"/>
      <c r="G2" s="926"/>
      <c r="H2" s="926"/>
      <c r="I2" s="767"/>
      <c r="J2" s="767"/>
    </row>
    <row r="3" spans="1:10" x14ac:dyDescent="0.35">
      <c r="A3" s="926" t="s">
        <v>1228</v>
      </c>
      <c r="B3" s="926"/>
      <c r="C3" s="926"/>
      <c r="D3" s="926"/>
      <c r="E3" s="926"/>
      <c r="F3" s="926"/>
      <c r="G3" s="926"/>
      <c r="H3" s="926"/>
      <c r="I3" s="767"/>
      <c r="J3" s="767"/>
    </row>
    <row r="4" spans="1:10" x14ac:dyDescent="0.35">
      <c r="A4" s="920" t="s">
        <v>1229</v>
      </c>
      <c r="B4" s="920"/>
      <c r="C4" s="920"/>
      <c r="D4" s="920"/>
      <c r="E4" s="920"/>
      <c r="F4" s="920"/>
      <c r="G4" s="920"/>
      <c r="H4" s="920"/>
      <c r="I4" s="767"/>
      <c r="J4" s="767"/>
    </row>
    <row r="6" spans="1:10" ht="67.5" customHeight="1" x14ac:dyDescent="0.35">
      <c r="A6" s="734" t="s">
        <v>1177</v>
      </c>
      <c r="B6" s="734"/>
      <c r="G6" s="927" t="str">
        <f>Input!I32</f>
        <v>Proxy Group of Six Water Companies</v>
      </c>
      <c r="H6" s="927"/>
      <c r="I6" s="745"/>
      <c r="J6" s="745"/>
    </row>
    <row r="7" spans="1:10" x14ac:dyDescent="0.35">
      <c r="A7" s="736"/>
      <c r="B7" s="736"/>
      <c r="G7" s="745"/>
      <c r="H7" s="745"/>
    </row>
    <row r="8" spans="1:10" x14ac:dyDescent="0.35">
      <c r="G8" s="745"/>
      <c r="H8" s="745"/>
    </row>
    <row r="9" spans="1:10" x14ac:dyDescent="0.35">
      <c r="A9" s="736" t="s">
        <v>1180</v>
      </c>
      <c r="B9" s="736"/>
      <c r="C9" s="735" t="s">
        <v>1230</v>
      </c>
      <c r="G9" s="799"/>
    </row>
    <row r="10" spans="1:10" x14ac:dyDescent="0.35">
      <c r="A10" s="736"/>
      <c r="B10" s="736"/>
      <c r="C10" s="735" t="s">
        <v>1231</v>
      </c>
      <c r="G10" s="799">
        <f>'MRP WP1'!$M$37</f>
        <v>4.75</v>
      </c>
      <c r="H10" s="740" t="s">
        <v>1197</v>
      </c>
      <c r="I10" s="807"/>
      <c r="J10" s="740"/>
    </row>
    <row r="11" spans="1:10" x14ac:dyDescent="0.35">
      <c r="A11" s="736"/>
      <c r="B11" s="736"/>
      <c r="G11" s="799"/>
    </row>
    <row r="12" spans="1:10" x14ac:dyDescent="0.35">
      <c r="A12" s="736" t="s">
        <v>1184</v>
      </c>
      <c r="B12" s="736"/>
      <c r="C12" s="735" t="s">
        <v>1232</v>
      </c>
      <c r="G12" s="799"/>
    </row>
    <row r="13" spans="1:10" x14ac:dyDescent="0.35">
      <c r="A13" s="736"/>
      <c r="B13" s="736"/>
      <c r="C13" s="735" t="s">
        <v>1233</v>
      </c>
      <c r="G13" s="799"/>
    </row>
    <row r="14" spans="1:10" x14ac:dyDescent="0.35">
      <c r="A14" s="736"/>
      <c r="B14" s="736"/>
      <c r="C14" s="735" t="s">
        <v>1234</v>
      </c>
      <c r="G14" s="799"/>
    </row>
    <row r="15" spans="1:10" x14ac:dyDescent="0.35">
      <c r="A15" s="736"/>
      <c r="B15" s="736"/>
      <c r="C15" s="735" t="s">
        <v>1235</v>
      </c>
      <c r="G15" s="808">
        <f>'1.13 Moody''s Bond Yields'!I21</f>
        <v>0.69000000000000039</v>
      </c>
      <c r="H15" s="740" t="s">
        <v>1161</v>
      </c>
      <c r="I15" s="807"/>
      <c r="J15" s="740"/>
    </row>
    <row r="16" spans="1:10" x14ac:dyDescent="0.35">
      <c r="A16" s="736"/>
      <c r="B16" s="736"/>
      <c r="G16" s="799"/>
    </row>
    <row r="17" spans="1:10" x14ac:dyDescent="0.35">
      <c r="A17" s="736" t="s">
        <v>1186</v>
      </c>
      <c r="B17" s="736"/>
      <c r="C17" s="735" t="s">
        <v>1236</v>
      </c>
      <c r="G17" s="743"/>
    </row>
    <row r="18" spans="1:10" x14ac:dyDescent="0.35">
      <c r="A18" s="736"/>
      <c r="B18" s="736"/>
      <c r="C18" s="735" t="s">
        <v>1237</v>
      </c>
      <c r="G18" s="743">
        <f>SUM(G10:G15)</f>
        <v>5.44</v>
      </c>
      <c r="H18" s="809" t="s">
        <v>1197</v>
      </c>
      <c r="I18" s="809"/>
      <c r="J18" s="809"/>
    </row>
    <row r="19" spans="1:10" x14ac:dyDescent="0.35">
      <c r="A19" s="736"/>
      <c r="B19" s="736"/>
      <c r="G19" s="799"/>
      <c r="H19" s="809"/>
      <c r="J19" s="809"/>
    </row>
    <row r="20" spans="1:10" x14ac:dyDescent="0.35">
      <c r="A20" s="761" t="s">
        <v>1238</v>
      </c>
      <c r="B20" s="736"/>
      <c r="C20" s="735" t="s">
        <v>1239</v>
      </c>
      <c r="G20" s="799"/>
      <c r="H20" s="809"/>
      <c r="J20" s="809"/>
    </row>
    <row r="21" spans="1:10" x14ac:dyDescent="0.35">
      <c r="A21" s="761"/>
      <c r="B21" s="736"/>
      <c r="C21" s="735" t="s">
        <v>1240</v>
      </c>
      <c r="G21" s="808">
        <f>'1.13 Moody''s Bond Yields'!I24*(1/3)</f>
        <v>0.11666666666666665</v>
      </c>
      <c r="H21" s="809"/>
      <c r="J21" s="809"/>
    </row>
    <row r="22" spans="1:10" x14ac:dyDescent="0.35">
      <c r="A22" s="761"/>
      <c r="B22" s="736"/>
      <c r="G22" s="799"/>
      <c r="H22" s="809"/>
      <c r="J22" s="809"/>
    </row>
    <row r="23" spans="1:10" x14ac:dyDescent="0.35">
      <c r="A23" s="761" t="s">
        <v>1189</v>
      </c>
      <c r="B23" s="736"/>
      <c r="C23" s="735" t="s">
        <v>1241</v>
      </c>
      <c r="G23" s="799">
        <f>SUM(G18,G21)</f>
        <v>5.5566666666666666</v>
      </c>
      <c r="H23" s="809"/>
      <c r="J23" s="809"/>
    </row>
    <row r="24" spans="1:10" x14ac:dyDescent="0.35">
      <c r="A24" s="736"/>
      <c r="B24" s="736"/>
      <c r="G24" s="799"/>
      <c r="H24" s="809"/>
      <c r="J24" s="809"/>
    </row>
    <row r="25" spans="1:10" x14ac:dyDescent="0.35">
      <c r="A25" s="761" t="s">
        <v>1242</v>
      </c>
      <c r="B25" s="736"/>
      <c r="C25" s="735" t="s">
        <v>1243</v>
      </c>
      <c r="G25" s="808">
        <f>'1.16 ERP Determination'!E21</f>
        <v>5.66</v>
      </c>
      <c r="H25" s="809"/>
      <c r="I25" s="807"/>
      <c r="J25" s="809"/>
    </row>
    <row r="26" spans="1:10" x14ac:dyDescent="0.35">
      <c r="A26" s="736"/>
      <c r="B26" s="736"/>
      <c r="G26" s="799"/>
      <c r="H26" s="809" t="s">
        <v>1244</v>
      </c>
      <c r="J26" s="809"/>
    </row>
    <row r="27" spans="1:10" x14ac:dyDescent="0.35">
      <c r="A27" s="761" t="s">
        <v>1245</v>
      </c>
      <c r="B27" s="736"/>
      <c r="C27" s="735" t="s">
        <v>1246</v>
      </c>
      <c r="G27" s="799"/>
      <c r="H27" s="809"/>
      <c r="J27" s="809"/>
    </row>
    <row r="28" spans="1:10" ht="15.45" thickBot="1" x14ac:dyDescent="0.4">
      <c r="A28" s="736"/>
      <c r="B28" s="736"/>
      <c r="C28" s="735" t="s">
        <v>1247</v>
      </c>
      <c r="G28" s="810">
        <f>SUM(G23:G25)</f>
        <v>11.216666666666667</v>
      </c>
      <c r="H28" s="809" t="s">
        <v>1197</v>
      </c>
      <c r="I28" s="809"/>
      <c r="J28" s="809"/>
    </row>
    <row r="29" spans="1:10" ht="15.45" thickTop="1" x14ac:dyDescent="0.35">
      <c r="A29" s="736"/>
      <c r="B29" s="736"/>
    </row>
    <row r="30" spans="1:10" x14ac:dyDescent="0.35">
      <c r="A30" s="736"/>
      <c r="B30" s="736"/>
    </row>
    <row r="31" spans="1:10" ht="33" customHeight="1" x14ac:dyDescent="0.35">
      <c r="A31" s="748" t="s">
        <v>1248</v>
      </c>
      <c r="B31" s="811" t="s">
        <v>1165</v>
      </c>
      <c r="C31" s="925" t="s">
        <v>1249</v>
      </c>
      <c r="D31" s="925"/>
      <c r="E31" s="925"/>
      <c r="F31" s="925"/>
      <c r="G31" s="925"/>
      <c r="H31" s="925"/>
    </row>
    <row r="32" spans="1:10" ht="33" customHeight="1" x14ac:dyDescent="0.35">
      <c r="A32" s="751"/>
      <c r="B32" s="812" t="s">
        <v>1161</v>
      </c>
      <c r="C32" s="925" t="str">
        <f>CONCATENATE("The average yield spread of A2 rated public utility bonds over Aaa rated corporate bonds of ",TEXT('1.13 Moody''s Bond Yields'!I21,"#0.00"),"% from page 13 of this Appendix.")</f>
        <v>The average yield spread of A2 rated public utility bonds over Aaa rated corporate bonds of 0.69% from page 13 of this Appendix.</v>
      </c>
      <c r="D32" s="925"/>
      <c r="E32" s="925"/>
      <c r="F32" s="925"/>
      <c r="G32" s="925"/>
      <c r="H32" s="925"/>
    </row>
    <row r="33" spans="1:8" ht="78.75" customHeight="1" x14ac:dyDescent="0.35">
      <c r="A33" s="751"/>
      <c r="B33" s="812" t="s">
        <v>1163</v>
      </c>
      <c r="C33" s="925" t="str">
        <f>CONCATENATE("Adjustment to reflect the A3 Moody's LT issuer rating of the Utility Proxy Group as shown on page 14 of this Appendix.  The ",TEXT(G21,"#0.00"),"% upward adjustment is derived by taking 1/3 of the spread between A2 and Baa2 Public Utility Bonds (1/3 * ",'1.13 Moody''s Bond Yields'!I24,"% = ",TEXT('1.12 Risk Premium Summary'!G21,"#0.00"),"%) as derived from page 13 of this Appendix.")</f>
        <v>Adjustment to reflect the A3 Moody's LT issuer rating of the Utility Proxy Group as shown on page 14 of this Appendix.  The 0.12% upward adjustment is derived by taking 1/3 of the spread between A2 and Baa2 Public Utility Bonds (1/3 * 0.35% = 0.12%) as derived from page 13 of this Appendix.</v>
      </c>
      <c r="D33" s="925"/>
      <c r="E33" s="925"/>
      <c r="F33" s="925"/>
      <c r="G33" s="925"/>
      <c r="H33" s="925"/>
    </row>
    <row r="34" spans="1:8" ht="15" customHeight="1" x14ac:dyDescent="0.35">
      <c r="B34" s="812" t="s">
        <v>1193</v>
      </c>
      <c r="C34" s="925" t="s">
        <v>1250</v>
      </c>
      <c r="D34" s="925"/>
      <c r="E34" s="925"/>
      <c r="F34" s="925"/>
      <c r="G34" s="925"/>
      <c r="H34" s="925"/>
    </row>
  </sheetData>
  <mergeCells count="9">
    <mergeCell ref="C32:H32"/>
    <mergeCell ref="C33:H33"/>
    <mergeCell ref="C34:H34"/>
    <mergeCell ref="A1:H1"/>
    <mergeCell ref="A2:H2"/>
    <mergeCell ref="A3:H3"/>
    <mergeCell ref="A4:H4"/>
    <mergeCell ref="G6:H6"/>
    <mergeCell ref="C31:H31"/>
  </mergeCells>
  <printOptions horizontalCentered="1"/>
  <pageMargins left="1" right="1" top="1" bottom="1" header="0.5" footer="0"/>
  <pageSetup scale="98" orientation="portrait" horizontalDpi="4294967293"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8D248-4C4D-4A4E-83B9-234BE7E8AAC3}">
  <sheetPr>
    <pageSetUpPr fitToPage="1"/>
  </sheetPr>
  <dimension ref="A1:M31"/>
  <sheetViews>
    <sheetView view="pageBreakPreview" zoomScale="85" zoomScaleNormal="100" zoomScaleSheetLayoutView="85" workbookViewId="0">
      <selection sqref="A1:K1"/>
    </sheetView>
  </sheetViews>
  <sheetFormatPr defaultColWidth="12.3828125" defaultRowHeight="15" x14ac:dyDescent="0.35"/>
  <cols>
    <col min="1" max="1" width="13.3828125" style="735" customWidth="1"/>
    <col min="2" max="2" width="3.3828125" style="735" customWidth="1"/>
    <col min="3" max="3" width="12.3828125" style="735" customWidth="1"/>
    <col min="4" max="4" width="4.15234375" style="735" customWidth="1"/>
    <col min="5" max="5" width="3.3828125" style="735" customWidth="1"/>
    <col min="6" max="6" width="12" style="735" customWidth="1"/>
    <col min="7" max="7" width="3.3828125" style="735" customWidth="1"/>
    <col min="8" max="8" width="2.84375" style="735" customWidth="1"/>
    <col min="9" max="9" width="12.84375" style="735" customWidth="1"/>
    <col min="10" max="10" width="3.3828125" style="735" bestFit="1" customWidth="1"/>
    <col min="11" max="11" width="3" style="735" customWidth="1"/>
    <col min="12" max="12" width="12.3828125" style="735" customWidth="1"/>
    <col min="13" max="13" width="7" style="735" bestFit="1" customWidth="1"/>
    <col min="14" max="21" width="12.3828125" style="735" customWidth="1"/>
    <col min="22" max="16384" width="12.3828125" style="735"/>
  </cols>
  <sheetData>
    <row r="1" spans="1:13" x14ac:dyDescent="0.35">
      <c r="A1" s="920" t="str">
        <f>Input!G29</f>
        <v>City of Ansonia</v>
      </c>
      <c r="B1" s="920"/>
      <c r="C1" s="920"/>
      <c r="D1" s="920"/>
      <c r="E1" s="920"/>
      <c r="F1" s="920"/>
      <c r="G1" s="920"/>
      <c r="H1" s="920"/>
      <c r="I1" s="920"/>
      <c r="J1" s="920"/>
      <c r="K1" s="920"/>
      <c r="L1" s="780"/>
      <c r="M1" s="780"/>
    </row>
    <row r="2" spans="1:13" x14ac:dyDescent="0.35">
      <c r="A2" s="926" t="s">
        <v>1251</v>
      </c>
      <c r="B2" s="926"/>
      <c r="C2" s="926"/>
      <c r="D2" s="926"/>
      <c r="E2" s="926"/>
      <c r="F2" s="926"/>
      <c r="G2" s="926"/>
      <c r="H2" s="926"/>
      <c r="I2" s="926"/>
      <c r="J2" s="926"/>
      <c r="K2" s="926"/>
    </row>
    <row r="3" spans="1:13" x14ac:dyDescent="0.35">
      <c r="A3" s="920" t="s">
        <v>1252</v>
      </c>
      <c r="B3" s="920"/>
      <c r="C3" s="920"/>
      <c r="D3" s="920"/>
      <c r="E3" s="920"/>
      <c r="F3" s="920"/>
      <c r="G3" s="920"/>
      <c r="H3" s="920"/>
      <c r="I3" s="920"/>
      <c r="J3" s="920"/>
      <c r="K3" s="920"/>
      <c r="L3" s="780"/>
      <c r="M3" s="780"/>
    </row>
    <row r="4" spans="1:13" x14ac:dyDescent="0.35">
      <c r="A4" s="793"/>
      <c r="B4" s="793"/>
      <c r="C4" s="793"/>
      <c r="D4" s="793"/>
      <c r="E4" s="793"/>
      <c r="F4" s="755"/>
      <c r="G4" s="755"/>
      <c r="H4" s="755"/>
      <c r="I4" s="755"/>
    </row>
    <row r="5" spans="1:13" ht="15" customHeight="1" x14ac:dyDescent="0.35">
      <c r="A5" s="793"/>
      <c r="B5" s="793"/>
      <c r="C5" s="793"/>
      <c r="D5" s="793"/>
      <c r="E5" s="793"/>
      <c r="F5" s="755"/>
      <c r="G5" s="755"/>
      <c r="H5" s="755"/>
      <c r="I5" s="755"/>
    </row>
    <row r="6" spans="1:13" x14ac:dyDescent="0.35">
      <c r="A6" s="920" t="s">
        <v>1253</v>
      </c>
      <c r="B6" s="920"/>
      <c r="C6" s="920"/>
      <c r="D6" s="920"/>
      <c r="E6" s="920"/>
      <c r="F6" s="920"/>
      <c r="G6" s="920"/>
      <c r="H6" s="920"/>
      <c r="I6" s="920"/>
      <c r="J6" s="920"/>
      <c r="K6" s="920"/>
      <c r="L6" s="780"/>
      <c r="M6" s="780"/>
    </row>
    <row r="7" spans="1:13" x14ac:dyDescent="0.35">
      <c r="A7" s="734"/>
      <c r="B7" s="734"/>
      <c r="C7" s="734"/>
      <c r="D7" s="734"/>
      <c r="E7" s="734"/>
      <c r="F7" s="734"/>
      <c r="G7" s="734"/>
      <c r="H7" s="734"/>
      <c r="I7" s="734"/>
      <c r="J7" s="734"/>
      <c r="K7" s="734"/>
      <c r="L7" s="734"/>
      <c r="M7" s="734"/>
    </row>
    <row r="8" spans="1:13" x14ac:dyDescent="0.35">
      <c r="A8" s="734"/>
      <c r="B8" s="734"/>
      <c r="C8" s="926" t="s">
        <v>15</v>
      </c>
      <c r="D8" s="926"/>
      <c r="E8" s="736"/>
      <c r="F8" s="926" t="s">
        <v>16</v>
      </c>
      <c r="G8" s="926"/>
      <c r="H8" s="736"/>
      <c r="I8" s="926" t="s">
        <v>17</v>
      </c>
      <c r="J8" s="926"/>
    </row>
    <row r="10" spans="1:13" s="736" customFormat="1" ht="50.25" customHeight="1" x14ac:dyDescent="0.35">
      <c r="A10" s="794"/>
      <c r="C10" s="928" t="s">
        <v>1254</v>
      </c>
      <c r="D10" s="928"/>
      <c r="E10" s="768"/>
      <c r="F10" s="928" t="s">
        <v>1255</v>
      </c>
      <c r="G10" s="928"/>
      <c r="H10" s="795"/>
      <c r="I10" s="928" t="s">
        <v>1256</v>
      </c>
      <c r="J10" s="928"/>
    </row>
    <row r="11" spans="1:13" s="736" customFormat="1" x14ac:dyDescent="0.35">
      <c r="A11" s="794"/>
      <c r="C11" s="795"/>
      <c r="D11" s="795"/>
      <c r="E11" s="768"/>
      <c r="F11" s="795"/>
      <c r="G11" s="795"/>
      <c r="H11" s="795"/>
      <c r="I11" s="795"/>
      <c r="J11" s="795"/>
    </row>
    <row r="12" spans="1:13" x14ac:dyDescent="0.35">
      <c r="A12" s="796">
        <f>'Market Data'!B1</f>
        <v>45107</v>
      </c>
      <c r="C12" s="797">
        <f>'Market Data'!B4</f>
        <v>4.6500000000000004</v>
      </c>
      <c r="D12" s="735" t="s">
        <v>1197</v>
      </c>
      <c r="E12" s="798"/>
      <c r="F12" s="797">
        <f>'Market Data'!B2</f>
        <v>5.38</v>
      </c>
      <c r="G12" s="735" t="s">
        <v>1197</v>
      </c>
      <c r="H12" s="798"/>
      <c r="I12" s="797">
        <f>'Market Data'!B3</f>
        <v>5.73</v>
      </c>
      <c r="J12" s="735" t="s">
        <v>1197</v>
      </c>
    </row>
    <row r="13" spans="1:13" x14ac:dyDescent="0.35">
      <c r="A13" s="796">
        <f>'Market Data'!C1</f>
        <v>45077</v>
      </c>
      <c r="C13" s="797">
        <f>'Market Data'!C4</f>
        <v>4.67</v>
      </c>
      <c r="D13" s="799"/>
      <c r="E13" s="799"/>
      <c r="F13" s="797">
        <f>'Market Data'!C2</f>
        <v>5.36</v>
      </c>
      <c r="G13" s="797"/>
      <c r="H13" s="797"/>
      <c r="I13" s="797">
        <f>'Market Data'!C3</f>
        <v>5.71</v>
      </c>
      <c r="J13" s="743"/>
    </row>
    <row r="14" spans="1:13" x14ac:dyDescent="0.35">
      <c r="A14" s="796">
        <f>'Market Data'!D1</f>
        <v>45046</v>
      </c>
      <c r="C14" s="800">
        <f>'Market Data'!D4</f>
        <v>4.47</v>
      </c>
      <c r="D14" s="799"/>
      <c r="E14" s="799"/>
      <c r="F14" s="800">
        <f>'Market Data'!D2</f>
        <v>5.13</v>
      </c>
      <c r="G14" s="797"/>
      <c r="H14" s="797"/>
      <c r="I14" s="800">
        <f>'Market Data'!D3</f>
        <v>5.47</v>
      </c>
      <c r="J14" s="743"/>
    </row>
    <row r="16" spans="1:13" ht="15.45" thickBot="1" x14ac:dyDescent="0.4">
      <c r="A16" s="735" t="s">
        <v>721</v>
      </c>
      <c r="C16" s="801">
        <f>ROUND(AVERAGE(C12:C14),2)</f>
        <v>4.5999999999999996</v>
      </c>
      <c r="D16" s="735" t="s">
        <v>1197</v>
      </c>
      <c r="F16" s="801">
        <f>ROUND(AVERAGE(F12:F14),2)</f>
        <v>5.29</v>
      </c>
      <c r="G16" s="735" t="s">
        <v>1197</v>
      </c>
      <c r="I16" s="801">
        <f>ROUND(AVERAGE(I12:I14),2)</f>
        <v>5.64</v>
      </c>
      <c r="J16" s="735" t="s">
        <v>1197</v>
      </c>
    </row>
    <row r="17" spans="1:13" ht="15.45" thickTop="1" x14ac:dyDescent="0.35"/>
    <row r="18" spans="1:13" x14ac:dyDescent="0.35">
      <c r="A18" s="920" t="s">
        <v>1257</v>
      </c>
      <c r="B18" s="920"/>
      <c r="C18" s="920"/>
      <c r="D18" s="920"/>
      <c r="E18" s="920"/>
      <c r="F18" s="920"/>
      <c r="G18" s="920"/>
      <c r="H18" s="920"/>
      <c r="I18" s="920"/>
      <c r="J18" s="920"/>
      <c r="K18" s="920"/>
      <c r="L18" s="780"/>
      <c r="M18" s="780"/>
    </row>
    <row r="19" spans="1:13" x14ac:dyDescent="0.35">
      <c r="L19" s="734"/>
    </row>
    <row r="20" spans="1:13" x14ac:dyDescent="0.35">
      <c r="A20" s="802" t="s">
        <v>1258</v>
      </c>
    </row>
    <row r="21" spans="1:13" ht="15.45" thickBot="1" x14ac:dyDescent="0.4">
      <c r="A21" s="802"/>
      <c r="I21" s="801">
        <f>F16-C16</f>
        <v>0.69000000000000039</v>
      </c>
      <c r="J21" s="803" t="s">
        <v>1259</v>
      </c>
    </row>
    <row r="22" spans="1:13" ht="15.45" thickTop="1" x14ac:dyDescent="0.35">
      <c r="A22" s="802"/>
    </row>
    <row r="23" spans="1:13" x14ac:dyDescent="0.35">
      <c r="A23" s="802" t="s">
        <v>1260</v>
      </c>
    </row>
    <row r="24" spans="1:13" ht="15.45" thickBot="1" x14ac:dyDescent="0.4">
      <c r="I24" s="801">
        <f>ROUND(I16-F16,2)</f>
        <v>0.35</v>
      </c>
      <c r="J24" s="740" t="s">
        <v>1261</v>
      </c>
    </row>
    <row r="25" spans="1:13" ht="15.45" thickTop="1" x14ac:dyDescent="0.35">
      <c r="L25" s="763"/>
      <c r="M25" s="740"/>
    </row>
    <row r="26" spans="1:13" x14ac:dyDescent="0.35">
      <c r="A26" s="773" t="s">
        <v>1164</v>
      </c>
      <c r="L26" s="763"/>
      <c r="M26" s="740"/>
    </row>
    <row r="27" spans="1:13" x14ac:dyDescent="0.35">
      <c r="A27" s="804" t="s">
        <v>1165</v>
      </c>
      <c r="B27" s="735" t="s">
        <v>1262</v>
      </c>
      <c r="L27" s="763"/>
      <c r="M27" s="740"/>
    </row>
    <row r="28" spans="1:13" x14ac:dyDescent="0.35">
      <c r="A28" s="804" t="s">
        <v>1161</v>
      </c>
      <c r="B28" s="735" t="s">
        <v>1263</v>
      </c>
      <c r="L28" s="763"/>
      <c r="M28" s="740"/>
    </row>
    <row r="30" spans="1:13" x14ac:dyDescent="0.35">
      <c r="A30" s="735" t="s">
        <v>1174</v>
      </c>
    </row>
    <row r="31" spans="1:13" x14ac:dyDescent="0.35">
      <c r="A31" s="805" t="s">
        <v>1264</v>
      </c>
    </row>
  </sheetData>
  <mergeCells count="11">
    <mergeCell ref="C10:D10"/>
    <mergeCell ref="F10:G10"/>
    <mergeCell ref="I10:J10"/>
    <mergeCell ref="A18:K18"/>
    <mergeCell ref="A1:K1"/>
    <mergeCell ref="A2:K2"/>
    <mergeCell ref="A3:K3"/>
    <mergeCell ref="A6:K6"/>
    <mergeCell ref="C8:D8"/>
    <mergeCell ref="F8:G8"/>
    <mergeCell ref="I8:J8"/>
  </mergeCells>
  <printOptions horizontalCentered="1"/>
  <pageMargins left="1" right="1" top="1" bottom="1" header="0.5" footer="0.5"/>
  <pageSetup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4AC37-E074-4EDB-B83F-0A3E33AFDCA9}">
  <sheetPr>
    <pageSetUpPr fitToPage="1"/>
  </sheetPr>
  <dimension ref="A1:R169"/>
  <sheetViews>
    <sheetView view="pageBreakPreview" zoomScale="85" zoomScaleNormal="100" zoomScaleSheetLayoutView="85" workbookViewId="0"/>
  </sheetViews>
  <sheetFormatPr defaultColWidth="9.15234375" defaultRowHeight="15" x14ac:dyDescent="0.35"/>
  <cols>
    <col min="1" max="1" width="9.15234375" style="735"/>
    <col min="2" max="2" width="30" style="735" customWidth="1"/>
    <col min="3" max="4" width="5.69140625" style="735" customWidth="1"/>
    <col min="5" max="5" width="12.53515625" style="735" customWidth="1"/>
    <col min="6" max="6" width="5.15234375" style="735" customWidth="1"/>
    <col min="7" max="7" width="15.3828125" style="735" customWidth="1"/>
    <col min="8" max="8" width="4.3828125" style="735" customWidth="1"/>
    <col min="9" max="9" width="14" style="735" customWidth="1"/>
    <col min="10" max="10" width="4.15234375" style="735" customWidth="1"/>
    <col min="11" max="11" width="16.3828125" style="735" customWidth="1"/>
    <col min="12" max="16384" width="9.15234375" style="735"/>
  </cols>
  <sheetData>
    <row r="1" spans="1:18" x14ac:dyDescent="0.35">
      <c r="B1" s="920" t="str">
        <f>Input!G29</f>
        <v>City of Ansonia</v>
      </c>
      <c r="C1" s="920"/>
      <c r="D1" s="920"/>
      <c r="E1" s="920"/>
      <c r="F1" s="920"/>
      <c r="G1" s="920"/>
      <c r="H1" s="920"/>
      <c r="I1" s="920"/>
      <c r="J1" s="920"/>
      <c r="K1" s="920"/>
      <c r="L1" s="767"/>
      <c r="M1" s="767"/>
      <c r="N1" s="767"/>
      <c r="O1" s="767"/>
      <c r="P1" s="767"/>
      <c r="Q1" s="767"/>
      <c r="R1" s="767"/>
    </row>
    <row r="2" spans="1:18" x14ac:dyDescent="0.35">
      <c r="B2" s="926" t="s">
        <v>1265</v>
      </c>
      <c r="C2" s="926"/>
      <c r="D2" s="926"/>
      <c r="E2" s="926"/>
      <c r="F2" s="926"/>
      <c r="G2" s="926"/>
      <c r="H2" s="926"/>
      <c r="I2" s="926"/>
      <c r="J2" s="926"/>
      <c r="K2" s="926"/>
      <c r="L2" s="767"/>
      <c r="M2" s="767"/>
      <c r="N2" s="767"/>
      <c r="O2" s="767"/>
      <c r="P2" s="767"/>
      <c r="Q2" s="767"/>
      <c r="R2" s="767"/>
    </row>
    <row r="3" spans="1:18" x14ac:dyDescent="0.35">
      <c r="B3" s="920" t="str">
        <f>'1.12 Risk Premium Summary'!G6</f>
        <v>Proxy Group of Six Water Companies</v>
      </c>
      <c r="C3" s="926"/>
      <c r="D3" s="926"/>
      <c r="E3" s="926"/>
      <c r="F3" s="926"/>
      <c r="G3" s="926"/>
      <c r="H3" s="926"/>
      <c r="I3" s="926"/>
      <c r="J3" s="926"/>
      <c r="K3" s="926"/>
      <c r="L3" s="767"/>
      <c r="M3" s="767"/>
      <c r="N3" s="767"/>
      <c r="O3" s="767"/>
      <c r="P3" s="767"/>
      <c r="Q3" s="767"/>
      <c r="R3" s="767"/>
    </row>
    <row r="4" spans="1:18" x14ac:dyDescent="0.35">
      <c r="B4" s="736"/>
      <c r="C4" s="736"/>
      <c r="D4" s="736"/>
      <c r="E4" s="736"/>
      <c r="F4" s="736"/>
      <c r="G4" s="736"/>
      <c r="H4" s="736"/>
      <c r="I4" s="736"/>
      <c r="J4" s="736"/>
      <c r="K4" s="736"/>
      <c r="L4" s="767"/>
      <c r="M4" s="767"/>
      <c r="N4" s="767"/>
      <c r="O4" s="767"/>
      <c r="P4" s="767"/>
      <c r="Q4" s="767"/>
      <c r="R4" s="767"/>
    </row>
    <row r="6" spans="1:18" x14ac:dyDescent="0.35">
      <c r="E6" s="774" t="s">
        <v>1171</v>
      </c>
      <c r="F6" s="774"/>
      <c r="G6" s="775"/>
      <c r="I6" s="929" t="s">
        <v>1266</v>
      </c>
      <c r="J6" s="929"/>
      <c r="K6" s="929"/>
    </row>
    <row r="7" spans="1:18" ht="15" customHeight="1" x14ac:dyDescent="0.35">
      <c r="E7" s="774" t="s">
        <v>1267</v>
      </c>
      <c r="F7" s="774"/>
      <c r="G7" s="775"/>
      <c r="I7" s="774" t="s">
        <v>1267</v>
      </c>
      <c r="J7" s="774"/>
      <c r="K7" s="774"/>
    </row>
    <row r="8" spans="1:18" x14ac:dyDescent="0.35">
      <c r="C8" s="767"/>
      <c r="D8" s="767"/>
      <c r="E8" s="777" t="str">
        <f>TEXT(Input!E2,"mmmm yyyy")</f>
        <v>July 2023</v>
      </c>
      <c r="F8" s="774"/>
      <c r="G8" s="775"/>
      <c r="I8" s="777" t="str">
        <f>E8</f>
        <v>July 2023</v>
      </c>
      <c r="J8" s="774"/>
      <c r="K8" s="774"/>
      <c r="L8" s="767"/>
      <c r="M8" s="767"/>
      <c r="N8" s="767"/>
      <c r="O8" s="767"/>
      <c r="P8" s="767"/>
      <c r="Q8" s="767"/>
      <c r="R8" s="767"/>
    </row>
    <row r="9" spans="1:18" x14ac:dyDescent="0.35">
      <c r="C9" s="767"/>
      <c r="D9" s="767"/>
      <c r="G9" s="769"/>
      <c r="H9" s="767"/>
      <c r="L9" s="767"/>
      <c r="M9" s="767"/>
      <c r="N9" s="767"/>
      <c r="O9" s="767"/>
      <c r="P9" s="767"/>
      <c r="Q9" s="767"/>
      <c r="R9" s="767"/>
    </row>
    <row r="10" spans="1:18" ht="15" customHeight="1" x14ac:dyDescent="0.35">
      <c r="B10" s="767"/>
      <c r="C10" s="767"/>
      <c r="D10" s="767"/>
      <c r="E10" s="736"/>
      <c r="G10" s="778"/>
      <c r="I10" s="736"/>
      <c r="K10" s="736"/>
      <c r="L10" s="767"/>
      <c r="M10" s="767"/>
      <c r="N10" s="767"/>
      <c r="O10" s="767"/>
      <c r="P10" s="767"/>
      <c r="Q10" s="767"/>
      <c r="R10" s="767"/>
    </row>
    <row r="11" spans="1:18" ht="53.25" customHeight="1" x14ac:dyDescent="0.35">
      <c r="B11" s="779" t="str">
        <f>B3</f>
        <v>Proxy Group of Six Water Companies</v>
      </c>
      <c r="C11" s="767"/>
      <c r="D11" s="767"/>
      <c r="E11" s="737" t="s">
        <v>1268</v>
      </c>
      <c r="F11" s="780"/>
      <c r="G11" s="781" t="s">
        <v>1269</v>
      </c>
      <c r="H11" s="780"/>
      <c r="I11" s="737" t="str">
        <f>E11</f>
        <v>Long-Term Issuer Rating (1)</v>
      </c>
      <c r="J11" s="780"/>
      <c r="K11" s="781" t="s">
        <v>1269</v>
      </c>
      <c r="L11" s="767"/>
      <c r="M11" s="767"/>
      <c r="N11" s="767"/>
      <c r="O11" s="767"/>
      <c r="P11" s="767"/>
      <c r="Q11" s="767"/>
      <c r="R11" s="767"/>
    </row>
    <row r="12" spans="1:18" x14ac:dyDescent="0.35">
      <c r="B12" s="745"/>
      <c r="C12" s="745"/>
      <c r="D12" s="767"/>
      <c r="E12" s="736"/>
      <c r="F12" s="736"/>
      <c r="G12" s="778"/>
      <c r="H12" s="736"/>
      <c r="I12" s="736"/>
      <c r="J12" s="736"/>
      <c r="K12" s="782"/>
      <c r="L12" s="767"/>
      <c r="M12" s="783"/>
      <c r="N12" s="783"/>
      <c r="O12" s="784"/>
      <c r="P12" s="767"/>
      <c r="Q12" s="767"/>
      <c r="R12" s="767"/>
    </row>
    <row r="13" spans="1:18" x14ac:dyDescent="0.35">
      <c r="A13" s="735" t="str">
        <f>Input!A2</f>
        <v>AWR</v>
      </c>
      <c r="B13" s="753" t="str">
        <f>'Proxy Data Lookup'!B3</f>
        <v>American States Water Company</v>
      </c>
      <c r="C13" s="785"/>
      <c r="D13" s="753"/>
      <c r="E13" s="736" t="str">
        <f>'Proxy Data Lookup'!I3</f>
        <v>A2</v>
      </c>
      <c r="F13" s="736"/>
      <c r="G13" s="786">
        <f>IFERROR(INDEX('1.15 MOODY_S&amp;P numbericl'!D$6:D$26,MATCH('1.14 Bond Ratings'!E13,'1.15 MOODY_S&amp;P numbericl'!B$6:B$26,0)), " - -")</f>
        <v>6</v>
      </c>
      <c r="H13" s="736"/>
      <c r="I13" s="736" t="str">
        <f>'Proxy Data Lookup'!H3</f>
        <v>A+</v>
      </c>
      <c r="J13" s="736"/>
      <c r="K13" s="786">
        <f>IFERROR(INDEX('1.15 MOODY_S&amp;P numbericl'!H$6:H$26,MATCH('1.14 Bond Ratings'!I13,'1.15 MOODY_S&amp;P numbericl'!F$6:F$26,0)), " - -")</f>
        <v>5</v>
      </c>
      <c r="M13" s="784"/>
      <c r="N13" s="784"/>
      <c r="O13" s="784"/>
      <c r="P13" s="784"/>
    </row>
    <row r="14" spans="1:18" x14ac:dyDescent="0.35">
      <c r="A14" s="735" t="str">
        <f>Input!A3</f>
        <v>AWK</v>
      </c>
      <c r="B14" s="753" t="str">
        <f>'Proxy Data Lookup'!B4</f>
        <v>American Water Works Company, Inc.</v>
      </c>
      <c r="C14" s="785"/>
      <c r="D14" s="753"/>
      <c r="E14" s="736" t="str">
        <f>'Proxy Data Lookup'!I4</f>
        <v>A3</v>
      </c>
      <c r="F14" s="736"/>
      <c r="G14" s="786">
        <f>IFERROR(INDEX('1.15 MOODY_S&amp;P numbericl'!D$6:D$26,MATCH('1.14 Bond Ratings'!E14,'1.15 MOODY_S&amp;P numbericl'!B$6:B$26,0)), " - -")</f>
        <v>7</v>
      </c>
      <c r="H14" s="736"/>
      <c r="I14" s="736" t="str">
        <f>'Proxy Data Lookup'!H4</f>
        <v>A</v>
      </c>
      <c r="J14" s="736"/>
      <c r="K14" s="786">
        <f>IFERROR(INDEX('1.15 MOODY_S&amp;P numbericl'!H$6:H$26,MATCH('1.14 Bond Ratings'!I14,'1.15 MOODY_S&amp;P numbericl'!F$6:F$26,0)), " - -")</f>
        <v>6</v>
      </c>
      <c r="M14" s="784"/>
      <c r="N14" s="784"/>
      <c r="O14" s="784"/>
      <c r="P14" s="784"/>
    </row>
    <row r="15" spans="1:18" x14ac:dyDescent="0.35">
      <c r="A15" s="735" t="str">
        <f>Input!A4</f>
        <v>CWT</v>
      </c>
      <c r="B15" s="753" t="str">
        <f>'Proxy Data Lookup'!B5</f>
        <v>California Water Service Group</v>
      </c>
      <c r="C15" s="785"/>
      <c r="D15" s="753"/>
      <c r="E15" s="736" t="str">
        <f>'Proxy Data Lookup'!I5</f>
        <v>NR</v>
      </c>
      <c r="F15" s="736"/>
      <c r="G15" s="786" t="str">
        <f>IFERROR(INDEX('1.15 MOODY_S&amp;P numbericl'!D$6:D$26,MATCH('1.14 Bond Ratings'!E15,'1.15 MOODY_S&amp;P numbericl'!B$6:B$26,0)), " - -")</f>
        <v xml:space="preserve"> - -</v>
      </c>
      <c r="H15" s="736"/>
      <c r="I15" s="736" t="str">
        <f>'Proxy Data Lookup'!H5</f>
        <v>A+</v>
      </c>
      <c r="J15" s="736"/>
      <c r="K15" s="786">
        <f>IFERROR(INDEX('1.15 MOODY_S&amp;P numbericl'!H$6:H$26,MATCH('1.14 Bond Ratings'!I15,'1.15 MOODY_S&amp;P numbericl'!F$6:F$26,0)), " - -")</f>
        <v>5</v>
      </c>
      <c r="M15" s="784"/>
      <c r="N15" s="784"/>
      <c r="O15" s="784"/>
      <c r="P15" s="784"/>
    </row>
    <row r="16" spans="1:18" x14ac:dyDescent="0.35">
      <c r="A16" s="735" t="str">
        <f>Input!A5</f>
        <v>WTRG</v>
      </c>
      <c r="B16" s="753" t="str">
        <f>'Proxy Data Lookup'!B6</f>
        <v>Essential Utilities Inc.</v>
      </c>
      <c r="C16" s="785"/>
      <c r="D16" s="753"/>
      <c r="E16" s="736" t="str">
        <f>'Proxy Data Lookup'!I6</f>
        <v>Baa1</v>
      </c>
      <c r="F16" s="736"/>
      <c r="G16" s="786">
        <f>IFERROR(INDEX('1.15 MOODY_S&amp;P numbericl'!D$6:D$26,MATCH('1.14 Bond Ratings'!E16,'1.15 MOODY_S&amp;P numbericl'!B$6:B$26,0)), " - -")</f>
        <v>8</v>
      </c>
      <c r="H16" s="736"/>
      <c r="I16" s="736" t="str">
        <f>'Proxy Data Lookup'!H6</f>
        <v>A</v>
      </c>
      <c r="J16" s="736"/>
      <c r="K16" s="786">
        <f>IFERROR(INDEX('1.15 MOODY_S&amp;P numbericl'!H$6:H$26,MATCH('1.14 Bond Ratings'!I16,'1.15 MOODY_S&amp;P numbericl'!F$6:F$26,0)), " - -")</f>
        <v>6</v>
      </c>
      <c r="M16" s="784"/>
      <c r="N16" s="784"/>
      <c r="O16" s="784"/>
      <c r="P16" s="784"/>
    </row>
    <row r="17" spans="1:16" x14ac:dyDescent="0.35">
      <c r="A17" s="735" t="str">
        <f>Input!A6</f>
        <v>MSEX</v>
      </c>
      <c r="B17" s="753" t="str">
        <f>'Proxy Data Lookup'!B7</f>
        <v>Middlesex Water Company</v>
      </c>
      <c r="C17" s="785"/>
      <c r="D17" s="753"/>
      <c r="E17" s="736" t="str">
        <f>'Proxy Data Lookup'!I7</f>
        <v>NR</v>
      </c>
      <c r="F17" s="736"/>
      <c r="G17" s="786" t="str">
        <f>IFERROR(INDEX('1.15 MOODY_S&amp;P numbericl'!D$6:D$26,MATCH('1.14 Bond Ratings'!E17,'1.15 MOODY_S&amp;P numbericl'!B$6:B$26,0)), " - -")</f>
        <v xml:space="preserve"> - -</v>
      </c>
      <c r="H17" s="736"/>
      <c r="I17" s="736" t="str">
        <f>'Proxy Data Lookup'!H7</f>
        <v>A</v>
      </c>
      <c r="J17" s="736"/>
      <c r="K17" s="786">
        <f>IFERROR(INDEX('1.15 MOODY_S&amp;P numbericl'!H$6:H$26,MATCH('1.14 Bond Ratings'!I17,'1.15 MOODY_S&amp;P numbericl'!F$6:F$26,0)), " - -")</f>
        <v>6</v>
      </c>
      <c r="M17" s="784"/>
      <c r="N17" s="784"/>
      <c r="O17" s="784"/>
      <c r="P17" s="784"/>
    </row>
    <row r="18" spans="1:16" x14ac:dyDescent="0.35">
      <c r="A18" s="735" t="str">
        <f>Input!A7</f>
        <v>SJW</v>
      </c>
      <c r="B18" s="753" t="str">
        <f>'Proxy Data Lookup'!B8</f>
        <v>SJW Group</v>
      </c>
      <c r="C18" s="785"/>
      <c r="D18" s="753"/>
      <c r="E18" s="776" t="str">
        <f>'Proxy Data Lookup'!I8</f>
        <v>NR</v>
      </c>
      <c r="F18" s="736"/>
      <c r="G18" s="787" t="str">
        <f>IFERROR(INDEX('1.15 MOODY_S&amp;P numbericl'!D$6:D$26,MATCH('1.14 Bond Ratings'!E18,'1.15 MOODY_S&amp;P numbericl'!B$6:B$26,0)), " - -")</f>
        <v xml:space="preserve"> - -</v>
      </c>
      <c r="H18" s="736"/>
      <c r="I18" s="776" t="str">
        <f>'Proxy Data Lookup'!H8</f>
        <v>A-</v>
      </c>
      <c r="J18" s="736"/>
      <c r="K18" s="787">
        <f>IFERROR(INDEX('1.15 MOODY_S&amp;P numbericl'!H$6:H$26,MATCH('1.14 Bond Ratings'!I18,'1.15 MOODY_S&amp;P numbericl'!F$6:F$26,0)), " - -")</f>
        <v>7</v>
      </c>
      <c r="M18" s="784"/>
      <c r="N18" s="784"/>
      <c r="O18" s="784"/>
      <c r="P18" s="784"/>
    </row>
    <row r="19" spans="1:16" x14ac:dyDescent="0.35">
      <c r="B19" s="753"/>
      <c r="C19" s="785"/>
      <c r="E19" s="736"/>
      <c r="F19" s="736"/>
      <c r="G19" s="786"/>
      <c r="H19" s="736"/>
      <c r="I19" s="736"/>
      <c r="J19" s="736"/>
      <c r="K19" s="786"/>
    </row>
    <row r="20" spans="1:16" ht="15.45" thickBot="1" x14ac:dyDescent="0.4">
      <c r="B20" s="754"/>
      <c r="C20" s="788" t="s">
        <v>721</v>
      </c>
      <c r="D20" s="754"/>
      <c r="E20" s="789" t="s">
        <v>1270</v>
      </c>
      <c r="F20" s="754"/>
      <c r="G20" s="790">
        <f>ROUND(AVERAGE(G12:G18),1)</f>
        <v>7</v>
      </c>
      <c r="H20" s="736"/>
      <c r="I20" s="789" t="s">
        <v>1271</v>
      </c>
      <c r="J20" s="736"/>
      <c r="K20" s="790">
        <f>ROUND(AVERAGE(K12:K18),1)</f>
        <v>5.8</v>
      </c>
    </row>
    <row r="21" spans="1:16" ht="15.45" thickTop="1" x14ac:dyDescent="0.35">
      <c r="B21" s="754"/>
      <c r="C21" s="754"/>
      <c r="D21" s="754"/>
      <c r="E21" s="754"/>
      <c r="F21" s="754"/>
      <c r="G21" s="778"/>
      <c r="H21" s="736"/>
      <c r="I21" s="753"/>
      <c r="J21" s="736"/>
      <c r="K21" s="782"/>
    </row>
    <row r="22" spans="1:16" ht="15" customHeight="1" x14ac:dyDescent="0.35">
      <c r="B22" s="754"/>
      <c r="C22" s="754"/>
      <c r="D22" s="754"/>
      <c r="E22" s="754"/>
      <c r="F22" s="754"/>
      <c r="G22" s="736"/>
      <c r="H22" s="736"/>
      <c r="I22" s="753"/>
      <c r="J22" s="736"/>
      <c r="K22" s="736"/>
    </row>
    <row r="23" spans="1:16" ht="15" customHeight="1" x14ac:dyDescent="0.35">
      <c r="B23" s="788" t="s">
        <v>1164</v>
      </c>
      <c r="C23" s="754"/>
      <c r="D23" s="754"/>
      <c r="E23" s="754"/>
      <c r="F23" s="754"/>
      <c r="G23" s="736"/>
      <c r="H23" s="736"/>
      <c r="I23" s="753"/>
      <c r="J23" s="736"/>
      <c r="K23" s="736"/>
    </row>
    <row r="24" spans="1:16" ht="15" customHeight="1" x14ac:dyDescent="0.35">
      <c r="B24" s="788"/>
      <c r="C24" s="754"/>
      <c r="D24" s="754"/>
      <c r="E24" s="754"/>
      <c r="F24" s="754"/>
      <c r="G24" s="736"/>
      <c r="H24" s="736"/>
      <c r="I24" s="753"/>
      <c r="J24" s="736"/>
      <c r="K24" s="736"/>
    </row>
    <row r="25" spans="1:16" ht="15" customHeight="1" x14ac:dyDescent="0.35">
      <c r="B25" s="791" t="s">
        <v>1165</v>
      </c>
      <c r="C25" s="792" t="s">
        <v>1272</v>
      </c>
      <c r="D25" s="792"/>
      <c r="E25" s="754"/>
      <c r="F25" s="754"/>
      <c r="G25" s="754"/>
      <c r="H25" s="754"/>
      <c r="I25" s="754"/>
      <c r="J25" s="754"/>
      <c r="K25" s="754"/>
    </row>
    <row r="26" spans="1:16" ht="15" customHeight="1" x14ac:dyDescent="0.35">
      <c r="B26" s="791" t="s">
        <v>1161</v>
      </c>
      <c r="C26" s="792" t="s">
        <v>1273</v>
      </c>
      <c r="D26" s="792"/>
      <c r="E26" s="754"/>
      <c r="F26" s="754"/>
      <c r="G26" s="754"/>
      <c r="H26" s="754"/>
      <c r="I26" s="754"/>
      <c r="J26" s="754"/>
      <c r="K26" s="754"/>
    </row>
    <row r="27" spans="1:16" x14ac:dyDescent="0.35">
      <c r="G27" s="736"/>
      <c r="H27" s="736"/>
      <c r="I27" s="753"/>
      <c r="J27" s="736"/>
      <c r="K27" s="736"/>
    </row>
    <row r="28" spans="1:16" x14ac:dyDescent="0.35">
      <c r="C28" s="773" t="s">
        <v>1274</v>
      </c>
      <c r="E28" s="735" t="s">
        <v>1275</v>
      </c>
      <c r="G28" s="736"/>
      <c r="H28" s="736"/>
      <c r="I28" s="753"/>
      <c r="J28" s="736"/>
      <c r="K28" s="736"/>
    </row>
    <row r="29" spans="1:16" x14ac:dyDescent="0.35">
      <c r="C29" s="773"/>
      <c r="E29" s="735" t="s">
        <v>1276</v>
      </c>
      <c r="G29" s="736"/>
      <c r="H29" s="736"/>
      <c r="I29" s="753"/>
      <c r="J29" s="736"/>
      <c r="K29" s="736"/>
    </row>
    <row r="30" spans="1:16" x14ac:dyDescent="0.35">
      <c r="G30" s="736"/>
      <c r="H30" s="736"/>
      <c r="I30" s="753"/>
      <c r="J30" s="736"/>
      <c r="K30" s="736"/>
    </row>
    <row r="31" spans="1:16" x14ac:dyDescent="0.35">
      <c r="G31" s="736"/>
      <c r="H31" s="736"/>
      <c r="I31" s="753"/>
      <c r="J31" s="736"/>
      <c r="K31" s="736"/>
    </row>
    <row r="32" spans="1:16" x14ac:dyDescent="0.35">
      <c r="G32" s="736"/>
      <c r="H32" s="736"/>
      <c r="I32" s="753"/>
      <c r="J32" s="736"/>
      <c r="K32" s="736"/>
    </row>
    <row r="33" spans="7:11" x14ac:dyDescent="0.35">
      <c r="G33" s="736"/>
      <c r="H33" s="736"/>
      <c r="I33" s="753"/>
      <c r="J33" s="736"/>
      <c r="K33" s="736"/>
    </row>
    <row r="34" spans="7:11" x14ac:dyDescent="0.35">
      <c r="G34" s="736"/>
      <c r="H34" s="736"/>
      <c r="I34" s="753"/>
      <c r="J34" s="736"/>
      <c r="K34" s="736"/>
    </row>
    <row r="35" spans="7:11" x14ac:dyDescent="0.35">
      <c r="G35" s="736"/>
      <c r="H35" s="736"/>
      <c r="I35" s="753"/>
      <c r="J35" s="736"/>
      <c r="K35" s="736"/>
    </row>
    <row r="36" spans="7:11" x14ac:dyDescent="0.35">
      <c r="G36" s="736"/>
      <c r="H36" s="736"/>
      <c r="I36" s="753"/>
      <c r="J36" s="736"/>
      <c r="K36" s="736"/>
    </row>
    <row r="37" spans="7:11" x14ac:dyDescent="0.35">
      <c r="G37" s="736"/>
      <c r="H37" s="736"/>
      <c r="I37" s="753"/>
      <c r="J37" s="736"/>
      <c r="K37" s="736"/>
    </row>
    <row r="38" spans="7:11" x14ac:dyDescent="0.35">
      <c r="G38" s="736"/>
      <c r="H38" s="736"/>
      <c r="I38" s="753"/>
      <c r="J38" s="736"/>
      <c r="K38" s="736"/>
    </row>
    <row r="39" spans="7:11" x14ac:dyDescent="0.35">
      <c r="G39" s="736"/>
      <c r="H39" s="736"/>
      <c r="I39" s="753"/>
      <c r="J39" s="736"/>
      <c r="K39" s="736"/>
    </row>
    <row r="40" spans="7:11" x14ac:dyDescent="0.35">
      <c r="G40" s="736"/>
      <c r="H40" s="736"/>
      <c r="I40" s="753"/>
      <c r="J40" s="736"/>
      <c r="K40" s="736"/>
    </row>
    <row r="41" spans="7:11" x14ac:dyDescent="0.35">
      <c r="G41" s="736"/>
      <c r="H41" s="736"/>
      <c r="I41" s="753"/>
      <c r="J41" s="736"/>
      <c r="K41" s="736"/>
    </row>
    <row r="42" spans="7:11" x14ac:dyDescent="0.35">
      <c r="G42" s="736"/>
      <c r="H42" s="736"/>
      <c r="I42" s="753"/>
      <c r="J42" s="736"/>
      <c r="K42" s="736"/>
    </row>
    <row r="43" spans="7:11" x14ac:dyDescent="0.35">
      <c r="G43" s="736"/>
      <c r="H43" s="736"/>
      <c r="I43" s="753"/>
      <c r="J43" s="736"/>
      <c r="K43" s="736"/>
    </row>
    <row r="44" spans="7:11" x14ac:dyDescent="0.35">
      <c r="G44" s="736"/>
      <c r="H44" s="736"/>
      <c r="I44" s="753"/>
      <c r="J44" s="736"/>
      <c r="K44" s="736"/>
    </row>
    <row r="45" spans="7:11" x14ac:dyDescent="0.35">
      <c r="G45" s="736"/>
      <c r="H45" s="736"/>
      <c r="I45" s="753"/>
      <c r="J45" s="736"/>
      <c r="K45" s="736"/>
    </row>
    <row r="46" spans="7:11" x14ac:dyDescent="0.35">
      <c r="G46" s="736"/>
      <c r="H46" s="736"/>
      <c r="I46" s="753"/>
      <c r="J46" s="736"/>
      <c r="K46" s="736"/>
    </row>
    <row r="47" spans="7:11" x14ac:dyDescent="0.35">
      <c r="G47" s="736"/>
      <c r="H47" s="736"/>
      <c r="I47" s="753"/>
      <c r="J47" s="736"/>
      <c r="K47" s="736"/>
    </row>
    <row r="48" spans="7:11" x14ac:dyDescent="0.35">
      <c r="G48" s="736"/>
      <c r="H48" s="736"/>
      <c r="I48" s="753"/>
      <c r="J48" s="736"/>
      <c r="K48" s="736"/>
    </row>
    <row r="49" spans="3:11" x14ac:dyDescent="0.35">
      <c r="G49" s="736"/>
      <c r="H49" s="736"/>
      <c r="I49" s="753"/>
      <c r="J49" s="736"/>
      <c r="K49" s="736"/>
    </row>
    <row r="50" spans="3:11" x14ac:dyDescent="0.35">
      <c r="G50" s="736"/>
      <c r="H50" s="736"/>
      <c r="I50" s="753"/>
      <c r="J50" s="736"/>
      <c r="K50" s="736"/>
    </row>
    <row r="51" spans="3:11" x14ac:dyDescent="0.35">
      <c r="G51" s="736"/>
      <c r="H51" s="736"/>
      <c r="I51" s="753"/>
      <c r="J51" s="736"/>
      <c r="K51" s="736"/>
    </row>
    <row r="52" spans="3:11" x14ac:dyDescent="0.35">
      <c r="C52" s="767"/>
      <c r="D52" s="767"/>
      <c r="E52" s="767"/>
      <c r="F52" s="767"/>
      <c r="G52" s="736"/>
      <c r="H52" s="736"/>
      <c r="I52" s="753"/>
      <c r="J52" s="736"/>
      <c r="K52" s="736"/>
    </row>
    <row r="53" spans="3:11" x14ac:dyDescent="0.35">
      <c r="C53" s="767"/>
      <c r="D53" s="767"/>
      <c r="E53" s="767"/>
      <c r="F53" s="767"/>
      <c r="G53" s="736"/>
      <c r="H53" s="736"/>
      <c r="I53" s="753"/>
      <c r="J53" s="736"/>
      <c r="K53" s="736"/>
    </row>
    <row r="54" spans="3:11" x14ac:dyDescent="0.35">
      <c r="C54" s="767"/>
      <c r="D54" s="767"/>
      <c r="E54" s="767"/>
      <c r="F54" s="767"/>
      <c r="G54" s="736"/>
      <c r="H54" s="736"/>
      <c r="I54" s="753"/>
      <c r="J54" s="736"/>
      <c r="K54" s="736"/>
    </row>
    <row r="55" spans="3:11" x14ac:dyDescent="0.35">
      <c r="C55" s="767"/>
      <c r="D55" s="767"/>
      <c r="E55" s="767"/>
      <c r="F55" s="767"/>
      <c r="G55" s="736"/>
      <c r="H55" s="736"/>
      <c r="I55" s="753"/>
      <c r="J55" s="736"/>
      <c r="K55" s="736"/>
    </row>
    <row r="56" spans="3:11" x14ac:dyDescent="0.35">
      <c r="C56" s="767"/>
      <c r="D56" s="767"/>
      <c r="E56" s="767"/>
      <c r="F56" s="767"/>
      <c r="G56" s="736"/>
      <c r="H56" s="736"/>
      <c r="I56" s="753"/>
      <c r="J56" s="736"/>
      <c r="K56" s="736"/>
    </row>
    <row r="57" spans="3:11" x14ac:dyDescent="0.35">
      <c r="C57" s="767"/>
      <c r="D57" s="767"/>
      <c r="E57" s="767"/>
      <c r="F57" s="767"/>
      <c r="G57" s="736"/>
      <c r="H57" s="736"/>
      <c r="I57" s="753"/>
      <c r="J57" s="736"/>
      <c r="K57" s="736"/>
    </row>
    <row r="58" spans="3:11" x14ac:dyDescent="0.35">
      <c r="C58" s="767"/>
      <c r="D58" s="767"/>
      <c r="E58" s="767"/>
      <c r="F58" s="767"/>
      <c r="G58" s="736"/>
      <c r="H58" s="736"/>
      <c r="I58" s="753"/>
      <c r="J58" s="736"/>
      <c r="K58" s="736"/>
    </row>
    <row r="59" spans="3:11" x14ac:dyDescent="0.35">
      <c r="C59" s="767"/>
      <c r="D59" s="767"/>
      <c r="E59" s="767"/>
      <c r="F59" s="767"/>
      <c r="G59" s="736"/>
      <c r="H59" s="736"/>
      <c r="I59" s="753"/>
      <c r="J59" s="736"/>
      <c r="K59" s="736"/>
    </row>
    <row r="60" spans="3:11" x14ac:dyDescent="0.35">
      <c r="C60" s="767"/>
      <c r="D60" s="767"/>
      <c r="E60" s="767"/>
      <c r="F60" s="767"/>
      <c r="G60" s="736"/>
      <c r="H60" s="736"/>
      <c r="I60" s="753"/>
      <c r="J60" s="736"/>
      <c r="K60" s="736"/>
    </row>
    <row r="61" spans="3:11" x14ac:dyDescent="0.35">
      <c r="C61" s="767"/>
      <c r="D61" s="767"/>
      <c r="E61" s="767"/>
      <c r="F61" s="767"/>
      <c r="G61" s="736"/>
      <c r="H61" s="736"/>
      <c r="I61" s="753"/>
      <c r="J61" s="736"/>
      <c r="K61" s="736"/>
    </row>
    <row r="62" spans="3:11" x14ac:dyDescent="0.35">
      <c r="C62" s="767"/>
      <c r="D62" s="767"/>
      <c r="E62" s="767"/>
      <c r="F62" s="767"/>
      <c r="G62" s="736"/>
      <c r="H62" s="736"/>
      <c r="I62" s="753"/>
      <c r="J62" s="736"/>
      <c r="K62" s="736"/>
    </row>
    <row r="63" spans="3:11" x14ac:dyDescent="0.35">
      <c r="C63" s="773"/>
      <c r="D63" s="767"/>
      <c r="E63" s="767"/>
      <c r="F63" s="767"/>
      <c r="G63" s="736"/>
      <c r="H63" s="736"/>
      <c r="I63" s="753"/>
      <c r="J63" s="736"/>
      <c r="K63" s="736"/>
    </row>
    <row r="64" spans="3:11" x14ac:dyDescent="0.35">
      <c r="C64" s="767"/>
      <c r="D64" s="767"/>
      <c r="E64" s="767"/>
      <c r="F64" s="767"/>
      <c r="G64" s="736"/>
      <c r="H64" s="736"/>
      <c r="I64" s="753"/>
      <c r="J64" s="736"/>
      <c r="K64" s="736"/>
    </row>
    <row r="65" spans="3:11" x14ac:dyDescent="0.35">
      <c r="C65" s="767"/>
      <c r="D65" s="767"/>
      <c r="E65" s="767"/>
      <c r="F65" s="767"/>
      <c r="G65" s="736"/>
      <c r="H65" s="736"/>
      <c r="I65" s="753"/>
      <c r="J65" s="736"/>
      <c r="K65" s="736"/>
    </row>
    <row r="66" spans="3:11" x14ac:dyDescent="0.35">
      <c r="C66" s="767"/>
      <c r="D66" s="767"/>
      <c r="E66" s="767"/>
      <c r="F66" s="767"/>
      <c r="G66" s="736"/>
      <c r="H66" s="736"/>
      <c r="I66" s="753"/>
      <c r="J66" s="736"/>
      <c r="K66" s="736"/>
    </row>
    <row r="67" spans="3:11" x14ac:dyDescent="0.35">
      <c r="C67" s="767"/>
      <c r="D67" s="767"/>
      <c r="E67" s="767"/>
      <c r="F67" s="767"/>
      <c r="G67" s="736"/>
      <c r="H67" s="736"/>
      <c r="I67" s="753"/>
      <c r="J67" s="736"/>
      <c r="K67" s="736"/>
    </row>
    <row r="68" spans="3:11" x14ac:dyDescent="0.35">
      <c r="C68" s="767"/>
      <c r="D68" s="767"/>
      <c r="E68" s="767"/>
      <c r="F68" s="767"/>
      <c r="G68" s="736"/>
      <c r="H68" s="736"/>
      <c r="I68" s="753"/>
      <c r="J68" s="736"/>
      <c r="K68" s="736"/>
    </row>
    <row r="69" spans="3:11" x14ac:dyDescent="0.35">
      <c r="C69" s="767"/>
      <c r="D69" s="767"/>
      <c r="E69" s="767"/>
      <c r="F69" s="767"/>
      <c r="G69" s="736"/>
      <c r="H69" s="736"/>
      <c r="I69" s="753"/>
      <c r="J69" s="736"/>
      <c r="K69" s="736"/>
    </row>
    <row r="70" spans="3:11" x14ac:dyDescent="0.35">
      <c r="C70" s="767"/>
      <c r="D70" s="767"/>
      <c r="E70" s="767"/>
      <c r="F70" s="767"/>
      <c r="G70" s="736"/>
      <c r="H70" s="736"/>
      <c r="I70" s="753"/>
      <c r="J70" s="736"/>
      <c r="K70" s="736"/>
    </row>
    <row r="71" spans="3:11" x14ac:dyDescent="0.35">
      <c r="C71" s="767"/>
      <c r="D71" s="767"/>
      <c r="E71" s="767"/>
      <c r="F71" s="767"/>
      <c r="G71" s="736"/>
      <c r="H71" s="736"/>
      <c r="I71" s="753"/>
      <c r="J71" s="736"/>
      <c r="K71" s="736"/>
    </row>
    <row r="72" spans="3:11" x14ac:dyDescent="0.35">
      <c r="C72" s="767"/>
      <c r="D72" s="767"/>
      <c r="E72" s="767"/>
      <c r="F72" s="767"/>
      <c r="G72" s="736"/>
      <c r="H72" s="736"/>
      <c r="I72" s="753"/>
      <c r="J72" s="736"/>
      <c r="K72" s="736"/>
    </row>
    <row r="73" spans="3:11" x14ac:dyDescent="0.35">
      <c r="C73" s="767"/>
      <c r="D73" s="767"/>
      <c r="E73" s="767"/>
      <c r="F73" s="767"/>
      <c r="G73" s="736"/>
      <c r="H73" s="736"/>
      <c r="I73" s="753"/>
      <c r="J73" s="736"/>
      <c r="K73" s="736"/>
    </row>
    <row r="74" spans="3:11" x14ac:dyDescent="0.35">
      <c r="C74" s="767"/>
      <c r="D74" s="767"/>
      <c r="E74" s="767"/>
      <c r="F74" s="767"/>
      <c r="G74" s="736"/>
      <c r="H74" s="736"/>
      <c r="I74" s="753"/>
      <c r="J74" s="736"/>
      <c r="K74" s="736"/>
    </row>
    <row r="75" spans="3:11" x14ac:dyDescent="0.35">
      <c r="C75" s="767"/>
      <c r="D75" s="767"/>
      <c r="E75" s="767"/>
      <c r="F75" s="767"/>
      <c r="G75" s="736"/>
      <c r="H75" s="736"/>
      <c r="I75" s="753"/>
      <c r="J75" s="736"/>
      <c r="K75" s="736"/>
    </row>
    <row r="76" spans="3:11" x14ac:dyDescent="0.35">
      <c r="C76" s="767"/>
      <c r="D76" s="767"/>
      <c r="E76" s="767"/>
      <c r="F76" s="767"/>
      <c r="G76" s="736"/>
      <c r="H76" s="736"/>
      <c r="I76" s="753"/>
      <c r="J76" s="736"/>
      <c r="K76" s="736"/>
    </row>
    <row r="77" spans="3:11" x14ac:dyDescent="0.35">
      <c r="C77" s="767"/>
      <c r="D77" s="767"/>
      <c r="E77" s="767"/>
      <c r="F77" s="767"/>
      <c r="G77" s="736"/>
      <c r="H77" s="736"/>
      <c r="I77" s="753"/>
      <c r="J77" s="736"/>
      <c r="K77" s="736"/>
    </row>
    <row r="78" spans="3:11" x14ac:dyDescent="0.35">
      <c r="C78" s="767"/>
      <c r="D78" s="767"/>
      <c r="E78" s="767"/>
      <c r="F78" s="767"/>
      <c r="G78" s="736"/>
      <c r="H78" s="736"/>
      <c r="I78" s="753"/>
      <c r="J78" s="736"/>
      <c r="K78" s="736"/>
    </row>
    <row r="79" spans="3:11" x14ac:dyDescent="0.35">
      <c r="C79" s="767"/>
      <c r="D79" s="767"/>
      <c r="E79" s="767"/>
      <c r="F79" s="767"/>
      <c r="G79" s="736"/>
      <c r="H79" s="736"/>
      <c r="I79" s="753"/>
      <c r="J79" s="736"/>
      <c r="K79" s="736"/>
    </row>
    <row r="80" spans="3:11" x14ac:dyDescent="0.35">
      <c r="C80" s="767"/>
      <c r="D80" s="767"/>
      <c r="E80" s="767"/>
      <c r="F80" s="767"/>
      <c r="G80" s="736"/>
      <c r="H80" s="736"/>
      <c r="I80" s="753"/>
      <c r="J80" s="736"/>
      <c r="K80" s="736"/>
    </row>
    <row r="81" spans="3:11" x14ac:dyDescent="0.35">
      <c r="C81" s="767"/>
      <c r="D81" s="767"/>
      <c r="E81" s="767"/>
      <c r="F81" s="767"/>
      <c r="G81" s="736"/>
      <c r="H81" s="736"/>
      <c r="I81" s="753"/>
      <c r="J81" s="736"/>
      <c r="K81" s="736"/>
    </row>
    <row r="82" spans="3:11" x14ac:dyDescent="0.35">
      <c r="C82" s="767"/>
      <c r="D82" s="767"/>
      <c r="E82" s="767"/>
      <c r="F82" s="767"/>
      <c r="G82" s="736"/>
      <c r="H82" s="736"/>
      <c r="I82" s="753"/>
      <c r="J82" s="736"/>
      <c r="K82" s="736"/>
    </row>
    <row r="83" spans="3:11" x14ac:dyDescent="0.35">
      <c r="C83" s="767"/>
      <c r="D83" s="767"/>
      <c r="E83" s="767"/>
      <c r="F83" s="767"/>
      <c r="G83" s="736"/>
      <c r="H83" s="736"/>
      <c r="I83" s="753"/>
      <c r="J83" s="736"/>
      <c r="K83" s="736"/>
    </row>
    <row r="84" spans="3:11" x14ac:dyDescent="0.35">
      <c r="G84" s="736"/>
      <c r="H84" s="736"/>
      <c r="I84" s="753"/>
      <c r="J84" s="736"/>
      <c r="K84" s="736"/>
    </row>
    <row r="85" spans="3:11" x14ac:dyDescent="0.35">
      <c r="G85" s="736"/>
      <c r="H85" s="736"/>
      <c r="I85" s="753"/>
      <c r="J85" s="736"/>
      <c r="K85" s="736"/>
    </row>
    <row r="86" spans="3:11" x14ac:dyDescent="0.35">
      <c r="G86" s="736"/>
      <c r="H86" s="736"/>
      <c r="I86" s="753"/>
      <c r="J86" s="736"/>
      <c r="K86" s="736"/>
    </row>
    <row r="87" spans="3:11" x14ac:dyDescent="0.35">
      <c r="G87" s="736"/>
      <c r="H87" s="736"/>
      <c r="I87" s="753"/>
      <c r="J87" s="736"/>
      <c r="K87" s="736"/>
    </row>
    <row r="88" spans="3:11" x14ac:dyDescent="0.35">
      <c r="G88" s="736"/>
      <c r="H88" s="736"/>
      <c r="I88" s="753"/>
      <c r="J88" s="736"/>
      <c r="K88" s="736"/>
    </row>
    <row r="89" spans="3:11" x14ac:dyDescent="0.35">
      <c r="G89" s="736"/>
      <c r="H89" s="736"/>
      <c r="I89" s="753"/>
      <c r="J89" s="736"/>
      <c r="K89" s="736"/>
    </row>
    <row r="90" spans="3:11" x14ac:dyDescent="0.35">
      <c r="G90" s="736"/>
      <c r="H90" s="736"/>
      <c r="I90" s="753"/>
      <c r="J90" s="736"/>
      <c r="K90" s="736"/>
    </row>
    <row r="91" spans="3:11" x14ac:dyDescent="0.35">
      <c r="G91" s="736"/>
      <c r="H91" s="736"/>
      <c r="I91" s="753"/>
      <c r="J91" s="736"/>
      <c r="K91" s="736"/>
    </row>
    <row r="92" spans="3:11" x14ac:dyDescent="0.35">
      <c r="G92" s="736"/>
      <c r="H92" s="736"/>
      <c r="I92" s="753"/>
      <c r="J92" s="736"/>
      <c r="K92" s="736"/>
    </row>
    <row r="93" spans="3:11" x14ac:dyDescent="0.35">
      <c r="G93" s="736"/>
      <c r="H93" s="736"/>
      <c r="I93" s="753"/>
      <c r="J93" s="736"/>
      <c r="K93" s="736"/>
    </row>
    <row r="94" spans="3:11" x14ac:dyDescent="0.35">
      <c r="G94" s="736"/>
      <c r="H94" s="736"/>
      <c r="I94" s="753"/>
      <c r="J94" s="736"/>
      <c r="K94" s="736"/>
    </row>
    <row r="95" spans="3:11" x14ac:dyDescent="0.35">
      <c r="G95" s="736"/>
      <c r="H95" s="736"/>
      <c r="I95" s="753"/>
      <c r="J95" s="736"/>
      <c r="K95" s="736"/>
    </row>
    <row r="96" spans="3:11" x14ac:dyDescent="0.35">
      <c r="G96" s="736"/>
      <c r="H96" s="736"/>
      <c r="I96" s="753"/>
      <c r="J96" s="736"/>
      <c r="K96" s="736"/>
    </row>
    <row r="97" spans="7:11" x14ac:dyDescent="0.35">
      <c r="G97" s="736"/>
      <c r="H97" s="736"/>
      <c r="I97" s="753"/>
      <c r="J97" s="736"/>
      <c r="K97" s="736"/>
    </row>
    <row r="98" spans="7:11" x14ac:dyDescent="0.35">
      <c r="G98" s="736"/>
      <c r="H98" s="736"/>
      <c r="I98" s="753"/>
      <c r="J98" s="736"/>
      <c r="K98" s="736"/>
    </row>
    <row r="99" spans="7:11" x14ac:dyDescent="0.35">
      <c r="G99" s="736"/>
      <c r="H99" s="736"/>
      <c r="I99" s="753"/>
      <c r="J99" s="736"/>
      <c r="K99" s="736"/>
    </row>
    <row r="100" spans="7:11" x14ac:dyDescent="0.35">
      <c r="G100" s="736"/>
      <c r="H100" s="736"/>
      <c r="I100" s="753"/>
      <c r="J100" s="736"/>
      <c r="K100" s="736"/>
    </row>
    <row r="101" spans="7:11" x14ac:dyDescent="0.35">
      <c r="G101" s="736"/>
      <c r="H101" s="736"/>
      <c r="I101" s="753"/>
      <c r="J101" s="736"/>
      <c r="K101" s="736"/>
    </row>
    <row r="102" spans="7:11" x14ac:dyDescent="0.35">
      <c r="G102" s="736"/>
      <c r="H102" s="736"/>
      <c r="I102" s="753"/>
      <c r="J102" s="736"/>
      <c r="K102" s="736"/>
    </row>
    <row r="103" spans="7:11" x14ac:dyDescent="0.35">
      <c r="G103" s="736"/>
      <c r="H103" s="736"/>
      <c r="I103" s="753"/>
      <c r="J103" s="736"/>
      <c r="K103" s="736"/>
    </row>
    <row r="104" spans="7:11" x14ac:dyDescent="0.35">
      <c r="G104" s="736"/>
      <c r="H104" s="736"/>
      <c r="I104" s="753"/>
      <c r="J104" s="736"/>
      <c r="K104" s="736"/>
    </row>
    <row r="105" spans="7:11" x14ac:dyDescent="0.35">
      <c r="G105" s="736"/>
      <c r="H105" s="736"/>
      <c r="I105" s="753"/>
      <c r="J105" s="736"/>
      <c r="K105" s="736"/>
    </row>
    <row r="106" spans="7:11" x14ac:dyDescent="0.35">
      <c r="G106" s="736"/>
      <c r="H106" s="736"/>
      <c r="I106" s="753"/>
      <c r="J106" s="736"/>
      <c r="K106" s="736"/>
    </row>
    <row r="107" spans="7:11" x14ac:dyDescent="0.35">
      <c r="G107" s="736"/>
      <c r="H107" s="736"/>
      <c r="I107" s="753"/>
      <c r="J107" s="736"/>
      <c r="K107" s="736"/>
    </row>
    <row r="108" spans="7:11" x14ac:dyDescent="0.35">
      <c r="G108" s="736"/>
      <c r="H108" s="736"/>
      <c r="I108" s="753"/>
      <c r="J108" s="736"/>
      <c r="K108" s="736"/>
    </row>
    <row r="109" spans="7:11" x14ac:dyDescent="0.35">
      <c r="G109" s="736"/>
      <c r="H109" s="736"/>
      <c r="I109" s="753"/>
      <c r="J109" s="736"/>
      <c r="K109" s="736"/>
    </row>
    <row r="110" spans="7:11" x14ac:dyDescent="0.35">
      <c r="G110" s="736"/>
      <c r="H110" s="736"/>
      <c r="I110" s="753"/>
      <c r="J110" s="736"/>
      <c r="K110" s="736"/>
    </row>
    <row r="111" spans="7:11" x14ac:dyDescent="0.35">
      <c r="G111" s="736"/>
      <c r="H111" s="736"/>
      <c r="I111" s="753"/>
      <c r="J111" s="736"/>
      <c r="K111" s="736"/>
    </row>
    <row r="112" spans="7:11" x14ac:dyDescent="0.35">
      <c r="G112" s="736"/>
      <c r="H112" s="736"/>
      <c r="I112" s="753"/>
      <c r="J112" s="736"/>
      <c r="K112" s="736"/>
    </row>
    <row r="113" spans="7:11" x14ac:dyDescent="0.35">
      <c r="G113" s="736"/>
      <c r="H113" s="736"/>
      <c r="I113" s="753"/>
      <c r="J113" s="736"/>
      <c r="K113" s="736"/>
    </row>
    <row r="114" spans="7:11" x14ac:dyDescent="0.35">
      <c r="G114" s="736"/>
      <c r="H114" s="736"/>
      <c r="I114" s="753"/>
      <c r="J114" s="736"/>
      <c r="K114" s="736"/>
    </row>
    <row r="115" spans="7:11" x14ac:dyDescent="0.35">
      <c r="G115" s="736"/>
      <c r="H115" s="736"/>
      <c r="I115" s="753"/>
      <c r="J115" s="736"/>
      <c r="K115" s="736"/>
    </row>
    <row r="116" spans="7:11" x14ac:dyDescent="0.35">
      <c r="G116" s="736"/>
      <c r="H116" s="736"/>
      <c r="I116" s="753"/>
      <c r="J116" s="736"/>
      <c r="K116" s="736"/>
    </row>
    <row r="117" spans="7:11" x14ac:dyDescent="0.35">
      <c r="G117" s="736"/>
      <c r="H117" s="736"/>
      <c r="I117" s="753"/>
      <c r="J117" s="736"/>
      <c r="K117" s="736"/>
    </row>
    <row r="118" spans="7:11" x14ac:dyDescent="0.35">
      <c r="G118" s="736"/>
      <c r="H118" s="736"/>
      <c r="I118" s="753"/>
      <c r="J118" s="736"/>
      <c r="K118" s="736"/>
    </row>
    <row r="119" spans="7:11" x14ac:dyDescent="0.35">
      <c r="G119" s="736"/>
      <c r="H119" s="736"/>
      <c r="I119" s="753"/>
      <c r="J119" s="736"/>
      <c r="K119" s="736"/>
    </row>
    <row r="120" spans="7:11" x14ac:dyDescent="0.35">
      <c r="G120" s="736"/>
      <c r="H120" s="736"/>
      <c r="I120" s="753"/>
      <c r="J120" s="736"/>
      <c r="K120" s="736"/>
    </row>
    <row r="121" spans="7:11" x14ac:dyDescent="0.35">
      <c r="G121" s="736"/>
      <c r="H121" s="736"/>
      <c r="I121" s="753"/>
      <c r="J121" s="736"/>
      <c r="K121" s="736"/>
    </row>
    <row r="122" spans="7:11" x14ac:dyDescent="0.35">
      <c r="G122" s="736"/>
      <c r="H122" s="736"/>
      <c r="I122" s="753"/>
      <c r="J122" s="736"/>
      <c r="K122" s="736"/>
    </row>
    <row r="123" spans="7:11" x14ac:dyDescent="0.35">
      <c r="G123" s="736"/>
      <c r="H123" s="736"/>
      <c r="I123" s="753"/>
      <c r="J123" s="736"/>
      <c r="K123" s="736"/>
    </row>
    <row r="124" spans="7:11" x14ac:dyDescent="0.35">
      <c r="G124" s="736"/>
      <c r="H124" s="736"/>
      <c r="I124" s="753"/>
      <c r="J124" s="736"/>
      <c r="K124" s="736"/>
    </row>
    <row r="125" spans="7:11" x14ac:dyDescent="0.35">
      <c r="G125" s="736"/>
      <c r="H125" s="736"/>
      <c r="I125" s="753"/>
      <c r="J125" s="736"/>
      <c r="K125" s="736"/>
    </row>
    <row r="126" spans="7:11" x14ac:dyDescent="0.35">
      <c r="G126" s="736"/>
      <c r="H126" s="736"/>
      <c r="I126" s="753"/>
      <c r="J126" s="736"/>
      <c r="K126" s="736"/>
    </row>
    <row r="127" spans="7:11" x14ac:dyDescent="0.35">
      <c r="G127" s="736"/>
      <c r="H127" s="736"/>
      <c r="I127" s="753"/>
      <c r="J127" s="736"/>
      <c r="K127" s="736"/>
    </row>
    <row r="128" spans="7:11" x14ac:dyDescent="0.35">
      <c r="G128" s="736"/>
      <c r="H128" s="736"/>
      <c r="I128" s="753"/>
      <c r="J128" s="736"/>
      <c r="K128" s="736"/>
    </row>
    <row r="129" spans="7:11" x14ac:dyDescent="0.35">
      <c r="G129" s="736"/>
      <c r="H129" s="736"/>
      <c r="I129" s="753"/>
      <c r="J129" s="736"/>
      <c r="K129" s="736"/>
    </row>
    <row r="130" spans="7:11" x14ac:dyDescent="0.35">
      <c r="G130" s="736"/>
      <c r="H130" s="736"/>
      <c r="I130" s="753"/>
      <c r="J130" s="736"/>
      <c r="K130" s="736"/>
    </row>
    <row r="131" spans="7:11" x14ac:dyDescent="0.35">
      <c r="G131" s="736"/>
      <c r="H131" s="736"/>
      <c r="I131" s="753"/>
      <c r="J131" s="736"/>
      <c r="K131" s="736"/>
    </row>
    <row r="132" spans="7:11" x14ac:dyDescent="0.35">
      <c r="G132" s="736"/>
      <c r="H132" s="736"/>
      <c r="I132" s="753"/>
      <c r="J132" s="736"/>
      <c r="K132" s="736"/>
    </row>
    <row r="133" spans="7:11" x14ac:dyDescent="0.35">
      <c r="G133" s="736"/>
      <c r="H133" s="736"/>
      <c r="I133" s="753"/>
      <c r="J133" s="736"/>
      <c r="K133" s="736"/>
    </row>
    <row r="134" spans="7:11" x14ac:dyDescent="0.35">
      <c r="G134" s="736"/>
      <c r="H134" s="736"/>
      <c r="I134" s="753"/>
      <c r="J134" s="736"/>
      <c r="K134" s="736"/>
    </row>
    <row r="135" spans="7:11" x14ac:dyDescent="0.35">
      <c r="G135" s="736"/>
      <c r="H135" s="736"/>
      <c r="I135" s="753"/>
      <c r="J135" s="736"/>
      <c r="K135" s="736"/>
    </row>
    <row r="136" spans="7:11" x14ac:dyDescent="0.35">
      <c r="G136" s="736"/>
      <c r="H136" s="736"/>
      <c r="I136" s="753"/>
      <c r="J136" s="736"/>
      <c r="K136" s="736"/>
    </row>
    <row r="137" spans="7:11" x14ac:dyDescent="0.35">
      <c r="G137" s="736"/>
      <c r="H137" s="736"/>
      <c r="I137" s="753"/>
      <c r="J137" s="736"/>
      <c r="K137" s="736"/>
    </row>
    <row r="138" spans="7:11" x14ac:dyDescent="0.35">
      <c r="G138" s="736"/>
      <c r="H138" s="736"/>
      <c r="I138" s="753"/>
      <c r="J138" s="736"/>
      <c r="K138" s="736"/>
    </row>
    <row r="139" spans="7:11" x14ac:dyDescent="0.35">
      <c r="G139" s="736"/>
      <c r="H139" s="736"/>
      <c r="I139" s="753"/>
      <c r="J139" s="736"/>
      <c r="K139" s="736"/>
    </row>
    <row r="140" spans="7:11" x14ac:dyDescent="0.35">
      <c r="G140" s="736"/>
      <c r="H140" s="736"/>
      <c r="I140" s="753"/>
      <c r="J140" s="736"/>
      <c r="K140" s="736"/>
    </row>
    <row r="141" spans="7:11" x14ac:dyDescent="0.35">
      <c r="G141" s="736"/>
      <c r="H141" s="736"/>
      <c r="I141" s="753"/>
      <c r="J141" s="736"/>
      <c r="K141" s="736"/>
    </row>
    <row r="142" spans="7:11" x14ac:dyDescent="0.35">
      <c r="G142" s="736"/>
      <c r="H142" s="736"/>
      <c r="I142" s="753"/>
      <c r="J142" s="736"/>
      <c r="K142" s="736"/>
    </row>
    <row r="143" spans="7:11" x14ac:dyDescent="0.35">
      <c r="G143" s="736"/>
      <c r="H143" s="736"/>
      <c r="I143" s="753"/>
      <c r="J143" s="736"/>
      <c r="K143" s="736"/>
    </row>
    <row r="144" spans="7:11" x14ac:dyDescent="0.35">
      <c r="G144" s="736"/>
      <c r="H144" s="736"/>
      <c r="I144" s="753"/>
      <c r="J144" s="736"/>
      <c r="K144" s="736"/>
    </row>
    <row r="145" spans="7:11" x14ac:dyDescent="0.35">
      <c r="G145" s="736"/>
      <c r="H145" s="736"/>
      <c r="I145" s="753"/>
      <c r="J145" s="736"/>
      <c r="K145" s="736"/>
    </row>
    <row r="146" spans="7:11" x14ac:dyDescent="0.35">
      <c r="G146" s="736"/>
      <c r="H146" s="736"/>
      <c r="I146" s="753"/>
      <c r="J146" s="736"/>
      <c r="K146" s="736"/>
    </row>
    <row r="147" spans="7:11" x14ac:dyDescent="0.35">
      <c r="G147" s="736"/>
      <c r="H147" s="736"/>
      <c r="I147" s="753"/>
      <c r="J147" s="736"/>
      <c r="K147" s="736"/>
    </row>
    <row r="148" spans="7:11" x14ac:dyDescent="0.35">
      <c r="G148" s="736"/>
      <c r="H148" s="736"/>
      <c r="I148" s="753"/>
      <c r="J148" s="736"/>
      <c r="K148" s="736"/>
    </row>
    <row r="149" spans="7:11" x14ac:dyDescent="0.35">
      <c r="G149" s="736"/>
      <c r="H149" s="736"/>
      <c r="I149" s="753"/>
      <c r="J149" s="736"/>
      <c r="K149" s="736"/>
    </row>
    <row r="150" spans="7:11" x14ac:dyDescent="0.35">
      <c r="G150" s="736"/>
      <c r="H150" s="736"/>
      <c r="I150" s="753"/>
      <c r="J150" s="736"/>
      <c r="K150" s="736"/>
    </row>
    <row r="151" spans="7:11" x14ac:dyDescent="0.35">
      <c r="G151" s="736"/>
      <c r="H151" s="736"/>
      <c r="I151" s="753"/>
      <c r="J151" s="736"/>
      <c r="K151" s="736"/>
    </row>
    <row r="152" spans="7:11" x14ac:dyDescent="0.35">
      <c r="G152" s="736"/>
      <c r="H152" s="736"/>
      <c r="I152" s="753"/>
      <c r="J152" s="736"/>
      <c r="K152" s="736"/>
    </row>
    <row r="153" spans="7:11" x14ac:dyDescent="0.35">
      <c r="G153" s="736"/>
      <c r="H153" s="736"/>
      <c r="I153" s="753"/>
      <c r="J153" s="736"/>
      <c r="K153" s="736"/>
    </row>
    <row r="154" spans="7:11" x14ac:dyDescent="0.35">
      <c r="G154" s="736"/>
      <c r="H154" s="736"/>
      <c r="I154" s="753"/>
      <c r="J154" s="736"/>
      <c r="K154" s="736"/>
    </row>
    <row r="155" spans="7:11" x14ac:dyDescent="0.35">
      <c r="G155" s="736"/>
      <c r="H155" s="736"/>
      <c r="I155" s="753"/>
      <c r="J155" s="736"/>
      <c r="K155" s="736"/>
    </row>
    <row r="156" spans="7:11" x14ac:dyDescent="0.35">
      <c r="G156" s="736"/>
      <c r="H156" s="736"/>
      <c r="I156" s="753"/>
      <c r="J156" s="736"/>
      <c r="K156" s="736"/>
    </row>
    <row r="157" spans="7:11" x14ac:dyDescent="0.35">
      <c r="G157" s="736"/>
      <c r="H157" s="736"/>
      <c r="I157" s="753"/>
      <c r="J157" s="736"/>
      <c r="K157" s="736"/>
    </row>
    <row r="158" spans="7:11" x14ac:dyDescent="0.35">
      <c r="G158" s="736"/>
      <c r="H158" s="736"/>
      <c r="I158" s="753"/>
      <c r="J158" s="736"/>
      <c r="K158" s="736"/>
    </row>
    <row r="159" spans="7:11" x14ac:dyDescent="0.35">
      <c r="G159" s="736"/>
      <c r="H159" s="736"/>
      <c r="I159" s="753"/>
      <c r="J159" s="736"/>
      <c r="K159" s="736"/>
    </row>
    <row r="160" spans="7:11" x14ac:dyDescent="0.35">
      <c r="G160" s="736"/>
      <c r="H160" s="736"/>
      <c r="I160" s="753"/>
      <c r="J160" s="736"/>
      <c r="K160" s="736"/>
    </row>
    <row r="161" spans="7:11" x14ac:dyDescent="0.35">
      <c r="G161" s="736"/>
      <c r="H161" s="736"/>
      <c r="I161" s="753"/>
      <c r="J161" s="736"/>
      <c r="K161" s="736"/>
    </row>
    <row r="162" spans="7:11" x14ac:dyDescent="0.35">
      <c r="G162" s="736"/>
      <c r="H162" s="736"/>
      <c r="I162" s="753"/>
      <c r="J162" s="736"/>
      <c r="K162" s="736"/>
    </row>
    <row r="163" spans="7:11" x14ac:dyDescent="0.35">
      <c r="G163" s="736"/>
      <c r="H163" s="736"/>
      <c r="I163" s="753"/>
      <c r="J163" s="736"/>
      <c r="K163" s="736"/>
    </row>
    <row r="164" spans="7:11" x14ac:dyDescent="0.35">
      <c r="G164" s="736"/>
      <c r="H164" s="736"/>
      <c r="I164" s="753"/>
      <c r="J164" s="736"/>
      <c r="K164" s="736"/>
    </row>
    <row r="165" spans="7:11" x14ac:dyDescent="0.35">
      <c r="G165" s="736"/>
      <c r="H165" s="736"/>
      <c r="I165" s="753"/>
      <c r="J165" s="736"/>
      <c r="K165" s="736"/>
    </row>
    <row r="166" spans="7:11" x14ac:dyDescent="0.35">
      <c r="G166" s="736"/>
      <c r="H166" s="736"/>
      <c r="I166" s="753"/>
      <c r="J166" s="736"/>
      <c r="K166" s="736"/>
    </row>
    <row r="167" spans="7:11" x14ac:dyDescent="0.35">
      <c r="G167" s="736"/>
      <c r="H167" s="736"/>
      <c r="I167" s="753"/>
      <c r="J167" s="736"/>
      <c r="K167" s="736"/>
    </row>
    <row r="168" spans="7:11" x14ac:dyDescent="0.35">
      <c r="G168" s="736"/>
      <c r="H168" s="736"/>
      <c r="I168" s="753"/>
      <c r="J168" s="736"/>
      <c r="K168" s="736"/>
    </row>
    <row r="169" spans="7:11" x14ac:dyDescent="0.35">
      <c r="G169" s="736"/>
      <c r="H169" s="736"/>
      <c r="I169" s="753"/>
      <c r="J169" s="736"/>
      <c r="K169" s="736"/>
    </row>
  </sheetData>
  <mergeCells count="4">
    <mergeCell ref="B1:K1"/>
    <mergeCell ref="B2:K2"/>
    <mergeCell ref="B3:K3"/>
    <mergeCell ref="I6:K6"/>
  </mergeCells>
  <printOptions horizontalCentered="1"/>
  <pageMargins left="0.7" right="0.7" top="0.75" bottom="0.75" header="0.3" footer="0.3"/>
  <pageSetup scale="79" orientation="portrait" horizontalDpi="4294967293"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936B2-725E-4E7D-BED1-74060EA4FD27}">
  <dimension ref="A1:H26"/>
  <sheetViews>
    <sheetView view="pageBreakPreview" zoomScale="85" zoomScaleNormal="100" zoomScaleSheetLayoutView="85" workbookViewId="0"/>
  </sheetViews>
  <sheetFormatPr defaultColWidth="8.84375" defaultRowHeight="12.45" x14ac:dyDescent="0.3"/>
  <cols>
    <col min="1" max="1" width="8.84375" style="343"/>
    <col min="2" max="2" width="15.53515625" style="343" customWidth="1"/>
    <col min="3" max="3" width="8" style="343" customWidth="1"/>
    <col min="4" max="4" width="15.84375" style="343" customWidth="1"/>
    <col min="5" max="5" width="8" style="343" customWidth="1"/>
    <col min="6" max="6" width="15.53515625" style="343" customWidth="1"/>
    <col min="7" max="7" width="8.84375" style="343"/>
    <col min="8" max="8" width="14.3828125" style="343" customWidth="1"/>
    <col min="9" max="9" width="8.84375" style="343"/>
    <col min="10" max="10" width="10.53515625" style="343" bestFit="1" customWidth="1"/>
    <col min="11" max="16384" width="8.84375" style="343"/>
  </cols>
  <sheetData>
    <row r="1" spans="1:8" x14ac:dyDescent="0.3">
      <c r="B1" s="930" t="s">
        <v>1277</v>
      </c>
      <c r="C1" s="930"/>
      <c r="D1" s="930"/>
      <c r="E1" s="930"/>
      <c r="F1" s="930"/>
    </row>
    <row r="2" spans="1:8" x14ac:dyDescent="0.3">
      <c r="B2" s="930" t="s">
        <v>1278</v>
      </c>
      <c r="C2" s="930"/>
      <c r="D2" s="930"/>
      <c r="E2" s="930"/>
      <c r="F2" s="930"/>
    </row>
    <row r="3" spans="1:8" x14ac:dyDescent="0.3">
      <c r="A3" s="345"/>
      <c r="B3" s="345"/>
      <c r="C3" s="345"/>
      <c r="D3" s="345"/>
      <c r="E3" s="345"/>
      <c r="F3" s="345"/>
    </row>
    <row r="4" spans="1:8" ht="25.3" x14ac:dyDescent="0.35">
      <c r="A4" s="346"/>
      <c r="B4" s="347" t="s">
        <v>1279</v>
      </c>
      <c r="D4" s="347" t="s">
        <v>1280</v>
      </c>
      <c r="F4" s="347" t="s">
        <v>1281</v>
      </c>
      <c r="H4" s="347" t="str">
        <f>D4</f>
        <v>Numerical Bond Weighting</v>
      </c>
    </row>
    <row r="5" spans="1:8" ht="15" x14ac:dyDescent="0.35">
      <c r="A5" s="346"/>
      <c r="F5" s="344"/>
    </row>
    <row r="6" spans="1:8" ht="15" x14ac:dyDescent="0.35">
      <c r="B6" s="344" t="s">
        <v>1282</v>
      </c>
      <c r="D6" s="344">
        <v>1</v>
      </c>
      <c r="F6" s="344" t="s">
        <v>1283</v>
      </c>
      <c r="G6" s="346"/>
      <c r="H6" s="344">
        <f>IF(D6="","",D6)</f>
        <v>1</v>
      </c>
    </row>
    <row r="7" spans="1:8" ht="15" x14ac:dyDescent="0.35">
      <c r="B7" s="344"/>
      <c r="D7" s="344"/>
      <c r="F7" s="344"/>
      <c r="G7" s="346"/>
      <c r="H7" s="344" t="str">
        <f t="shared" ref="H7:H26" si="0">IF(D7="","",D7)</f>
        <v/>
      </c>
    </row>
    <row r="8" spans="1:8" ht="15" x14ac:dyDescent="0.35">
      <c r="B8" s="344" t="s">
        <v>1284</v>
      </c>
      <c r="D8" s="344">
        <v>2</v>
      </c>
      <c r="F8" s="344" t="s">
        <v>1285</v>
      </c>
      <c r="G8" s="346"/>
      <c r="H8" s="344">
        <f t="shared" si="0"/>
        <v>2</v>
      </c>
    </row>
    <row r="9" spans="1:8" ht="15" x14ac:dyDescent="0.35">
      <c r="B9" s="344" t="s">
        <v>1286</v>
      </c>
      <c r="D9" s="344">
        <v>3</v>
      </c>
      <c r="F9" s="344" t="s">
        <v>1287</v>
      </c>
      <c r="G9" s="346"/>
      <c r="H9" s="344">
        <f t="shared" si="0"/>
        <v>3</v>
      </c>
    </row>
    <row r="10" spans="1:8" ht="15" x14ac:dyDescent="0.35">
      <c r="B10" s="344" t="s">
        <v>1288</v>
      </c>
      <c r="D10" s="344">
        <v>4</v>
      </c>
      <c r="F10" s="344" t="s">
        <v>1289</v>
      </c>
      <c r="G10" s="346"/>
      <c r="H10" s="344">
        <f t="shared" si="0"/>
        <v>4</v>
      </c>
    </row>
    <row r="11" spans="1:8" ht="15" x14ac:dyDescent="0.35">
      <c r="B11" s="344"/>
      <c r="D11" s="344"/>
      <c r="F11" s="344"/>
      <c r="G11" s="346"/>
      <c r="H11" s="344" t="str">
        <f t="shared" si="0"/>
        <v/>
      </c>
    </row>
    <row r="12" spans="1:8" ht="15" x14ac:dyDescent="0.35">
      <c r="B12" s="344" t="s">
        <v>1290</v>
      </c>
      <c r="D12" s="344">
        <v>5</v>
      </c>
      <c r="F12" s="344" t="s">
        <v>1291</v>
      </c>
      <c r="G12" s="346"/>
      <c r="H12" s="344">
        <f t="shared" si="0"/>
        <v>5</v>
      </c>
    </row>
    <row r="13" spans="1:8" ht="15" x14ac:dyDescent="0.35">
      <c r="B13" s="344" t="s">
        <v>1292</v>
      </c>
      <c r="D13" s="344">
        <v>6</v>
      </c>
      <c r="F13" s="344" t="s">
        <v>1271</v>
      </c>
      <c r="G13" s="346"/>
      <c r="H13" s="344">
        <f t="shared" si="0"/>
        <v>6</v>
      </c>
    </row>
    <row r="14" spans="1:8" ht="15" x14ac:dyDescent="0.35">
      <c r="B14" s="344" t="s">
        <v>1270</v>
      </c>
      <c r="D14" s="344">
        <v>7</v>
      </c>
      <c r="F14" s="344" t="s">
        <v>1293</v>
      </c>
      <c r="G14" s="346"/>
      <c r="H14" s="344">
        <f t="shared" si="0"/>
        <v>7</v>
      </c>
    </row>
    <row r="15" spans="1:8" ht="15" x14ac:dyDescent="0.35">
      <c r="B15" s="344"/>
      <c r="D15" s="344"/>
      <c r="F15" s="344"/>
      <c r="G15" s="346"/>
      <c r="H15" s="344" t="str">
        <f t="shared" si="0"/>
        <v/>
      </c>
    </row>
    <row r="16" spans="1:8" ht="15" x14ac:dyDescent="0.35">
      <c r="B16" s="344" t="s">
        <v>1294</v>
      </c>
      <c r="D16" s="344">
        <v>8</v>
      </c>
      <c r="F16" s="344" t="s">
        <v>1295</v>
      </c>
      <c r="G16" s="346"/>
      <c r="H16" s="344">
        <f t="shared" si="0"/>
        <v>8</v>
      </c>
    </row>
    <row r="17" spans="2:8" ht="15" x14ac:dyDescent="0.35">
      <c r="B17" s="344" t="s">
        <v>1296</v>
      </c>
      <c r="D17" s="344">
        <v>9</v>
      </c>
      <c r="F17" s="344" t="s">
        <v>1297</v>
      </c>
      <c r="G17" s="346"/>
      <c r="H17" s="344">
        <f t="shared" si="0"/>
        <v>9</v>
      </c>
    </row>
    <row r="18" spans="2:8" ht="15" x14ac:dyDescent="0.35">
      <c r="B18" s="344" t="s">
        <v>1298</v>
      </c>
      <c r="D18" s="344">
        <v>10</v>
      </c>
      <c r="F18" s="344" t="s">
        <v>1299</v>
      </c>
      <c r="G18" s="346"/>
      <c r="H18" s="344">
        <f t="shared" si="0"/>
        <v>10</v>
      </c>
    </row>
    <row r="19" spans="2:8" ht="15" x14ac:dyDescent="0.35">
      <c r="B19" s="344"/>
      <c r="D19" s="344"/>
      <c r="F19" s="344"/>
      <c r="G19" s="346"/>
      <c r="H19" s="344" t="str">
        <f t="shared" si="0"/>
        <v/>
      </c>
    </row>
    <row r="20" spans="2:8" ht="15" x14ac:dyDescent="0.35">
      <c r="B20" s="344" t="s">
        <v>1300</v>
      </c>
      <c r="D20" s="344">
        <v>11</v>
      </c>
      <c r="F20" s="344" t="s">
        <v>1301</v>
      </c>
      <c r="G20" s="346"/>
      <c r="H20" s="344">
        <f t="shared" si="0"/>
        <v>11</v>
      </c>
    </row>
    <row r="21" spans="2:8" ht="15" x14ac:dyDescent="0.35">
      <c r="B21" s="344" t="s">
        <v>1302</v>
      </c>
      <c r="D21" s="344">
        <v>12</v>
      </c>
      <c r="F21" s="344" t="s">
        <v>1303</v>
      </c>
      <c r="G21" s="346"/>
      <c r="H21" s="344">
        <f t="shared" si="0"/>
        <v>12</v>
      </c>
    </row>
    <row r="22" spans="2:8" ht="15" x14ac:dyDescent="0.35">
      <c r="B22" s="344" t="s">
        <v>1304</v>
      </c>
      <c r="D22" s="344">
        <v>13</v>
      </c>
      <c r="F22" s="344" t="s">
        <v>1305</v>
      </c>
      <c r="G22" s="346"/>
      <c r="H22" s="344">
        <f t="shared" si="0"/>
        <v>13</v>
      </c>
    </row>
    <row r="23" spans="2:8" ht="15" x14ac:dyDescent="0.35">
      <c r="B23" s="344"/>
      <c r="D23" s="344"/>
      <c r="F23" s="344"/>
      <c r="G23" s="346"/>
      <c r="H23" s="344" t="str">
        <f t="shared" si="0"/>
        <v/>
      </c>
    </row>
    <row r="24" spans="2:8" ht="15" x14ac:dyDescent="0.35">
      <c r="B24" s="344" t="s">
        <v>1306</v>
      </c>
      <c r="D24" s="344">
        <v>14</v>
      </c>
      <c r="F24" s="344" t="s">
        <v>1307</v>
      </c>
      <c r="G24" s="346"/>
      <c r="H24" s="344">
        <f t="shared" si="0"/>
        <v>14</v>
      </c>
    </row>
    <row r="25" spans="2:8" ht="15" x14ac:dyDescent="0.35">
      <c r="B25" s="344" t="s">
        <v>1308</v>
      </c>
      <c r="D25" s="344">
        <v>15</v>
      </c>
      <c r="F25" s="344" t="s">
        <v>1309</v>
      </c>
      <c r="G25" s="346"/>
      <c r="H25" s="344">
        <f t="shared" si="0"/>
        <v>15</v>
      </c>
    </row>
    <row r="26" spans="2:8" ht="15" x14ac:dyDescent="0.35">
      <c r="B26" s="344" t="s">
        <v>1310</v>
      </c>
      <c r="D26" s="344">
        <v>16</v>
      </c>
      <c r="F26" s="344" t="s">
        <v>1311</v>
      </c>
      <c r="G26" s="346"/>
      <c r="H26" s="344">
        <f t="shared" si="0"/>
        <v>16</v>
      </c>
    </row>
  </sheetData>
  <mergeCells count="2">
    <mergeCell ref="B1:F1"/>
    <mergeCell ref="B2:F2"/>
  </mergeCells>
  <printOptions horizontalCentered="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10D1F-283C-492D-BDD7-8A51DBE64A47}">
  <sheetPr>
    <pageSetUpPr fitToPage="1"/>
  </sheetPr>
  <dimension ref="A1:H71"/>
  <sheetViews>
    <sheetView view="pageBreakPreview" zoomScale="85" zoomScaleNormal="100" zoomScaleSheetLayoutView="85" workbookViewId="0">
      <selection sqref="A1:F1"/>
    </sheetView>
  </sheetViews>
  <sheetFormatPr defaultColWidth="12.3828125" defaultRowHeight="15" x14ac:dyDescent="0.35"/>
  <cols>
    <col min="1" max="1" width="8.53515625" style="735" bestFit="1" customWidth="1"/>
    <col min="2" max="2" width="4.53515625" style="735" customWidth="1"/>
    <col min="3" max="3" width="33" style="735" customWidth="1"/>
    <col min="4" max="4" width="9.53515625" style="735" customWidth="1"/>
    <col min="5" max="5" width="16.53515625" style="735" customWidth="1"/>
    <col min="6" max="6" width="3.53515625" style="735" bestFit="1" customWidth="1"/>
    <col min="7" max="7" width="12.3828125" style="735"/>
    <col min="8" max="8" width="8.15234375" style="735" customWidth="1"/>
    <col min="9" max="16384" width="12.3828125" style="735"/>
  </cols>
  <sheetData>
    <row r="1" spans="1:8" x14ac:dyDescent="0.35">
      <c r="A1" s="920" t="str">
        <f>Input!G29</f>
        <v>City of Ansonia</v>
      </c>
      <c r="B1" s="920"/>
      <c r="C1" s="920"/>
      <c r="D1" s="920"/>
      <c r="E1" s="920"/>
      <c r="F1" s="920"/>
      <c r="G1" s="767"/>
      <c r="H1" s="767"/>
    </row>
    <row r="2" spans="1:8" x14ac:dyDescent="0.35">
      <c r="A2" s="926" t="s">
        <v>1312</v>
      </c>
      <c r="B2" s="926"/>
      <c r="C2" s="926"/>
      <c r="D2" s="926"/>
      <c r="E2" s="926"/>
      <c r="F2" s="926"/>
      <c r="G2" s="767"/>
      <c r="H2" s="767"/>
    </row>
    <row r="3" spans="1:8" x14ac:dyDescent="0.35">
      <c r="A3" s="920" t="str">
        <f>E6</f>
        <v>Proxy Group of Six Water Companies</v>
      </c>
      <c r="B3" s="920"/>
      <c r="C3" s="920"/>
      <c r="D3" s="920"/>
      <c r="E3" s="920"/>
      <c r="F3" s="920"/>
      <c r="G3" s="754"/>
      <c r="H3" s="754"/>
    </row>
    <row r="4" spans="1:8" x14ac:dyDescent="0.35">
      <c r="A4" s="736"/>
      <c r="B4" s="736"/>
      <c r="C4" s="736"/>
      <c r="D4" s="736"/>
      <c r="E4" s="736"/>
      <c r="F4" s="736"/>
      <c r="G4" s="754"/>
      <c r="H4" s="754"/>
    </row>
    <row r="5" spans="1:8" ht="15" customHeight="1" x14ac:dyDescent="0.35">
      <c r="A5" s="926"/>
      <c r="B5" s="931"/>
      <c r="C5" s="931"/>
      <c r="D5" s="931"/>
      <c r="E5" s="931"/>
      <c r="F5" s="931"/>
    </row>
    <row r="6" spans="1:8" ht="35.25" customHeight="1" x14ac:dyDescent="0.35">
      <c r="A6" s="768" t="s">
        <v>1313</v>
      </c>
      <c r="B6" s="736"/>
      <c r="D6" s="769"/>
      <c r="E6" s="932" t="str">
        <f>'1.14 Bond Ratings'!B3</f>
        <v>Proxy Group of Six Water Companies</v>
      </c>
      <c r="F6" s="932"/>
      <c r="G6" s="745"/>
      <c r="H6" s="745"/>
    </row>
    <row r="7" spans="1:8" x14ac:dyDescent="0.35">
      <c r="A7" s="770"/>
      <c r="B7" s="736"/>
      <c r="D7" s="769"/>
      <c r="E7" s="769"/>
      <c r="F7" s="769"/>
    </row>
    <row r="8" spans="1:8" x14ac:dyDescent="0.35">
      <c r="B8" s="736"/>
      <c r="D8" s="769"/>
      <c r="E8" s="769"/>
      <c r="F8" s="769"/>
    </row>
    <row r="9" spans="1:8" x14ac:dyDescent="0.35">
      <c r="A9" s="736" t="s">
        <v>1180</v>
      </c>
      <c r="B9" s="736"/>
      <c r="C9" s="735" t="s">
        <v>1314</v>
      </c>
      <c r="D9" s="769"/>
      <c r="E9" s="769"/>
      <c r="F9" s="769"/>
    </row>
    <row r="10" spans="1:8" x14ac:dyDescent="0.35">
      <c r="B10" s="736"/>
      <c r="C10" s="735" t="s">
        <v>1315</v>
      </c>
      <c r="D10" s="769"/>
      <c r="E10" s="769"/>
      <c r="F10" s="769"/>
    </row>
    <row r="11" spans="1:8" x14ac:dyDescent="0.35">
      <c r="B11" s="736"/>
      <c r="C11" s="735" t="s">
        <v>1316</v>
      </c>
      <c r="D11" s="769"/>
      <c r="E11" s="769"/>
      <c r="F11" s="769"/>
    </row>
    <row r="12" spans="1:8" x14ac:dyDescent="0.35">
      <c r="B12" s="736"/>
      <c r="C12" s="735" t="s">
        <v>1317</v>
      </c>
      <c r="D12" s="769"/>
      <c r="E12" s="771">
        <f>'1.17 Beta Adjusted ERP'!F23</f>
        <v>6.68</v>
      </c>
      <c r="F12" s="758" t="s">
        <v>1197</v>
      </c>
      <c r="G12" s="757"/>
      <c r="H12" s="740"/>
    </row>
    <row r="13" spans="1:8" x14ac:dyDescent="0.35">
      <c r="B13" s="736"/>
      <c r="D13" s="769"/>
      <c r="E13" s="757"/>
      <c r="F13" s="757"/>
      <c r="G13" s="757"/>
    </row>
    <row r="14" spans="1:8" x14ac:dyDescent="0.35">
      <c r="A14" s="736" t="s">
        <v>1184</v>
      </c>
      <c r="B14" s="736"/>
      <c r="C14" s="735" t="s">
        <v>1318</v>
      </c>
      <c r="D14" s="769"/>
      <c r="E14" s="757"/>
      <c r="F14" s="757"/>
      <c r="G14" s="757"/>
    </row>
    <row r="15" spans="1:8" x14ac:dyDescent="0.35">
      <c r="B15" s="736"/>
      <c r="C15" s="735" t="s">
        <v>1319</v>
      </c>
      <c r="D15" s="769"/>
      <c r="E15" s="757"/>
      <c r="F15" s="757"/>
      <c r="G15" s="757"/>
    </row>
    <row r="16" spans="1:8" x14ac:dyDescent="0.35">
      <c r="B16" s="736"/>
      <c r="C16" s="735" t="s">
        <v>1320</v>
      </c>
      <c r="D16" s="769"/>
      <c r="E16" s="757"/>
      <c r="F16" s="757"/>
      <c r="G16" s="757"/>
    </row>
    <row r="17" spans="1:7" x14ac:dyDescent="0.35">
      <c r="B17" s="736"/>
      <c r="C17" s="735" t="s">
        <v>1321</v>
      </c>
      <c r="D17" s="769"/>
      <c r="E17" s="757"/>
      <c r="F17" s="757"/>
      <c r="G17" s="757"/>
    </row>
    <row r="18" spans="1:7" x14ac:dyDescent="0.35">
      <c r="B18" s="736"/>
      <c r="C18" s="735" t="s">
        <v>1322</v>
      </c>
      <c r="D18" s="769"/>
      <c r="E18" s="760">
        <f>'1.20 S&amp;P RPM Study Returns'!E15</f>
        <v>4.6399999999999997</v>
      </c>
      <c r="F18" s="757"/>
      <c r="G18" s="757"/>
    </row>
    <row r="19" spans="1:7" x14ac:dyDescent="0.35">
      <c r="B19" s="736"/>
      <c r="D19" s="769"/>
      <c r="E19" s="757"/>
      <c r="F19" s="757"/>
      <c r="G19" s="757"/>
    </row>
    <row r="20" spans="1:7" x14ac:dyDescent="0.35">
      <c r="B20" s="736"/>
      <c r="D20" s="769"/>
      <c r="E20" s="757"/>
      <c r="F20" s="757"/>
      <c r="G20" s="757"/>
    </row>
    <row r="21" spans="1:7" ht="15.45" thickBot="1" x14ac:dyDescent="0.4">
      <c r="A21" s="761" t="s">
        <v>1186</v>
      </c>
      <c r="B21" s="736"/>
      <c r="C21" s="735" t="s">
        <v>1323</v>
      </c>
      <c r="D21" s="769"/>
      <c r="E21" s="764">
        <f>ROUND(AVERAGE(E12:E19),2)</f>
        <v>5.66</v>
      </c>
      <c r="F21" s="757" t="s">
        <v>1197</v>
      </c>
      <c r="G21" s="757"/>
    </row>
    <row r="22" spans="1:7" ht="15.45" thickTop="1" x14ac:dyDescent="0.35">
      <c r="B22" s="736"/>
      <c r="D22" s="769"/>
      <c r="E22" s="772"/>
      <c r="F22" s="769"/>
    </row>
    <row r="23" spans="1:7" x14ac:dyDescent="0.35">
      <c r="B23" s="736"/>
      <c r="D23" s="769"/>
      <c r="E23" s="769"/>
      <c r="F23" s="769"/>
    </row>
    <row r="24" spans="1:7" x14ac:dyDescent="0.35">
      <c r="A24" s="773" t="s">
        <v>1248</v>
      </c>
      <c r="B24" s="736" t="s">
        <v>1165</v>
      </c>
      <c r="C24" s="735" t="s">
        <v>1324</v>
      </c>
      <c r="D24" s="769"/>
      <c r="E24" s="769"/>
      <c r="F24" s="769"/>
    </row>
    <row r="25" spans="1:7" x14ac:dyDescent="0.35">
      <c r="A25" s="773"/>
      <c r="B25" s="736" t="s">
        <v>1161</v>
      </c>
      <c r="C25" s="735" t="s">
        <v>1325</v>
      </c>
      <c r="D25" s="769"/>
      <c r="E25" s="769"/>
      <c r="F25" s="769"/>
    </row>
    <row r="26" spans="1:7" x14ac:dyDescent="0.35">
      <c r="B26" s="736"/>
      <c r="D26" s="769"/>
      <c r="E26" s="769"/>
      <c r="F26" s="769"/>
    </row>
    <row r="27" spans="1:7" x14ac:dyDescent="0.35">
      <c r="B27" s="736"/>
      <c r="D27" s="769"/>
      <c r="E27" s="769"/>
      <c r="F27" s="769"/>
    </row>
    <row r="28" spans="1:7" x14ac:dyDescent="0.35">
      <c r="B28" s="736"/>
      <c r="D28" s="769"/>
      <c r="E28" s="769"/>
      <c r="F28" s="769"/>
    </row>
    <row r="29" spans="1:7" x14ac:dyDescent="0.35">
      <c r="B29" s="736"/>
      <c r="D29" s="769"/>
      <c r="E29" s="769"/>
      <c r="F29" s="769"/>
    </row>
    <row r="30" spans="1:7" x14ac:dyDescent="0.35">
      <c r="B30" s="736"/>
      <c r="D30" s="769"/>
      <c r="E30" s="769"/>
      <c r="F30" s="769"/>
    </row>
    <row r="31" spans="1:7" x14ac:dyDescent="0.35">
      <c r="B31" s="736"/>
      <c r="D31" s="769"/>
      <c r="E31" s="769"/>
      <c r="F31" s="769"/>
    </row>
    <row r="32" spans="1:7" x14ac:dyDescent="0.35">
      <c r="B32" s="736"/>
      <c r="D32" s="769"/>
      <c r="E32" s="769"/>
      <c r="F32" s="769"/>
    </row>
    <row r="33" spans="2:6" x14ac:dyDescent="0.35">
      <c r="B33" s="736"/>
      <c r="D33" s="769"/>
      <c r="E33" s="769"/>
      <c r="F33" s="769"/>
    </row>
    <row r="34" spans="2:6" x14ac:dyDescent="0.35">
      <c r="B34" s="736"/>
      <c r="D34" s="769"/>
      <c r="E34" s="769"/>
      <c r="F34" s="769"/>
    </row>
    <row r="35" spans="2:6" x14ac:dyDescent="0.35">
      <c r="B35" s="736"/>
      <c r="D35" s="769"/>
      <c r="E35" s="769"/>
      <c r="F35" s="769"/>
    </row>
    <row r="36" spans="2:6" x14ac:dyDescent="0.35">
      <c r="B36" s="736"/>
      <c r="D36" s="769"/>
      <c r="E36" s="769"/>
      <c r="F36" s="769"/>
    </row>
    <row r="37" spans="2:6" x14ac:dyDescent="0.35">
      <c r="B37" s="736"/>
      <c r="D37" s="769"/>
      <c r="E37" s="769"/>
      <c r="F37" s="769"/>
    </row>
    <row r="38" spans="2:6" x14ac:dyDescent="0.35">
      <c r="B38" s="736"/>
      <c r="D38" s="769"/>
      <c r="E38" s="769"/>
      <c r="F38" s="769"/>
    </row>
    <row r="39" spans="2:6" x14ac:dyDescent="0.35">
      <c r="B39" s="736"/>
      <c r="D39" s="769"/>
      <c r="E39" s="769"/>
      <c r="F39" s="769"/>
    </row>
    <row r="40" spans="2:6" x14ac:dyDescent="0.35">
      <c r="B40" s="736"/>
      <c r="D40" s="769"/>
      <c r="E40" s="769"/>
      <c r="F40" s="769"/>
    </row>
    <row r="41" spans="2:6" x14ac:dyDescent="0.35">
      <c r="B41" s="736"/>
      <c r="D41" s="769"/>
      <c r="E41" s="769"/>
      <c r="F41" s="769"/>
    </row>
    <row r="42" spans="2:6" x14ac:dyDescent="0.35">
      <c r="B42" s="736"/>
      <c r="D42" s="769"/>
      <c r="E42" s="769"/>
      <c r="F42" s="769"/>
    </row>
    <row r="43" spans="2:6" x14ac:dyDescent="0.35">
      <c r="B43" s="736"/>
      <c r="D43" s="769"/>
      <c r="E43" s="769"/>
      <c r="F43" s="769"/>
    </row>
    <row r="44" spans="2:6" x14ac:dyDescent="0.35">
      <c r="B44" s="736"/>
      <c r="D44" s="769"/>
      <c r="E44" s="769"/>
      <c r="F44" s="769"/>
    </row>
    <row r="45" spans="2:6" x14ac:dyDescent="0.35">
      <c r="B45" s="736"/>
      <c r="D45" s="769"/>
      <c r="E45" s="769"/>
      <c r="F45" s="769"/>
    </row>
    <row r="46" spans="2:6" x14ac:dyDescent="0.35">
      <c r="B46" s="736"/>
      <c r="D46" s="769"/>
      <c r="E46" s="769"/>
      <c r="F46" s="769"/>
    </row>
    <row r="47" spans="2:6" x14ac:dyDescent="0.35">
      <c r="B47" s="736"/>
      <c r="D47" s="769"/>
      <c r="E47" s="769"/>
      <c r="F47" s="769"/>
    </row>
    <row r="48" spans="2:6" x14ac:dyDescent="0.35">
      <c r="B48" s="736"/>
      <c r="D48" s="769"/>
      <c r="E48" s="769"/>
      <c r="F48" s="769"/>
    </row>
    <row r="49" spans="2:6" x14ac:dyDescent="0.35">
      <c r="B49" s="736"/>
      <c r="D49" s="769"/>
      <c r="E49" s="769"/>
      <c r="F49" s="769"/>
    </row>
    <row r="50" spans="2:6" x14ac:dyDescent="0.35">
      <c r="B50" s="736"/>
      <c r="D50" s="769"/>
      <c r="E50" s="769"/>
      <c r="F50" s="769"/>
    </row>
    <row r="51" spans="2:6" x14ac:dyDescent="0.35">
      <c r="B51" s="736"/>
      <c r="D51" s="769"/>
      <c r="E51" s="769"/>
      <c r="F51" s="769"/>
    </row>
    <row r="52" spans="2:6" x14ac:dyDescent="0.35">
      <c r="B52" s="736"/>
      <c r="D52" s="769"/>
      <c r="E52" s="769"/>
      <c r="F52" s="769"/>
    </row>
    <row r="53" spans="2:6" x14ac:dyDescent="0.35">
      <c r="B53" s="736"/>
      <c r="D53" s="769"/>
      <c r="E53" s="769"/>
      <c r="F53" s="769"/>
    </row>
    <row r="54" spans="2:6" x14ac:dyDescent="0.35">
      <c r="B54" s="736"/>
      <c r="D54" s="769"/>
      <c r="E54" s="769"/>
      <c r="F54" s="769"/>
    </row>
    <row r="55" spans="2:6" x14ac:dyDescent="0.35">
      <c r="B55" s="736"/>
      <c r="D55" s="769"/>
      <c r="E55" s="769"/>
      <c r="F55" s="769"/>
    </row>
    <row r="56" spans="2:6" x14ac:dyDescent="0.35">
      <c r="B56" s="736"/>
      <c r="D56" s="769"/>
      <c r="E56" s="769"/>
      <c r="F56" s="769"/>
    </row>
    <row r="57" spans="2:6" x14ac:dyDescent="0.35">
      <c r="B57" s="736"/>
      <c r="D57" s="769"/>
      <c r="E57" s="769"/>
      <c r="F57" s="769"/>
    </row>
    <row r="58" spans="2:6" x14ac:dyDescent="0.35">
      <c r="B58" s="736"/>
      <c r="D58" s="769"/>
      <c r="E58" s="769"/>
      <c r="F58" s="769"/>
    </row>
    <row r="59" spans="2:6" x14ac:dyDescent="0.35">
      <c r="B59" s="736"/>
      <c r="D59" s="769"/>
      <c r="E59" s="769"/>
      <c r="F59" s="769"/>
    </row>
    <row r="60" spans="2:6" x14ac:dyDescent="0.35">
      <c r="B60" s="736"/>
      <c r="D60" s="769"/>
      <c r="E60" s="769"/>
      <c r="F60" s="769"/>
    </row>
    <row r="61" spans="2:6" x14ac:dyDescent="0.35">
      <c r="B61" s="736"/>
      <c r="D61" s="769"/>
      <c r="E61" s="769"/>
      <c r="F61" s="769"/>
    </row>
    <row r="62" spans="2:6" x14ac:dyDescent="0.35">
      <c r="B62" s="736"/>
      <c r="D62" s="769"/>
      <c r="E62" s="769"/>
      <c r="F62" s="769"/>
    </row>
    <row r="63" spans="2:6" x14ac:dyDescent="0.35">
      <c r="B63" s="736"/>
      <c r="D63" s="769"/>
      <c r="E63" s="769"/>
      <c r="F63" s="769"/>
    </row>
    <row r="64" spans="2:6" x14ac:dyDescent="0.35">
      <c r="B64" s="736"/>
      <c r="D64" s="769"/>
      <c r="E64" s="769"/>
      <c r="F64" s="769"/>
    </row>
    <row r="65" spans="2:6" x14ac:dyDescent="0.35">
      <c r="B65" s="736"/>
      <c r="D65" s="769"/>
      <c r="E65" s="769"/>
      <c r="F65" s="769"/>
    </row>
    <row r="66" spans="2:6" x14ac:dyDescent="0.35">
      <c r="B66" s="736"/>
      <c r="D66" s="769"/>
      <c r="E66" s="769"/>
      <c r="F66" s="769"/>
    </row>
    <row r="67" spans="2:6" x14ac:dyDescent="0.35">
      <c r="B67" s="736"/>
      <c r="D67" s="769"/>
      <c r="E67" s="769"/>
      <c r="F67" s="769"/>
    </row>
    <row r="68" spans="2:6" x14ac:dyDescent="0.35">
      <c r="B68" s="736"/>
      <c r="D68" s="769"/>
      <c r="E68" s="769"/>
      <c r="F68" s="769"/>
    </row>
    <row r="69" spans="2:6" x14ac:dyDescent="0.35">
      <c r="B69" s="736"/>
      <c r="D69" s="769"/>
      <c r="E69" s="769"/>
      <c r="F69" s="769"/>
    </row>
    <row r="70" spans="2:6" x14ac:dyDescent="0.35">
      <c r="B70" s="736"/>
      <c r="D70" s="769"/>
      <c r="E70" s="769"/>
      <c r="F70" s="769"/>
    </row>
    <row r="71" spans="2:6" x14ac:dyDescent="0.35">
      <c r="B71" s="736"/>
      <c r="D71" s="769"/>
      <c r="E71" s="769"/>
      <c r="F71" s="769"/>
    </row>
  </sheetData>
  <mergeCells count="5">
    <mergeCell ref="A1:F1"/>
    <mergeCell ref="A2:F2"/>
    <mergeCell ref="A3:F3"/>
    <mergeCell ref="A5:F5"/>
    <mergeCell ref="E6:F6"/>
  </mergeCells>
  <printOptions horizontalCentered="1"/>
  <pageMargins left="1" right="1" top="1" bottom="1" header="0.5" footer="0"/>
  <pageSetup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936FB-6645-4A2B-B2F1-011B4A6AFB6F}">
  <dimension ref="A1:H62"/>
  <sheetViews>
    <sheetView view="pageBreakPreview" zoomScale="85" zoomScaleNormal="100" zoomScaleSheetLayoutView="85" workbookViewId="0">
      <selection sqref="A1:G1"/>
    </sheetView>
  </sheetViews>
  <sheetFormatPr defaultColWidth="12.3828125" defaultRowHeight="15" x14ac:dyDescent="0.35"/>
  <cols>
    <col min="1" max="1" width="9.84375" style="735" customWidth="1"/>
    <col min="2" max="2" width="5.15234375" style="735" customWidth="1"/>
    <col min="3" max="3" width="43" style="735" customWidth="1"/>
    <col min="4" max="5" width="14.69140625" style="735" customWidth="1"/>
    <col min="6" max="6" width="16.3828125" style="735" customWidth="1"/>
    <col min="7" max="7" width="4.69140625" style="735" customWidth="1"/>
    <col min="8" max="8" width="18.53515625" style="735" customWidth="1"/>
    <col min="9" max="16384" width="12.3828125" style="735"/>
  </cols>
  <sheetData>
    <row r="1" spans="1:8" x14ac:dyDescent="0.35">
      <c r="A1" s="920" t="str">
        <f>Input!G29</f>
        <v>City of Ansonia</v>
      </c>
      <c r="B1" s="920"/>
      <c r="C1" s="920"/>
      <c r="D1" s="920"/>
      <c r="E1" s="920"/>
      <c r="F1" s="920"/>
      <c r="G1" s="920"/>
      <c r="H1" s="754"/>
    </row>
    <row r="2" spans="1:8" x14ac:dyDescent="0.35">
      <c r="A2" s="926" t="s">
        <v>1326</v>
      </c>
      <c r="B2" s="926"/>
      <c r="C2" s="926"/>
      <c r="D2" s="926"/>
      <c r="E2" s="926"/>
      <c r="F2" s="926"/>
      <c r="G2" s="926"/>
      <c r="H2" s="754"/>
    </row>
    <row r="3" spans="1:8" x14ac:dyDescent="0.35">
      <c r="A3" s="926" t="s">
        <v>1327</v>
      </c>
      <c r="B3" s="926"/>
      <c r="C3" s="926"/>
      <c r="D3" s="926"/>
      <c r="E3" s="926"/>
      <c r="F3" s="926"/>
      <c r="G3" s="926"/>
      <c r="H3" s="754"/>
    </row>
    <row r="4" spans="1:8" x14ac:dyDescent="0.35">
      <c r="A4" s="920" t="str">
        <f>'1.16 ERP Determination'!E6</f>
        <v>Proxy Group of Six Water Companies</v>
      </c>
      <c r="B4" s="920"/>
      <c r="C4" s="920"/>
      <c r="D4" s="920"/>
      <c r="E4" s="920"/>
      <c r="F4" s="920"/>
      <c r="G4" s="920"/>
      <c r="H4" s="754"/>
    </row>
    <row r="5" spans="1:8" x14ac:dyDescent="0.35">
      <c r="A5" s="736"/>
      <c r="B5" s="649"/>
      <c r="C5" s="649"/>
      <c r="D5" s="649"/>
      <c r="E5" s="649"/>
      <c r="F5" s="649"/>
      <c r="G5" s="649"/>
      <c r="H5" s="754"/>
    </row>
    <row r="6" spans="1:8" ht="15" customHeight="1" x14ac:dyDescent="0.35">
      <c r="E6" s="755"/>
      <c r="F6" s="755"/>
    </row>
    <row r="7" spans="1:8" ht="39.75" customHeight="1" x14ac:dyDescent="0.35">
      <c r="A7" s="734" t="s">
        <v>1177</v>
      </c>
      <c r="C7" s="756" t="s">
        <v>1328</v>
      </c>
      <c r="E7" s="755"/>
      <c r="F7" s="927" t="str">
        <f>A4</f>
        <v>Proxy Group of Six Water Companies</v>
      </c>
      <c r="G7" s="932"/>
    </row>
    <row r="9" spans="1:8" x14ac:dyDescent="0.35">
      <c r="A9" s="736" t="s">
        <v>1180</v>
      </c>
      <c r="C9" s="757" t="s">
        <v>1329</v>
      </c>
      <c r="D9" s="757"/>
      <c r="E9" s="757"/>
      <c r="F9" s="757">
        <f>('Market Data'!B10-'Market Data'!B11)*100</f>
        <v>5.8156590403608766</v>
      </c>
      <c r="G9" s="758" t="s">
        <v>1197</v>
      </c>
    </row>
    <row r="10" spans="1:8" x14ac:dyDescent="0.35">
      <c r="C10" s="757"/>
      <c r="D10" s="757"/>
      <c r="E10" s="757"/>
      <c r="F10" s="757"/>
      <c r="G10" s="757"/>
    </row>
    <row r="11" spans="1:8" x14ac:dyDescent="0.35">
      <c r="A11" s="736" t="s">
        <v>1184</v>
      </c>
      <c r="C11" s="757" t="s">
        <v>1330</v>
      </c>
      <c r="D11" s="757"/>
      <c r="E11" s="757"/>
      <c r="F11" s="757">
        <f>'MRP ERP WP'!$AL$42*100</f>
        <v>7.458314411836434</v>
      </c>
      <c r="G11" s="758"/>
    </row>
    <row r="12" spans="1:8" x14ac:dyDescent="0.35">
      <c r="C12" s="757"/>
      <c r="D12" s="757"/>
      <c r="E12" s="757"/>
      <c r="F12" s="757"/>
      <c r="G12" s="757"/>
    </row>
    <row r="13" spans="1:8" ht="30" x14ac:dyDescent="0.35">
      <c r="A13" s="744" t="s">
        <v>1186</v>
      </c>
      <c r="C13" s="759" t="s">
        <v>1331</v>
      </c>
      <c r="D13" s="757"/>
      <c r="E13" s="757"/>
      <c r="F13" s="757">
        <f>'MRP WP1'!$M$22*100-'MRP WP1'!$M$37</f>
        <v>10.559999999999999</v>
      </c>
      <c r="G13" s="758"/>
    </row>
    <row r="14" spans="1:8" x14ac:dyDescent="0.35">
      <c r="A14" s="744"/>
      <c r="C14" s="759"/>
      <c r="D14" s="757"/>
      <c r="E14" s="757"/>
      <c r="F14" s="757"/>
      <c r="G14" s="758"/>
    </row>
    <row r="15" spans="1:8" ht="30" x14ac:dyDescent="0.35">
      <c r="A15" s="744" t="s">
        <v>1238</v>
      </c>
      <c r="C15" s="759" t="s">
        <v>1332</v>
      </c>
      <c r="D15" s="757"/>
      <c r="E15" s="757"/>
      <c r="F15" s="757">
        <f>('MRP WP3'!H504*100)-'MRP WP1'!M37</f>
        <v>9.3881108657722798</v>
      </c>
      <c r="G15" s="758"/>
      <c r="H15" s="757"/>
    </row>
    <row r="16" spans="1:8" x14ac:dyDescent="0.35">
      <c r="A16" s="744"/>
      <c r="C16" s="759"/>
      <c r="D16" s="757"/>
      <c r="E16" s="757"/>
      <c r="F16" s="757"/>
      <c r="G16" s="758"/>
    </row>
    <row r="17" spans="1:8" ht="30" x14ac:dyDescent="0.35">
      <c r="A17" s="738">
        <v>5</v>
      </c>
      <c r="C17" s="759" t="s">
        <v>1333</v>
      </c>
      <c r="D17" s="757"/>
      <c r="E17" s="757"/>
      <c r="F17" s="760">
        <f>'MRP WP2'!Q504*100-'MRP WP1'!M37</f>
        <v>11.291046129625077</v>
      </c>
      <c r="G17" s="758"/>
      <c r="H17" s="757"/>
    </row>
    <row r="18" spans="1:8" x14ac:dyDescent="0.35">
      <c r="C18" s="757"/>
      <c r="D18" s="757"/>
      <c r="E18" s="757"/>
      <c r="F18" s="757"/>
      <c r="G18" s="757"/>
    </row>
    <row r="19" spans="1:8" x14ac:dyDescent="0.35">
      <c r="A19" s="761" t="s">
        <v>1242</v>
      </c>
      <c r="C19" s="762" t="s">
        <v>1334</v>
      </c>
      <c r="D19" s="757"/>
      <c r="E19" s="757"/>
      <c r="F19" s="763">
        <f>ROUND(AVERAGE(F9:F17),2)</f>
        <v>8.9</v>
      </c>
      <c r="G19" s="758" t="s">
        <v>1197</v>
      </c>
    </row>
    <row r="20" spans="1:8" x14ac:dyDescent="0.35">
      <c r="C20" s="757"/>
      <c r="D20" s="757"/>
      <c r="E20" s="757"/>
      <c r="F20" s="757"/>
      <c r="G20" s="757"/>
    </row>
    <row r="21" spans="1:8" x14ac:dyDescent="0.35">
      <c r="A21" s="744" t="s">
        <v>1245</v>
      </c>
      <c r="C21" s="757" t="s">
        <v>1335</v>
      </c>
      <c r="D21" s="757"/>
      <c r="E21" s="757"/>
      <c r="F21" s="760">
        <f>'1.21 CAPM'!H20</f>
        <v>0.75</v>
      </c>
      <c r="G21" s="757"/>
    </row>
    <row r="22" spans="1:8" x14ac:dyDescent="0.35">
      <c r="C22" s="757"/>
      <c r="D22" s="757"/>
      <c r="E22" s="757"/>
      <c r="F22" s="757"/>
      <c r="G22" s="757"/>
    </row>
    <row r="23" spans="1:8" ht="15.45" thickBot="1" x14ac:dyDescent="0.4">
      <c r="A23" s="761" t="s">
        <v>1336</v>
      </c>
      <c r="C23" s="757" t="s">
        <v>1337</v>
      </c>
      <c r="D23" s="757"/>
      <c r="E23" s="757"/>
      <c r="F23" s="764">
        <f>ROUND(F19*F21,2)</f>
        <v>6.68</v>
      </c>
      <c r="G23" s="757" t="s">
        <v>1197</v>
      </c>
    </row>
    <row r="24" spans="1:8" ht="15.45" thickTop="1" x14ac:dyDescent="0.35">
      <c r="C24" s="757"/>
      <c r="D24" s="757"/>
      <c r="E24" s="757"/>
      <c r="F24" s="757"/>
      <c r="G24" s="757"/>
    </row>
    <row r="25" spans="1:8" x14ac:dyDescent="0.35">
      <c r="C25" s="757"/>
      <c r="D25" s="757"/>
      <c r="E25" s="757"/>
      <c r="F25" s="757"/>
      <c r="G25" s="757"/>
    </row>
    <row r="26" spans="1:8" x14ac:dyDescent="0.35">
      <c r="B26" s="748" t="s">
        <v>1248</v>
      </c>
      <c r="C26" s="757"/>
      <c r="D26" s="757"/>
      <c r="E26" s="757"/>
      <c r="F26" s="757"/>
      <c r="G26" s="757"/>
    </row>
    <row r="27" spans="1:8" ht="48.65" customHeight="1" x14ac:dyDescent="0.35">
      <c r="B27" s="749" t="s">
        <v>1165</v>
      </c>
      <c r="C27" s="935" t="str">
        <f>CONCATENATE("Based on the arithmetic mean historical monthly returns on large company common stocks from Kroll 2022 SBBI® ",YEAR(Input!E2)," Yearbook minus the arithmetic mean monthly yield of Moody's average Aaa and Aa corporate bonds from 1928-2022.")</f>
        <v>Based on the arithmetic mean historical monthly returns on large company common stocks from Kroll 2022 SBBI® 2023 Yearbook minus the arithmetic mean monthly yield of Moody's average Aaa and Aa corporate bonds from 1928-2022.</v>
      </c>
      <c r="D27" s="935"/>
      <c r="E27" s="935"/>
      <c r="F27" s="935"/>
      <c r="G27" s="935"/>
    </row>
    <row r="28" spans="1:8" ht="77.7" customHeight="1" x14ac:dyDescent="0.35">
      <c r="A28" s="749"/>
      <c r="B28" s="766" t="s">
        <v>1161</v>
      </c>
      <c r="C28" s="933" t="s">
        <v>1338</v>
      </c>
      <c r="D28" s="933"/>
      <c r="E28" s="933"/>
      <c r="F28" s="933"/>
      <c r="G28" s="933"/>
    </row>
    <row r="29" spans="1:8" ht="60.65" customHeight="1" x14ac:dyDescent="0.35">
      <c r="A29" s="749"/>
      <c r="B29" s="766" t="s">
        <v>1163</v>
      </c>
      <c r="C29" s="934" t="str">
        <f>CONCATENATE("The equity risk premium based on the Value Line Summary and Index is derived by subtracting the average consensus forecast of Aaa corporate bonds of ",TEXT('MRP WP1'!M37,"#0.00"),"% (from page 12 of this Appendix) from the projected 3-5 year total annual market return of ",TEXT('MRP WP1'!M22*100,"#0.00"),"% (described fully in note 1 on page 22 of this Appendix).")</f>
        <v>The equity risk premium based on the Value Line Summary and Index is derived by subtracting the average consensus forecast of Aaa corporate bonds of 4.75% (from page 12 of this Appendix) from the projected 3-5 year total annual market return of 15.31% (described fully in note 1 on page 22 of this Appendix).</v>
      </c>
      <c r="D29" s="934"/>
      <c r="E29" s="934"/>
      <c r="F29" s="934"/>
      <c r="G29" s="934"/>
    </row>
    <row r="30" spans="1:8" ht="63.65" customHeight="1" x14ac:dyDescent="0.35">
      <c r="A30" s="749"/>
      <c r="B30" s="766" t="s">
        <v>1193</v>
      </c>
      <c r="C30" s="934" t="str">
        <f>CONCATENATE("Using data from Value Line for the S&amp;P 500, an expected total return of ",TEXT('MRP WP3'!H504*100,"#0.00"),"% was derived based upon expected dividend yields as a proxy for income returns and long-term earnings growth estimates as a proxy for capital appreciation.  Subtracting the average consensus forecast of Aaa corporate bonds of ",TEXT('MRP WP1'!M37,"#0.00"), "% results in an expected equity risk premium of ",TEXT('1.17 Beta Adjusted ERP'!F15,"#0.00"),"%.")</f>
        <v>Using data from Value Line for the S&amp;P 500, an expected total return of 14.14% was derived based upon expected dividend yields as a proxy for income returns and long-term earnings growth estimates as a proxy for capital appreciation.  Subtracting the average consensus forecast of Aaa corporate bonds of 4.75% results in an expected equity risk premium of 9.39%.</v>
      </c>
      <c r="D30" s="934"/>
      <c r="E30" s="934"/>
      <c r="F30" s="934"/>
      <c r="G30" s="934"/>
    </row>
    <row r="31" spans="1:8" ht="77.900000000000006" customHeight="1" x14ac:dyDescent="0.35">
      <c r="A31" s="749"/>
      <c r="B31" s="766" t="s">
        <v>1222</v>
      </c>
      <c r="C31" s="934" t="str">
        <f>CONCATENATE("Using data from the Bloomberg Professional Service for the S&amp;P 500, an expected total return of ",TEXT('MRP WP2'!Q504*100,"#0.00"), "% was derived based upon expected dividend yields as a proxy for income returns and long-term earnings growth estimates as a proxy for capital appreciation.  Subtracting the average consensus forecast of Aaa corporate bonds of ",TEXT('MRP WP1'!M37,"#0.00"), "% results in an expected equity risk premium of ", TEXT('1.17 Beta Adjusted ERP'!F17,"#0.00"),"%.")</f>
        <v>Using data from the Bloomberg Professional Service for the S&amp;P 500, an expected total return of 16.04% was derived based upon expected dividend yields as a proxy for income returns and long-term earnings growth estimates as a proxy for capital appreciation.  Subtracting the average consensus forecast of Aaa corporate bonds of 4.75% results in an expected equity risk premium of 11.29%.</v>
      </c>
      <c r="D31" s="934"/>
      <c r="E31" s="934"/>
      <c r="F31" s="934"/>
      <c r="G31" s="934"/>
    </row>
    <row r="32" spans="1:8" ht="16" customHeight="1" x14ac:dyDescent="0.35">
      <c r="A32" s="749"/>
      <c r="B32" s="766" t="s">
        <v>1224</v>
      </c>
      <c r="C32" s="934" t="s">
        <v>1339</v>
      </c>
      <c r="D32" s="934"/>
      <c r="E32" s="934"/>
      <c r="F32" s="934"/>
      <c r="G32" s="934"/>
    </row>
    <row r="33" spans="2:7" x14ac:dyDescent="0.35">
      <c r="C33" s="757"/>
      <c r="D33" s="757"/>
      <c r="E33" s="757"/>
      <c r="F33" s="757"/>
      <c r="G33" s="757"/>
    </row>
    <row r="34" spans="2:7" x14ac:dyDescent="0.35">
      <c r="B34" s="735" t="s">
        <v>1340</v>
      </c>
      <c r="C34" s="757"/>
      <c r="D34" s="757"/>
      <c r="E34" s="757"/>
      <c r="F34" s="757"/>
      <c r="G34" s="757"/>
    </row>
    <row r="35" spans="2:7" x14ac:dyDescent="0.35">
      <c r="C35" s="933" t="s">
        <v>1341</v>
      </c>
      <c r="D35" s="933"/>
      <c r="E35" s="933"/>
      <c r="F35" s="933"/>
      <c r="G35" s="933"/>
    </row>
    <row r="36" spans="2:7" ht="15.75" customHeight="1" x14ac:dyDescent="0.35">
      <c r="C36" s="933" t="s">
        <v>1342</v>
      </c>
      <c r="D36" s="933"/>
      <c r="E36" s="933"/>
      <c r="F36" s="933"/>
      <c r="G36" s="933"/>
    </row>
    <row r="37" spans="2:7" ht="17.25" customHeight="1" x14ac:dyDescent="0.35">
      <c r="C37" s="933" t="s">
        <v>1343</v>
      </c>
      <c r="D37" s="933"/>
      <c r="E37" s="933"/>
      <c r="F37" s="933"/>
      <c r="G37" s="933"/>
    </row>
    <row r="38" spans="2:7" ht="18" customHeight="1" x14ac:dyDescent="0.35">
      <c r="C38" s="933" t="str">
        <f>CONCATENATE("Blue Chip Financial Forecasts, ",Input!I26)</f>
        <v>Blue Chip Financial Forecasts, June 2, 2023 and June 30, 2023</v>
      </c>
      <c r="D38" s="933"/>
      <c r="E38" s="933"/>
      <c r="F38" s="933"/>
      <c r="G38" s="933"/>
    </row>
    <row r="39" spans="2:7" x14ac:dyDescent="0.35">
      <c r="C39" s="757" t="s">
        <v>1264</v>
      </c>
      <c r="D39" s="757"/>
      <c r="E39" s="757"/>
      <c r="F39" s="757"/>
      <c r="G39" s="757"/>
    </row>
    <row r="40" spans="2:7" x14ac:dyDescent="0.35">
      <c r="C40" s="757"/>
      <c r="D40" s="757"/>
      <c r="E40" s="757"/>
      <c r="F40" s="757"/>
      <c r="G40" s="757"/>
    </row>
    <row r="41" spans="2:7" x14ac:dyDescent="0.35">
      <c r="C41" s="757"/>
      <c r="D41" s="757"/>
      <c r="E41" s="757"/>
      <c r="F41" s="757"/>
      <c r="G41" s="757"/>
    </row>
    <row r="42" spans="2:7" x14ac:dyDescent="0.35">
      <c r="C42" s="757"/>
      <c r="D42" s="757"/>
      <c r="E42" s="757"/>
      <c r="F42" s="757"/>
      <c r="G42" s="757"/>
    </row>
    <row r="43" spans="2:7" x14ac:dyDescent="0.35">
      <c r="C43" s="757"/>
      <c r="D43" s="757"/>
      <c r="E43" s="757"/>
      <c r="F43" s="757"/>
      <c r="G43" s="757"/>
    </row>
    <row r="44" spans="2:7" x14ac:dyDescent="0.35">
      <c r="C44" s="757"/>
      <c r="D44" s="757"/>
      <c r="E44" s="757"/>
      <c r="F44" s="757"/>
      <c r="G44" s="757"/>
    </row>
    <row r="45" spans="2:7" x14ac:dyDescent="0.35">
      <c r="C45" s="757"/>
      <c r="D45" s="757"/>
      <c r="E45" s="757"/>
      <c r="F45" s="757"/>
      <c r="G45" s="757"/>
    </row>
    <row r="46" spans="2:7" x14ac:dyDescent="0.35">
      <c r="C46" s="757"/>
      <c r="D46" s="757"/>
      <c r="E46" s="757"/>
      <c r="F46" s="757"/>
      <c r="G46" s="757"/>
    </row>
    <row r="47" spans="2:7" x14ac:dyDescent="0.35">
      <c r="C47" s="757"/>
      <c r="D47" s="757"/>
      <c r="E47" s="757"/>
      <c r="F47" s="757"/>
      <c r="G47" s="757"/>
    </row>
    <row r="48" spans="2:7" x14ac:dyDescent="0.35">
      <c r="C48" s="757"/>
      <c r="D48" s="757"/>
      <c r="E48" s="757"/>
      <c r="F48" s="757"/>
      <c r="G48" s="757"/>
    </row>
    <row r="49" spans="3:7" x14ac:dyDescent="0.35">
      <c r="C49" s="757"/>
      <c r="D49" s="757"/>
      <c r="E49" s="757"/>
      <c r="F49" s="757"/>
      <c r="G49" s="757"/>
    </row>
    <row r="50" spans="3:7" x14ac:dyDescent="0.35">
      <c r="C50" s="757"/>
      <c r="D50" s="757"/>
      <c r="E50" s="757"/>
      <c r="F50" s="757"/>
      <c r="G50" s="757"/>
    </row>
    <row r="51" spans="3:7" x14ac:dyDescent="0.35">
      <c r="C51" s="757"/>
      <c r="D51" s="757"/>
      <c r="E51" s="757"/>
      <c r="F51" s="757"/>
      <c r="G51" s="757"/>
    </row>
    <row r="52" spans="3:7" x14ac:dyDescent="0.35">
      <c r="C52" s="757"/>
      <c r="D52" s="757"/>
      <c r="E52" s="757"/>
      <c r="F52" s="757"/>
      <c r="G52" s="757"/>
    </row>
    <row r="53" spans="3:7" x14ac:dyDescent="0.35">
      <c r="C53" s="757"/>
      <c r="D53" s="757"/>
      <c r="E53" s="757"/>
      <c r="F53" s="757"/>
      <c r="G53" s="757"/>
    </row>
    <row r="54" spans="3:7" x14ac:dyDescent="0.35">
      <c r="C54" s="757"/>
      <c r="D54" s="757"/>
      <c r="E54" s="757"/>
      <c r="F54" s="757"/>
      <c r="G54" s="757"/>
    </row>
    <row r="55" spans="3:7" x14ac:dyDescent="0.35">
      <c r="C55" s="757"/>
      <c r="D55" s="757"/>
      <c r="E55" s="757"/>
      <c r="F55" s="757"/>
      <c r="G55" s="757"/>
    </row>
    <row r="56" spans="3:7" x14ac:dyDescent="0.35">
      <c r="C56" s="757"/>
      <c r="D56" s="757"/>
      <c r="E56" s="757"/>
      <c r="F56" s="757"/>
      <c r="G56" s="757"/>
    </row>
    <row r="57" spans="3:7" x14ac:dyDescent="0.35">
      <c r="C57" s="757"/>
      <c r="D57" s="757"/>
      <c r="E57" s="757"/>
      <c r="F57" s="757"/>
      <c r="G57" s="757"/>
    </row>
    <row r="58" spans="3:7" x14ac:dyDescent="0.35">
      <c r="C58" s="757"/>
      <c r="D58" s="757"/>
      <c r="E58" s="757"/>
      <c r="F58" s="757"/>
      <c r="G58" s="757"/>
    </row>
    <row r="59" spans="3:7" x14ac:dyDescent="0.35">
      <c r="C59" s="757"/>
      <c r="D59" s="757"/>
      <c r="E59" s="757"/>
      <c r="F59" s="757"/>
      <c r="G59" s="757"/>
    </row>
    <row r="60" spans="3:7" x14ac:dyDescent="0.35">
      <c r="C60" s="757"/>
      <c r="D60" s="757"/>
      <c r="E60" s="757"/>
      <c r="F60" s="757"/>
      <c r="G60" s="757"/>
    </row>
    <row r="61" spans="3:7" x14ac:dyDescent="0.35">
      <c r="C61" s="757"/>
      <c r="D61" s="757"/>
      <c r="E61" s="757"/>
      <c r="F61" s="757"/>
      <c r="G61" s="757"/>
    </row>
    <row r="62" spans="3:7" x14ac:dyDescent="0.35">
      <c r="C62" s="757"/>
      <c r="D62" s="757"/>
      <c r="E62" s="757"/>
      <c r="F62" s="757"/>
      <c r="G62" s="757"/>
    </row>
  </sheetData>
  <mergeCells count="15">
    <mergeCell ref="C27:G27"/>
    <mergeCell ref="A1:G1"/>
    <mergeCell ref="A2:G2"/>
    <mergeCell ref="A3:G3"/>
    <mergeCell ref="A4:G4"/>
    <mergeCell ref="F7:G7"/>
    <mergeCell ref="C36:G36"/>
    <mergeCell ref="C37:G37"/>
    <mergeCell ref="C38:G38"/>
    <mergeCell ref="C28:G28"/>
    <mergeCell ref="C29:G29"/>
    <mergeCell ref="C30:G30"/>
    <mergeCell ref="C31:G31"/>
    <mergeCell ref="C32:G32"/>
    <mergeCell ref="C35:G35"/>
  </mergeCells>
  <printOptions horizontalCentered="1"/>
  <pageMargins left="1" right="1" top="1" bottom="1" header="0.5" footer="0"/>
  <pageSetup scale="67" orientation="portrait" horizontalDpi="4294967293" r:id="rId1"/>
  <headerFooter alignWithMargins="0"/>
  <rowBreaks count="1" manualBreakCount="1">
    <brk id="39"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EBB2C-33B2-401A-B7CF-4FB243BBF071}">
  <sheetPr>
    <pageSetUpPr fitToPage="1"/>
  </sheetPr>
  <dimension ref="A1:F22"/>
  <sheetViews>
    <sheetView view="pageBreakPreview" zoomScale="85" zoomScaleNormal="100" zoomScaleSheetLayoutView="85" workbookViewId="0">
      <selection sqref="A1:F1"/>
    </sheetView>
  </sheetViews>
  <sheetFormatPr defaultColWidth="12.3828125" defaultRowHeight="15" x14ac:dyDescent="0.35"/>
  <cols>
    <col min="1" max="1" width="14.15234375" style="735" customWidth="1"/>
    <col min="2" max="2" width="4.3828125" style="735" bestFit="1" customWidth="1"/>
    <col min="3" max="3" width="52" style="735" customWidth="1"/>
    <col min="4" max="4" width="16.69140625" style="735" customWidth="1"/>
    <col min="5" max="5" width="18.3828125" style="735" customWidth="1"/>
    <col min="6" max="6" width="4.69140625" style="735" customWidth="1"/>
    <col min="7" max="16384" width="12.3828125" style="735"/>
  </cols>
  <sheetData>
    <row r="1" spans="1:6" x14ac:dyDescent="0.35">
      <c r="A1" s="920" t="str">
        <f>Input!G29</f>
        <v>City of Ansonia</v>
      </c>
      <c r="B1" s="920"/>
      <c r="C1" s="920"/>
      <c r="D1" s="920"/>
      <c r="E1" s="920"/>
      <c r="F1" s="920"/>
    </row>
    <row r="2" spans="1:6" x14ac:dyDescent="0.35">
      <c r="A2" s="926" t="s">
        <v>1344</v>
      </c>
      <c r="B2" s="926"/>
      <c r="C2" s="926"/>
      <c r="D2" s="926"/>
      <c r="E2" s="926"/>
      <c r="F2" s="926"/>
    </row>
    <row r="3" spans="1:6" x14ac:dyDescent="0.35">
      <c r="A3" s="926" t="s">
        <v>1345</v>
      </c>
      <c r="B3" s="926"/>
      <c r="C3" s="926"/>
      <c r="D3" s="926"/>
      <c r="E3" s="926"/>
      <c r="F3" s="926"/>
    </row>
    <row r="4" spans="1:6" x14ac:dyDescent="0.35">
      <c r="A4" s="920" t="s">
        <v>1346</v>
      </c>
      <c r="B4" s="920"/>
      <c r="C4" s="920"/>
      <c r="D4" s="920"/>
      <c r="E4" s="920"/>
      <c r="F4" s="920"/>
    </row>
    <row r="5" spans="1:6" ht="58.5" customHeight="1" x14ac:dyDescent="0.35">
      <c r="A5" s="734" t="s">
        <v>1177</v>
      </c>
      <c r="E5" s="927" t="s">
        <v>1347</v>
      </c>
      <c r="F5" s="927"/>
    </row>
    <row r="7" spans="1:6" x14ac:dyDescent="0.35">
      <c r="A7" s="738" t="s">
        <v>1180</v>
      </c>
      <c r="C7" s="735" t="s">
        <v>1348</v>
      </c>
      <c r="E7" s="739">
        <f>('Market Data'!B12-'Market Data'!B13)*100</f>
        <v>4.1965274082144788</v>
      </c>
      <c r="F7" s="740" t="s">
        <v>1197</v>
      </c>
    </row>
    <row r="8" spans="1:6" x14ac:dyDescent="0.35">
      <c r="A8" s="741"/>
    </row>
    <row r="9" spans="1:6" x14ac:dyDescent="0.35">
      <c r="A9" s="738" t="s">
        <v>1184</v>
      </c>
      <c r="C9" s="735" t="s">
        <v>1349</v>
      </c>
      <c r="E9" s="739">
        <f>'MRP ERP WP'!AV42*100</f>
        <v>5.163957777018326</v>
      </c>
      <c r="F9" s="740" t="s">
        <v>1161</v>
      </c>
    </row>
    <row r="10" spans="1:6" x14ac:dyDescent="0.35">
      <c r="A10" s="738"/>
      <c r="B10" s="742"/>
      <c r="C10" s="742"/>
      <c r="E10" s="743"/>
    </row>
    <row r="11" spans="1:6" ht="45" x14ac:dyDescent="0.35">
      <c r="A11" s="744" t="s">
        <v>1186</v>
      </c>
      <c r="C11" s="745" t="s">
        <v>1350</v>
      </c>
      <c r="E11" s="743">
        <f>ROUND(('ERP WP2'!H34*100)-'1.12 Risk Premium Summary'!G18,2)</f>
        <v>4.5599999999999996</v>
      </c>
      <c r="F11" s="740" t="s">
        <v>1163</v>
      </c>
    </row>
    <row r="12" spans="1:6" x14ac:dyDescent="0.35">
      <c r="A12" s="744"/>
      <c r="C12" s="745"/>
      <c r="E12" s="743"/>
    </row>
    <row r="13" spans="1:6" ht="47.25" customHeight="1" x14ac:dyDescent="0.35">
      <c r="A13" s="744" t="s">
        <v>1238</v>
      </c>
      <c r="C13" s="745" t="s">
        <v>1351</v>
      </c>
      <c r="E13" s="746" t="s">
        <v>1352</v>
      </c>
      <c r="F13" s="740" t="s">
        <v>1193</v>
      </c>
    </row>
    <row r="14" spans="1:6" x14ac:dyDescent="0.35">
      <c r="A14" s="744"/>
    </row>
    <row r="15" spans="1:6" ht="15" customHeight="1" thickBot="1" x14ac:dyDescent="0.4">
      <c r="A15" s="744" t="s">
        <v>1189</v>
      </c>
      <c r="C15" s="745" t="s">
        <v>1353</v>
      </c>
      <c r="E15" s="747">
        <f>ROUND(AVERAGE(E7:E13),2)</f>
        <v>4.6399999999999997</v>
      </c>
      <c r="F15" s="740" t="s">
        <v>1197</v>
      </c>
    </row>
    <row r="16" spans="1:6" ht="15.45" thickTop="1" x14ac:dyDescent="0.35"/>
    <row r="18" spans="1:6" ht="62.15" customHeight="1" x14ac:dyDescent="0.35">
      <c r="A18" s="748" t="s">
        <v>1248</v>
      </c>
      <c r="B18" s="749" t="s">
        <v>1165</v>
      </c>
      <c r="C18" s="925" t="s">
        <v>1354</v>
      </c>
      <c r="D18" s="925"/>
      <c r="E18" s="925"/>
      <c r="F18" s="925"/>
    </row>
    <row r="19" spans="1:6" ht="81" customHeight="1" x14ac:dyDescent="0.35">
      <c r="A19" s="751"/>
      <c r="B19" s="749" t="s">
        <v>1161</v>
      </c>
      <c r="C19" s="925" t="s">
        <v>1355</v>
      </c>
      <c r="D19" s="925"/>
      <c r="E19" s="925"/>
      <c r="F19" s="925"/>
    </row>
    <row r="20" spans="1:6" ht="78.75" customHeight="1" x14ac:dyDescent="0.35">
      <c r="B20" s="752" t="s">
        <v>1163</v>
      </c>
      <c r="C20" s="925" t="s">
        <v>1356</v>
      </c>
      <c r="D20" s="925"/>
      <c r="E20" s="925"/>
      <c r="F20" s="925"/>
    </row>
    <row r="21" spans="1:6" ht="95.25" customHeight="1" x14ac:dyDescent="0.35">
      <c r="B21" s="752" t="s">
        <v>1193</v>
      </c>
      <c r="C21" s="925" t="s">
        <v>1357</v>
      </c>
      <c r="D21" s="925"/>
      <c r="E21" s="925"/>
      <c r="F21" s="925"/>
    </row>
    <row r="22" spans="1:6" ht="15" customHeight="1" x14ac:dyDescent="0.35">
      <c r="B22" s="740" t="s">
        <v>1222</v>
      </c>
      <c r="C22" s="753" t="s">
        <v>1358</v>
      </c>
      <c r="D22" s="753"/>
      <c r="E22" s="753"/>
      <c r="F22" s="753"/>
    </row>
  </sheetData>
  <mergeCells count="9">
    <mergeCell ref="C19:F19"/>
    <mergeCell ref="C20:F20"/>
    <mergeCell ref="C21:F21"/>
    <mergeCell ref="A1:F1"/>
    <mergeCell ref="A2:F2"/>
    <mergeCell ref="A3:F3"/>
    <mergeCell ref="A4:F4"/>
    <mergeCell ref="E5:F5"/>
    <mergeCell ref="C18:F18"/>
  </mergeCells>
  <printOptions horizontalCentered="1"/>
  <pageMargins left="1" right="1" top="1" bottom="1" header="0.5" footer="0"/>
  <pageSetup scale="75" orientation="portrait" horizontalDpi="4294967293"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FAF00-0529-440E-BDC0-491CC8727730}">
  <sheetPr>
    <pageSetUpPr fitToPage="1"/>
  </sheetPr>
  <dimension ref="A1:AA31"/>
  <sheetViews>
    <sheetView view="pageBreakPreview" zoomScale="85" zoomScaleNormal="85" zoomScaleSheetLayoutView="85" workbookViewId="0"/>
  </sheetViews>
  <sheetFormatPr defaultColWidth="9.15234375" defaultRowHeight="15" x14ac:dyDescent="0.35"/>
  <cols>
    <col min="1" max="1" width="9.15234375" style="346"/>
    <col min="2" max="2" width="38.84375" style="346" customWidth="1"/>
    <col min="3" max="3" width="3.15234375" style="346" customWidth="1"/>
    <col min="4" max="4" width="11.15234375" style="346" customWidth="1"/>
    <col min="5" max="5" width="2.3828125" style="346" customWidth="1"/>
    <col min="6" max="6" width="14.53515625" style="346" customWidth="1"/>
    <col min="7" max="7" width="2.53515625" style="346" customWidth="1"/>
    <col min="8" max="8" width="11.15234375" style="346" customWidth="1"/>
    <col min="9" max="9" width="3.15234375" style="346" customWidth="1"/>
    <col min="10" max="10" width="10.53515625" style="346" bestFit="1" customWidth="1"/>
    <col min="11" max="11" width="3.53515625" style="346" customWidth="1"/>
    <col min="12" max="12" width="3.15234375" style="346" customWidth="1"/>
    <col min="13" max="13" width="9.53515625" style="346" customWidth="1"/>
    <col min="14" max="14" width="3.53515625" style="346" customWidth="1"/>
    <col min="15" max="15" width="3.15234375" style="346" customWidth="1"/>
    <col min="16" max="16" width="9.53515625" style="346" customWidth="1"/>
    <col min="17" max="17" width="3.53515625" style="346" customWidth="1"/>
    <col min="18" max="18" width="3.15234375" style="346" customWidth="1"/>
    <col min="19" max="19" width="9.53515625" style="346" customWidth="1"/>
    <col min="20" max="20" width="3.53515625" style="346" customWidth="1"/>
    <col min="21" max="21" width="3.15234375" style="346" customWidth="1"/>
    <col min="22" max="22" width="9.53515625" style="346" customWidth="1"/>
    <col min="23" max="23" width="3.53515625" style="346" customWidth="1"/>
    <col min="24" max="16384" width="9.15234375" style="346"/>
  </cols>
  <sheetData>
    <row r="1" spans="1:27" x14ac:dyDescent="0.35">
      <c r="B1" s="647" t="str">
        <f>Input!G29</f>
        <v>City of Ansonia</v>
      </c>
      <c r="C1" s="648"/>
      <c r="D1" s="648"/>
      <c r="E1" s="648"/>
      <c r="F1" s="648"/>
      <c r="G1" s="648"/>
      <c r="H1" s="648"/>
      <c r="I1" s="648"/>
      <c r="J1" s="648"/>
      <c r="K1" s="648"/>
      <c r="L1" s="648"/>
      <c r="M1" s="648"/>
      <c r="N1" s="648"/>
      <c r="O1" s="648"/>
      <c r="P1" s="648"/>
      <c r="Q1" s="648"/>
      <c r="R1" s="648"/>
      <c r="S1" s="648"/>
      <c r="T1" s="648"/>
      <c r="U1" s="648"/>
      <c r="V1" s="648"/>
      <c r="W1" s="648"/>
    </row>
    <row r="2" spans="1:27" x14ac:dyDescent="0.35">
      <c r="B2" s="648" t="s">
        <v>1359</v>
      </c>
      <c r="C2" s="648"/>
      <c r="D2" s="648"/>
      <c r="E2" s="648"/>
      <c r="F2" s="648"/>
      <c r="G2" s="648"/>
      <c r="H2" s="648"/>
      <c r="I2" s="648"/>
      <c r="J2" s="648"/>
      <c r="K2" s="648"/>
      <c r="L2" s="648"/>
      <c r="M2" s="648"/>
      <c r="N2" s="648"/>
      <c r="O2" s="648"/>
      <c r="P2" s="648"/>
      <c r="Q2" s="648"/>
      <c r="R2" s="648"/>
      <c r="S2" s="648"/>
      <c r="T2" s="648"/>
      <c r="U2" s="648"/>
      <c r="V2" s="648"/>
      <c r="W2" s="648"/>
    </row>
    <row r="3" spans="1:27" x14ac:dyDescent="0.35">
      <c r="B3" s="647" t="s">
        <v>1360</v>
      </c>
      <c r="C3" s="648"/>
      <c r="D3" s="648"/>
      <c r="E3" s="648"/>
      <c r="F3" s="648"/>
      <c r="G3" s="648"/>
      <c r="H3" s="648"/>
      <c r="I3" s="648"/>
      <c r="J3" s="648"/>
      <c r="K3" s="648"/>
      <c r="L3" s="648"/>
      <c r="M3" s="648"/>
      <c r="N3" s="648"/>
      <c r="O3" s="648"/>
      <c r="P3" s="648"/>
      <c r="Q3" s="648"/>
      <c r="R3" s="648"/>
      <c r="S3" s="648"/>
      <c r="T3" s="648"/>
      <c r="U3" s="648"/>
      <c r="V3" s="648"/>
      <c r="W3" s="648"/>
    </row>
    <row r="5" spans="1:27" x14ac:dyDescent="0.35">
      <c r="D5" s="649" t="s">
        <v>15</v>
      </c>
      <c r="E5" s="649"/>
      <c r="F5" s="649" t="s">
        <v>16</v>
      </c>
      <c r="G5" s="649"/>
      <c r="H5" s="649" t="s">
        <v>17</v>
      </c>
      <c r="J5" s="648" t="s">
        <v>1117</v>
      </c>
      <c r="K5" s="648"/>
      <c r="M5" s="648" t="s">
        <v>1204</v>
      </c>
      <c r="N5" s="648"/>
      <c r="P5" s="648" t="s">
        <v>1205</v>
      </c>
      <c r="Q5" s="648"/>
      <c r="S5" s="648" t="s">
        <v>1206</v>
      </c>
      <c r="T5" s="648"/>
      <c r="V5" s="648" t="s">
        <v>1361</v>
      </c>
      <c r="W5" s="648"/>
    </row>
    <row r="7" spans="1:27" ht="45" x14ac:dyDescent="0.35">
      <c r="B7" s="652" t="str">
        <f>'1.17 Beta Adjusted ERP'!F7</f>
        <v>Proxy Group of Six Water Companies</v>
      </c>
      <c r="D7" s="650" t="s">
        <v>1362</v>
      </c>
      <c r="E7" s="727"/>
      <c r="F7" s="650" t="s">
        <v>1363</v>
      </c>
      <c r="G7" s="727"/>
      <c r="H7" s="650" t="s">
        <v>1364</v>
      </c>
      <c r="I7" s="649"/>
      <c r="J7" s="932" t="s">
        <v>1365</v>
      </c>
      <c r="K7" s="936"/>
      <c r="L7" s="649"/>
      <c r="M7" s="932" t="s">
        <v>1366</v>
      </c>
      <c r="N7" s="936"/>
      <c r="O7" s="649"/>
      <c r="P7" s="932" t="s">
        <v>1367</v>
      </c>
      <c r="Q7" s="936"/>
      <c r="R7" s="649"/>
      <c r="S7" s="932" t="s">
        <v>1368</v>
      </c>
      <c r="T7" s="936"/>
      <c r="U7" s="649"/>
      <c r="V7" s="932" t="s">
        <v>1369</v>
      </c>
      <c r="W7" s="937"/>
    </row>
    <row r="9" spans="1:27" x14ac:dyDescent="0.35">
      <c r="A9" s="346" t="str">
        <f>IFERROR(Input!A2, "NA")</f>
        <v>AWR</v>
      </c>
      <c r="B9" s="346" t="str">
        <f>'Proxy Data Lookup'!B3</f>
        <v>American States Water Company</v>
      </c>
      <c r="D9" s="720">
        <f>'MRP WP1'!C70</f>
        <v>0.65</v>
      </c>
      <c r="E9" s="720"/>
      <c r="F9" s="720">
        <f>'Proxy Data Lookup'!F3</f>
        <v>0.72750353813171387</v>
      </c>
      <c r="G9" s="720"/>
      <c r="H9" s="720">
        <f t="shared" ref="H9:H14" si="0">IFERROR(ROUND(AVERAGE(D9:F9),2),"NA")</f>
        <v>0.69</v>
      </c>
      <c r="I9" s="728"/>
      <c r="J9" s="720">
        <f>'MRP WP1'!$H$63</f>
        <v>9.9120901680277544</v>
      </c>
      <c r="K9" s="729" t="s">
        <v>1197</v>
      </c>
      <c r="L9" s="728"/>
      <c r="M9" s="720">
        <f>'MRP WP1'!$F$37</f>
        <v>3.85</v>
      </c>
      <c r="N9" s="729" t="s">
        <v>1197</v>
      </c>
      <c r="O9" s="728"/>
      <c r="P9" s="721">
        <f t="shared" ref="P9:P14" si="1">IFERROR((H9*J9) + M9,"NA")</f>
        <v>10.689342215939151</v>
      </c>
      <c r="Q9" s="729" t="s">
        <v>1197</v>
      </c>
      <c r="R9" s="728"/>
      <c r="S9" s="721">
        <f t="shared" ref="S9:S14" si="2">IFERROR((0.75*(H9*J9))+(0.25*J9)+M9,"NA")</f>
        <v>11.4575292039613</v>
      </c>
      <c r="T9" s="729" t="s">
        <v>1197</v>
      </c>
      <c r="U9" s="728"/>
      <c r="V9" s="721">
        <f t="shared" ref="V9:V14" si="3">IFERROR(ROUND(AVERAGE(P9:S9),2),"NA")</f>
        <v>11.07</v>
      </c>
      <c r="W9" s="728" t="s">
        <v>1197</v>
      </c>
      <c r="Z9" s="730"/>
      <c r="AA9" s="730"/>
    </row>
    <row r="10" spans="1:27" x14ac:dyDescent="0.35">
      <c r="A10" s="346" t="str">
        <f>IFERROR(Input!A3, "NA")</f>
        <v>AWK</v>
      </c>
      <c r="B10" s="346" t="str">
        <f>'Proxy Data Lookup'!B4</f>
        <v>American Water Works Company, Inc.</v>
      </c>
      <c r="D10" s="720">
        <f>'MRP WP1'!C71</f>
        <v>0.9</v>
      </c>
      <c r="E10" s="720"/>
      <c r="F10" s="720">
        <f>'Proxy Data Lookup'!F4</f>
        <v>0.93016797304153442</v>
      </c>
      <c r="G10" s="720"/>
      <c r="H10" s="720">
        <f t="shared" si="0"/>
        <v>0.92</v>
      </c>
      <c r="I10" s="728"/>
      <c r="J10" s="720">
        <f>'MRP WP1'!$H$63</f>
        <v>9.9120901680277544</v>
      </c>
      <c r="K10" s="729"/>
      <c r="L10" s="728"/>
      <c r="M10" s="720">
        <f>'MRP WP1'!$F$37</f>
        <v>3.85</v>
      </c>
      <c r="N10" s="729"/>
      <c r="O10" s="728"/>
      <c r="P10" s="721">
        <f t="shared" si="1"/>
        <v>12.969122954585535</v>
      </c>
      <c r="Q10" s="729"/>
      <c r="R10" s="728"/>
      <c r="S10" s="721">
        <f t="shared" si="2"/>
        <v>13.167364757946089</v>
      </c>
      <c r="T10" s="729"/>
      <c r="U10" s="728"/>
      <c r="V10" s="721">
        <f t="shared" si="3"/>
        <v>13.07</v>
      </c>
      <c r="W10" s="729"/>
      <c r="Z10" s="730"/>
      <c r="AA10" s="730"/>
    </row>
    <row r="11" spans="1:27" x14ac:dyDescent="0.35">
      <c r="A11" s="346" t="str">
        <f>IFERROR(Input!A4, "NA")</f>
        <v>CWT</v>
      </c>
      <c r="B11" s="346" t="str">
        <f>'Proxy Data Lookup'!B5</f>
        <v>California Water Service Group</v>
      </c>
      <c r="D11" s="720">
        <f>'MRP WP1'!C72</f>
        <v>0.7</v>
      </c>
      <c r="E11" s="720"/>
      <c r="F11" s="720">
        <f>'Proxy Data Lookup'!F5</f>
        <v>0.7457432746887207</v>
      </c>
      <c r="G11" s="720"/>
      <c r="H11" s="720">
        <f t="shared" si="0"/>
        <v>0.72</v>
      </c>
      <c r="I11" s="728"/>
      <c r="J11" s="720">
        <f>'MRP WP1'!$H$63</f>
        <v>9.9120901680277544</v>
      </c>
      <c r="K11" s="729"/>
      <c r="L11" s="728"/>
      <c r="M11" s="720">
        <f>'MRP WP1'!$F$37</f>
        <v>3.85</v>
      </c>
      <c r="N11" s="729"/>
      <c r="O11" s="728"/>
      <c r="P11" s="721">
        <f t="shared" si="1"/>
        <v>10.986704920979983</v>
      </c>
      <c r="Q11" s="729"/>
      <c r="R11" s="728"/>
      <c r="S11" s="721">
        <f t="shared" si="2"/>
        <v>11.680551232741925</v>
      </c>
      <c r="T11" s="729"/>
      <c r="U11" s="728"/>
      <c r="V11" s="721">
        <f t="shared" si="3"/>
        <v>11.33</v>
      </c>
      <c r="W11" s="729"/>
      <c r="Z11" s="730"/>
      <c r="AA11" s="730"/>
    </row>
    <row r="12" spans="1:27" x14ac:dyDescent="0.35">
      <c r="A12" s="346" t="str">
        <f>IFERROR(Input!A5, "NA")</f>
        <v>WTRG</v>
      </c>
      <c r="B12" s="346" t="str">
        <f>'Proxy Data Lookup'!B6</f>
        <v>Essential Utilities Inc.</v>
      </c>
      <c r="D12" s="720">
        <f>'MRP WP1'!C73</f>
        <v>0.95</v>
      </c>
      <c r="E12" s="720"/>
      <c r="F12" s="720">
        <f>'Proxy Data Lookup'!F6</f>
        <v>0.7960960865020752</v>
      </c>
      <c r="G12" s="720"/>
      <c r="H12" s="720">
        <f t="shared" si="0"/>
        <v>0.87</v>
      </c>
      <c r="I12" s="728"/>
      <c r="J12" s="720">
        <f>'MRP WP1'!$H$63</f>
        <v>9.9120901680277544</v>
      </c>
      <c r="K12" s="729"/>
      <c r="L12" s="728"/>
      <c r="M12" s="720">
        <f>'MRP WP1'!$F$37</f>
        <v>3.85</v>
      </c>
      <c r="N12" s="729"/>
      <c r="O12" s="728"/>
      <c r="P12" s="721">
        <f t="shared" si="1"/>
        <v>12.473518446184146</v>
      </c>
      <c r="Q12" s="729"/>
      <c r="R12" s="728"/>
      <c r="S12" s="721">
        <f t="shared" si="2"/>
        <v>12.795661376645048</v>
      </c>
      <c r="T12" s="729"/>
      <c r="U12" s="728"/>
      <c r="V12" s="721">
        <f t="shared" si="3"/>
        <v>12.63</v>
      </c>
      <c r="W12" s="729"/>
      <c r="Z12" s="730"/>
      <c r="AA12" s="730"/>
    </row>
    <row r="13" spans="1:27" x14ac:dyDescent="0.35">
      <c r="A13" s="346" t="str">
        <f>IFERROR(Input!A6, "NA")</f>
        <v>MSEX</v>
      </c>
      <c r="B13" s="346" t="str">
        <f>'Proxy Data Lookup'!B7</f>
        <v>Middlesex Water Company</v>
      </c>
      <c r="D13" s="720">
        <f>'MRP WP1'!C74</f>
        <v>0.7</v>
      </c>
      <c r="E13" s="720"/>
      <c r="F13" s="720">
        <f>'Proxy Data Lookup'!F7</f>
        <v>0.73345017433166504</v>
      </c>
      <c r="G13" s="720"/>
      <c r="H13" s="720">
        <f t="shared" si="0"/>
        <v>0.72</v>
      </c>
      <c r="I13" s="728"/>
      <c r="J13" s="720">
        <f>'MRP WP1'!$H$63</f>
        <v>9.9120901680277544</v>
      </c>
      <c r="K13" s="729"/>
      <c r="L13" s="728"/>
      <c r="M13" s="720">
        <f>'MRP WP1'!$F$37</f>
        <v>3.85</v>
      </c>
      <c r="N13" s="729"/>
      <c r="O13" s="728"/>
      <c r="P13" s="721">
        <f t="shared" si="1"/>
        <v>10.986704920979983</v>
      </c>
      <c r="Q13" s="729"/>
      <c r="R13" s="728"/>
      <c r="S13" s="721">
        <f t="shared" si="2"/>
        <v>11.680551232741925</v>
      </c>
      <c r="T13" s="729"/>
      <c r="U13" s="728"/>
      <c r="V13" s="721">
        <f t="shared" si="3"/>
        <v>11.33</v>
      </c>
      <c r="W13" s="729"/>
      <c r="Z13" s="730"/>
      <c r="AA13" s="730"/>
    </row>
    <row r="14" spans="1:27" x14ac:dyDescent="0.35">
      <c r="A14" s="346" t="str">
        <f>IFERROR(Input!A7, "NA")</f>
        <v>SJW</v>
      </c>
      <c r="B14" s="346" t="str">
        <f>'Proxy Data Lookup'!B8</f>
        <v>SJW Group</v>
      </c>
      <c r="D14" s="720">
        <f>'MRP WP1'!C75</f>
        <v>0.8</v>
      </c>
      <c r="E14" s="720"/>
      <c r="F14" s="720">
        <f>'Proxy Data Lookup'!F8</f>
        <v>0.63665139675140381</v>
      </c>
      <c r="G14" s="720"/>
      <c r="H14" s="720">
        <f t="shared" si="0"/>
        <v>0.72</v>
      </c>
      <c r="I14" s="728"/>
      <c r="J14" s="720">
        <f>'MRP WP1'!$H$63</f>
        <v>9.9120901680277544</v>
      </c>
      <c r="K14" s="729"/>
      <c r="L14" s="728"/>
      <c r="M14" s="720">
        <f>'MRP WP1'!$F$37</f>
        <v>3.85</v>
      </c>
      <c r="N14" s="729"/>
      <c r="O14" s="728"/>
      <c r="P14" s="721">
        <f t="shared" si="1"/>
        <v>10.986704920979983</v>
      </c>
      <c r="Q14" s="729"/>
      <c r="R14" s="728"/>
      <c r="S14" s="721">
        <f t="shared" si="2"/>
        <v>11.680551232741925</v>
      </c>
      <c r="T14" s="729"/>
      <c r="U14" s="728"/>
      <c r="V14" s="721">
        <f t="shared" si="3"/>
        <v>11.33</v>
      </c>
      <c r="W14" s="729"/>
      <c r="Z14" s="730"/>
      <c r="AA14" s="730"/>
    </row>
    <row r="15" spans="1:27" x14ac:dyDescent="0.35">
      <c r="D15" s="720"/>
      <c r="E15" s="720"/>
      <c r="F15" s="720"/>
      <c r="G15" s="720"/>
      <c r="H15" s="731"/>
      <c r="I15" s="728"/>
      <c r="J15" s="728"/>
      <c r="K15" s="728"/>
      <c r="L15" s="728"/>
      <c r="M15" s="728"/>
      <c r="N15" s="728"/>
      <c r="O15" s="728"/>
      <c r="P15" s="731"/>
      <c r="Q15" s="728"/>
      <c r="R15" s="728"/>
      <c r="S15" s="731"/>
      <c r="T15" s="728"/>
      <c r="U15" s="728"/>
      <c r="V15" s="731"/>
      <c r="W15" s="728"/>
      <c r="Y15" s="715"/>
      <c r="Z15" s="715"/>
    </row>
    <row r="16" spans="1:27" ht="15.45" thickBot="1" x14ac:dyDescent="0.4">
      <c r="B16" s="670" t="s">
        <v>1370</v>
      </c>
      <c r="D16" s="721"/>
      <c r="E16" s="721"/>
      <c r="F16" s="721"/>
      <c r="G16" s="721"/>
      <c r="H16" s="718">
        <f>IFERROR(ROUND(AVERAGE(H8:H15),2),"NA")</f>
        <v>0.77</v>
      </c>
      <c r="I16" s="728"/>
      <c r="J16" s="728"/>
      <c r="K16" s="728"/>
      <c r="L16" s="728"/>
      <c r="M16" s="728"/>
      <c r="N16" s="728"/>
      <c r="O16" s="728"/>
      <c r="P16" s="718">
        <f>IFERROR(ROUND(AVERAGE(P8:P15),2),"NA")</f>
        <v>11.52</v>
      </c>
      <c r="Q16" s="729" t="s">
        <v>1197</v>
      </c>
      <c r="R16" s="728"/>
      <c r="S16" s="718">
        <f>IFERROR(ROUND(AVERAGE(S8:S15),2),"NA")</f>
        <v>12.08</v>
      </c>
      <c r="T16" s="729" t="s">
        <v>1197</v>
      </c>
      <c r="U16" s="728"/>
      <c r="V16" s="718">
        <f>IFERROR(ROUND(AVERAGE(V8:V15),2),"NA")</f>
        <v>11.79</v>
      </c>
      <c r="W16" s="729" t="s">
        <v>1197</v>
      </c>
    </row>
    <row r="17" spans="2:26" ht="15.45" thickTop="1" x14ac:dyDescent="0.35">
      <c r="D17" s="721"/>
      <c r="E17" s="720"/>
      <c r="F17" s="720"/>
      <c r="G17" s="720"/>
      <c r="H17" s="720"/>
      <c r="I17" s="728"/>
      <c r="J17" s="728"/>
      <c r="K17" s="728"/>
      <c r="L17" s="728"/>
      <c r="M17" s="728"/>
      <c r="N17" s="728"/>
      <c r="O17" s="728"/>
      <c r="P17" s="720"/>
      <c r="Q17" s="728"/>
      <c r="R17" s="728"/>
      <c r="S17" s="720"/>
      <c r="T17" s="728"/>
      <c r="U17" s="728"/>
      <c r="V17" s="720"/>
      <c r="W17" s="728"/>
      <c r="Y17" s="730"/>
    </row>
    <row r="18" spans="2:26" ht="15.45" thickBot="1" x14ac:dyDescent="0.4">
      <c r="B18" s="670" t="s">
        <v>723</v>
      </c>
      <c r="D18" s="721"/>
      <c r="E18" s="721"/>
      <c r="F18" s="721"/>
      <c r="G18" s="721"/>
      <c r="H18" s="718">
        <f>IFERROR(ROUND(MEDIAN(H8:H15),2),"NA")</f>
        <v>0.72</v>
      </c>
      <c r="I18" s="728"/>
      <c r="J18" s="728"/>
      <c r="K18" s="728"/>
      <c r="L18" s="728"/>
      <c r="M18" s="728"/>
      <c r="N18" s="728"/>
      <c r="O18" s="728"/>
      <c r="P18" s="718">
        <f>IFERROR(ROUND(MEDIAN(P8:P15),2),"NA")</f>
        <v>10.99</v>
      </c>
      <c r="Q18" s="729" t="s">
        <v>1197</v>
      </c>
      <c r="R18" s="728"/>
      <c r="S18" s="718">
        <f>IFERROR(ROUND(MEDIAN(S8:S15),2),"NA")</f>
        <v>11.68</v>
      </c>
      <c r="T18" s="729" t="s">
        <v>1197</v>
      </c>
      <c r="U18" s="728"/>
      <c r="V18" s="718">
        <f>IFERROR(ROUND(MEDIAN(V8:V15),2),"NA")</f>
        <v>11.33</v>
      </c>
      <c r="W18" s="729" t="s">
        <v>1197</v>
      </c>
      <c r="Y18" s="732"/>
    </row>
    <row r="19" spans="2:26" ht="15.45" thickTop="1" x14ac:dyDescent="0.35">
      <c r="D19" s="720"/>
      <c r="E19" s="720"/>
      <c r="F19" s="720"/>
      <c r="G19" s="720"/>
      <c r="H19" s="720"/>
      <c r="P19" s="720"/>
      <c r="S19" s="720"/>
      <c r="V19" s="720"/>
      <c r="Y19" s="730"/>
      <c r="Z19" s="733"/>
    </row>
    <row r="20" spans="2:26" ht="15.45" thickBot="1" x14ac:dyDescent="0.4">
      <c r="B20" s="670" t="s">
        <v>1216</v>
      </c>
      <c r="D20" s="720"/>
      <c r="E20" s="720"/>
      <c r="F20" s="720"/>
      <c r="G20" s="720"/>
      <c r="H20" s="718">
        <f>IFERROR(ROUND(AVERAGE(H16:H18),2),"NA")</f>
        <v>0.75</v>
      </c>
      <c r="P20" s="718">
        <f>IFERROR(ROUND(AVERAGE(P16:P18),2),"NA")</f>
        <v>11.26</v>
      </c>
      <c r="Q20" s="346" t="s">
        <v>1197</v>
      </c>
      <c r="S20" s="718">
        <f>IFERROR(ROUND(AVERAGE(S16:S18),2),"NA")</f>
        <v>11.88</v>
      </c>
      <c r="T20" s="346" t="s">
        <v>1197</v>
      </c>
      <c r="V20" s="718">
        <f>IFERROR(ROUND(AVERAGE(V16:V18),2),"NA")</f>
        <v>11.56</v>
      </c>
      <c r="W20" s="729" t="s">
        <v>1197</v>
      </c>
    </row>
    <row r="21" spans="2:26" ht="15.45" thickTop="1" x14ac:dyDescent="0.35">
      <c r="S21" s="670"/>
      <c r="V21" s="728"/>
    </row>
    <row r="22" spans="2:26" x14ac:dyDescent="0.35">
      <c r="B22" s="670" t="s">
        <v>1371</v>
      </c>
    </row>
    <row r="31" spans="2:26" ht="49.5" customHeight="1" x14ac:dyDescent="0.35"/>
  </sheetData>
  <mergeCells count="5">
    <mergeCell ref="J7:K7"/>
    <mergeCell ref="M7:N7"/>
    <mergeCell ref="P7:Q7"/>
    <mergeCell ref="S7:T7"/>
    <mergeCell ref="V7:W7"/>
  </mergeCells>
  <printOptions horizontalCentered="1"/>
  <pageMargins left="0.7" right="0.7" top="0.75" bottom="0.75" header="0.3" footer="0.3"/>
  <pageSetup scale="71" orientation="landscape" horizontalDpi="4294967294"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4121-0A94-4CB8-BCA1-42508A553E45}">
  <sheetPr>
    <pageSetUpPr fitToPage="1"/>
  </sheetPr>
  <dimension ref="A1:M275"/>
  <sheetViews>
    <sheetView view="pageBreakPreview" zoomScale="90" zoomScaleNormal="100" zoomScaleSheetLayoutView="90" workbookViewId="0"/>
  </sheetViews>
  <sheetFormatPr defaultColWidth="9.15234375" defaultRowHeight="12.45" x14ac:dyDescent="0.4"/>
  <cols>
    <col min="1" max="1" width="24.23046875" style="309" customWidth="1"/>
    <col min="2" max="2" width="10.23046875" style="309" customWidth="1"/>
    <col min="3" max="3" width="8" style="309" customWidth="1"/>
    <col min="4" max="4" width="12.84375" style="309" customWidth="1"/>
    <col min="5" max="5" width="6.4609375" style="309" customWidth="1"/>
    <col min="6" max="6" width="9.53515625" style="309" bestFit="1" customWidth="1"/>
    <col min="7" max="7" width="11.84375" style="309" bestFit="1" customWidth="1"/>
    <col min="8" max="8" width="16.4609375" style="309" bestFit="1" customWidth="1"/>
    <col min="9" max="9" width="26.84375" style="309" customWidth="1"/>
    <col min="10" max="12" width="10.69140625" style="309" customWidth="1"/>
    <col min="13" max="13" width="15.3046875" style="309" bestFit="1" customWidth="1"/>
    <col min="14" max="16384" width="9.15234375" style="309"/>
  </cols>
  <sheetData>
    <row r="1" spans="1:13" ht="12.9" x14ac:dyDescent="0.4">
      <c r="E1" s="315">
        <v>2023</v>
      </c>
      <c r="F1" s="315"/>
    </row>
    <row r="2" spans="1:13" x14ac:dyDescent="0.4">
      <c r="A2" s="319" t="str">
        <f>Summary!A1</f>
        <v>City of Ansonia</v>
      </c>
      <c r="B2" s="319"/>
      <c r="C2" s="319"/>
      <c r="D2" s="319"/>
      <c r="E2" s="319"/>
      <c r="F2" s="319"/>
      <c r="G2" s="319"/>
      <c r="H2" s="319"/>
      <c r="I2" s="319"/>
      <c r="J2" s="319"/>
      <c r="K2" s="319"/>
      <c r="L2" s="319"/>
      <c r="M2" s="319"/>
    </row>
    <row r="3" spans="1:13" x14ac:dyDescent="0.4">
      <c r="A3" s="319" t="s">
        <v>1118</v>
      </c>
      <c r="B3" s="319"/>
      <c r="C3" s="319"/>
      <c r="D3" s="319"/>
      <c r="E3" s="319"/>
      <c r="F3" s="319"/>
      <c r="G3" s="319"/>
      <c r="H3" s="319"/>
      <c r="I3" s="319"/>
      <c r="J3" s="319"/>
      <c r="K3" s="319"/>
      <c r="L3" s="319"/>
      <c r="M3" s="319"/>
    </row>
    <row r="5" spans="1:13" ht="37.299999999999997" x14ac:dyDescent="0.4">
      <c r="A5" s="310" t="s">
        <v>63</v>
      </c>
      <c r="B5" s="310" t="s">
        <v>1049</v>
      </c>
      <c r="C5" s="310" t="s">
        <v>1050</v>
      </c>
      <c r="D5" s="310" t="s">
        <v>1115</v>
      </c>
      <c r="E5" s="310" t="s">
        <v>30</v>
      </c>
      <c r="F5" s="310" t="s">
        <v>993</v>
      </c>
      <c r="G5" s="310" t="s">
        <v>988</v>
      </c>
      <c r="H5" s="310" t="s">
        <v>1044</v>
      </c>
      <c r="I5" s="310" t="s">
        <v>989</v>
      </c>
      <c r="J5" s="310" t="s">
        <v>990</v>
      </c>
      <c r="K5" s="310" t="s">
        <v>991</v>
      </c>
      <c r="L5" s="310" t="s">
        <v>992</v>
      </c>
      <c r="M5" s="310" t="s">
        <v>1043</v>
      </c>
    </row>
    <row r="6" spans="1:13" x14ac:dyDescent="0.3">
      <c r="A6" s="314" t="s">
        <v>1054</v>
      </c>
      <c r="B6" s="312">
        <v>38944</v>
      </c>
      <c r="C6" s="309">
        <f t="shared" ref="C6:C67" si="0">YEAR(B6)</f>
        <v>2006</v>
      </c>
      <c r="D6" s="313">
        <v>47000</v>
      </c>
      <c r="E6" s="317">
        <f t="shared" ref="E6:E67" si="1">$E$1-C6</f>
        <v>17</v>
      </c>
      <c r="F6" s="318">
        <f>VLOOKUP(I6,'WP Cost HW and Useful Life'!$A$3:$B$15,2,FALSE)</f>
        <v>50</v>
      </c>
      <c r="G6" s="318">
        <f t="shared" ref="G6:G67" si="2">IFERROR(IF(D6/F6*E6&gt;D6,D6,D6/F6*E6),"NA")</f>
        <v>15980</v>
      </c>
      <c r="H6" s="318">
        <f t="shared" ref="H6:H37" si="3">IFERROR(D6-G6,"NA")</f>
        <v>31020</v>
      </c>
      <c r="I6" s="240" t="s">
        <v>45</v>
      </c>
      <c r="J6" s="321">
        <f>INDEX('WP Cost HW W1'!$B$9:$GE$66,MATCH(I6,'WP Cost HW W1'!$B$9:$B$66,0),MATCH(C6,'WP Cost HW W1'!$B$7:$GE$7,0))</f>
        <v>466.25</v>
      </c>
      <c r="K6" s="321">
        <f>INDEX('WP Cost HW W1'!$B$9:$GE$66,MATCH(I6,'WP Cost HW W1'!$B$9:$B$66,0),MATCH($E$1,'WP Cost HW W1'!$B$7:$GE$7,0))</f>
        <v>912</v>
      </c>
      <c r="L6" s="321">
        <f t="shared" ref="L6:L37" si="4">K6/J6</f>
        <v>1.9560321715817695</v>
      </c>
      <c r="M6" s="318">
        <f t="shared" ref="M6:M37" si="5">IFERROR(H6*L6,"NA")</f>
        <v>60676.117962466487</v>
      </c>
    </row>
    <row r="7" spans="1:13" x14ac:dyDescent="0.3">
      <c r="A7" s="314" t="s">
        <v>1054</v>
      </c>
      <c r="B7" s="312">
        <v>39005</v>
      </c>
      <c r="C7" s="309">
        <f t="shared" si="0"/>
        <v>2006</v>
      </c>
      <c r="D7" s="313">
        <v>66700</v>
      </c>
      <c r="E7" s="317">
        <f t="shared" si="1"/>
        <v>17</v>
      </c>
      <c r="F7" s="318">
        <f>VLOOKUP(I7,'WP Cost HW and Useful Life'!$A$3:$B$15,2,FALSE)</f>
        <v>50</v>
      </c>
      <c r="G7" s="318">
        <f t="shared" si="2"/>
        <v>22678</v>
      </c>
      <c r="H7" s="318">
        <f t="shared" si="3"/>
        <v>44022</v>
      </c>
      <c r="I7" s="240" t="s">
        <v>45</v>
      </c>
      <c r="J7" s="321">
        <f>INDEX('WP Cost HW W1'!$B$9:$GE$66,MATCH(I7,'WP Cost HW W1'!$B$9:$B$66,0),MATCH(C7,'WP Cost HW W1'!$B$7:$GE$7,0))</f>
        <v>466.25</v>
      </c>
      <c r="K7" s="321">
        <f>INDEX('WP Cost HW W1'!$B$9:$GE$66,MATCH(I7,'WP Cost HW W1'!$B$9:$B$66,0),MATCH($E$1,'WP Cost HW W1'!$B$7:$GE$7,0))</f>
        <v>912</v>
      </c>
      <c r="L7" s="321">
        <f t="shared" si="4"/>
        <v>1.9560321715817695</v>
      </c>
      <c r="M7" s="318">
        <f t="shared" si="5"/>
        <v>86108.448257372656</v>
      </c>
    </row>
    <row r="8" spans="1:13" x14ac:dyDescent="0.3">
      <c r="A8" s="314" t="s">
        <v>1054</v>
      </c>
      <c r="B8" s="312">
        <v>39024</v>
      </c>
      <c r="C8" s="309">
        <f t="shared" si="0"/>
        <v>2006</v>
      </c>
      <c r="D8" s="313">
        <v>113600</v>
      </c>
      <c r="E8" s="317">
        <f t="shared" si="1"/>
        <v>17</v>
      </c>
      <c r="F8" s="318">
        <f>VLOOKUP(I8,'WP Cost HW and Useful Life'!$A$3:$B$15,2,FALSE)</f>
        <v>50</v>
      </c>
      <c r="G8" s="318">
        <f t="shared" si="2"/>
        <v>38624</v>
      </c>
      <c r="H8" s="318">
        <f t="shared" si="3"/>
        <v>74976</v>
      </c>
      <c r="I8" s="240" t="s">
        <v>45</v>
      </c>
      <c r="J8" s="321">
        <f>INDEX('WP Cost HW W1'!$B$9:$GE$66,MATCH(I8,'WP Cost HW W1'!$B$9:$B$66,0),MATCH(C8,'WP Cost HW W1'!$B$7:$GE$7,0))</f>
        <v>466.25</v>
      </c>
      <c r="K8" s="321">
        <f>INDEX('WP Cost HW W1'!$B$9:$GE$66,MATCH(I8,'WP Cost HW W1'!$B$9:$B$66,0),MATCH($E$1,'WP Cost HW W1'!$B$7:$GE$7,0))</f>
        <v>912</v>
      </c>
      <c r="L8" s="321">
        <f t="shared" si="4"/>
        <v>1.9560321715817695</v>
      </c>
      <c r="M8" s="318">
        <f t="shared" si="5"/>
        <v>146655.46809651476</v>
      </c>
    </row>
    <row r="9" spans="1:13" x14ac:dyDescent="0.3">
      <c r="A9" s="314" t="s">
        <v>1054</v>
      </c>
      <c r="B9" s="312">
        <v>39035</v>
      </c>
      <c r="C9" s="309">
        <f t="shared" si="0"/>
        <v>2006</v>
      </c>
      <c r="D9" s="313">
        <v>11850</v>
      </c>
      <c r="E9" s="317">
        <f t="shared" si="1"/>
        <v>17</v>
      </c>
      <c r="F9" s="318">
        <f>VLOOKUP(I9,'WP Cost HW and Useful Life'!$A$3:$B$15,2,FALSE)</f>
        <v>50</v>
      </c>
      <c r="G9" s="318">
        <f t="shared" si="2"/>
        <v>4029</v>
      </c>
      <c r="H9" s="318">
        <f t="shared" si="3"/>
        <v>7821</v>
      </c>
      <c r="I9" s="240" t="s">
        <v>45</v>
      </c>
      <c r="J9" s="321">
        <f>INDEX('WP Cost HW W1'!$B$9:$GE$66,MATCH(I9,'WP Cost HW W1'!$B$9:$B$66,0),MATCH(C9,'WP Cost HW W1'!$B$7:$GE$7,0))</f>
        <v>466.25</v>
      </c>
      <c r="K9" s="321">
        <f>INDEX('WP Cost HW W1'!$B$9:$GE$66,MATCH(I9,'WP Cost HW W1'!$B$9:$B$66,0),MATCH($E$1,'WP Cost HW W1'!$B$7:$GE$7,0))</f>
        <v>912</v>
      </c>
      <c r="L9" s="321">
        <f t="shared" si="4"/>
        <v>1.9560321715817695</v>
      </c>
      <c r="M9" s="318">
        <f t="shared" si="5"/>
        <v>15298.127613941018</v>
      </c>
    </row>
    <row r="10" spans="1:13" x14ac:dyDescent="0.3">
      <c r="A10" s="314" t="s">
        <v>1054</v>
      </c>
      <c r="B10" s="312">
        <v>39066</v>
      </c>
      <c r="C10" s="309">
        <f t="shared" si="0"/>
        <v>2006</v>
      </c>
      <c r="D10" s="313">
        <v>139000</v>
      </c>
      <c r="E10" s="317">
        <f t="shared" si="1"/>
        <v>17</v>
      </c>
      <c r="F10" s="318">
        <f>VLOOKUP(I10,'WP Cost HW and Useful Life'!$A$3:$B$15,2,FALSE)</f>
        <v>50</v>
      </c>
      <c r="G10" s="318">
        <f t="shared" si="2"/>
        <v>47260</v>
      </c>
      <c r="H10" s="318">
        <f t="shared" si="3"/>
        <v>91740</v>
      </c>
      <c r="I10" s="240" t="s">
        <v>45</v>
      </c>
      <c r="J10" s="321">
        <f>INDEX('WP Cost HW W1'!$B$9:$GE$66,MATCH(I10,'WP Cost HW W1'!$B$9:$B$66,0),MATCH(C10,'WP Cost HW W1'!$B$7:$GE$7,0))</f>
        <v>466.25</v>
      </c>
      <c r="K10" s="321">
        <f>INDEX('WP Cost HW W1'!$B$9:$GE$66,MATCH(I10,'WP Cost HW W1'!$B$9:$B$66,0),MATCH($E$1,'WP Cost HW W1'!$B$7:$GE$7,0))</f>
        <v>912</v>
      </c>
      <c r="L10" s="321">
        <f t="shared" si="4"/>
        <v>1.9560321715817695</v>
      </c>
      <c r="M10" s="318">
        <f t="shared" si="5"/>
        <v>179446.39142091153</v>
      </c>
    </row>
    <row r="11" spans="1:13" x14ac:dyDescent="0.3">
      <c r="A11" s="314" t="s">
        <v>1054</v>
      </c>
      <c r="B11" s="312">
        <v>39100</v>
      </c>
      <c r="C11" s="309">
        <f t="shared" si="0"/>
        <v>2007</v>
      </c>
      <c r="D11" s="313">
        <v>101400</v>
      </c>
      <c r="E11" s="317">
        <f t="shared" si="1"/>
        <v>16</v>
      </c>
      <c r="F11" s="318">
        <f>VLOOKUP(I11,'WP Cost HW and Useful Life'!$A$3:$B$15,2,FALSE)</f>
        <v>50</v>
      </c>
      <c r="G11" s="318">
        <f t="shared" si="2"/>
        <v>32448</v>
      </c>
      <c r="H11" s="318">
        <f t="shared" si="3"/>
        <v>68952</v>
      </c>
      <c r="I11" s="240" t="s">
        <v>45</v>
      </c>
      <c r="J11" s="321">
        <f>INDEX('WP Cost HW W1'!$B$9:$GE$66,MATCH(I11,'WP Cost HW W1'!$B$9:$B$66,0),MATCH(C11,'WP Cost HW W1'!$B$7:$GE$7,0))</f>
        <v>496.24986591587822</v>
      </c>
      <c r="K11" s="321">
        <f>INDEX('WP Cost HW W1'!$B$9:$GE$66,MATCH(I11,'WP Cost HW W1'!$B$9:$B$66,0),MATCH($E$1,'WP Cost HW W1'!$B$7:$GE$7,0))</f>
        <v>912</v>
      </c>
      <c r="L11" s="321">
        <f t="shared" si="4"/>
        <v>1.8377838718743305</v>
      </c>
      <c r="M11" s="318">
        <f t="shared" si="5"/>
        <v>126718.87353347884</v>
      </c>
    </row>
    <row r="12" spans="1:13" x14ac:dyDescent="0.3">
      <c r="A12" s="314" t="s">
        <v>1054</v>
      </c>
      <c r="B12" s="312">
        <v>38625</v>
      </c>
      <c r="C12" s="309">
        <f t="shared" si="0"/>
        <v>2005</v>
      </c>
      <c r="D12" s="313">
        <v>20557.43</v>
      </c>
      <c r="E12" s="317">
        <f t="shared" si="1"/>
        <v>18</v>
      </c>
      <c r="F12" s="318">
        <f>VLOOKUP(I12,'WP Cost HW and Useful Life'!$A$3:$B$15,2,FALSE)</f>
        <v>50</v>
      </c>
      <c r="G12" s="318">
        <f t="shared" si="2"/>
        <v>7400.6747999999998</v>
      </c>
      <c r="H12" s="318">
        <f t="shared" si="3"/>
        <v>13156.7552</v>
      </c>
      <c r="I12" s="240" t="s">
        <v>45</v>
      </c>
      <c r="J12" s="321">
        <f>INDEX('WP Cost HW W1'!$B$9:$GE$66,MATCH(I12,'WP Cost HW W1'!$B$9:$B$66,0),MATCH(C12,'WP Cost HW W1'!$B$7:$GE$7,0))</f>
        <v>448</v>
      </c>
      <c r="K12" s="321">
        <f>INDEX('WP Cost HW W1'!$B$9:$GE$66,MATCH(I12,'WP Cost HW W1'!$B$9:$B$66,0),MATCH($E$1,'WP Cost HW W1'!$B$7:$GE$7,0))</f>
        <v>912</v>
      </c>
      <c r="L12" s="321">
        <f t="shared" si="4"/>
        <v>2.0357142857142856</v>
      </c>
      <c r="M12" s="318">
        <f t="shared" si="5"/>
        <v>26783.394514285712</v>
      </c>
    </row>
    <row r="13" spans="1:13" x14ac:dyDescent="0.3">
      <c r="A13" s="314" t="s">
        <v>1054</v>
      </c>
      <c r="B13" s="312">
        <v>38869</v>
      </c>
      <c r="C13" s="309">
        <f t="shared" si="0"/>
        <v>2006</v>
      </c>
      <c r="D13" s="313">
        <v>56754</v>
      </c>
      <c r="E13" s="317">
        <f t="shared" si="1"/>
        <v>17</v>
      </c>
      <c r="F13" s="318">
        <f>VLOOKUP(I13,'WP Cost HW and Useful Life'!$A$3:$B$15,2,FALSE)</f>
        <v>50</v>
      </c>
      <c r="G13" s="318">
        <f t="shared" si="2"/>
        <v>19296.36</v>
      </c>
      <c r="H13" s="318">
        <f t="shared" si="3"/>
        <v>37457.64</v>
      </c>
      <c r="I13" s="240" t="s">
        <v>45</v>
      </c>
      <c r="J13" s="321">
        <f>INDEX('WP Cost HW W1'!$B$9:$GE$66,MATCH(I13,'WP Cost HW W1'!$B$9:$B$66,0),MATCH(C13,'WP Cost HW W1'!$B$7:$GE$7,0))</f>
        <v>466.25</v>
      </c>
      <c r="K13" s="321">
        <f>INDEX('WP Cost HW W1'!$B$9:$GE$66,MATCH(I13,'WP Cost HW W1'!$B$9:$B$66,0),MATCH($E$1,'WP Cost HW W1'!$B$7:$GE$7,0))</f>
        <v>912</v>
      </c>
      <c r="L13" s="321">
        <f t="shared" si="4"/>
        <v>1.9560321715817695</v>
      </c>
      <c r="M13" s="318">
        <f t="shared" si="5"/>
        <v>73268.348911528155</v>
      </c>
    </row>
    <row r="14" spans="1:13" x14ac:dyDescent="0.3">
      <c r="A14" s="314" t="s">
        <v>1054</v>
      </c>
      <c r="B14" s="312">
        <v>38890</v>
      </c>
      <c r="C14" s="309">
        <f t="shared" si="0"/>
        <v>2006</v>
      </c>
      <c r="D14" s="313">
        <v>68250</v>
      </c>
      <c r="E14" s="317">
        <f t="shared" si="1"/>
        <v>17</v>
      </c>
      <c r="F14" s="318">
        <f>VLOOKUP(I14,'WP Cost HW and Useful Life'!$A$3:$B$15,2,FALSE)</f>
        <v>50</v>
      </c>
      <c r="G14" s="318">
        <f t="shared" si="2"/>
        <v>23205</v>
      </c>
      <c r="H14" s="318">
        <f t="shared" si="3"/>
        <v>45045</v>
      </c>
      <c r="I14" s="240" t="s">
        <v>45</v>
      </c>
      <c r="J14" s="321">
        <f>INDEX('WP Cost HW W1'!$B$9:$GE$66,MATCH(I14,'WP Cost HW W1'!$B$9:$B$66,0),MATCH(C14,'WP Cost HW W1'!$B$7:$GE$7,0))</f>
        <v>466.25</v>
      </c>
      <c r="K14" s="321">
        <f>INDEX('WP Cost HW W1'!$B$9:$GE$66,MATCH(I14,'WP Cost HW W1'!$B$9:$B$66,0),MATCH($E$1,'WP Cost HW W1'!$B$7:$GE$7,0))</f>
        <v>912</v>
      </c>
      <c r="L14" s="321">
        <f t="shared" si="4"/>
        <v>1.9560321715817695</v>
      </c>
      <c r="M14" s="318">
        <f t="shared" si="5"/>
        <v>88109.469168900803</v>
      </c>
    </row>
    <row r="15" spans="1:13" x14ac:dyDescent="0.4">
      <c r="A15" s="314" t="s">
        <v>1059</v>
      </c>
      <c r="B15" s="312">
        <v>42228</v>
      </c>
      <c r="C15" s="309">
        <f t="shared" si="0"/>
        <v>2015</v>
      </c>
      <c r="D15" s="313">
        <v>28896</v>
      </c>
      <c r="E15" s="317">
        <f t="shared" si="1"/>
        <v>8</v>
      </c>
      <c r="F15" s="318">
        <f>VLOOKUP(I15,'WP Cost HW and Useful Life'!$A$3:$B$15,2,FALSE)</f>
        <v>10</v>
      </c>
      <c r="G15" s="318">
        <f t="shared" si="2"/>
        <v>23116.799999999999</v>
      </c>
      <c r="H15" s="318">
        <f t="shared" si="3"/>
        <v>5779.2000000000007</v>
      </c>
      <c r="I15" s="309" t="s">
        <v>702</v>
      </c>
      <c r="J15" s="321">
        <f>INDEX('WP Cost HW W1'!$B$9:$GE$66,MATCH(I15,'WP Cost HW W1'!$B$9:$B$66,0),MATCH(C15,'WP Cost HW W1'!$B$7:$GE$7,0))</f>
        <v>148.88333333333335</v>
      </c>
      <c r="K15" s="321">
        <f>INDEX('WP Cost HW W1'!$B$9:$GE$66,MATCH(I15,'WP Cost HW W1'!$B$9:$B$66,0),MATCH($E$1,'WP Cost HW W1'!$B$7:$GE$7,0))</f>
        <v>168.01624999999999</v>
      </c>
      <c r="L15" s="321">
        <f t="shared" si="4"/>
        <v>1.1285094593081828</v>
      </c>
      <c r="M15" s="318">
        <f t="shared" si="5"/>
        <v>6521.8818672338512</v>
      </c>
    </row>
    <row r="16" spans="1:13" x14ac:dyDescent="0.4">
      <c r="A16" s="311" t="s">
        <v>1058</v>
      </c>
      <c r="B16" s="312">
        <v>42509</v>
      </c>
      <c r="C16" s="309">
        <f t="shared" si="0"/>
        <v>2016</v>
      </c>
      <c r="D16" s="313">
        <v>30155</v>
      </c>
      <c r="E16" s="317">
        <f t="shared" si="1"/>
        <v>7</v>
      </c>
      <c r="F16" s="318">
        <f>VLOOKUP(I16,'WP Cost HW and Useful Life'!$A$3:$B$15,2,FALSE)</f>
        <v>10</v>
      </c>
      <c r="G16" s="318">
        <f t="shared" si="2"/>
        <v>21108.5</v>
      </c>
      <c r="H16" s="318">
        <f t="shared" si="3"/>
        <v>9046.5</v>
      </c>
      <c r="I16" s="309" t="s">
        <v>702</v>
      </c>
      <c r="J16" s="321">
        <f>INDEX('WP Cost HW W1'!$B$9:$GE$66,MATCH(I16,'WP Cost HW W1'!$B$9:$B$66,0),MATCH(C16,'WP Cost HW W1'!$B$7:$GE$7,0))</f>
        <v>150.10833333333335</v>
      </c>
      <c r="K16" s="321">
        <f>INDEX('WP Cost HW W1'!$B$9:$GE$66,MATCH(I16,'WP Cost HW W1'!$B$9:$B$66,0),MATCH($E$1,'WP Cost HW W1'!$B$7:$GE$7,0))</f>
        <v>168.01624999999999</v>
      </c>
      <c r="L16" s="321">
        <f t="shared" si="4"/>
        <v>1.1192999500360847</v>
      </c>
      <c r="M16" s="318">
        <f t="shared" si="5"/>
        <v>10125.746998001441</v>
      </c>
    </row>
    <row r="17" spans="1:13" x14ac:dyDescent="0.4">
      <c r="A17" s="311" t="s">
        <v>1080</v>
      </c>
      <c r="B17" s="312">
        <v>24838</v>
      </c>
      <c r="C17" s="309">
        <f t="shared" si="0"/>
        <v>1968</v>
      </c>
      <c r="D17" s="313">
        <v>55000</v>
      </c>
      <c r="E17" s="317">
        <f t="shared" si="1"/>
        <v>55</v>
      </c>
      <c r="F17" s="318">
        <f>VLOOKUP(I17,'WP Cost HW and Useful Life'!$A$3:$B$15,2,FALSE)</f>
        <v>50</v>
      </c>
      <c r="G17" s="318">
        <f t="shared" si="2"/>
        <v>55000</v>
      </c>
      <c r="H17" s="318">
        <f t="shared" si="3"/>
        <v>0</v>
      </c>
      <c r="I17" s="309" t="s">
        <v>45</v>
      </c>
      <c r="J17" s="321">
        <f>INDEX('WP Cost HW W1'!$B$9:$GE$66,MATCH(I17,'WP Cost HW W1'!$B$9:$B$66,0),MATCH(C17,'WP Cost HW W1'!$B$7:$GE$7,0))</f>
        <v>64</v>
      </c>
      <c r="K17" s="321">
        <f>INDEX('WP Cost HW W1'!$B$9:$GE$66,MATCH(I17,'WP Cost HW W1'!$B$9:$B$66,0),MATCH($E$1,'WP Cost HW W1'!$B$7:$GE$7,0))</f>
        <v>912</v>
      </c>
      <c r="L17" s="321">
        <f t="shared" si="4"/>
        <v>14.25</v>
      </c>
      <c r="M17" s="318">
        <f t="shared" si="5"/>
        <v>0</v>
      </c>
    </row>
    <row r="18" spans="1:13" x14ac:dyDescent="0.4">
      <c r="A18" s="311" t="s">
        <v>1077</v>
      </c>
      <c r="B18" s="312">
        <v>24838</v>
      </c>
      <c r="C18" s="309">
        <f t="shared" si="0"/>
        <v>1968</v>
      </c>
      <c r="D18" s="313">
        <v>74000</v>
      </c>
      <c r="E18" s="317">
        <f t="shared" si="1"/>
        <v>55</v>
      </c>
      <c r="F18" s="318">
        <f>VLOOKUP(I18,'WP Cost HW and Useful Life'!$A$3:$B$15,2,FALSE)</f>
        <v>25</v>
      </c>
      <c r="G18" s="318">
        <f t="shared" si="2"/>
        <v>74000</v>
      </c>
      <c r="H18" s="318">
        <f t="shared" si="3"/>
        <v>0</v>
      </c>
      <c r="I18" s="309" t="s">
        <v>28</v>
      </c>
      <c r="J18" s="321">
        <f>INDEX('WP Cost HW W1'!$B$9:$GE$66,MATCH(I18,'WP Cost HW W1'!$B$9:$B$66,0),MATCH(C18,'WP Cost HW W1'!$B$7:$GE$7,0))</f>
        <v>69</v>
      </c>
      <c r="K18" s="321">
        <f>INDEX('WP Cost HW W1'!$B$9:$GE$66,MATCH(I18,'WP Cost HW W1'!$B$9:$B$66,0),MATCH($E$1,'WP Cost HW W1'!$B$7:$GE$7,0))</f>
        <v>1122</v>
      </c>
      <c r="L18" s="321">
        <f t="shared" si="4"/>
        <v>16.260869565217391</v>
      </c>
      <c r="M18" s="318">
        <f t="shared" si="5"/>
        <v>0</v>
      </c>
    </row>
    <row r="19" spans="1:13" x14ac:dyDescent="0.4">
      <c r="A19" s="311" t="s">
        <v>1077</v>
      </c>
      <c r="B19" s="312">
        <v>24838</v>
      </c>
      <c r="C19" s="309">
        <f t="shared" si="0"/>
        <v>1968</v>
      </c>
      <c r="D19" s="313">
        <v>18300</v>
      </c>
      <c r="E19" s="317">
        <f t="shared" si="1"/>
        <v>55</v>
      </c>
      <c r="F19" s="318">
        <f>VLOOKUP(I19,'WP Cost HW and Useful Life'!$A$3:$B$15,2,FALSE)</f>
        <v>25</v>
      </c>
      <c r="G19" s="318">
        <f t="shared" si="2"/>
        <v>18300</v>
      </c>
      <c r="H19" s="318">
        <f t="shared" si="3"/>
        <v>0</v>
      </c>
      <c r="I19" s="309" t="s">
        <v>28</v>
      </c>
      <c r="J19" s="321">
        <f>INDEX('WP Cost HW W1'!$B$9:$GE$66,MATCH(I19,'WP Cost HW W1'!$B$9:$B$66,0),MATCH(C19,'WP Cost HW W1'!$B$7:$GE$7,0))</f>
        <v>69</v>
      </c>
      <c r="K19" s="321">
        <f>INDEX('WP Cost HW W1'!$B$9:$GE$66,MATCH(I19,'WP Cost HW W1'!$B$9:$B$66,0),MATCH($E$1,'WP Cost HW W1'!$B$7:$GE$7,0))</f>
        <v>1122</v>
      </c>
      <c r="L19" s="321">
        <f t="shared" si="4"/>
        <v>16.260869565217391</v>
      </c>
      <c r="M19" s="318">
        <f t="shared" si="5"/>
        <v>0</v>
      </c>
    </row>
    <row r="20" spans="1:13" x14ac:dyDescent="0.4">
      <c r="A20" s="314" t="s">
        <v>1079</v>
      </c>
      <c r="B20" s="312">
        <v>24838</v>
      </c>
      <c r="C20" s="309">
        <f t="shared" si="0"/>
        <v>1968</v>
      </c>
      <c r="D20" s="313">
        <v>398000</v>
      </c>
      <c r="E20" s="317">
        <f t="shared" si="1"/>
        <v>55</v>
      </c>
      <c r="F20" s="318">
        <f>VLOOKUP(I20,'WP Cost HW and Useful Life'!$A$3:$B$15,2,FALSE)</f>
        <v>25</v>
      </c>
      <c r="G20" s="318">
        <f t="shared" si="2"/>
        <v>398000</v>
      </c>
      <c r="H20" s="318">
        <f t="shared" si="3"/>
        <v>0</v>
      </c>
      <c r="I20" s="309" t="s">
        <v>28</v>
      </c>
      <c r="J20" s="321">
        <f>INDEX('WP Cost HW W1'!$B$9:$GE$66,MATCH(I20,'WP Cost HW W1'!$B$9:$B$66,0),MATCH(C20,'WP Cost HW W1'!$B$7:$GE$7,0))</f>
        <v>69</v>
      </c>
      <c r="K20" s="321">
        <f>INDEX('WP Cost HW W1'!$B$9:$GE$66,MATCH(I20,'WP Cost HW W1'!$B$9:$B$66,0),MATCH($E$1,'WP Cost HW W1'!$B$7:$GE$7,0))</f>
        <v>1122</v>
      </c>
      <c r="L20" s="321">
        <f t="shared" si="4"/>
        <v>16.260869565217391</v>
      </c>
      <c r="M20" s="318">
        <f t="shared" si="5"/>
        <v>0</v>
      </c>
    </row>
    <row r="21" spans="1:13" x14ac:dyDescent="0.4">
      <c r="A21" s="314" t="s">
        <v>1071</v>
      </c>
      <c r="B21" s="312">
        <v>24838</v>
      </c>
      <c r="C21" s="309">
        <f t="shared" si="0"/>
        <v>1968</v>
      </c>
      <c r="D21" s="313">
        <v>280000</v>
      </c>
      <c r="E21" s="317">
        <f t="shared" si="1"/>
        <v>55</v>
      </c>
      <c r="F21" s="318">
        <f>VLOOKUP(I21,'WP Cost HW and Useful Life'!$A$3:$B$15,2,FALSE)</f>
        <v>25</v>
      </c>
      <c r="G21" s="318">
        <f t="shared" si="2"/>
        <v>280000</v>
      </c>
      <c r="H21" s="318">
        <f t="shared" si="3"/>
        <v>0</v>
      </c>
      <c r="I21" s="309" t="s">
        <v>28</v>
      </c>
      <c r="J21" s="321">
        <f>INDEX('WP Cost HW W1'!$B$9:$GE$66,MATCH(I21,'WP Cost HW W1'!$B$9:$B$66,0),MATCH(C21,'WP Cost HW W1'!$B$7:$GE$7,0))</f>
        <v>69</v>
      </c>
      <c r="K21" s="321">
        <f>INDEX('WP Cost HW W1'!$B$9:$GE$66,MATCH(I21,'WP Cost HW W1'!$B$9:$B$66,0),MATCH($E$1,'WP Cost HW W1'!$B$7:$GE$7,0))</f>
        <v>1122</v>
      </c>
      <c r="L21" s="321">
        <f t="shared" si="4"/>
        <v>16.260869565217391</v>
      </c>
      <c r="M21" s="318">
        <f t="shared" si="5"/>
        <v>0</v>
      </c>
    </row>
    <row r="22" spans="1:13" x14ac:dyDescent="0.4">
      <c r="A22" s="314" t="s">
        <v>1078</v>
      </c>
      <c r="B22" s="312">
        <v>24838</v>
      </c>
      <c r="C22" s="309">
        <f t="shared" si="0"/>
        <v>1968</v>
      </c>
      <c r="D22" s="313">
        <v>195000</v>
      </c>
      <c r="E22" s="317">
        <f t="shared" si="1"/>
        <v>55</v>
      </c>
      <c r="F22" s="318">
        <f>VLOOKUP(I22,'WP Cost HW and Useful Life'!$A$3:$B$15,2,FALSE)</f>
        <v>25</v>
      </c>
      <c r="G22" s="318">
        <f t="shared" si="2"/>
        <v>195000</v>
      </c>
      <c r="H22" s="318">
        <f t="shared" si="3"/>
        <v>0</v>
      </c>
      <c r="I22" s="309" t="s">
        <v>28</v>
      </c>
      <c r="J22" s="321">
        <f>INDEX('WP Cost HW W1'!$B$9:$GE$66,MATCH(I22,'WP Cost HW W1'!$B$9:$B$66,0),MATCH(C22,'WP Cost HW W1'!$B$7:$GE$7,0))</f>
        <v>69</v>
      </c>
      <c r="K22" s="321">
        <f>INDEX('WP Cost HW W1'!$B$9:$GE$66,MATCH(I22,'WP Cost HW W1'!$B$9:$B$66,0),MATCH($E$1,'WP Cost HW W1'!$B$7:$GE$7,0))</f>
        <v>1122</v>
      </c>
      <c r="L22" s="321">
        <f t="shared" si="4"/>
        <v>16.260869565217391</v>
      </c>
      <c r="M22" s="318">
        <f t="shared" si="5"/>
        <v>0</v>
      </c>
    </row>
    <row r="23" spans="1:13" x14ac:dyDescent="0.4">
      <c r="A23" s="311" t="s">
        <v>1076</v>
      </c>
      <c r="B23" s="312">
        <v>24838</v>
      </c>
      <c r="C23" s="309">
        <f t="shared" si="0"/>
        <v>1968</v>
      </c>
      <c r="D23" s="313">
        <v>1105000</v>
      </c>
      <c r="E23" s="317">
        <f t="shared" si="1"/>
        <v>55</v>
      </c>
      <c r="F23" s="318">
        <f>VLOOKUP(I23,'WP Cost HW and Useful Life'!$A$3:$B$15,2,FALSE)</f>
        <v>25</v>
      </c>
      <c r="G23" s="318">
        <f t="shared" si="2"/>
        <v>1105000</v>
      </c>
      <c r="H23" s="318">
        <f t="shared" si="3"/>
        <v>0</v>
      </c>
      <c r="I23" s="309" t="s">
        <v>28</v>
      </c>
      <c r="J23" s="321">
        <f>INDEX('WP Cost HW W1'!$B$9:$GE$66,MATCH(I23,'WP Cost HW W1'!$B$9:$B$66,0),MATCH(C23,'WP Cost HW W1'!$B$7:$GE$7,0))</f>
        <v>69</v>
      </c>
      <c r="K23" s="321">
        <f>INDEX('WP Cost HW W1'!$B$9:$GE$66,MATCH(I23,'WP Cost HW W1'!$B$9:$B$66,0),MATCH($E$1,'WP Cost HW W1'!$B$7:$GE$7,0))</f>
        <v>1122</v>
      </c>
      <c r="L23" s="321">
        <f t="shared" si="4"/>
        <v>16.260869565217391</v>
      </c>
      <c r="M23" s="318">
        <f t="shared" si="5"/>
        <v>0</v>
      </c>
    </row>
    <row r="24" spans="1:13" x14ac:dyDescent="0.4">
      <c r="A24" s="311" t="s">
        <v>1076</v>
      </c>
      <c r="B24" s="312">
        <v>24838</v>
      </c>
      <c r="C24" s="309">
        <f t="shared" si="0"/>
        <v>1968</v>
      </c>
      <c r="D24" s="313">
        <v>192000</v>
      </c>
      <c r="E24" s="317">
        <f t="shared" si="1"/>
        <v>55</v>
      </c>
      <c r="F24" s="318">
        <f>VLOOKUP(I24,'WP Cost HW and Useful Life'!$A$3:$B$15,2,FALSE)</f>
        <v>25</v>
      </c>
      <c r="G24" s="318">
        <f t="shared" si="2"/>
        <v>192000</v>
      </c>
      <c r="H24" s="318">
        <f t="shared" si="3"/>
        <v>0</v>
      </c>
      <c r="I24" s="309" t="s">
        <v>28</v>
      </c>
      <c r="J24" s="321">
        <f>INDEX('WP Cost HW W1'!$B$9:$GE$66,MATCH(I24,'WP Cost HW W1'!$B$9:$B$66,0),MATCH(C24,'WP Cost HW W1'!$B$7:$GE$7,0))</f>
        <v>69</v>
      </c>
      <c r="K24" s="321">
        <f>INDEX('WP Cost HW W1'!$B$9:$GE$66,MATCH(I24,'WP Cost HW W1'!$B$9:$B$66,0),MATCH($E$1,'WP Cost HW W1'!$B$7:$GE$7,0))</f>
        <v>1122</v>
      </c>
      <c r="L24" s="321">
        <f t="shared" si="4"/>
        <v>16.260869565217391</v>
      </c>
      <c r="M24" s="318">
        <f t="shared" si="5"/>
        <v>0</v>
      </c>
    </row>
    <row r="25" spans="1:13" x14ac:dyDescent="0.4">
      <c r="A25" s="314" t="s">
        <v>1070</v>
      </c>
      <c r="B25" s="312">
        <v>29221</v>
      </c>
      <c r="C25" s="309">
        <f t="shared" si="0"/>
        <v>1980</v>
      </c>
      <c r="D25" s="313">
        <v>1000</v>
      </c>
      <c r="E25" s="317">
        <f t="shared" si="1"/>
        <v>43</v>
      </c>
      <c r="F25" s="318">
        <f>VLOOKUP(I25,'WP Cost HW and Useful Life'!$A$3:$B$15,2,FALSE)</f>
        <v>25</v>
      </c>
      <c r="G25" s="318">
        <f t="shared" si="2"/>
        <v>1000</v>
      </c>
      <c r="H25" s="318">
        <f t="shared" si="3"/>
        <v>0</v>
      </c>
      <c r="I25" s="309" t="s">
        <v>28</v>
      </c>
      <c r="J25" s="321">
        <f>INDEX('WP Cost HW W1'!$B$9:$GE$66,MATCH(I25,'WP Cost HW W1'!$B$9:$B$66,0),MATCH(C25,'WP Cost HW W1'!$B$7:$GE$7,0))</f>
        <v>191</v>
      </c>
      <c r="K25" s="321">
        <f>INDEX('WP Cost HW W1'!$B$9:$GE$66,MATCH(I25,'WP Cost HW W1'!$B$9:$B$66,0),MATCH($E$1,'WP Cost HW W1'!$B$7:$GE$7,0))</f>
        <v>1122</v>
      </c>
      <c r="L25" s="321">
        <f t="shared" si="4"/>
        <v>5.8743455497382202</v>
      </c>
      <c r="M25" s="318">
        <f t="shared" si="5"/>
        <v>0</v>
      </c>
    </row>
    <row r="26" spans="1:13" x14ac:dyDescent="0.4">
      <c r="A26" s="311" t="s">
        <v>1111</v>
      </c>
      <c r="B26" s="312">
        <v>38325</v>
      </c>
      <c r="C26" s="309">
        <f t="shared" si="0"/>
        <v>2004</v>
      </c>
      <c r="D26" s="313">
        <v>218935.91</v>
      </c>
      <c r="E26" s="317">
        <f t="shared" si="1"/>
        <v>19</v>
      </c>
      <c r="F26" s="318">
        <f>VLOOKUP(I26,'WP Cost HW and Useful Life'!$A$3:$B$15,2,FALSE)</f>
        <v>50</v>
      </c>
      <c r="G26" s="318">
        <f t="shared" si="2"/>
        <v>83195.645799999998</v>
      </c>
      <c r="H26" s="318">
        <f t="shared" si="3"/>
        <v>135740.26420000001</v>
      </c>
      <c r="I26" s="309" t="s">
        <v>45</v>
      </c>
      <c r="J26" s="321">
        <f>INDEX('WP Cost HW W1'!$B$9:$GE$66,MATCH(I26,'WP Cost HW W1'!$B$9:$B$66,0),MATCH(C26,'WP Cost HW W1'!$B$7:$GE$7,0))</f>
        <v>420.75</v>
      </c>
      <c r="K26" s="321">
        <f>INDEX('WP Cost HW W1'!$B$9:$GE$66,MATCH(I26,'WP Cost HW W1'!$B$9:$B$66,0),MATCH($E$1,'WP Cost HW W1'!$B$7:$GE$7,0))</f>
        <v>912</v>
      </c>
      <c r="L26" s="321">
        <f t="shared" si="4"/>
        <v>2.1675579322638145</v>
      </c>
      <c r="M26" s="318">
        <f t="shared" si="5"/>
        <v>294224.8863942959</v>
      </c>
    </row>
    <row r="27" spans="1:13" x14ac:dyDescent="0.4">
      <c r="A27" s="311" t="s">
        <v>1065</v>
      </c>
      <c r="B27" s="312">
        <v>38384</v>
      </c>
      <c r="C27" s="309">
        <f t="shared" si="0"/>
        <v>2005</v>
      </c>
      <c r="D27" s="313">
        <v>101779.42</v>
      </c>
      <c r="E27" s="317">
        <f t="shared" si="1"/>
        <v>18</v>
      </c>
      <c r="F27" s="318">
        <f>VLOOKUP(I27,'WP Cost HW and Useful Life'!$A$3:$B$15,2,FALSE)</f>
        <v>50</v>
      </c>
      <c r="G27" s="318">
        <f t="shared" si="2"/>
        <v>36640.591199999995</v>
      </c>
      <c r="H27" s="318">
        <f t="shared" si="3"/>
        <v>65138.828800000003</v>
      </c>
      <c r="I27" s="309" t="s">
        <v>45</v>
      </c>
      <c r="J27" s="321">
        <f>INDEX('WP Cost HW W1'!$B$9:$GE$66,MATCH(I27,'WP Cost HW W1'!$B$9:$B$66,0),MATCH(C27,'WP Cost HW W1'!$B$7:$GE$7,0))</f>
        <v>448</v>
      </c>
      <c r="K27" s="321">
        <f>INDEX('WP Cost HW W1'!$B$9:$GE$66,MATCH(I27,'WP Cost HW W1'!$B$9:$B$66,0),MATCH($E$1,'WP Cost HW W1'!$B$7:$GE$7,0))</f>
        <v>912</v>
      </c>
      <c r="L27" s="321">
        <f t="shared" si="4"/>
        <v>2.0357142857142856</v>
      </c>
      <c r="M27" s="318">
        <f t="shared" si="5"/>
        <v>132604.04434285715</v>
      </c>
    </row>
    <row r="28" spans="1:13" x14ac:dyDescent="0.4">
      <c r="A28" s="311" t="s">
        <v>1065</v>
      </c>
      <c r="B28" s="312">
        <v>38564</v>
      </c>
      <c r="C28" s="309">
        <f t="shared" si="0"/>
        <v>2005</v>
      </c>
      <c r="D28" s="313">
        <v>31136.18</v>
      </c>
      <c r="E28" s="317">
        <f t="shared" si="1"/>
        <v>18</v>
      </c>
      <c r="F28" s="318">
        <f>VLOOKUP(I28,'WP Cost HW and Useful Life'!$A$3:$B$15,2,FALSE)</f>
        <v>50</v>
      </c>
      <c r="G28" s="318">
        <f t="shared" si="2"/>
        <v>11209.024800000001</v>
      </c>
      <c r="H28" s="318">
        <f t="shared" si="3"/>
        <v>19927.155200000001</v>
      </c>
      <c r="I28" s="309" t="s">
        <v>45</v>
      </c>
      <c r="J28" s="321">
        <f>INDEX('WP Cost HW W1'!$B$9:$GE$66,MATCH(I28,'WP Cost HW W1'!$B$9:$B$66,0),MATCH(C28,'WP Cost HW W1'!$B$7:$GE$7,0))</f>
        <v>448</v>
      </c>
      <c r="K28" s="321">
        <f>INDEX('WP Cost HW W1'!$B$9:$GE$66,MATCH(I28,'WP Cost HW W1'!$B$9:$B$66,0),MATCH($E$1,'WP Cost HW W1'!$B$7:$GE$7,0))</f>
        <v>912</v>
      </c>
      <c r="L28" s="321">
        <f t="shared" si="4"/>
        <v>2.0357142857142856</v>
      </c>
      <c r="M28" s="318">
        <f t="shared" si="5"/>
        <v>40565.99451428571</v>
      </c>
    </row>
    <row r="29" spans="1:13" x14ac:dyDescent="0.4">
      <c r="A29" s="311" t="s">
        <v>1065</v>
      </c>
      <c r="B29" s="312">
        <v>38595</v>
      </c>
      <c r="C29" s="309">
        <f t="shared" si="0"/>
        <v>2005</v>
      </c>
      <c r="D29" s="313">
        <v>17232.439999999999</v>
      </c>
      <c r="E29" s="317">
        <f t="shared" si="1"/>
        <v>18</v>
      </c>
      <c r="F29" s="318">
        <f>VLOOKUP(I29,'WP Cost HW and Useful Life'!$A$3:$B$15,2,FALSE)</f>
        <v>50</v>
      </c>
      <c r="G29" s="318">
        <f t="shared" si="2"/>
        <v>6203.6783999999998</v>
      </c>
      <c r="H29" s="318">
        <f t="shared" si="3"/>
        <v>11028.761599999998</v>
      </c>
      <c r="I29" s="309" t="s">
        <v>45</v>
      </c>
      <c r="J29" s="321">
        <f>INDEX('WP Cost HW W1'!$B$9:$GE$66,MATCH(I29,'WP Cost HW W1'!$B$9:$B$66,0),MATCH(C29,'WP Cost HW W1'!$B$7:$GE$7,0))</f>
        <v>448</v>
      </c>
      <c r="K29" s="321">
        <f>INDEX('WP Cost HW W1'!$B$9:$GE$66,MATCH(I29,'WP Cost HW W1'!$B$9:$B$66,0),MATCH($E$1,'WP Cost HW W1'!$B$7:$GE$7,0))</f>
        <v>912</v>
      </c>
      <c r="L29" s="321">
        <f t="shared" si="4"/>
        <v>2.0357142857142856</v>
      </c>
      <c r="M29" s="318">
        <f t="shared" si="5"/>
        <v>22451.407542857138</v>
      </c>
    </row>
    <row r="30" spans="1:13" x14ac:dyDescent="0.4">
      <c r="A30" s="311" t="s">
        <v>1065</v>
      </c>
      <c r="B30" s="312">
        <v>38625</v>
      </c>
      <c r="C30" s="309">
        <f t="shared" si="0"/>
        <v>2005</v>
      </c>
      <c r="D30" s="313">
        <v>1414.68</v>
      </c>
      <c r="E30" s="317">
        <f t="shared" si="1"/>
        <v>18</v>
      </c>
      <c r="F30" s="318">
        <f>VLOOKUP(I30,'WP Cost HW and Useful Life'!$A$3:$B$15,2,FALSE)</f>
        <v>50</v>
      </c>
      <c r="G30" s="318">
        <f t="shared" si="2"/>
        <v>509.28480000000002</v>
      </c>
      <c r="H30" s="318">
        <f t="shared" si="3"/>
        <v>905.39520000000005</v>
      </c>
      <c r="I30" s="309" t="s">
        <v>45</v>
      </c>
      <c r="J30" s="321">
        <f>INDEX('WP Cost HW W1'!$B$9:$GE$66,MATCH(I30,'WP Cost HW W1'!$B$9:$B$66,0),MATCH(C30,'WP Cost HW W1'!$B$7:$GE$7,0))</f>
        <v>448</v>
      </c>
      <c r="K30" s="321">
        <f>INDEX('WP Cost HW W1'!$B$9:$GE$66,MATCH(I30,'WP Cost HW W1'!$B$9:$B$66,0),MATCH($E$1,'WP Cost HW W1'!$B$7:$GE$7,0))</f>
        <v>912</v>
      </c>
      <c r="L30" s="321">
        <f t="shared" si="4"/>
        <v>2.0357142857142856</v>
      </c>
      <c r="M30" s="318">
        <f t="shared" si="5"/>
        <v>1843.1259428571429</v>
      </c>
    </row>
    <row r="31" spans="1:13" x14ac:dyDescent="0.4">
      <c r="A31" s="311" t="s">
        <v>1065</v>
      </c>
      <c r="B31" s="312">
        <v>38656</v>
      </c>
      <c r="C31" s="309">
        <f t="shared" si="0"/>
        <v>2005</v>
      </c>
      <c r="D31" s="313">
        <v>2938</v>
      </c>
      <c r="E31" s="317">
        <f t="shared" si="1"/>
        <v>18</v>
      </c>
      <c r="F31" s="318">
        <f>VLOOKUP(I31,'WP Cost HW and Useful Life'!$A$3:$B$15,2,FALSE)</f>
        <v>50</v>
      </c>
      <c r="G31" s="318">
        <f t="shared" si="2"/>
        <v>1057.68</v>
      </c>
      <c r="H31" s="318">
        <f t="shared" si="3"/>
        <v>1880.32</v>
      </c>
      <c r="I31" s="309" t="s">
        <v>45</v>
      </c>
      <c r="J31" s="321">
        <f>INDEX('WP Cost HW W1'!$B$9:$GE$66,MATCH(I31,'WP Cost HW W1'!$B$9:$B$66,0),MATCH(C31,'WP Cost HW W1'!$B$7:$GE$7,0))</f>
        <v>448</v>
      </c>
      <c r="K31" s="321">
        <f>INDEX('WP Cost HW W1'!$B$9:$GE$66,MATCH(I31,'WP Cost HW W1'!$B$9:$B$66,0),MATCH($E$1,'WP Cost HW W1'!$B$7:$GE$7,0))</f>
        <v>912</v>
      </c>
      <c r="L31" s="321">
        <f t="shared" si="4"/>
        <v>2.0357142857142856</v>
      </c>
      <c r="M31" s="318">
        <f t="shared" si="5"/>
        <v>3827.7942857142853</v>
      </c>
    </row>
    <row r="32" spans="1:13" x14ac:dyDescent="0.4">
      <c r="A32" s="311" t="s">
        <v>1065</v>
      </c>
      <c r="B32" s="312">
        <v>38717</v>
      </c>
      <c r="C32" s="309">
        <f t="shared" si="0"/>
        <v>2005</v>
      </c>
      <c r="D32" s="313">
        <v>5450.03</v>
      </c>
      <c r="E32" s="317">
        <f t="shared" si="1"/>
        <v>18</v>
      </c>
      <c r="F32" s="318">
        <f>VLOOKUP(I32,'WP Cost HW and Useful Life'!$A$3:$B$15,2,FALSE)</f>
        <v>50</v>
      </c>
      <c r="G32" s="318">
        <f t="shared" si="2"/>
        <v>1962.0107999999998</v>
      </c>
      <c r="H32" s="318">
        <f t="shared" si="3"/>
        <v>3488.0191999999997</v>
      </c>
      <c r="I32" s="309" t="s">
        <v>45</v>
      </c>
      <c r="J32" s="321">
        <f>INDEX('WP Cost HW W1'!$B$9:$GE$66,MATCH(I32,'WP Cost HW W1'!$B$9:$B$66,0),MATCH(C32,'WP Cost HW W1'!$B$7:$GE$7,0))</f>
        <v>448</v>
      </c>
      <c r="K32" s="321">
        <f>INDEX('WP Cost HW W1'!$B$9:$GE$66,MATCH(I32,'WP Cost HW W1'!$B$9:$B$66,0),MATCH($E$1,'WP Cost HW W1'!$B$7:$GE$7,0))</f>
        <v>912</v>
      </c>
      <c r="L32" s="321">
        <f t="shared" si="4"/>
        <v>2.0357142857142856</v>
      </c>
      <c r="M32" s="318">
        <f t="shared" si="5"/>
        <v>7100.6105142857132</v>
      </c>
    </row>
    <row r="33" spans="1:13" x14ac:dyDescent="0.4">
      <c r="A33" s="311" t="s">
        <v>1065</v>
      </c>
      <c r="B33" s="312">
        <v>38564</v>
      </c>
      <c r="C33" s="309">
        <f t="shared" si="0"/>
        <v>2005</v>
      </c>
      <c r="D33" s="313">
        <v>17232.439999999999</v>
      </c>
      <c r="E33" s="317">
        <f t="shared" si="1"/>
        <v>18</v>
      </c>
      <c r="F33" s="318">
        <f>VLOOKUP(I33,'WP Cost HW and Useful Life'!$A$3:$B$15,2,FALSE)</f>
        <v>50</v>
      </c>
      <c r="G33" s="318">
        <f t="shared" si="2"/>
        <v>6203.6783999999998</v>
      </c>
      <c r="H33" s="318">
        <f t="shared" si="3"/>
        <v>11028.761599999998</v>
      </c>
      <c r="I33" s="309" t="s">
        <v>45</v>
      </c>
      <c r="J33" s="321">
        <f>INDEX('WP Cost HW W1'!$B$9:$GE$66,MATCH(I33,'WP Cost HW W1'!$B$9:$B$66,0),MATCH(C33,'WP Cost HW W1'!$B$7:$GE$7,0))</f>
        <v>448</v>
      </c>
      <c r="K33" s="321">
        <f>INDEX('WP Cost HW W1'!$B$9:$GE$66,MATCH(I33,'WP Cost HW W1'!$B$9:$B$66,0),MATCH($E$1,'WP Cost HW W1'!$B$7:$GE$7,0))</f>
        <v>912</v>
      </c>
      <c r="L33" s="321">
        <f t="shared" si="4"/>
        <v>2.0357142857142856</v>
      </c>
      <c r="M33" s="318">
        <f t="shared" si="5"/>
        <v>22451.407542857138</v>
      </c>
    </row>
    <row r="34" spans="1:13" x14ac:dyDescent="0.4">
      <c r="A34" s="311" t="s">
        <v>1113</v>
      </c>
      <c r="B34" s="312">
        <v>38366</v>
      </c>
      <c r="C34" s="309">
        <f t="shared" si="0"/>
        <v>2005</v>
      </c>
      <c r="D34" s="313">
        <v>6838.69</v>
      </c>
      <c r="E34" s="317">
        <f t="shared" si="1"/>
        <v>18</v>
      </c>
      <c r="F34" s="318">
        <f>VLOOKUP(I34,'WP Cost HW and Useful Life'!$A$3:$B$15,2,FALSE)</f>
        <v>25</v>
      </c>
      <c r="G34" s="318">
        <f t="shared" si="2"/>
        <v>4923.8567999999996</v>
      </c>
      <c r="H34" s="318">
        <f t="shared" si="3"/>
        <v>1914.8332</v>
      </c>
      <c r="I34" s="309" t="s">
        <v>23</v>
      </c>
      <c r="J34" s="321">
        <f>INDEX('WP Cost HW W1'!$B$9:$GE$66,MATCH(I34,'WP Cost HW W1'!$B$9:$B$66,0),MATCH(C34,'WP Cost HW W1'!$B$7:$GE$7,0))</f>
        <v>611.5</v>
      </c>
      <c r="K34" s="321">
        <f>INDEX('WP Cost HW W1'!$B$9:$GE$66,MATCH(I34,'WP Cost HW W1'!$B$9:$B$66,0),MATCH($E$1,'WP Cost HW W1'!$B$7:$GE$7,0))</f>
        <v>1801</v>
      </c>
      <c r="L34" s="321">
        <f t="shared" si="4"/>
        <v>2.945216680294358</v>
      </c>
      <c r="M34" s="318">
        <f t="shared" si="5"/>
        <v>5639.5986806214223</v>
      </c>
    </row>
    <row r="35" spans="1:13" x14ac:dyDescent="0.4">
      <c r="A35" s="311" t="s">
        <v>1113</v>
      </c>
      <c r="B35" s="312">
        <v>38314</v>
      </c>
      <c r="C35" s="309">
        <f t="shared" si="0"/>
        <v>2004</v>
      </c>
      <c r="D35" s="313">
        <v>18469.27</v>
      </c>
      <c r="E35" s="317">
        <f t="shared" si="1"/>
        <v>19</v>
      </c>
      <c r="F35" s="318">
        <f>VLOOKUP(I35,'WP Cost HW and Useful Life'!$A$3:$B$15,2,FALSE)</f>
        <v>25</v>
      </c>
      <c r="G35" s="318">
        <f t="shared" si="2"/>
        <v>14036.645200000001</v>
      </c>
      <c r="H35" s="318">
        <f t="shared" si="3"/>
        <v>4432.6247999999996</v>
      </c>
      <c r="I35" s="309" t="s">
        <v>23</v>
      </c>
      <c r="J35" s="321">
        <f>INDEX('WP Cost HW W1'!$B$9:$GE$66,MATCH(I35,'WP Cost HW W1'!$B$9:$B$66,0),MATCH(C35,'WP Cost HW W1'!$B$7:$GE$7,0))</f>
        <v>572.25</v>
      </c>
      <c r="K35" s="321">
        <f>INDEX('WP Cost HW W1'!$B$9:$GE$66,MATCH(I35,'WP Cost HW W1'!$B$9:$B$66,0),MATCH($E$1,'WP Cost HW W1'!$B$7:$GE$7,0))</f>
        <v>1801</v>
      </c>
      <c r="L35" s="321">
        <f t="shared" si="4"/>
        <v>3.147225862822193</v>
      </c>
      <c r="M35" s="318">
        <f t="shared" si="5"/>
        <v>13950.47141074705</v>
      </c>
    </row>
    <row r="36" spans="1:13" x14ac:dyDescent="0.4">
      <c r="A36" s="311" t="s">
        <v>1113</v>
      </c>
      <c r="B36" s="312">
        <v>38314</v>
      </c>
      <c r="C36" s="309">
        <f t="shared" si="0"/>
        <v>2004</v>
      </c>
      <c r="D36" s="313">
        <v>68179.070000000007</v>
      </c>
      <c r="E36" s="317">
        <f t="shared" si="1"/>
        <v>19</v>
      </c>
      <c r="F36" s="318">
        <f>VLOOKUP(I36,'WP Cost HW and Useful Life'!$A$3:$B$15,2,FALSE)</f>
        <v>25</v>
      </c>
      <c r="G36" s="318">
        <f t="shared" si="2"/>
        <v>51816.093200000003</v>
      </c>
      <c r="H36" s="318">
        <f t="shared" si="3"/>
        <v>16362.976800000004</v>
      </c>
      <c r="I36" s="309" t="s">
        <v>23</v>
      </c>
      <c r="J36" s="321">
        <f>INDEX('WP Cost HW W1'!$B$9:$GE$66,MATCH(I36,'WP Cost HW W1'!$B$9:$B$66,0),MATCH(C36,'WP Cost HW W1'!$B$7:$GE$7,0))</f>
        <v>572.25</v>
      </c>
      <c r="K36" s="321">
        <f>INDEX('WP Cost HW W1'!$B$9:$GE$66,MATCH(I36,'WP Cost HW W1'!$B$9:$B$66,0),MATCH($E$1,'WP Cost HW W1'!$B$7:$GE$7,0))</f>
        <v>1801</v>
      </c>
      <c r="L36" s="321">
        <f t="shared" si="4"/>
        <v>3.147225862822193</v>
      </c>
      <c r="M36" s="318">
        <f t="shared" si="5"/>
        <v>51497.983777719535</v>
      </c>
    </row>
    <row r="37" spans="1:13" x14ac:dyDescent="0.4">
      <c r="A37" s="311" t="s">
        <v>1113</v>
      </c>
      <c r="B37" s="312">
        <v>38384</v>
      </c>
      <c r="C37" s="309">
        <f t="shared" si="0"/>
        <v>2005</v>
      </c>
      <c r="D37" s="313">
        <v>101779.41</v>
      </c>
      <c r="E37" s="317">
        <f t="shared" si="1"/>
        <v>18</v>
      </c>
      <c r="F37" s="318">
        <f>VLOOKUP(I37,'WP Cost HW and Useful Life'!$A$3:$B$15,2,FALSE)</f>
        <v>25</v>
      </c>
      <c r="G37" s="318">
        <f t="shared" si="2"/>
        <v>73281.175199999998</v>
      </c>
      <c r="H37" s="318">
        <f t="shared" si="3"/>
        <v>28498.234800000006</v>
      </c>
      <c r="I37" s="309" t="s">
        <v>23</v>
      </c>
      <c r="J37" s="321">
        <f>INDEX('WP Cost HW W1'!$B$9:$GE$66,MATCH(I37,'WP Cost HW W1'!$B$9:$B$66,0),MATCH(C37,'WP Cost HW W1'!$B$7:$GE$7,0))</f>
        <v>611.5</v>
      </c>
      <c r="K37" s="321">
        <f>INDEX('WP Cost HW W1'!$B$9:$GE$66,MATCH(I37,'WP Cost HW W1'!$B$9:$B$66,0),MATCH($E$1,'WP Cost HW W1'!$B$7:$GE$7,0))</f>
        <v>1801</v>
      </c>
      <c r="L37" s="321">
        <f t="shared" si="4"/>
        <v>2.945216680294358</v>
      </c>
      <c r="M37" s="318">
        <f t="shared" si="5"/>
        <v>83933.476491905167</v>
      </c>
    </row>
    <row r="38" spans="1:13" x14ac:dyDescent="0.4">
      <c r="A38" s="311" t="s">
        <v>1072</v>
      </c>
      <c r="B38" s="312">
        <v>24838</v>
      </c>
      <c r="C38" s="309">
        <f t="shared" si="0"/>
        <v>1968</v>
      </c>
      <c r="D38" s="313">
        <v>8800</v>
      </c>
      <c r="E38" s="317">
        <f t="shared" si="1"/>
        <v>55</v>
      </c>
      <c r="F38" s="318">
        <f>VLOOKUP(I38,'WP Cost HW and Useful Life'!$A$3:$B$15,2,FALSE)</f>
        <v>25</v>
      </c>
      <c r="G38" s="318">
        <f t="shared" si="2"/>
        <v>8800</v>
      </c>
      <c r="H38" s="318">
        <f t="shared" ref="H38:H67" si="6">IFERROR(D38-G38,"NA")</f>
        <v>0</v>
      </c>
      <c r="I38" s="309" t="s">
        <v>28</v>
      </c>
      <c r="J38" s="321">
        <f>INDEX('WP Cost HW W1'!$B$9:$GE$66,MATCH(I38,'WP Cost HW W1'!$B$9:$B$66,0),MATCH(C38,'WP Cost HW W1'!$B$7:$GE$7,0))</f>
        <v>69</v>
      </c>
      <c r="K38" s="321">
        <f>INDEX('WP Cost HW W1'!$B$9:$GE$66,MATCH(I38,'WP Cost HW W1'!$B$9:$B$66,0),MATCH($E$1,'WP Cost HW W1'!$B$7:$GE$7,0))</f>
        <v>1122</v>
      </c>
      <c r="L38" s="321">
        <f t="shared" ref="L38:L67" si="7">K38/J38</f>
        <v>16.260869565217391</v>
      </c>
      <c r="M38" s="318">
        <f t="shared" ref="M38:M67" si="8">IFERROR(H38*L38,"NA")</f>
        <v>0</v>
      </c>
    </row>
    <row r="39" spans="1:13" x14ac:dyDescent="0.4">
      <c r="A39" s="311" t="s">
        <v>1072</v>
      </c>
      <c r="B39" s="312">
        <v>24838</v>
      </c>
      <c r="C39" s="309">
        <f t="shared" si="0"/>
        <v>1968</v>
      </c>
      <c r="D39" s="313">
        <v>3700</v>
      </c>
      <c r="E39" s="317">
        <f t="shared" si="1"/>
        <v>55</v>
      </c>
      <c r="F39" s="318">
        <f>VLOOKUP(I39,'WP Cost HW and Useful Life'!$A$3:$B$15,2,FALSE)</f>
        <v>25</v>
      </c>
      <c r="G39" s="318">
        <f t="shared" si="2"/>
        <v>3700</v>
      </c>
      <c r="H39" s="318">
        <f t="shared" si="6"/>
        <v>0</v>
      </c>
      <c r="I39" s="309" t="s">
        <v>28</v>
      </c>
      <c r="J39" s="321">
        <f>INDEX('WP Cost HW W1'!$B$9:$GE$66,MATCH(I39,'WP Cost HW W1'!$B$9:$B$66,0),MATCH(C39,'WP Cost HW W1'!$B$7:$GE$7,0))</f>
        <v>69</v>
      </c>
      <c r="K39" s="321">
        <f>INDEX('WP Cost HW W1'!$B$9:$GE$66,MATCH(I39,'WP Cost HW W1'!$B$9:$B$66,0),MATCH($E$1,'WP Cost HW W1'!$B$7:$GE$7,0))</f>
        <v>1122</v>
      </c>
      <c r="L39" s="321">
        <f t="shared" si="7"/>
        <v>16.260869565217391</v>
      </c>
      <c r="M39" s="318">
        <f t="shared" si="8"/>
        <v>0</v>
      </c>
    </row>
    <row r="40" spans="1:13" x14ac:dyDescent="0.4">
      <c r="A40" s="311" t="s">
        <v>1066</v>
      </c>
      <c r="B40" s="312">
        <v>38454</v>
      </c>
      <c r="C40" s="309">
        <f t="shared" si="0"/>
        <v>2005</v>
      </c>
      <c r="D40" s="313">
        <v>1910.22</v>
      </c>
      <c r="E40" s="317">
        <f t="shared" si="1"/>
        <v>18</v>
      </c>
      <c r="F40" s="318">
        <f>VLOOKUP(I40,'WP Cost HW and Useful Life'!$A$3:$B$15,2,FALSE)</f>
        <v>50</v>
      </c>
      <c r="G40" s="318">
        <f t="shared" si="2"/>
        <v>687.67920000000004</v>
      </c>
      <c r="H40" s="318">
        <f t="shared" si="6"/>
        <v>1222.5408</v>
      </c>
      <c r="I40" s="309" t="s">
        <v>45</v>
      </c>
      <c r="J40" s="321">
        <f>INDEX('WP Cost HW W1'!$B$9:$GE$66,MATCH(I40,'WP Cost HW W1'!$B$9:$B$66,0),MATCH(C40,'WP Cost HW W1'!$B$7:$GE$7,0))</f>
        <v>448</v>
      </c>
      <c r="K40" s="321">
        <f>INDEX('WP Cost HW W1'!$B$9:$GE$66,MATCH(I40,'WP Cost HW W1'!$B$9:$B$66,0),MATCH($E$1,'WP Cost HW W1'!$B$7:$GE$7,0))</f>
        <v>912</v>
      </c>
      <c r="L40" s="321">
        <f t="shared" si="7"/>
        <v>2.0357142857142856</v>
      </c>
      <c r="M40" s="318">
        <f t="shared" si="8"/>
        <v>2488.7437714285711</v>
      </c>
    </row>
    <row r="41" spans="1:13" x14ac:dyDescent="0.4">
      <c r="A41" s="311" t="s">
        <v>1066</v>
      </c>
      <c r="B41" s="312">
        <v>38564</v>
      </c>
      <c r="C41" s="309">
        <f t="shared" si="0"/>
        <v>2005</v>
      </c>
      <c r="D41" s="313">
        <v>31136.19</v>
      </c>
      <c r="E41" s="317">
        <f t="shared" si="1"/>
        <v>18</v>
      </c>
      <c r="F41" s="318">
        <f>VLOOKUP(I41,'WP Cost HW and Useful Life'!$A$3:$B$15,2,FALSE)</f>
        <v>50</v>
      </c>
      <c r="G41" s="318">
        <f t="shared" si="2"/>
        <v>11209.028399999999</v>
      </c>
      <c r="H41" s="318">
        <f t="shared" si="6"/>
        <v>19927.161599999999</v>
      </c>
      <c r="I41" s="309" t="s">
        <v>45</v>
      </c>
      <c r="J41" s="321">
        <f>INDEX('WP Cost HW W1'!$B$9:$GE$66,MATCH(I41,'WP Cost HW W1'!$B$9:$B$66,0),MATCH(C41,'WP Cost HW W1'!$B$7:$GE$7,0))</f>
        <v>448</v>
      </c>
      <c r="K41" s="321">
        <f>INDEX('WP Cost HW W1'!$B$9:$GE$66,MATCH(I41,'WP Cost HW W1'!$B$9:$B$66,0),MATCH($E$1,'WP Cost HW W1'!$B$7:$GE$7,0))</f>
        <v>912</v>
      </c>
      <c r="L41" s="321">
        <f t="shared" si="7"/>
        <v>2.0357142857142856</v>
      </c>
      <c r="M41" s="318">
        <f t="shared" si="8"/>
        <v>40566.007542857136</v>
      </c>
    </row>
    <row r="42" spans="1:13" x14ac:dyDescent="0.4">
      <c r="A42" s="311" t="s">
        <v>1066</v>
      </c>
      <c r="B42" s="312">
        <v>38595</v>
      </c>
      <c r="C42" s="309">
        <f t="shared" si="0"/>
        <v>2005</v>
      </c>
      <c r="D42" s="313">
        <v>17232.43</v>
      </c>
      <c r="E42" s="317">
        <f t="shared" si="1"/>
        <v>18</v>
      </c>
      <c r="F42" s="318">
        <f>VLOOKUP(I42,'WP Cost HW and Useful Life'!$A$3:$B$15,2,FALSE)</f>
        <v>50</v>
      </c>
      <c r="G42" s="318">
        <f t="shared" si="2"/>
        <v>6203.6747999999998</v>
      </c>
      <c r="H42" s="318">
        <f t="shared" si="6"/>
        <v>11028.7552</v>
      </c>
      <c r="I42" s="309" t="s">
        <v>45</v>
      </c>
      <c r="J42" s="321">
        <f>INDEX('WP Cost HW W1'!$B$9:$GE$66,MATCH(I42,'WP Cost HW W1'!$B$9:$B$66,0),MATCH(C42,'WP Cost HW W1'!$B$7:$GE$7,0))</f>
        <v>448</v>
      </c>
      <c r="K42" s="321">
        <f>INDEX('WP Cost HW W1'!$B$9:$GE$66,MATCH(I42,'WP Cost HW W1'!$B$9:$B$66,0),MATCH($E$1,'WP Cost HW W1'!$B$7:$GE$7,0))</f>
        <v>912</v>
      </c>
      <c r="L42" s="321">
        <f t="shared" si="7"/>
        <v>2.0357142857142856</v>
      </c>
      <c r="M42" s="318">
        <f t="shared" si="8"/>
        <v>22451.394514285712</v>
      </c>
    </row>
    <row r="43" spans="1:13" x14ac:dyDescent="0.4">
      <c r="A43" s="311" t="s">
        <v>1066</v>
      </c>
      <c r="B43" s="312">
        <v>38625</v>
      </c>
      <c r="C43" s="309">
        <f t="shared" si="0"/>
        <v>2005</v>
      </c>
      <c r="D43" s="313">
        <v>1414.68</v>
      </c>
      <c r="E43" s="317">
        <f t="shared" si="1"/>
        <v>18</v>
      </c>
      <c r="F43" s="318">
        <f>VLOOKUP(I43,'WP Cost HW and Useful Life'!$A$3:$B$15,2,FALSE)</f>
        <v>50</v>
      </c>
      <c r="G43" s="318">
        <f t="shared" si="2"/>
        <v>509.28480000000002</v>
      </c>
      <c r="H43" s="318">
        <f t="shared" si="6"/>
        <v>905.39520000000005</v>
      </c>
      <c r="I43" s="309" t="s">
        <v>45</v>
      </c>
      <c r="J43" s="321">
        <f>INDEX('WP Cost HW W1'!$B$9:$GE$66,MATCH(I43,'WP Cost HW W1'!$B$9:$B$66,0),MATCH(C43,'WP Cost HW W1'!$B$7:$GE$7,0))</f>
        <v>448</v>
      </c>
      <c r="K43" s="321">
        <f>INDEX('WP Cost HW W1'!$B$9:$GE$66,MATCH(I43,'WP Cost HW W1'!$B$9:$B$66,0),MATCH($E$1,'WP Cost HW W1'!$B$7:$GE$7,0))</f>
        <v>912</v>
      </c>
      <c r="L43" s="321">
        <f t="shared" si="7"/>
        <v>2.0357142857142856</v>
      </c>
      <c r="M43" s="318">
        <f t="shared" si="8"/>
        <v>1843.1259428571429</v>
      </c>
    </row>
    <row r="44" spans="1:13" x14ac:dyDescent="0.4">
      <c r="A44" s="311" t="s">
        <v>1066</v>
      </c>
      <c r="B44" s="312">
        <v>38656</v>
      </c>
      <c r="C44" s="309">
        <f t="shared" si="0"/>
        <v>2005</v>
      </c>
      <c r="D44" s="313">
        <v>2938</v>
      </c>
      <c r="E44" s="317">
        <f t="shared" si="1"/>
        <v>18</v>
      </c>
      <c r="F44" s="318">
        <f>VLOOKUP(I44,'WP Cost HW and Useful Life'!$A$3:$B$15,2,FALSE)</f>
        <v>50</v>
      </c>
      <c r="G44" s="318">
        <f t="shared" si="2"/>
        <v>1057.68</v>
      </c>
      <c r="H44" s="318">
        <f t="shared" si="6"/>
        <v>1880.32</v>
      </c>
      <c r="I44" s="309" t="s">
        <v>45</v>
      </c>
      <c r="J44" s="321">
        <f>INDEX('WP Cost HW W1'!$B$9:$GE$66,MATCH(I44,'WP Cost HW W1'!$B$9:$B$66,0),MATCH(C44,'WP Cost HW W1'!$B$7:$GE$7,0))</f>
        <v>448</v>
      </c>
      <c r="K44" s="321">
        <f>INDEX('WP Cost HW W1'!$B$9:$GE$66,MATCH(I44,'WP Cost HW W1'!$B$9:$B$66,0),MATCH($E$1,'WP Cost HW W1'!$B$7:$GE$7,0))</f>
        <v>912</v>
      </c>
      <c r="L44" s="321">
        <f t="shared" si="7"/>
        <v>2.0357142857142856</v>
      </c>
      <c r="M44" s="318">
        <f t="shared" si="8"/>
        <v>3827.7942857142853</v>
      </c>
    </row>
    <row r="45" spans="1:13" x14ac:dyDescent="0.4">
      <c r="A45" s="311" t="s">
        <v>1066</v>
      </c>
      <c r="B45" s="312">
        <v>38717</v>
      </c>
      <c r="C45" s="309">
        <f t="shared" si="0"/>
        <v>2005</v>
      </c>
      <c r="D45" s="313">
        <v>5450.03</v>
      </c>
      <c r="E45" s="317">
        <f t="shared" si="1"/>
        <v>18</v>
      </c>
      <c r="F45" s="318">
        <f>VLOOKUP(I45,'WP Cost HW and Useful Life'!$A$3:$B$15,2,FALSE)</f>
        <v>50</v>
      </c>
      <c r="G45" s="318">
        <f t="shared" si="2"/>
        <v>1962.0107999999998</v>
      </c>
      <c r="H45" s="318">
        <f t="shared" si="6"/>
        <v>3488.0191999999997</v>
      </c>
      <c r="I45" s="309" t="s">
        <v>45</v>
      </c>
      <c r="J45" s="321">
        <f>INDEX('WP Cost HW W1'!$B$9:$GE$66,MATCH(I45,'WP Cost HW W1'!$B$9:$B$66,0),MATCH(C45,'WP Cost HW W1'!$B$7:$GE$7,0))</f>
        <v>448</v>
      </c>
      <c r="K45" s="321">
        <f>INDEX('WP Cost HW W1'!$B$9:$GE$66,MATCH(I45,'WP Cost HW W1'!$B$9:$B$66,0),MATCH($E$1,'WP Cost HW W1'!$B$7:$GE$7,0))</f>
        <v>912</v>
      </c>
      <c r="L45" s="321">
        <f t="shared" si="7"/>
        <v>2.0357142857142856</v>
      </c>
      <c r="M45" s="318">
        <f t="shared" si="8"/>
        <v>7100.6105142857132</v>
      </c>
    </row>
    <row r="46" spans="1:13" x14ac:dyDescent="0.4">
      <c r="A46" s="311" t="s">
        <v>1066</v>
      </c>
      <c r="B46" s="312">
        <v>38416</v>
      </c>
      <c r="C46" s="309">
        <f t="shared" si="0"/>
        <v>2005</v>
      </c>
      <c r="D46" s="313">
        <v>48645.89</v>
      </c>
      <c r="E46" s="317">
        <f t="shared" si="1"/>
        <v>18</v>
      </c>
      <c r="F46" s="318">
        <f>VLOOKUP(I46,'WP Cost HW and Useful Life'!$A$3:$B$15,2,FALSE)</f>
        <v>50</v>
      </c>
      <c r="G46" s="318">
        <f t="shared" si="2"/>
        <v>17512.520399999998</v>
      </c>
      <c r="H46" s="318">
        <f t="shared" si="6"/>
        <v>31133.369600000002</v>
      </c>
      <c r="I46" s="309" t="s">
        <v>45</v>
      </c>
      <c r="J46" s="321">
        <f>INDEX('WP Cost HW W1'!$B$9:$GE$66,MATCH(I46,'WP Cost HW W1'!$B$9:$B$66,0),MATCH(C46,'WP Cost HW W1'!$B$7:$GE$7,0))</f>
        <v>448</v>
      </c>
      <c r="K46" s="321">
        <f>INDEX('WP Cost HW W1'!$B$9:$GE$66,MATCH(I46,'WP Cost HW W1'!$B$9:$B$66,0),MATCH($E$1,'WP Cost HW W1'!$B$7:$GE$7,0))</f>
        <v>912</v>
      </c>
      <c r="L46" s="321">
        <f t="shared" si="7"/>
        <v>2.0357142857142856</v>
      </c>
      <c r="M46" s="318">
        <f t="shared" si="8"/>
        <v>63378.64525714286</v>
      </c>
    </row>
    <row r="47" spans="1:13" x14ac:dyDescent="0.4">
      <c r="A47" s="311" t="s">
        <v>1066</v>
      </c>
      <c r="B47" s="312">
        <v>38441</v>
      </c>
      <c r="C47" s="309">
        <f t="shared" si="0"/>
        <v>2005</v>
      </c>
      <c r="D47" s="313">
        <v>42009.33</v>
      </c>
      <c r="E47" s="317">
        <f t="shared" si="1"/>
        <v>18</v>
      </c>
      <c r="F47" s="318">
        <f>VLOOKUP(I47,'WP Cost HW and Useful Life'!$A$3:$B$15,2,FALSE)</f>
        <v>50</v>
      </c>
      <c r="G47" s="318">
        <f t="shared" si="2"/>
        <v>15123.3588</v>
      </c>
      <c r="H47" s="318">
        <f t="shared" si="6"/>
        <v>26885.9712</v>
      </c>
      <c r="I47" s="309" t="s">
        <v>45</v>
      </c>
      <c r="J47" s="321">
        <f>INDEX('WP Cost HW W1'!$B$9:$GE$66,MATCH(I47,'WP Cost HW W1'!$B$9:$B$66,0),MATCH(C47,'WP Cost HW W1'!$B$7:$GE$7,0))</f>
        <v>448</v>
      </c>
      <c r="K47" s="321">
        <f>INDEX('WP Cost HW W1'!$B$9:$GE$66,MATCH(I47,'WP Cost HW W1'!$B$9:$B$66,0),MATCH($E$1,'WP Cost HW W1'!$B$7:$GE$7,0))</f>
        <v>912</v>
      </c>
      <c r="L47" s="321">
        <f t="shared" si="7"/>
        <v>2.0357142857142856</v>
      </c>
      <c r="M47" s="318">
        <f t="shared" si="8"/>
        <v>54732.155657142852</v>
      </c>
    </row>
    <row r="48" spans="1:13" x14ac:dyDescent="0.4">
      <c r="A48" s="311" t="s">
        <v>1066</v>
      </c>
      <c r="B48" s="312">
        <v>38454</v>
      </c>
      <c r="C48" s="309">
        <f t="shared" si="0"/>
        <v>2005</v>
      </c>
      <c r="D48" s="313">
        <v>30343.19</v>
      </c>
      <c r="E48" s="317">
        <f t="shared" si="1"/>
        <v>18</v>
      </c>
      <c r="F48" s="318">
        <f>VLOOKUP(I48,'WP Cost HW and Useful Life'!$A$3:$B$15,2,FALSE)</f>
        <v>50</v>
      </c>
      <c r="G48" s="318">
        <f t="shared" si="2"/>
        <v>10923.5484</v>
      </c>
      <c r="H48" s="318">
        <f t="shared" si="6"/>
        <v>19419.641599999999</v>
      </c>
      <c r="I48" s="309" t="s">
        <v>45</v>
      </c>
      <c r="J48" s="321">
        <f>INDEX('WP Cost HW W1'!$B$9:$GE$66,MATCH(I48,'WP Cost HW W1'!$B$9:$B$66,0),MATCH(C48,'WP Cost HW W1'!$B$7:$GE$7,0))</f>
        <v>448</v>
      </c>
      <c r="K48" s="321">
        <f>INDEX('WP Cost HW W1'!$B$9:$GE$66,MATCH(I48,'WP Cost HW W1'!$B$9:$B$66,0),MATCH($E$1,'WP Cost HW W1'!$B$7:$GE$7,0))</f>
        <v>912</v>
      </c>
      <c r="L48" s="321">
        <f t="shared" si="7"/>
        <v>2.0357142857142856</v>
      </c>
      <c r="M48" s="318">
        <f t="shared" si="8"/>
        <v>39532.841828571422</v>
      </c>
    </row>
    <row r="49" spans="1:13" x14ac:dyDescent="0.4">
      <c r="A49" s="311" t="s">
        <v>1112</v>
      </c>
      <c r="B49" s="312">
        <v>38325</v>
      </c>
      <c r="C49" s="309">
        <f t="shared" si="0"/>
        <v>2004</v>
      </c>
      <c r="D49" s="313">
        <v>218935.91</v>
      </c>
      <c r="E49" s="317">
        <f t="shared" si="1"/>
        <v>19</v>
      </c>
      <c r="F49" s="318">
        <f>VLOOKUP(I49,'WP Cost HW and Useful Life'!$A$3:$B$15,2,FALSE)</f>
        <v>50</v>
      </c>
      <c r="G49" s="318">
        <f t="shared" si="2"/>
        <v>83195.645799999998</v>
      </c>
      <c r="H49" s="318">
        <f t="shared" si="6"/>
        <v>135740.26420000001</v>
      </c>
      <c r="I49" s="309" t="s">
        <v>45</v>
      </c>
      <c r="J49" s="321">
        <f>INDEX('WP Cost HW W1'!$B$9:$GE$66,MATCH(I49,'WP Cost HW W1'!$B$9:$B$66,0),MATCH(C49,'WP Cost HW W1'!$B$7:$GE$7,0))</f>
        <v>420.75</v>
      </c>
      <c r="K49" s="321">
        <f>INDEX('WP Cost HW W1'!$B$9:$GE$66,MATCH(I49,'WP Cost HW W1'!$B$9:$B$66,0),MATCH($E$1,'WP Cost HW W1'!$B$7:$GE$7,0))</f>
        <v>912</v>
      </c>
      <c r="L49" s="321">
        <f t="shared" si="7"/>
        <v>2.1675579322638145</v>
      </c>
      <c r="M49" s="318">
        <f t="shared" si="8"/>
        <v>294224.8863942959</v>
      </c>
    </row>
    <row r="50" spans="1:13" x14ac:dyDescent="0.4">
      <c r="A50" s="311" t="s">
        <v>1114</v>
      </c>
      <c r="B50" s="312">
        <v>38366</v>
      </c>
      <c r="C50" s="309">
        <f t="shared" si="0"/>
        <v>2005</v>
      </c>
      <c r="D50" s="313">
        <v>6838.7</v>
      </c>
      <c r="E50" s="317">
        <f t="shared" si="1"/>
        <v>18</v>
      </c>
      <c r="F50" s="318">
        <f>VLOOKUP(I50,'WP Cost HW and Useful Life'!$A$3:$B$15,2,FALSE)</f>
        <v>50</v>
      </c>
      <c r="G50" s="318">
        <f t="shared" si="2"/>
        <v>2461.9319999999998</v>
      </c>
      <c r="H50" s="318">
        <f t="shared" si="6"/>
        <v>4376.768</v>
      </c>
      <c r="I50" s="309" t="s">
        <v>45</v>
      </c>
      <c r="J50" s="321">
        <f>INDEX('WP Cost HW W1'!$B$9:$GE$66,MATCH(I50,'WP Cost HW W1'!$B$9:$B$66,0),MATCH(C50,'WP Cost HW W1'!$B$7:$GE$7,0))</f>
        <v>448</v>
      </c>
      <c r="K50" s="321">
        <f>INDEX('WP Cost HW W1'!$B$9:$GE$66,MATCH(I50,'WP Cost HW W1'!$B$9:$B$66,0),MATCH($E$1,'WP Cost HW W1'!$B$7:$GE$7,0))</f>
        <v>912</v>
      </c>
      <c r="L50" s="321">
        <f t="shared" si="7"/>
        <v>2.0357142857142856</v>
      </c>
      <c r="M50" s="318">
        <f t="shared" si="8"/>
        <v>8909.8491428571415</v>
      </c>
    </row>
    <row r="51" spans="1:13" x14ac:dyDescent="0.4">
      <c r="A51" s="311" t="s">
        <v>1114</v>
      </c>
      <c r="B51" s="312">
        <v>38314</v>
      </c>
      <c r="C51" s="309">
        <f t="shared" si="0"/>
        <v>2004</v>
      </c>
      <c r="D51" s="313">
        <v>18469.259999999998</v>
      </c>
      <c r="E51" s="317">
        <f t="shared" si="1"/>
        <v>19</v>
      </c>
      <c r="F51" s="318">
        <f>VLOOKUP(I51,'WP Cost HW and Useful Life'!$A$3:$B$15,2,FALSE)</f>
        <v>50</v>
      </c>
      <c r="G51" s="318">
        <f t="shared" si="2"/>
        <v>7018.3187999999991</v>
      </c>
      <c r="H51" s="318">
        <f t="shared" si="6"/>
        <v>11450.941199999999</v>
      </c>
      <c r="I51" s="309" t="s">
        <v>45</v>
      </c>
      <c r="J51" s="321">
        <f>INDEX('WP Cost HW W1'!$B$9:$GE$66,MATCH(I51,'WP Cost HW W1'!$B$9:$B$66,0),MATCH(C51,'WP Cost HW W1'!$B$7:$GE$7,0))</f>
        <v>420.75</v>
      </c>
      <c r="K51" s="321">
        <f>INDEX('WP Cost HW W1'!$B$9:$GE$66,MATCH(I51,'WP Cost HW W1'!$B$9:$B$66,0),MATCH($E$1,'WP Cost HW W1'!$B$7:$GE$7,0))</f>
        <v>912</v>
      </c>
      <c r="L51" s="321">
        <f t="shared" si="7"/>
        <v>2.1675579322638145</v>
      </c>
      <c r="M51" s="318">
        <f t="shared" si="8"/>
        <v>24820.578429946523</v>
      </c>
    </row>
    <row r="52" spans="1:13" x14ac:dyDescent="0.4">
      <c r="A52" s="311" t="s">
        <v>1114</v>
      </c>
      <c r="B52" s="312">
        <v>38314</v>
      </c>
      <c r="C52" s="309">
        <f t="shared" si="0"/>
        <v>2004</v>
      </c>
      <c r="D52" s="313">
        <v>68179.08</v>
      </c>
      <c r="E52" s="317">
        <f t="shared" si="1"/>
        <v>19</v>
      </c>
      <c r="F52" s="318">
        <f>VLOOKUP(I52,'WP Cost HW and Useful Life'!$A$3:$B$15,2,FALSE)</f>
        <v>50</v>
      </c>
      <c r="G52" s="318">
        <f t="shared" si="2"/>
        <v>25908.0504</v>
      </c>
      <c r="H52" s="318">
        <f t="shared" si="6"/>
        <v>42271.029600000002</v>
      </c>
      <c r="I52" s="309" t="s">
        <v>45</v>
      </c>
      <c r="J52" s="321">
        <f>INDEX('WP Cost HW W1'!$B$9:$GE$66,MATCH(I52,'WP Cost HW W1'!$B$9:$B$66,0),MATCH(C52,'WP Cost HW W1'!$B$7:$GE$7,0))</f>
        <v>420.75</v>
      </c>
      <c r="K52" s="321">
        <f>INDEX('WP Cost HW W1'!$B$9:$GE$66,MATCH(I52,'WP Cost HW W1'!$B$9:$B$66,0),MATCH($E$1,'WP Cost HW W1'!$B$7:$GE$7,0))</f>
        <v>912</v>
      </c>
      <c r="L52" s="321">
        <f t="shared" si="7"/>
        <v>2.1675579322638145</v>
      </c>
      <c r="M52" s="318">
        <f t="shared" si="8"/>
        <v>91624.905514438506</v>
      </c>
    </row>
    <row r="53" spans="1:13" x14ac:dyDescent="0.4">
      <c r="A53" s="311" t="s">
        <v>1062</v>
      </c>
      <c r="B53" s="312">
        <v>42552</v>
      </c>
      <c r="C53" s="309">
        <f t="shared" si="0"/>
        <v>2016</v>
      </c>
      <c r="D53" s="313">
        <v>7401</v>
      </c>
      <c r="E53" s="317">
        <f t="shared" si="1"/>
        <v>7</v>
      </c>
      <c r="F53" s="318">
        <f>VLOOKUP(I53,'WP Cost HW and Useful Life'!$A$3:$B$15,2,FALSE)</f>
        <v>25</v>
      </c>
      <c r="G53" s="318">
        <f t="shared" si="2"/>
        <v>2072.2800000000002</v>
      </c>
      <c r="H53" s="318">
        <f t="shared" si="6"/>
        <v>5328.7199999999993</v>
      </c>
      <c r="I53" s="309" t="s">
        <v>701</v>
      </c>
      <c r="J53" s="321">
        <f>INDEX('WP Cost HW W1'!$B$9:$GE$66,MATCH(I53,'WP Cost HW W1'!$B$9:$B$66,0),MATCH(C53,'WP Cost HW W1'!$B$7:$GE$7,0))</f>
        <v>139.97499999999999</v>
      </c>
      <c r="K53" s="321">
        <f>INDEX('WP Cost HW W1'!$B$9:$GE$66,MATCH(I53,'WP Cost HW W1'!$B$9:$B$66,0),MATCH($E$1,'WP Cost HW W1'!$B$7:$GE$7,0))</f>
        <v>201.67675</v>
      </c>
      <c r="L53" s="321">
        <f t="shared" si="7"/>
        <v>1.4408055009823184</v>
      </c>
      <c r="M53" s="318">
        <f t="shared" si="8"/>
        <v>7677.6490891944986</v>
      </c>
    </row>
    <row r="54" spans="1:13" x14ac:dyDescent="0.4">
      <c r="A54" s="314" t="s">
        <v>1061</v>
      </c>
      <c r="B54" s="312">
        <v>38707</v>
      </c>
      <c r="C54" s="309">
        <f t="shared" si="0"/>
        <v>2005</v>
      </c>
      <c r="D54" s="313">
        <v>7387</v>
      </c>
      <c r="E54" s="317">
        <f t="shared" si="1"/>
        <v>18</v>
      </c>
      <c r="F54" s="318">
        <f>VLOOKUP(I54,'WP Cost HW and Useful Life'!$A$3:$B$15,2,FALSE)</f>
        <v>25</v>
      </c>
      <c r="G54" s="318">
        <f t="shared" si="2"/>
        <v>5318.64</v>
      </c>
      <c r="H54" s="318">
        <f t="shared" si="6"/>
        <v>2068.3599999999997</v>
      </c>
      <c r="I54" s="309" t="s">
        <v>701</v>
      </c>
      <c r="J54" s="321">
        <f>INDEX('WP Cost HW W1'!$B$9:$GE$66,MATCH(I54,'WP Cost HW W1'!$B$9:$B$66,0),MATCH(C54,'WP Cost HW W1'!$B$7:$GE$7,0))</f>
        <v>107.21666666666665</v>
      </c>
      <c r="K54" s="321">
        <f>INDEX('WP Cost HW W1'!$B$9:$GE$66,MATCH(I54,'WP Cost HW W1'!$B$9:$B$66,0),MATCH($E$1,'WP Cost HW W1'!$B$7:$GE$7,0))</f>
        <v>201.67675</v>
      </c>
      <c r="L54" s="321">
        <f t="shared" si="7"/>
        <v>1.8810205191978862</v>
      </c>
      <c r="M54" s="318">
        <f>IFERROR(H54*L54,"NA")</f>
        <v>3890.6276010881393</v>
      </c>
    </row>
    <row r="55" spans="1:13" x14ac:dyDescent="0.4">
      <c r="A55" s="311" t="s">
        <v>1069</v>
      </c>
      <c r="B55" s="312">
        <v>32874</v>
      </c>
      <c r="C55" s="309">
        <f t="shared" si="0"/>
        <v>1990</v>
      </c>
      <c r="D55" s="313">
        <v>650</v>
      </c>
      <c r="E55" s="317">
        <f t="shared" si="1"/>
        <v>33</v>
      </c>
      <c r="F55" s="318">
        <f>VLOOKUP(I55,'WP Cost HW and Useful Life'!$A$3:$B$15,2,FALSE)</f>
        <v>25</v>
      </c>
      <c r="G55" s="318">
        <f t="shared" si="2"/>
        <v>650</v>
      </c>
      <c r="H55" s="318">
        <f t="shared" si="6"/>
        <v>0</v>
      </c>
      <c r="I55" s="309" t="s">
        <v>28</v>
      </c>
      <c r="J55" s="321">
        <f>INDEX('WP Cost HW W1'!$B$9:$GE$66,MATCH(I55,'WP Cost HW W1'!$B$9:$B$66,0),MATCH(C55,'WP Cost HW W1'!$B$7:$GE$7,0))</f>
        <v>312.5</v>
      </c>
      <c r="K55" s="321">
        <f>INDEX('WP Cost HW W1'!$B$9:$GE$66,MATCH(I55,'WP Cost HW W1'!$B$9:$B$66,0),MATCH($E$1,'WP Cost HW W1'!$B$7:$GE$7,0))</f>
        <v>1122</v>
      </c>
      <c r="L55" s="321">
        <f t="shared" si="7"/>
        <v>3.5903999999999998</v>
      </c>
      <c r="M55" s="318">
        <f t="shared" si="8"/>
        <v>0</v>
      </c>
    </row>
    <row r="56" spans="1:13" x14ac:dyDescent="0.4">
      <c r="A56" s="311" t="s">
        <v>1075</v>
      </c>
      <c r="B56" s="312">
        <v>24838</v>
      </c>
      <c r="C56" s="309">
        <f t="shared" si="0"/>
        <v>1968</v>
      </c>
      <c r="D56" s="313">
        <v>52000</v>
      </c>
      <c r="E56" s="317">
        <f t="shared" si="1"/>
        <v>55</v>
      </c>
      <c r="F56" s="318">
        <f>VLOOKUP(I56,'WP Cost HW and Useful Life'!$A$3:$B$15,2,FALSE)</f>
        <v>25</v>
      </c>
      <c r="G56" s="318">
        <f t="shared" si="2"/>
        <v>52000</v>
      </c>
      <c r="H56" s="318">
        <f t="shared" si="6"/>
        <v>0</v>
      </c>
      <c r="I56" s="309" t="s">
        <v>28</v>
      </c>
      <c r="J56" s="321">
        <f>INDEX('WP Cost HW W1'!$B$9:$GE$66,MATCH(I56,'WP Cost HW W1'!$B$9:$B$66,0),MATCH(C56,'WP Cost HW W1'!$B$7:$GE$7,0))</f>
        <v>69</v>
      </c>
      <c r="K56" s="321">
        <f>INDEX('WP Cost HW W1'!$B$9:$GE$66,MATCH(I56,'WP Cost HW W1'!$B$9:$B$66,0),MATCH($E$1,'WP Cost HW W1'!$B$7:$GE$7,0))</f>
        <v>1122</v>
      </c>
      <c r="L56" s="321">
        <f t="shared" si="7"/>
        <v>16.260869565217391</v>
      </c>
      <c r="M56" s="318">
        <f t="shared" si="8"/>
        <v>0</v>
      </c>
    </row>
    <row r="57" spans="1:13" x14ac:dyDescent="0.4">
      <c r="A57" s="311" t="s">
        <v>1075</v>
      </c>
      <c r="B57" s="312">
        <v>24838</v>
      </c>
      <c r="C57" s="309">
        <f t="shared" si="0"/>
        <v>1968</v>
      </c>
      <c r="D57" s="313">
        <v>10900</v>
      </c>
      <c r="E57" s="317">
        <f t="shared" si="1"/>
        <v>55</v>
      </c>
      <c r="F57" s="318">
        <f>VLOOKUP(I57,'WP Cost HW and Useful Life'!$A$3:$B$15,2,FALSE)</f>
        <v>25</v>
      </c>
      <c r="G57" s="318">
        <f t="shared" si="2"/>
        <v>10900</v>
      </c>
      <c r="H57" s="318">
        <f t="shared" si="6"/>
        <v>0</v>
      </c>
      <c r="I57" s="309" t="s">
        <v>28</v>
      </c>
      <c r="J57" s="321">
        <f>INDEX('WP Cost HW W1'!$B$9:$GE$66,MATCH(I57,'WP Cost HW W1'!$B$9:$B$66,0),MATCH(C57,'WP Cost HW W1'!$B$7:$GE$7,0))</f>
        <v>69</v>
      </c>
      <c r="K57" s="321">
        <f>INDEX('WP Cost HW W1'!$B$9:$GE$66,MATCH(I57,'WP Cost HW W1'!$B$9:$B$66,0),MATCH($E$1,'WP Cost HW W1'!$B$7:$GE$7,0))</f>
        <v>1122</v>
      </c>
      <c r="L57" s="321">
        <f t="shared" si="7"/>
        <v>16.260869565217391</v>
      </c>
      <c r="M57" s="318">
        <f t="shared" si="8"/>
        <v>0</v>
      </c>
    </row>
    <row r="58" spans="1:13" x14ac:dyDescent="0.4">
      <c r="A58" s="311" t="s">
        <v>1090</v>
      </c>
      <c r="B58" s="312">
        <v>18264</v>
      </c>
      <c r="C58" s="309">
        <f t="shared" si="0"/>
        <v>1950</v>
      </c>
      <c r="D58" s="313">
        <v>49930.02</v>
      </c>
      <c r="E58" s="317">
        <f t="shared" si="1"/>
        <v>73</v>
      </c>
      <c r="F58" s="318">
        <f>VLOOKUP(I58,'WP Cost HW and Useful Life'!$A$3:$B$15,2,FALSE)</f>
        <v>75</v>
      </c>
      <c r="G58" s="318">
        <f t="shared" si="2"/>
        <v>48598.55279999999</v>
      </c>
      <c r="H58" s="318">
        <f t="shared" si="6"/>
        <v>1331.4672000000064</v>
      </c>
      <c r="I58" s="309" t="s">
        <v>29</v>
      </c>
      <c r="J58" s="321">
        <f>INDEX('WP Cost HW W1'!$B$9:$GE$66,MATCH(I58,'WP Cost HW W1'!$B$9:$B$66,0),MATCH(C58,'WP Cost HW W1'!$B$7:$GE$7,0))</f>
        <v>43</v>
      </c>
      <c r="K58" s="321">
        <f>INDEX('WP Cost HW W1'!$B$9:$GE$66,MATCH(I58,'WP Cost HW W1'!$B$9:$B$66,0),MATCH($E$1,'WP Cost HW W1'!$B$7:$GE$7,0))</f>
        <v>1080</v>
      </c>
      <c r="L58" s="321">
        <f t="shared" si="7"/>
        <v>25.11627906976744</v>
      </c>
      <c r="M58" s="318">
        <f t="shared" si="8"/>
        <v>33441.501767442016</v>
      </c>
    </row>
    <row r="59" spans="1:13" x14ac:dyDescent="0.4">
      <c r="A59" s="311" t="s">
        <v>1090</v>
      </c>
      <c r="B59" s="312">
        <v>18264</v>
      </c>
      <c r="C59" s="309">
        <f t="shared" si="0"/>
        <v>1950</v>
      </c>
      <c r="D59" s="313">
        <v>82250</v>
      </c>
      <c r="E59" s="317">
        <f t="shared" si="1"/>
        <v>73</v>
      </c>
      <c r="F59" s="318">
        <f>VLOOKUP(I59,'WP Cost HW and Useful Life'!$A$3:$B$15,2,FALSE)</f>
        <v>75</v>
      </c>
      <c r="G59" s="318">
        <f t="shared" si="2"/>
        <v>80056.666666666672</v>
      </c>
      <c r="H59" s="318">
        <f t="shared" si="6"/>
        <v>2193.3333333333285</v>
      </c>
      <c r="I59" s="309" t="s">
        <v>29</v>
      </c>
      <c r="J59" s="321">
        <f>INDEX('WP Cost HW W1'!$B$9:$GE$66,MATCH(I59,'WP Cost HW W1'!$B$9:$B$66,0),MATCH(C59,'WP Cost HW W1'!$B$7:$GE$7,0))</f>
        <v>43</v>
      </c>
      <c r="K59" s="321">
        <f>INDEX('WP Cost HW W1'!$B$9:$GE$66,MATCH(I59,'WP Cost HW W1'!$B$9:$B$66,0),MATCH($E$1,'WP Cost HW W1'!$B$7:$GE$7,0))</f>
        <v>1080</v>
      </c>
      <c r="L59" s="321">
        <f t="shared" si="7"/>
        <v>25.11627906976744</v>
      </c>
      <c r="M59" s="318">
        <f t="shared" si="8"/>
        <v>55088.372093023128</v>
      </c>
    </row>
    <row r="60" spans="1:13" x14ac:dyDescent="0.4">
      <c r="A60" s="311" t="s">
        <v>1091</v>
      </c>
      <c r="B60" s="312">
        <v>18264</v>
      </c>
      <c r="C60" s="309">
        <f t="shared" si="0"/>
        <v>1950</v>
      </c>
      <c r="D60" s="313">
        <v>31787.53</v>
      </c>
      <c r="E60" s="317">
        <f t="shared" si="1"/>
        <v>73</v>
      </c>
      <c r="F60" s="318">
        <f>VLOOKUP(I60,'WP Cost HW and Useful Life'!$A$3:$B$15,2,FALSE)</f>
        <v>75</v>
      </c>
      <c r="G60" s="318">
        <f t="shared" si="2"/>
        <v>30939.862533333333</v>
      </c>
      <c r="H60" s="318">
        <f t="shared" si="6"/>
        <v>847.66746666666586</v>
      </c>
      <c r="I60" s="309" t="s">
        <v>29</v>
      </c>
      <c r="J60" s="321">
        <f>INDEX('WP Cost HW W1'!$B$9:$GE$66,MATCH(I60,'WP Cost HW W1'!$B$9:$B$66,0),MATCH(C60,'WP Cost HW W1'!$B$7:$GE$7,0))</f>
        <v>43</v>
      </c>
      <c r="K60" s="321">
        <f>INDEX('WP Cost HW W1'!$B$9:$GE$66,MATCH(I60,'WP Cost HW W1'!$B$9:$B$66,0),MATCH($E$1,'WP Cost HW W1'!$B$7:$GE$7,0))</f>
        <v>1080</v>
      </c>
      <c r="L60" s="321">
        <f t="shared" si="7"/>
        <v>25.11627906976744</v>
      </c>
      <c r="M60" s="318">
        <f t="shared" si="8"/>
        <v>21290.252651162769</v>
      </c>
    </row>
    <row r="61" spans="1:13" x14ac:dyDescent="0.4">
      <c r="A61" s="311" t="s">
        <v>1091</v>
      </c>
      <c r="B61" s="312">
        <v>18264</v>
      </c>
      <c r="C61" s="309">
        <f t="shared" si="0"/>
        <v>1950</v>
      </c>
      <c r="D61" s="313">
        <v>124687.5</v>
      </c>
      <c r="E61" s="317">
        <f t="shared" si="1"/>
        <v>73</v>
      </c>
      <c r="F61" s="318">
        <f>VLOOKUP(I61,'WP Cost HW and Useful Life'!$A$3:$B$15,2,FALSE)</f>
        <v>75</v>
      </c>
      <c r="G61" s="318">
        <f t="shared" si="2"/>
        <v>121362.5</v>
      </c>
      <c r="H61" s="318">
        <f t="shared" si="6"/>
        <v>3325</v>
      </c>
      <c r="I61" s="309" t="s">
        <v>29</v>
      </c>
      <c r="J61" s="321">
        <f>INDEX('WP Cost HW W1'!$B$9:$GE$66,MATCH(I61,'WP Cost HW W1'!$B$9:$B$66,0),MATCH(C61,'WP Cost HW W1'!$B$7:$GE$7,0))</f>
        <v>43</v>
      </c>
      <c r="K61" s="321">
        <f>INDEX('WP Cost HW W1'!$B$9:$GE$66,MATCH(I61,'WP Cost HW W1'!$B$9:$B$66,0),MATCH($E$1,'WP Cost HW W1'!$B$7:$GE$7,0))</f>
        <v>1080</v>
      </c>
      <c r="L61" s="321">
        <f t="shared" si="7"/>
        <v>25.11627906976744</v>
      </c>
      <c r="M61" s="318">
        <f t="shared" si="8"/>
        <v>83511.627906976733</v>
      </c>
    </row>
    <row r="62" spans="1:13" x14ac:dyDescent="0.4">
      <c r="A62" s="311" t="s">
        <v>1092</v>
      </c>
      <c r="B62" s="312">
        <v>18264</v>
      </c>
      <c r="C62" s="309">
        <f t="shared" si="0"/>
        <v>1950</v>
      </c>
      <c r="D62" s="313">
        <v>23275</v>
      </c>
      <c r="E62" s="317">
        <f t="shared" si="1"/>
        <v>73</v>
      </c>
      <c r="F62" s="318">
        <f>VLOOKUP(I62,'WP Cost HW and Useful Life'!$A$3:$B$15,2,FALSE)</f>
        <v>75</v>
      </c>
      <c r="G62" s="318">
        <f t="shared" si="2"/>
        <v>22654.333333333332</v>
      </c>
      <c r="H62" s="318">
        <f t="shared" si="6"/>
        <v>620.66666666666788</v>
      </c>
      <c r="I62" s="309" t="s">
        <v>29</v>
      </c>
      <c r="J62" s="321">
        <f>INDEX('WP Cost HW W1'!$B$9:$GE$66,MATCH(I62,'WP Cost HW W1'!$B$9:$B$66,0),MATCH(C62,'WP Cost HW W1'!$B$7:$GE$7,0))</f>
        <v>43</v>
      </c>
      <c r="K62" s="321">
        <f>INDEX('WP Cost HW W1'!$B$9:$GE$66,MATCH(I62,'WP Cost HW W1'!$B$9:$B$66,0),MATCH($E$1,'WP Cost HW W1'!$B$7:$GE$7,0))</f>
        <v>1080</v>
      </c>
      <c r="L62" s="321">
        <f t="shared" si="7"/>
        <v>25.11627906976744</v>
      </c>
      <c r="M62" s="318">
        <f t="shared" si="8"/>
        <v>15588.837209302355</v>
      </c>
    </row>
    <row r="63" spans="1:13" x14ac:dyDescent="0.4">
      <c r="A63" s="311" t="s">
        <v>1092</v>
      </c>
      <c r="B63" s="312">
        <v>18264</v>
      </c>
      <c r="C63" s="309">
        <f t="shared" si="0"/>
        <v>1950</v>
      </c>
      <c r="D63" s="313">
        <v>42078.75</v>
      </c>
      <c r="E63" s="317">
        <f t="shared" si="1"/>
        <v>73</v>
      </c>
      <c r="F63" s="318">
        <f>VLOOKUP(I63,'WP Cost HW and Useful Life'!$A$3:$B$15,2,FALSE)</f>
        <v>75</v>
      </c>
      <c r="G63" s="318">
        <f t="shared" si="2"/>
        <v>40956.649999999994</v>
      </c>
      <c r="H63" s="318">
        <f t="shared" si="6"/>
        <v>1122.1000000000058</v>
      </c>
      <c r="I63" s="309" t="s">
        <v>29</v>
      </c>
      <c r="J63" s="321">
        <f>INDEX('WP Cost HW W1'!$B$9:$GE$66,MATCH(I63,'WP Cost HW W1'!$B$9:$B$66,0),MATCH(C63,'WP Cost HW W1'!$B$7:$GE$7,0))</f>
        <v>43</v>
      </c>
      <c r="K63" s="321">
        <f>INDEX('WP Cost HW W1'!$B$9:$GE$66,MATCH(I63,'WP Cost HW W1'!$B$9:$B$66,0),MATCH($E$1,'WP Cost HW W1'!$B$7:$GE$7,0))</f>
        <v>1080</v>
      </c>
      <c r="L63" s="321">
        <f t="shared" si="7"/>
        <v>25.11627906976744</v>
      </c>
      <c r="M63" s="318">
        <f t="shared" si="8"/>
        <v>28182.976744186191</v>
      </c>
    </row>
    <row r="64" spans="1:13" x14ac:dyDescent="0.4">
      <c r="A64" s="311" t="s">
        <v>1093</v>
      </c>
      <c r="B64" s="312">
        <v>18264</v>
      </c>
      <c r="C64" s="309">
        <f t="shared" si="0"/>
        <v>1950</v>
      </c>
      <c r="D64" s="313">
        <v>18073.13</v>
      </c>
      <c r="E64" s="317">
        <f t="shared" si="1"/>
        <v>73</v>
      </c>
      <c r="F64" s="318">
        <f>VLOOKUP(I64,'WP Cost HW and Useful Life'!$A$3:$B$15,2,FALSE)</f>
        <v>75</v>
      </c>
      <c r="G64" s="318">
        <f t="shared" si="2"/>
        <v>17591.179866666669</v>
      </c>
      <c r="H64" s="318">
        <f t="shared" si="6"/>
        <v>481.95013333333191</v>
      </c>
      <c r="I64" s="309" t="s">
        <v>29</v>
      </c>
      <c r="J64" s="321">
        <f>INDEX('WP Cost HW W1'!$B$9:$GE$66,MATCH(I64,'WP Cost HW W1'!$B$9:$B$66,0),MATCH(C64,'WP Cost HW W1'!$B$7:$GE$7,0))</f>
        <v>43</v>
      </c>
      <c r="K64" s="321">
        <f>INDEX('WP Cost HW W1'!$B$9:$GE$66,MATCH(I64,'WP Cost HW W1'!$B$9:$B$66,0),MATCH($E$1,'WP Cost HW W1'!$B$7:$GE$7,0))</f>
        <v>1080</v>
      </c>
      <c r="L64" s="321">
        <f t="shared" si="7"/>
        <v>25.11627906976744</v>
      </c>
      <c r="M64" s="318">
        <f t="shared" si="8"/>
        <v>12104.794046511592</v>
      </c>
    </row>
    <row r="65" spans="1:13" x14ac:dyDescent="0.4">
      <c r="A65" s="311" t="s">
        <v>1093</v>
      </c>
      <c r="B65" s="312">
        <v>18264</v>
      </c>
      <c r="C65" s="309">
        <f t="shared" si="0"/>
        <v>1950</v>
      </c>
      <c r="D65" s="313">
        <v>28350</v>
      </c>
      <c r="E65" s="317">
        <f t="shared" si="1"/>
        <v>73</v>
      </c>
      <c r="F65" s="318">
        <f>VLOOKUP(I65,'WP Cost HW and Useful Life'!$A$3:$B$15,2,FALSE)</f>
        <v>75</v>
      </c>
      <c r="G65" s="318">
        <f t="shared" si="2"/>
        <v>27594</v>
      </c>
      <c r="H65" s="318">
        <f t="shared" si="6"/>
        <v>756</v>
      </c>
      <c r="I65" s="309" t="s">
        <v>29</v>
      </c>
      <c r="J65" s="321">
        <f>INDEX('WP Cost HW W1'!$B$9:$GE$66,MATCH(I65,'WP Cost HW W1'!$B$9:$B$66,0),MATCH(C65,'WP Cost HW W1'!$B$7:$GE$7,0))</f>
        <v>43</v>
      </c>
      <c r="K65" s="321">
        <f>INDEX('WP Cost HW W1'!$B$9:$GE$66,MATCH(I65,'WP Cost HW W1'!$B$9:$B$66,0),MATCH($E$1,'WP Cost HW W1'!$B$7:$GE$7,0))</f>
        <v>1080</v>
      </c>
      <c r="L65" s="321">
        <f t="shared" si="7"/>
        <v>25.11627906976744</v>
      </c>
      <c r="M65" s="318">
        <f t="shared" si="8"/>
        <v>18987.906976744183</v>
      </c>
    </row>
    <row r="66" spans="1:13" x14ac:dyDescent="0.4">
      <c r="A66" s="311" t="s">
        <v>1089</v>
      </c>
      <c r="B66" s="312">
        <v>9133</v>
      </c>
      <c r="C66" s="309">
        <f t="shared" si="0"/>
        <v>1925</v>
      </c>
      <c r="D66" s="313">
        <v>533926.25</v>
      </c>
      <c r="E66" s="317">
        <f t="shared" si="1"/>
        <v>98</v>
      </c>
      <c r="F66" s="318">
        <f>VLOOKUP(I66,'WP Cost HW and Useful Life'!$A$3:$B$15,2,FALSE)</f>
        <v>75</v>
      </c>
      <c r="G66" s="318">
        <f t="shared" si="2"/>
        <v>533926.25</v>
      </c>
      <c r="H66" s="318">
        <f t="shared" si="6"/>
        <v>0</v>
      </c>
      <c r="I66" s="309" t="s">
        <v>29</v>
      </c>
      <c r="J66" s="321">
        <f>INDEX('WP Cost HW W1'!$B$9:$GE$66,MATCH(I66,'WP Cost HW W1'!$B$9:$B$66,0),MATCH(C66,'WP Cost HW W1'!$B$7:$GE$7,0))</f>
        <v>21</v>
      </c>
      <c r="K66" s="321">
        <f>INDEX('WP Cost HW W1'!$B$9:$GE$66,MATCH(I66,'WP Cost HW W1'!$B$9:$B$66,0),MATCH($E$1,'WP Cost HW W1'!$B$7:$GE$7,0))</f>
        <v>1080</v>
      </c>
      <c r="L66" s="321">
        <f t="shared" si="7"/>
        <v>51.428571428571431</v>
      </c>
      <c r="M66" s="318">
        <f t="shared" si="8"/>
        <v>0</v>
      </c>
    </row>
    <row r="67" spans="1:13" x14ac:dyDescent="0.4">
      <c r="A67" s="311" t="s">
        <v>1084</v>
      </c>
      <c r="B67" s="312">
        <v>7306</v>
      </c>
      <c r="C67" s="309">
        <f t="shared" si="0"/>
        <v>1920</v>
      </c>
      <c r="D67" s="313">
        <v>14723.23</v>
      </c>
      <c r="E67" s="317">
        <f t="shared" si="1"/>
        <v>103</v>
      </c>
      <c r="F67" s="318">
        <f>VLOOKUP(I67,'WP Cost HW and Useful Life'!$A$3:$B$15,2,FALSE)</f>
        <v>75</v>
      </c>
      <c r="G67" s="318">
        <f t="shared" si="2"/>
        <v>14723.23</v>
      </c>
      <c r="H67" s="318">
        <f t="shared" si="6"/>
        <v>0</v>
      </c>
      <c r="I67" s="309" t="s">
        <v>29</v>
      </c>
      <c r="J67" s="321">
        <f>INDEX('WP Cost HW W1'!$B$9:$GE$66,MATCH(I67,'WP Cost HW W1'!$B$9:$B$66,0),MATCH(C67,'WP Cost HW W1'!$B$7:$GE$7,0))</f>
        <v>22</v>
      </c>
      <c r="K67" s="321">
        <f>INDEX('WP Cost HW W1'!$B$9:$GE$66,MATCH(I67,'WP Cost HW W1'!$B$9:$B$66,0),MATCH($E$1,'WP Cost HW W1'!$B$7:$GE$7,0))</f>
        <v>1080</v>
      </c>
      <c r="L67" s="321">
        <f t="shared" si="7"/>
        <v>49.090909090909093</v>
      </c>
      <c r="M67" s="318">
        <f t="shared" si="8"/>
        <v>0</v>
      </c>
    </row>
    <row r="68" spans="1:13" x14ac:dyDescent="0.4">
      <c r="A68" s="311" t="s">
        <v>1084</v>
      </c>
      <c r="B68" s="312">
        <v>18264</v>
      </c>
      <c r="C68" s="309">
        <f t="shared" ref="C68:C127" si="9">YEAR(B68)</f>
        <v>1950</v>
      </c>
      <c r="D68" s="313">
        <v>47285</v>
      </c>
      <c r="E68" s="317">
        <f t="shared" ref="E68:E127" si="10">$E$1-C68</f>
        <v>73</v>
      </c>
      <c r="F68" s="318">
        <f>VLOOKUP(I68,'WP Cost HW and Useful Life'!$A$3:$B$15,2,FALSE)</f>
        <v>75</v>
      </c>
      <c r="G68" s="318">
        <f t="shared" ref="G68:G127" si="11">IFERROR(IF(D68/F68*E68&gt;D68,D68,D68/F68*E68),"NA")</f>
        <v>46024.066666666666</v>
      </c>
      <c r="H68" s="318">
        <f t="shared" ref="H68:H99" si="12">IFERROR(D68-G68,"NA")</f>
        <v>1260.9333333333343</v>
      </c>
      <c r="I68" s="309" t="s">
        <v>29</v>
      </c>
      <c r="J68" s="321">
        <f>INDEX('WP Cost HW W1'!$B$9:$GE$66,MATCH(I68,'WP Cost HW W1'!$B$9:$B$66,0),MATCH(C68,'WP Cost HW W1'!$B$7:$GE$7,0))</f>
        <v>43</v>
      </c>
      <c r="K68" s="321">
        <f>INDEX('WP Cost HW W1'!$B$9:$GE$66,MATCH(I68,'WP Cost HW W1'!$B$9:$B$66,0),MATCH($E$1,'WP Cost HW W1'!$B$7:$GE$7,0))</f>
        <v>1080</v>
      </c>
      <c r="L68" s="321">
        <f t="shared" ref="L68:L99" si="13">K68/J68</f>
        <v>25.11627906976744</v>
      </c>
      <c r="M68" s="318">
        <f t="shared" ref="M68:M99" si="14">IFERROR(H68*L68,"NA")</f>
        <v>31669.953488372117</v>
      </c>
    </row>
    <row r="69" spans="1:13" x14ac:dyDescent="0.4">
      <c r="A69" s="311" t="s">
        <v>1085</v>
      </c>
      <c r="B69" s="312">
        <v>7306</v>
      </c>
      <c r="C69" s="309">
        <f t="shared" si="9"/>
        <v>1920</v>
      </c>
      <c r="D69" s="313">
        <v>22270.25</v>
      </c>
      <c r="E69" s="317">
        <f t="shared" si="10"/>
        <v>103</v>
      </c>
      <c r="F69" s="318">
        <f>VLOOKUP(I69,'WP Cost HW and Useful Life'!$A$3:$B$15,2,FALSE)</f>
        <v>75</v>
      </c>
      <c r="G69" s="318">
        <f t="shared" si="11"/>
        <v>22270.25</v>
      </c>
      <c r="H69" s="318">
        <f t="shared" si="12"/>
        <v>0</v>
      </c>
      <c r="I69" s="309" t="s">
        <v>29</v>
      </c>
      <c r="J69" s="321">
        <f>INDEX('WP Cost HW W1'!$B$9:$GE$66,MATCH(I69,'WP Cost HW W1'!$B$9:$B$66,0),MATCH(C69,'WP Cost HW W1'!$B$7:$GE$7,0))</f>
        <v>22</v>
      </c>
      <c r="K69" s="321">
        <f>INDEX('WP Cost HW W1'!$B$9:$GE$66,MATCH(I69,'WP Cost HW W1'!$B$9:$B$66,0),MATCH($E$1,'WP Cost HW W1'!$B$7:$GE$7,0))</f>
        <v>1080</v>
      </c>
      <c r="L69" s="321">
        <f t="shared" si="13"/>
        <v>49.090909090909093</v>
      </c>
      <c r="M69" s="318">
        <f t="shared" si="14"/>
        <v>0</v>
      </c>
    </row>
    <row r="70" spans="1:13" x14ac:dyDescent="0.4">
      <c r="A70" s="311" t="s">
        <v>1085</v>
      </c>
      <c r="B70" s="312">
        <v>18264</v>
      </c>
      <c r="C70" s="309">
        <f t="shared" si="9"/>
        <v>1950</v>
      </c>
      <c r="D70" s="313">
        <v>16450</v>
      </c>
      <c r="E70" s="317">
        <f t="shared" si="10"/>
        <v>73</v>
      </c>
      <c r="F70" s="318">
        <f>VLOOKUP(I70,'WP Cost HW and Useful Life'!$A$3:$B$15,2,FALSE)</f>
        <v>75</v>
      </c>
      <c r="G70" s="318">
        <f t="shared" si="11"/>
        <v>16011.333333333334</v>
      </c>
      <c r="H70" s="318">
        <f t="shared" si="12"/>
        <v>438.66666666666606</v>
      </c>
      <c r="I70" s="309" t="s">
        <v>29</v>
      </c>
      <c r="J70" s="321">
        <f>INDEX('WP Cost HW W1'!$B$9:$GE$66,MATCH(I70,'WP Cost HW W1'!$B$9:$B$66,0),MATCH(C70,'WP Cost HW W1'!$B$7:$GE$7,0))</f>
        <v>43</v>
      </c>
      <c r="K70" s="321">
        <f>INDEX('WP Cost HW W1'!$B$9:$GE$66,MATCH(I70,'WP Cost HW W1'!$B$9:$B$66,0),MATCH($E$1,'WP Cost HW W1'!$B$7:$GE$7,0))</f>
        <v>1080</v>
      </c>
      <c r="L70" s="321">
        <f t="shared" si="13"/>
        <v>25.11627906976744</v>
      </c>
      <c r="M70" s="318">
        <f t="shared" si="14"/>
        <v>11017.674418604634</v>
      </c>
    </row>
    <row r="71" spans="1:13" x14ac:dyDescent="0.4">
      <c r="A71" s="311" t="s">
        <v>1086</v>
      </c>
      <c r="B71" s="312">
        <v>7306</v>
      </c>
      <c r="C71" s="309">
        <f t="shared" si="9"/>
        <v>1920</v>
      </c>
      <c r="D71" s="313">
        <v>5950.31</v>
      </c>
      <c r="E71" s="317">
        <f t="shared" si="10"/>
        <v>103</v>
      </c>
      <c r="F71" s="318">
        <f>VLOOKUP(I71,'WP Cost HW and Useful Life'!$A$3:$B$15,2,FALSE)</f>
        <v>75</v>
      </c>
      <c r="G71" s="318">
        <f t="shared" si="11"/>
        <v>5950.31</v>
      </c>
      <c r="H71" s="318">
        <f t="shared" si="12"/>
        <v>0</v>
      </c>
      <c r="I71" s="309" t="s">
        <v>29</v>
      </c>
      <c r="J71" s="321">
        <f>INDEX('WP Cost HW W1'!$B$9:$GE$66,MATCH(I71,'WP Cost HW W1'!$B$9:$B$66,0),MATCH(C71,'WP Cost HW W1'!$B$7:$GE$7,0))</f>
        <v>22</v>
      </c>
      <c r="K71" s="321">
        <f>INDEX('WP Cost HW W1'!$B$9:$GE$66,MATCH(I71,'WP Cost HW W1'!$B$9:$B$66,0),MATCH($E$1,'WP Cost HW W1'!$B$7:$GE$7,0))</f>
        <v>1080</v>
      </c>
      <c r="L71" s="321">
        <f t="shared" si="13"/>
        <v>49.090909090909093</v>
      </c>
      <c r="M71" s="318">
        <f t="shared" si="14"/>
        <v>0</v>
      </c>
    </row>
    <row r="72" spans="1:13" x14ac:dyDescent="0.4">
      <c r="A72" s="311" t="s">
        <v>1094</v>
      </c>
      <c r="B72" s="312">
        <v>18264</v>
      </c>
      <c r="C72" s="309">
        <f t="shared" si="9"/>
        <v>1950</v>
      </c>
      <c r="D72" s="313">
        <v>5702.38</v>
      </c>
      <c r="E72" s="317">
        <f t="shared" si="10"/>
        <v>73</v>
      </c>
      <c r="F72" s="318">
        <f>VLOOKUP(I72,'WP Cost HW and Useful Life'!$A$3:$B$15,2,FALSE)</f>
        <v>75</v>
      </c>
      <c r="G72" s="318">
        <f t="shared" si="11"/>
        <v>5550.3165333333336</v>
      </c>
      <c r="H72" s="318">
        <f t="shared" si="12"/>
        <v>152.0634666666665</v>
      </c>
      <c r="I72" s="309" t="s">
        <v>29</v>
      </c>
      <c r="J72" s="321">
        <f>INDEX('WP Cost HW W1'!$B$9:$GE$66,MATCH(I72,'WP Cost HW W1'!$B$9:$B$66,0),MATCH(C72,'WP Cost HW W1'!$B$7:$GE$7,0))</f>
        <v>43</v>
      </c>
      <c r="K72" s="321">
        <f>INDEX('WP Cost HW W1'!$B$9:$GE$66,MATCH(I72,'WP Cost HW W1'!$B$9:$B$66,0),MATCH($E$1,'WP Cost HW W1'!$B$7:$GE$7,0))</f>
        <v>1080</v>
      </c>
      <c r="L72" s="321">
        <f t="shared" si="13"/>
        <v>25.11627906976744</v>
      </c>
      <c r="M72" s="318">
        <f t="shared" si="14"/>
        <v>3819.2684651162745</v>
      </c>
    </row>
    <row r="73" spans="1:13" x14ac:dyDescent="0.4">
      <c r="A73" s="311" t="s">
        <v>1087</v>
      </c>
      <c r="B73" s="312">
        <v>7306</v>
      </c>
      <c r="C73" s="309">
        <f t="shared" si="9"/>
        <v>1920</v>
      </c>
      <c r="D73" s="313">
        <v>6921.6</v>
      </c>
      <c r="E73" s="317">
        <f t="shared" si="10"/>
        <v>103</v>
      </c>
      <c r="F73" s="318">
        <f>VLOOKUP(I73,'WP Cost HW and Useful Life'!$A$3:$B$15,2,FALSE)</f>
        <v>75</v>
      </c>
      <c r="G73" s="318">
        <f t="shared" si="11"/>
        <v>6921.6</v>
      </c>
      <c r="H73" s="318">
        <f t="shared" si="12"/>
        <v>0</v>
      </c>
      <c r="I73" s="309" t="s">
        <v>29</v>
      </c>
      <c r="J73" s="321">
        <f>INDEX('WP Cost HW W1'!$B$9:$GE$66,MATCH(I73,'WP Cost HW W1'!$B$9:$B$66,0),MATCH(C73,'WP Cost HW W1'!$B$7:$GE$7,0))</f>
        <v>22</v>
      </c>
      <c r="K73" s="321">
        <f>INDEX('WP Cost HW W1'!$B$9:$GE$66,MATCH(I73,'WP Cost HW W1'!$B$9:$B$66,0),MATCH($E$1,'WP Cost HW W1'!$B$7:$GE$7,0))</f>
        <v>1080</v>
      </c>
      <c r="L73" s="321">
        <f t="shared" si="13"/>
        <v>49.090909090909093</v>
      </c>
      <c r="M73" s="318">
        <f t="shared" si="14"/>
        <v>0</v>
      </c>
    </row>
    <row r="74" spans="1:13" x14ac:dyDescent="0.4">
      <c r="A74" s="311" t="s">
        <v>1087</v>
      </c>
      <c r="B74" s="312">
        <v>18264</v>
      </c>
      <c r="C74" s="309">
        <f t="shared" si="9"/>
        <v>1950</v>
      </c>
      <c r="D74" s="313">
        <v>29750</v>
      </c>
      <c r="E74" s="317">
        <f t="shared" si="10"/>
        <v>73</v>
      </c>
      <c r="F74" s="318">
        <f>VLOOKUP(I74,'WP Cost HW and Useful Life'!$A$3:$B$15,2,FALSE)</f>
        <v>75</v>
      </c>
      <c r="G74" s="318">
        <f t="shared" si="11"/>
        <v>28956.666666666668</v>
      </c>
      <c r="H74" s="318">
        <f t="shared" si="12"/>
        <v>793.33333333333212</v>
      </c>
      <c r="I74" s="309" t="s">
        <v>29</v>
      </c>
      <c r="J74" s="321">
        <f>INDEX('WP Cost HW W1'!$B$9:$GE$66,MATCH(I74,'WP Cost HW W1'!$B$9:$B$66,0),MATCH(C74,'WP Cost HW W1'!$B$7:$GE$7,0))</f>
        <v>43</v>
      </c>
      <c r="K74" s="321">
        <f>INDEX('WP Cost HW W1'!$B$9:$GE$66,MATCH(I74,'WP Cost HW W1'!$B$9:$B$66,0),MATCH($E$1,'WP Cost HW W1'!$B$7:$GE$7,0))</f>
        <v>1080</v>
      </c>
      <c r="L74" s="321">
        <f t="shared" si="13"/>
        <v>25.11627906976744</v>
      </c>
      <c r="M74" s="318">
        <f t="shared" si="14"/>
        <v>19925.581395348807</v>
      </c>
    </row>
    <row r="75" spans="1:13" x14ac:dyDescent="0.4">
      <c r="A75" s="311" t="s">
        <v>1088</v>
      </c>
      <c r="B75" s="312">
        <v>7306</v>
      </c>
      <c r="C75" s="309">
        <f t="shared" si="9"/>
        <v>1920</v>
      </c>
      <c r="D75" s="313">
        <v>4449.6000000000004</v>
      </c>
      <c r="E75" s="317">
        <f t="shared" si="10"/>
        <v>103</v>
      </c>
      <c r="F75" s="318">
        <f>VLOOKUP(I75,'WP Cost HW and Useful Life'!$A$3:$B$15,2,FALSE)</f>
        <v>75</v>
      </c>
      <c r="G75" s="318">
        <f t="shared" si="11"/>
        <v>4449.6000000000004</v>
      </c>
      <c r="H75" s="318">
        <f t="shared" si="12"/>
        <v>0</v>
      </c>
      <c r="I75" s="309" t="s">
        <v>29</v>
      </c>
      <c r="J75" s="321">
        <f>INDEX('WP Cost HW W1'!$B$9:$GE$66,MATCH(I75,'WP Cost HW W1'!$B$9:$B$66,0),MATCH(C75,'WP Cost HW W1'!$B$7:$GE$7,0))</f>
        <v>22</v>
      </c>
      <c r="K75" s="321">
        <f>INDEX('WP Cost HW W1'!$B$9:$GE$66,MATCH(I75,'WP Cost HW W1'!$B$9:$B$66,0),MATCH($E$1,'WP Cost HW W1'!$B$7:$GE$7,0))</f>
        <v>1080</v>
      </c>
      <c r="L75" s="321">
        <f t="shared" si="13"/>
        <v>49.090909090909093</v>
      </c>
      <c r="M75" s="318">
        <f t="shared" si="14"/>
        <v>0</v>
      </c>
    </row>
    <row r="76" spans="1:13" x14ac:dyDescent="0.4">
      <c r="A76" s="311" t="s">
        <v>1082</v>
      </c>
      <c r="B76" s="312">
        <v>7306</v>
      </c>
      <c r="C76" s="309">
        <f t="shared" si="9"/>
        <v>1920</v>
      </c>
      <c r="D76" s="313">
        <v>279897.09000000003</v>
      </c>
      <c r="E76" s="317">
        <f t="shared" si="10"/>
        <v>103</v>
      </c>
      <c r="F76" s="318">
        <f>VLOOKUP(I76,'WP Cost HW and Useful Life'!$A$3:$B$15,2,FALSE)</f>
        <v>75</v>
      </c>
      <c r="G76" s="318">
        <f t="shared" si="11"/>
        <v>279897.09000000003</v>
      </c>
      <c r="H76" s="318">
        <f t="shared" si="12"/>
        <v>0</v>
      </c>
      <c r="I76" s="309" t="s">
        <v>29</v>
      </c>
      <c r="J76" s="321">
        <f>INDEX('WP Cost HW W1'!$B$9:$GE$66,MATCH(I76,'WP Cost HW W1'!$B$9:$B$66,0),MATCH(C76,'WP Cost HW W1'!$B$7:$GE$7,0))</f>
        <v>22</v>
      </c>
      <c r="K76" s="321">
        <f>INDEX('WP Cost HW W1'!$B$9:$GE$66,MATCH(I76,'WP Cost HW W1'!$B$9:$B$66,0),MATCH($E$1,'WP Cost HW W1'!$B$7:$GE$7,0))</f>
        <v>1080</v>
      </c>
      <c r="L76" s="321">
        <f t="shared" si="13"/>
        <v>49.090909090909093</v>
      </c>
      <c r="M76" s="318">
        <f t="shared" si="14"/>
        <v>0</v>
      </c>
    </row>
    <row r="77" spans="1:13" x14ac:dyDescent="0.4">
      <c r="A77" s="311" t="s">
        <v>1082</v>
      </c>
      <c r="B77" s="312">
        <v>18264</v>
      </c>
      <c r="C77" s="309">
        <f t="shared" si="9"/>
        <v>1950</v>
      </c>
      <c r="D77" s="313">
        <v>2187.5</v>
      </c>
      <c r="E77" s="317">
        <f t="shared" si="10"/>
        <v>73</v>
      </c>
      <c r="F77" s="318">
        <f>VLOOKUP(I77,'WP Cost HW and Useful Life'!$A$3:$B$15,2,FALSE)</f>
        <v>75</v>
      </c>
      <c r="G77" s="318">
        <f t="shared" si="11"/>
        <v>2129.166666666667</v>
      </c>
      <c r="H77" s="318">
        <f t="shared" si="12"/>
        <v>58.33333333333303</v>
      </c>
      <c r="I77" s="309" t="s">
        <v>29</v>
      </c>
      <c r="J77" s="321">
        <f>INDEX('WP Cost HW W1'!$B$9:$GE$66,MATCH(I77,'WP Cost HW W1'!$B$9:$B$66,0),MATCH(C77,'WP Cost HW W1'!$B$7:$GE$7,0))</f>
        <v>43</v>
      </c>
      <c r="K77" s="321">
        <f>INDEX('WP Cost HW W1'!$B$9:$GE$66,MATCH(I77,'WP Cost HW W1'!$B$9:$B$66,0),MATCH($E$1,'WP Cost HW W1'!$B$7:$GE$7,0))</f>
        <v>1080</v>
      </c>
      <c r="L77" s="321">
        <f t="shared" si="13"/>
        <v>25.11627906976744</v>
      </c>
      <c r="M77" s="318">
        <f t="shared" si="14"/>
        <v>1465.1162790697597</v>
      </c>
    </row>
    <row r="78" spans="1:13" x14ac:dyDescent="0.4">
      <c r="A78" s="311" t="s">
        <v>1082</v>
      </c>
      <c r="B78" s="312">
        <v>23743</v>
      </c>
      <c r="C78" s="309">
        <f t="shared" si="9"/>
        <v>1965</v>
      </c>
      <c r="D78" s="313">
        <v>202725</v>
      </c>
      <c r="E78" s="317">
        <f t="shared" si="10"/>
        <v>58</v>
      </c>
      <c r="F78" s="318">
        <f>VLOOKUP(I78,'WP Cost HW and Useful Life'!$A$3:$B$15,2,FALSE)</f>
        <v>75</v>
      </c>
      <c r="G78" s="318">
        <f t="shared" si="11"/>
        <v>156774</v>
      </c>
      <c r="H78" s="318">
        <f t="shared" si="12"/>
        <v>45951</v>
      </c>
      <c r="I78" s="309" t="s">
        <v>29</v>
      </c>
      <c r="J78" s="321">
        <f>INDEX('WP Cost HW W1'!$B$9:$GE$66,MATCH(I78,'WP Cost HW W1'!$B$9:$B$66,0),MATCH(C78,'WP Cost HW W1'!$B$7:$GE$7,0))</f>
        <v>74</v>
      </c>
      <c r="K78" s="321">
        <f>INDEX('WP Cost HW W1'!$B$9:$GE$66,MATCH(I78,'WP Cost HW W1'!$B$9:$B$66,0),MATCH($E$1,'WP Cost HW W1'!$B$7:$GE$7,0))</f>
        <v>1080</v>
      </c>
      <c r="L78" s="321">
        <f t="shared" si="13"/>
        <v>14.594594594594595</v>
      </c>
      <c r="M78" s="318">
        <f t="shared" si="14"/>
        <v>670636.21621621621</v>
      </c>
    </row>
    <row r="79" spans="1:13" x14ac:dyDescent="0.4">
      <c r="A79" s="311" t="s">
        <v>1083</v>
      </c>
      <c r="B79" s="312">
        <v>7306</v>
      </c>
      <c r="C79" s="309">
        <f t="shared" si="9"/>
        <v>1920</v>
      </c>
      <c r="D79" s="313">
        <v>204274.96</v>
      </c>
      <c r="E79" s="317">
        <f t="shared" si="10"/>
        <v>103</v>
      </c>
      <c r="F79" s="318">
        <f>VLOOKUP(I79,'WP Cost HW and Useful Life'!$A$3:$B$15,2,FALSE)</f>
        <v>75</v>
      </c>
      <c r="G79" s="318">
        <f t="shared" si="11"/>
        <v>204274.96</v>
      </c>
      <c r="H79" s="318">
        <f t="shared" si="12"/>
        <v>0</v>
      </c>
      <c r="I79" s="309" t="s">
        <v>29</v>
      </c>
      <c r="J79" s="321">
        <f>INDEX('WP Cost HW W1'!$B$9:$GE$66,MATCH(I79,'WP Cost HW W1'!$B$9:$B$66,0),MATCH(C79,'WP Cost HW W1'!$B$7:$GE$7,0))</f>
        <v>22</v>
      </c>
      <c r="K79" s="321">
        <f>INDEX('WP Cost HW W1'!$B$9:$GE$66,MATCH(I79,'WP Cost HW W1'!$B$9:$B$66,0),MATCH($E$1,'WP Cost HW W1'!$B$7:$GE$7,0))</f>
        <v>1080</v>
      </c>
      <c r="L79" s="321">
        <f t="shared" si="13"/>
        <v>49.090909090909093</v>
      </c>
      <c r="M79" s="318">
        <f t="shared" si="14"/>
        <v>0</v>
      </c>
    </row>
    <row r="80" spans="1:13" x14ac:dyDescent="0.4">
      <c r="A80" s="311" t="s">
        <v>1083</v>
      </c>
      <c r="B80" s="312">
        <v>18264</v>
      </c>
      <c r="C80" s="309">
        <f t="shared" si="9"/>
        <v>1950</v>
      </c>
      <c r="D80" s="313">
        <v>9712.5</v>
      </c>
      <c r="E80" s="317">
        <f t="shared" si="10"/>
        <v>73</v>
      </c>
      <c r="F80" s="318">
        <f>VLOOKUP(I80,'WP Cost HW and Useful Life'!$A$3:$B$15,2,FALSE)</f>
        <v>75</v>
      </c>
      <c r="G80" s="318">
        <f t="shared" si="11"/>
        <v>9453.5</v>
      </c>
      <c r="H80" s="318">
        <f t="shared" si="12"/>
        <v>259</v>
      </c>
      <c r="I80" s="309" t="s">
        <v>29</v>
      </c>
      <c r="J80" s="321">
        <f>INDEX('WP Cost HW W1'!$B$9:$GE$66,MATCH(I80,'WP Cost HW W1'!$B$9:$B$66,0),MATCH(C80,'WP Cost HW W1'!$B$7:$GE$7,0))</f>
        <v>43</v>
      </c>
      <c r="K80" s="321">
        <f>INDEX('WP Cost HW W1'!$B$9:$GE$66,MATCH(I80,'WP Cost HW W1'!$B$9:$B$66,0),MATCH($E$1,'WP Cost HW W1'!$B$7:$GE$7,0))</f>
        <v>1080</v>
      </c>
      <c r="L80" s="321">
        <f t="shared" si="13"/>
        <v>25.11627906976744</v>
      </c>
      <c r="M80" s="318">
        <f t="shared" si="14"/>
        <v>6505.1162790697672</v>
      </c>
    </row>
    <row r="81" spans="1:13" x14ac:dyDescent="0.4">
      <c r="A81" s="311" t="s">
        <v>1083</v>
      </c>
      <c r="B81" s="312">
        <v>23743</v>
      </c>
      <c r="C81" s="309">
        <f t="shared" si="9"/>
        <v>1965</v>
      </c>
      <c r="D81" s="313">
        <v>1090890</v>
      </c>
      <c r="E81" s="317">
        <f t="shared" si="10"/>
        <v>58</v>
      </c>
      <c r="F81" s="318">
        <f>VLOOKUP(I81,'WP Cost HW and Useful Life'!$A$3:$B$15,2,FALSE)</f>
        <v>75</v>
      </c>
      <c r="G81" s="318">
        <f t="shared" si="11"/>
        <v>843621.60000000009</v>
      </c>
      <c r="H81" s="318">
        <f t="shared" si="12"/>
        <v>247268.39999999991</v>
      </c>
      <c r="I81" s="309" t="s">
        <v>29</v>
      </c>
      <c r="J81" s="321">
        <f>INDEX('WP Cost HW W1'!$B$9:$GE$66,MATCH(I81,'WP Cost HW W1'!$B$9:$B$66,0),MATCH(C81,'WP Cost HW W1'!$B$7:$GE$7,0))</f>
        <v>74</v>
      </c>
      <c r="K81" s="321">
        <f>INDEX('WP Cost HW W1'!$B$9:$GE$66,MATCH(I81,'WP Cost HW W1'!$B$9:$B$66,0),MATCH($E$1,'WP Cost HW W1'!$B$7:$GE$7,0))</f>
        <v>1080</v>
      </c>
      <c r="L81" s="321">
        <f t="shared" si="13"/>
        <v>14.594594594594595</v>
      </c>
      <c r="M81" s="318">
        <f t="shared" si="14"/>
        <v>3608782.0540540526</v>
      </c>
    </row>
    <row r="82" spans="1:13" x14ac:dyDescent="0.4">
      <c r="A82" s="311" t="s">
        <v>1081</v>
      </c>
      <c r="B82" s="312">
        <v>24838</v>
      </c>
      <c r="C82" s="309">
        <f t="shared" si="9"/>
        <v>1968</v>
      </c>
      <c r="D82" s="313">
        <v>670000</v>
      </c>
      <c r="E82" s="317">
        <f t="shared" si="10"/>
        <v>55</v>
      </c>
      <c r="F82" s="318">
        <f>VLOOKUP(I82,'WP Cost HW and Useful Life'!$A$3:$B$15,2,FALSE)</f>
        <v>75</v>
      </c>
      <c r="G82" s="318">
        <f t="shared" si="11"/>
        <v>491333.33333333337</v>
      </c>
      <c r="H82" s="318">
        <f t="shared" si="12"/>
        <v>178666.66666666663</v>
      </c>
      <c r="I82" s="309" t="s">
        <v>29</v>
      </c>
      <c r="J82" s="321">
        <f>INDEX('WP Cost HW W1'!$B$9:$GE$66,MATCH(I82,'WP Cost HW W1'!$B$9:$B$66,0),MATCH(C82,'WP Cost HW W1'!$B$7:$GE$7,0))</f>
        <v>77</v>
      </c>
      <c r="K82" s="321">
        <f>INDEX('WP Cost HW W1'!$B$9:$GE$66,MATCH(I82,'WP Cost HW W1'!$B$9:$B$66,0),MATCH($E$1,'WP Cost HW W1'!$B$7:$GE$7,0))</f>
        <v>1080</v>
      </c>
      <c r="L82" s="321">
        <f t="shared" si="13"/>
        <v>14.025974025974026</v>
      </c>
      <c r="M82" s="318">
        <f t="shared" si="14"/>
        <v>2505974.0259740255</v>
      </c>
    </row>
    <row r="83" spans="1:13" x14ac:dyDescent="0.4">
      <c r="A83" s="314" t="s">
        <v>1063</v>
      </c>
      <c r="B83" s="312">
        <v>43748</v>
      </c>
      <c r="C83" s="309">
        <f t="shared" si="9"/>
        <v>2019</v>
      </c>
      <c r="D83" s="313">
        <v>6047</v>
      </c>
      <c r="E83" s="317">
        <f t="shared" si="10"/>
        <v>4</v>
      </c>
      <c r="F83" s="318">
        <f>VLOOKUP(I83,'WP Cost HW and Useful Life'!$A$3:$B$15,2,FALSE)</f>
        <v>25</v>
      </c>
      <c r="G83" s="318">
        <f t="shared" si="11"/>
        <v>967.52</v>
      </c>
      <c r="H83" s="318">
        <f t="shared" si="12"/>
        <v>5079.4799999999996</v>
      </c>
      <c r="I83" s="309" t="s">
        <v>23</v>
      </c>
      <c r="J83" s="321">
        <f>INDEX('WP Cost HW W1'!$B$9:$GE$66,MATCH(I83,'WP Cost HW W1'!$B$9:$B$66,0),MATCH(C83,'WP Cost HW W1'!$B$7:$GE$7,0))</f>
        <v>1331.75</v>
      </c>
      <c r="K83" s="321">
        <f>INDEX('WP Cost HW W1'!$B$9:$GE$66,MATCH(I83,'WP Cost HW W1'!$B$9:$B$66,0),MATCH($E$1,'WP Cost HW W1'!$B$7:$GE$7,0))</f>
        <v>1801</v>
      </c>
      <c r="L83" s="321">
        <f t="shared" si="13"/>
        <v>1.3523559226581565</v>
      </c>
      <c r="M83" s="318">
        <f t="shared" si="14"/>
        <v>6869.2648620236523</v>
      </c>
    </row>
    <row r="84" spans="1:13" x14ac:dyDescent="0.4">
      <c r="A84" s="314" t="s">
        <v>1063</v>
      </c>
      <c r="B84" s="312">
        <v>43748</v>
      </c>
      <c r="C84" s="309">
        <f t="shared" si="9"/>
        <v>2019</v>
      </c>
      <c r="D84" s="313">
        <v>6047</v>
      </c>
      <c r="E84" s="317">
        <f t="shared" si="10"/>
        <v>4</v>
      </c>
      <c r="F84" s="318">
        <f>VLOOKUP(I84,'WP Cost HW and Useful Life'!$A$3:$B$15,2,FALSE)</f>
        <v>25</v>
      </c>
      <c r="G84" s="318">
        <f t="shared" si="11"/>
        <v>967.52</v>
      </c>
      <c r="H84" s="318">
        <f t="shared" si="12"/>
        <v>5079.4799999999996</v>
      </c>
      <c r="I84" s="309" t="s">
        <v>23</v>
      </c>
      <c r="J84" s="321">
        <f>INDEX('WP Cost HW W1'!$B$9:$GE$66,MATCH(I84,'WP Cost HW W1'!$B$9:$B$66,0),MATCH(C84,'WP Cost HW W1'!$B$7:$GE$7,0))</f>
        <v>1331.75</v>
      </c>
      <c r="K84" s="321">
        <f>INDEX('WP Cost HW W1'!$B$9:$GE$66,MATCH(I84,'WP Cost HW W1'!$B$9:$B$66,0),MATCH($E$1,'WP Cost HW W1'!$B$7:$GE$7,0))</f>
        <v>1801</v>
      </c>
      <c r="L84" s="321">
        <f t="shared" si="13"/>
        <v>1.3523559226581565</v>
      </c>
      <c r="M84" s="318">
        <f t="shared" si="14"/>
        <v>6869.2648620236523</v>
      </c>
    </row>
    <row r="85" spans="1:13" x14ac:dyDescent="0.4">
      <c r="A85" s="314" t="s">
        <v>1053</v>
      </c>
      <c r="B85" s="312">
        <v>39322</v>
      </c>
      <c r="C85" s="309">
        <f t="shared" si="9"/>
        <v>2007</v>
      </c>
      <c r="D85" s="313">
        <v>18000</v>
      </c>
      <c r="E85" s="317">
        <f t="shared" si="10"/>
        <v>16</v>
      </c>
      <c r="F85" s="318">
        <f>VLOOKUP(I85,'WP Cost HW and Useful Life'!$A$3:$B$15,2,FALSE)</f>
        <v>75</v>
      </c>
      <c r="G85" s="318">
        <f t="shared" si="11"/>
        <v>3840</v>
      </c>
      <c r="H85" s="318">
        <f t="shared" si="12"/>
        <v>14160</v>
      </c>
      <c r="I85" s="309" t="s">
        <v>29</v>
      </c>
      <c r="J85" s="321">
        <f>INDEX('WP Cost HW W1'!$B$9:$GE$66,MATCH(I85,'WP Cost HW W1'!$B$9:$B$66,0),MATCH(C85,'WP Cost HW W1'!$B$7:$GE$7,0))</f>
        <v>529.87862322144701</v>
      </c>
      <c r="K85" s="321">
        <f>INDEX('WP Cost HW W1'!$B$9:$GE$66,MATCH(I85,'WP Cost HW W1'!$B$9:$B$66,0),MATCH($E$1,'WP Cost HW W1'!$B$7:$GE$7,0))</f>
        <v>1080</v>
      </c>
      <c r="L85" s="321">
        <f t="shared" si="13"/>
        <v>2.0382026235254371</v>
      </c>
      <c r="M85" s="318">
        <f t="shared" si="14"/>
        <v>28860.949149120188</v>
      </c>
    </row>
    <row r="86" spans="1:13" x14ac:dyDescent="0.4">
      <c r="A86" s="314" t="s">
        <v>1053</v>
      </c>
      <c r="B86" s="312">
        <v>39541</v>
      </c>
      <c r="C86" s="309">
        <f t="shared" si="9"/>
        <v>2008</v>
      </c>
      <c r="D86" s="313">
        <v>41260.870000000003</v>
      </c>
      <c r="E86" s="317">
        <f t="shared" si="10"/>
        <v>15</v>
      </c>
      <c r="F86" s="318">
        <f>VLOOKUP(I86,'WP Cost HW and Useful Life'!$A$3:$B$15,2,FALSE)</f>
        <v>75</v>
      </c>
      <c r="G86" s="318">
        <f t="shared" si="11"/>
        <v>8252.1740000000009</v>
      </c>
      <c r="H86" s="318">
        <f t="shared" si="12"/>
        <v>33008.696000000004</v>
      </c>
      <c r="I86" s="309" t="s">
        <v>29</v>
      </c>
      <c r="J86" s="321">
        <f>INDEX('WP Cost HW W1'!$B$9:$GE$66,MATCH(I86,'WP Cost HW W1'!$B$9:$B$66,0),MATCH(C86,'WP Cost HW W1'!$B$7:$GE$7,0))</f>
        <v>587.5</v>
      </c>
      <c r="K86" s="321">
        <f>INDEX('WP Cost HW W1'!$B$9:$GE$66,MATCH(I86,'WP Cost HW W1'!$B$9:$B$66,0),MATCH($E$1,'WP Cost HW W1'!$B$7:$GE$7,0))</f>
        <v>1080</v>
      </c>
      <c r="L86" s="321">
        <f t="shared" si="13"/>
        <v>1.8382978723404255</v>
      </c>
      <c r="M86" s="318">
        <f t="shared" si="14"/>
        <v>60679.815625531919</v>
      </c>
    </row>
    <row r="87" spans="1:13" x14ac:dyDescent="0.4">
      <c r="A87" s="314" t="s">
        <v>1053</v>
      </c>
      <c r="B87" s="312">
        <v>38923</v>
      </c>
      <c r="C87" s="309">
        <f t="shared" si="9"/>
        <v>2006</v>
      </c>
      <c r="D87" s="313">
        <v>43187.46</v>
      </c>
      <c r="E87" s="317">
        <f t="shared" si="10"/>
        <v>17</v>
      </c>
      <c r="F87" s="318">
        <f>VLOOKUP(I87,'WP Cost HW and Useful Life'!$A$3:$B$15,2,FALSE)</f>
        <v>75</v>
      </c>
      <c r="G87" s="318">
        <f t="shared" si="11"/>
        <v>9789.1576000000005</v>
      </c>
      <c r="H87" s="318">
        <f t="shared" si="12"/>
        <v>33398.3024</v>
      </c>
      <c r="I87" s="309" t="s">
        <v>29</v>
      </c>
      <c r="J87" s="321">
        <f>INDEX('WP Cost HW W1'!$B$9:$GE$66,MATCH(I87,'WP Cost HW W1'!$B$9:$B$66,0),MATCH(C87,'WP Cost HW W1'!$B$7:$GE$7,0))</f>
        <v>499.25</v>
      </c>
      <c r="K87" s="321">
        <f>INDEX('WP Cost HW W1'!$B$9:$GE$66,MATCH(I87,'WP Cost HW W1'!$B$9:$B$66,0),MATCH($E$1,'WP Cost HW W1'!$B$7:$GE$7,0))</f>
        <v>1080</v>
      </c>
      <c r="L87" s="321">
        <f t="shared" si="13"/>
        <v>2.1632448673009512</v>
      </c>
      <c r="M87" s="318">
        <f t="shared" si="14"/>
        <v>72248.706243365043</v>
      </c>
    </row>
    <row r="88" spans="1:13" x14ac:dyDescent="0.4">
      <c r="A88" s="314" t="s">
        <v>1053</v>
      </c>
      <c r="B88" s="312">
        <v>38954</v>
      </c>
      <c r="C88" s="309">
        <f t="shared" si="9"/>
        <v>2006</v>
      </c>
      <c r="D88" s="313">
        <v>20133.28</v>
      </c>
      <c r="E88" s="317">
        <f t="shared" si="10"/>
        <v>17</v>
      </c>
      <c r="F88" s="318">
        <f>VLOOKUP(I88,'WP Cost HW and Useful Life'!$A$3:$B$15,2,FALSE)</f>
        <v>75</v>
      </c>
      <c r="G88" s="318">
        <f t="shared" si="11"/>
        <v>4563.543466666667</v>
      </c>
      <c r="H88" s="318">
        <f t="shared" si="12"/>
        <v>15569.736533333333</v>
      </c>
      <c r="I88" s="309" t="s">
        <v>29</v>
      </c>
      <c r="J88" s="321">
        <f>INDEX('WP Cost HW W1'!$B$9:$GE$66,MATCH(I88,'WP Cost HW W1'!$B$9:$B$66,0),MATCH(C88,'WP Cost HW W1'!$B$7:$GE$7,0))</f>
        <v>499.25</v>
      </c>
      <c r="K88" s="321">
        <f>INDEX('WP Cost HW W1'!$B$9:$GE$66,MATCH(I88,'WP Cost HW W1'!$B$9:$B$66,0),MATCH($E$1,'WP Cost HW W1'!$B$7:$GE$7,0))</f>
        <v>1080</v>
      </c>
      <c r="L88" s="321">
        <f t="shared" si="13"/>
        <v>2.1632448673009512</v>
      </c>
      <c r="M88" s="318">
        <f t="shared" si="14"/>
        <v>33681.152640961438</v>
      </c>
    </row>
    <row r="89" spans="1:13" x14ac:dyDescent="0.4">
      <c r="A89" s="314" t="s">
        <v>1053</v>
      </c>
      <c r="B89" s="312">
        <v>38985</v>
      </c>
      <c r="C89" s="309">
        <f t="shared" si="9"/>
        <v>2006</v>
      </c>
      <c r="D89" s="313">
        <v>4064.59</v>
      </c>
      <c r="E89" s="317">
        <f t="shared" si="10"/>
        <v>17</v>
      </c>
      <c r="F89" s="318">
        <f>VLOOKUP(I89,'WP Cost HW and Useful Life'!$A$3:$B$15,2,FALSE)</f>
        <v>75</v>
      </c>
      <c r="G89" s="318">
        <f t="shared" si="11"/>
        <v>921.30706666666663</v>
      </c>
      <c r="H89" s="318">
        <f t="shared" si="12"/>
        <v>3143.2829333333334</v>
      </c>
      <c r="I89" s="309" t="s">
        <v>29</v>
      </c>
      <c r="J89" s="321">
        <f>INDEX('WP Cost HW W1'!$B$9:$GE$66,MATCH(I89,'WP Cost HW W1'!$B$9:$B$66,0),MATCH(C89,'WP Cost HW W1'!$B$7:$GE$7,0))</f>
        <v>499.25</v>
      </c>
      <c r="K89" s="321">
        <f>INDEX('WP Cost HW W1'!$B$9:$GE$66,MATCH(I89,'WP Cost HW W1'!$B$9:$B$66,0),MATCH($E$1,'WP Cost HW W1'!$B$7:$GE$7,0))</f>
        <v>1080</v>
      </c>
      <c r="L89" s="321">
        <f t="shared" si="13"/>
        <v>2.1632448673009512</v>
      </c>
      <c r="M89" s="318">
        <f t="shared" si="14"/>
        <v>6799.6906720080115</v>
      </c>
    </row>
    <row r="90" spans="1:13" x14ac:dyDescent="0.4">
      <c r="A90" s="314" t="s">
        <v>1053</v>
      </c>
      <c r="B90" s="312">
        <v>38985</v>
      </c>
      <c r="C90" s="309">
        <f t="shared" si="9"/>
        <v>2006</v>
      </c>
      <c r="D90" s="313">
        <v>64105.52</v>
      </c>
      <c r="E90" s="317">
        <f t="shared" si="10"/>
        <v>17</v>
      </c>
      <c r="F90" s="318">
        <f>VLOOKUP(I90,'WP Cost HW and Useful Life'!$A$3:$B$15,2,FALSE)</f>
        <v>75</v>
      </c>
      <c r="G90" s="318">
        <f t="shared" si="11"/>
        <v>14530.584533333331</v>
      </c>
      <c r="H90" s="318">
        <f t="shared" si="12"/>
        <v>49574.935466666662</v>
      </c>
      <c r="I90" s="309" t="s">
        <v>29</v>
      </c>
      <c r="J90" s="321">
        <f>INDEX('WP Cost HW W1'!$B$9:$GE$66,MATCH(I90,'WP Cost HW W1'!$B$9:$B$66,0),MATCH(C90,'WP Cost HW W1'!$B$7:$GE$7,0))</f>
        <v>499.25</v>
      </c>
      <c r="K90" s="321">
        <f>INDEX('WP Cost HW W1'!$B$9:$GE$66,MATCH(I90,'WP Cost HW W1'!$B$9:$B$66,0),MATCH($E$1,'WP Cost HW W1'!$B$7:$GE$7,0))</f>
        <v>1080</v>
      </c>
      <c r="L90" s="321">
        <f t="shared" si="13"/>
        <v>2.1632448673009512</v>
      </c>
      <c r="M90" s="318">
        <f t="shared" si="14"/>
        <v>107242.72469504255</v>
      </c>
    </row>
    <row r="91" spans="1:13" x14ac:dyDescent="0.4">
      <c r="A91" s="314" t="s">
        <v>1053</v>
      </c>
      <c r="B91" s="312">
        <v>38985</v>
      </c>
      <c r="C91" s="309">
        <f t="shared" si="9"/>
        <v>2006</v>
      </c>
      <c r="D91" s="313">
        <v>60820.9</v>
      </c>
      <c r="E91" s="317">
        <f t="shared" si="10"/>
        <v>17</v>
      </c>
      <c r="F91" s="318">
        <f>VLOOKUP(I91,'WP Cost HW and Useful Life'!$A$3:$B$15,2,FALSE)</f>
        <v>75</v>
      </c>
      <c r="G91" s="318">
        <f t="shared" si="11"/>
        <v>13786.070666666667</v>
      </c>
      <c r="H91" s="318">
        <f t="shared" si="12"/>
        <v>47034.829333333335</v>
      </c>
      <c r="I91" s="309" t="s">
        <v>29</v>
      </c>
      <c r="J91" s="321">
        <f>INDEX('WP Cost HW W1'!$B$9:$GE$66,MATCH(I91,'WP Cost HW W1'!$B$9:$B$66,0),MATCH(C91,'WP Cost HW W1'!$B$7:$GE$7,0))</f>
        <v>499.25</v>
      </c>
      <c r="K91" s="321">
        <f>INDEX('WP Cost HW W1'!$B$9:$GE$66,MATCH(I91,'WP Cost HW W1'!$B$9:$B$66,0),MATCH($E$1,'WP Cost HW W1'!$B$7:$GE$7,0))</f>
        <v>1080</v>
      </c>
      <c r="L91" s="321">
        <f t="shared" si="13"/>
        <v>2.1632448673009512</v>
      </c>
      <c r="M91" s="318">
        <f t="shared" si="14"/>
        <v>101747.85313970956</v>
      </c>
    </row>
    <row r="92" spans="1:13" x14ac:dyDescent="0.4">
      <c r="A92" s="314" t="s">
        <v>1053</v>
      </c>
      <c r="B92" s="312">
        <v>38985</v>
      </c>
      <c r="C92" s="309">
        <f t="shared" si="9"/>
        <v>2006</v>
      </c>
      <c r="D92" s="313">
        <v>11327.76</v>
      </c>
      <c r="E92" s="317">
        <f t="shared" si="10"/>
        <v>17</v>
      </c>
      <c r="F92" s="318">
        <f>VLOOKUP(I92,'WP Cost HW and Useful Life'!$A$3:$B$15,2,FALSE)</f>
        <v>75</v>
      </c>
      <c r="G92" s="318">
        <f t="shared" si="11"/>
        <v>2567.6255999999998</v>
      </c>
      <c r="H92" s="318">
        <f t="shared" si="12"/>
        <v>8760.1344000000008</v>
      </c>
      <c r="I92" s="309" t="s">
        <v>29</v>
      </c>
      <c r="J92" s="321">
        <f>INDEX('WP Cost HW W1'!$B$9:$GE$66,MATCH(I92,'WP Cost HW W1'!$B$9:$B$66,0),MATCH(C92,'WP Cost HW W1'!$B$7:$GE$7,0))</f>
        <v>499.25</v>
      </c>
      <c r="K92" s="321">
        <f>INDEX('WP Cost HW W1'!$B$9:$GE$66,MATCH(I92,'WP Cost HW W1'!$B$9:$B$66,0),MATCH($E$1,'WP Cost HW W1'!$B$7:$GE$7,0))</f>
        <v>1080</v>
      </c>
      <c r="L92" s="321">
        <f t="shared" si="13"/>
        <v>2.1632448673009512</v>
      </c>
      <c r="M92" s="318">
        <f t="shared" si="14"/>
        <v>18950.315777666499</v>
      </c>
    </row>
    <row r="93" spans="1:13" x14ac:dyDescent="0.4">
      <c r="A93" s="314" t="s">
        <v>1053</v>
      </c>
      <c r="B93" s="312">
        <v>39020</v>
      </c>
      <c r="C93" s="309">
        <f t="shared" si="9"/>
        <v>2006</v>
      </c>
      <c r="D93" s="313">
        <v>111015.1</v>
      </c>
      <c r="E93" s="317">
        <f t="shared" si="10"/>
        <v>17</v>
      </c>
      <c r="F93" s="318">
        <f>VLOOKUP(I93,'WP Cost HW and Useful Life'!$A$3:$B$15,2,FALSE)</f>
        <v>75</v>
      </c>
      <c r="G93" s="318">
        <f t="shared" si="11"/>
        <v>25163.422666666669</v>
      </c>
      <c r="H93" s="318">
        <f t="shared" si="12"/>
        <v>85851.67733333334</v>
      </c>
      <c r="I93" s="309" t="s">
        <v>29</v>
      </c>
      <c r="J93" s="321">
        <f>INDEX('WP Cost HW W1'!$B$9:$GE$66,MATCH(I93,'WP Cost HW W1'!$B$9:$B$66,0),MATCH(C93,'WP Cost HW W1'!$B$7:$GE$7,0))</f>
        <v>499.25</v>
      </c>
      <c r="K93" s="321">
        <f>INDEX('WP Cost HW W1'!$B$9:$GE$66,MATCH(I93,'WP Cost HW W1'!$B$9:$B$66,0),MATCH($E$1,'WP Cost HW W1'!$B$7:$GE$7,0))</f>
        <v>1080</v>
      </c>
      <c r="L93" s="321">
        <f t="shared" si="13"/>
        <v>2.1632448673009512</v>
      </c>
      <c r="M93" s="318">
        <f t="shared" si="14"/>
        <v>185718.20034051075</v>
      </c>
    </row>
    <row r="94" spans="1:13" x14ac:dyDescent="0.4">
      <c r="A94" s="314" t="s">
        <v>1053</v>
      </c>
      <c r="B94" s="312">
        <v>39020</v>
      </c>
      <c r="C94" s="309">
        <f t="shared" si="9"/>
        <v>2006</v>
      </c>
      <c r="D94" s="313">
        <v>7123.75</v>
      </c>
      <c r="E94" s="317">
        <f t="shared" si="10"/>
        <v>17</v>
      </c>
      <c r="F94" s="318">
        <f>VLOOKUP(I94,'WP Cost HW and Useful Life'!$A$3:$B$15,2,FALSE)</f>
        <v>75</v>
      </c>
      <c r="G94" s="318">
        <f t="shared" si="11"/>
        <v>1614.7166666666667</v>
      </c>
      <c r="H94" s="318">
        <f t="shared" si="12"/>
        <v>5509.0333333333328</v>
      </c>
      <c r="I94" s="309" t="s">
        <v>29</v>
      </c>
      <c r="J94" s="321">
        <f>INDEX('WP Cost HW W1'!$B$9:$GE$66,MATCH(I94,'WP Cost HW W1'!$B$9:$B$66,0),MATCH(C94,'WP Cost HW W1'!$B$7:$GE$7,0))</f>
        <v>499.25</v>
      </c>
      <c r="K94" s="321">
        <f>INDEX('WP Cost HW W1'!$B$9:$GE$66,MATCH(I94,'WP Cost HW W1'!$B$9:$B$66,0),MATCH($E$1,'WP Cost HW W1'!$B$7:$GE$7,0))</f>
        <v>1080</v>
      </c>
      <c r="L94" s="321">
        <f t="shared" si="13"/>
        <v>2.1632448673009512</v>
      </c>
      <c r="M94" s="318">
        <f t="shared" si="14"/>
        <v>11917.388082123183</v>
      </c>
    </row>
    <row r="95" spans="1:13" x14ac:dyDescent="0.4">
      <c r="A95" s="314" t="s">
        <v>1053</v>
      </c>
      <c r="B95" s="312">
        <v>39020</v>
      </c>
      <c r="C95" s="309">
        <f t="shared" si="9"/>
        <v>2006</v>
      </c>
      <c r="D95" s="313">
        <v>166410.54999999999</v>
      </c>
      <c r="E95" s="317">
        <f t="shared" si="10"/>
        <v>17</v>
      </c>
      <c r="F95" s="318">
        <f>VLOOKUP(I95,'WP Cost HW and Useful Life'!$A$3:$B$15,2,FALSE)</f>
        <v>75</v>
      </c>
      <c r="G95" s="318">
        <f t="shared" si="11"/>
        <v>37719.724666666662</v>
      </c>
      <c r="H95" s="318">
        <f t="shared" si="12"/>
        <v>128690.82533333333</v>
      </c>
      <c r="I95" s="309" t="s">
        <v>29</v>
      </c>
      <c r="J95" s="321">
        <f>INDEX('WP Cost HW W1'!$B$9:$GE$66,MATCH(I95,'WP Cost HW W1'!$B$9:$B$66,0),MATCH(C95,'WP Cost HW W1'!$B$7:$GE$7,0))</f>
        <v>499.25</v>
      </c>
      <c r="K95" s="321">
        <f>INDEX('WP Cost HW W1'!$B$9:$GE$66,MATCH(I95,'WP Cost HW W1'!$B$9:$B$66,0),MATCH($E$1,'WP Cost HW W1'!$B$7:$GE$7,0))</f>
        <v>1080</v>
      </c>
      <c r="L95" s="321">
        <f t="shared" si="13"/>
        <v>2.1632448673009512</v>
      </c>
      <c r="M95" s="318">
        <f t="shared" si="14"/>
        <v>278389.76737105654</v>
      </c>
    </row>
    <row r="96" spans="1:13" x14ac:dyDescent="0.4">
      <c r="A96" s="314" t="s">
        <v>1053</v>
      </c>
      <c r="B96" s="312">
        <v>39020</v>
      </c>
      <c r="C96" s="309">
        <f t="shared" si="9"/>
        <v>2006</v>
      </c>
      <c r="D96" s="313">
        <v>20740.73</v>
      </c>
      <c r="E96" s="317">
        <f t="shared" si="10"/>
        <v>17</v>
      </c>
      <c r="F96" s="318">
        <f>VLOOKUP(I96,'WP Cost HW and Useful Life'!$A$3:$B$15,2,FALSE)</f>
        <v>75</v>
      </c>
      <c r="G96" s="318">
        <f t="shared" si="11"/>
        <v>4701.2321333333339</v>
      </c>
      <c r="H96" s="318">
        <f t="shared" si="12"/>
        <v>16039.497866666665</v>
      </c>
      <c r="I96" s="309" t="s">
        <v>29</v>
      </c>
      <c r="J96" s="321">
        <f>INDEX('WP Cost HW W1'!$B$9:$GE$66,MATCH(I96,'WP Cost HW W1'!$B$9:$B$66,0),MATCH(C96,'WP Cost HW W1'!$B$7:$GE$7,0))</f>
        <v>499.25</v>
      </c>
      <c r="K96" s="321">
        <f>INDEX('WP Cost HW W1'!$B$9:$GE$66,MATCH(I96,'WP Cost HW W1'!$B$9:$B$66,0),MATCH($E$1,'WP Cost HW W1'!$B$7:$GE$7,0))</f>
        <v>1080</v>
      </c>
      <c r="L96" s="321">
        <f t="shared" si="13"/>
        <v>2.1632448673009512</v>
      </c>
      <c r="M96" s="318">
        <f t="shared" si="14"/>
        <v>34697.361434151222</v>
      </c>
    </row>
    <row r="97" spans="1:13" x14ac:dyDescent="0.4">
      <c r="A97" s="314" t="s">
        <v>1053</v>
      </c>
      <c r="B97" s="312">
        <v>39035</v>
      </c>
      <c r="C97" s="309">
        <f t="shared" si="9"/>
        <v>2006</v>
      </c>
      <c r="D97" s="313">
        <v>5847.34</v>
      </c>
      <c r="E97" s="317">
        <f t="shared" si="10"/>
        <v>17</v>
      </c>
      <c r="F97" s="318">
        <f>VLOOKUP(I97,'WP Cost HW and Useful Life'!$A$3:$B$15,2,FALSE)</f>
        <v>75</v>
      </c>
      <c r="G97" s="318">
        <f t="shared" si="11"/>
        <v>1325.3970666666667</v>
      </c>
      <c r="H97" s="318">
        <f t="shared" si="12"/>
        <v>4521.9429333333337</v>
      </c>
      <c r="I97" s="309" t="s">
        <v>29</v>
      </c>
      <c r="J97" s="321">
        <f>INDEX('WP Cost HW W1'!$B$9:$GE$66,MATCH(I97,'WP Cost HW W1'!$B$9:$B$66,0),MATCH(C97,'WP Cost HW W1'!$B$7:$GE$7,0))</f>
        <v>499.25</v>
      </c>
      <c r="K97" s="321">
        <f>INDEX('WP Cost HW W1'!$B$9:$GE$66,MATCH(I97,'WP Cost HW W1'!$B$9:$B$66,0),MATCH($E$1,'WP Cost HW W1'!$B$7:$GE$7,0))</f>
        <v>1080</v>
      </c>
      <c r="L97" s="321">
        <f t="shared" si="13"/>
        <v>2.1632448673009512</v>
      </c>
      <c r="M97" s="318">
        <f t="shared" si="14"/>
        <v>9782.0698407611417</v>
      </c>
    </row>
    <row r="98" spans="1:13" x14ac:dyDescent="0.4">
      <c r="A98" s="314" t="s">
        <v>1053</v>
      </c>
      <c r="B98" s="312">
        <v>39035</v>
      </c>
      <c r="C98" s="309">
        <f t="shared" si="9"/>
        <v>2006</v>
      </c>
      <c r="D98" s="313">
        <v>5291.59</v>
      </c>
      <c r="E98" s="317">
        <f t="shared" si="10"/>
        <v>17</v>
      </c>
      <c r="F98" s="318">
        <f>VLOOKUP(I98,'WP Cost HW and Useful Life'!$A$3:$B$15,2,FALSE)</f>
        <v>75</v>
      </c>
      <c r="G98" s="318">
        <f t="shared" si="11"/>
        <v>1199.4270666666669</v>
      </c>
      <c r="H98" s="318">
        <f t="shared" si="12"/>
        <v>4092.1629333333331</v>
      </c>
      <c r="I98" s="309" t="s">
        <v>29</v>
      </c>
      <c r="J98" s="321">
        <f>INDEX('WP Cost HW W1'!$B$9:$GE$66,MATCH(I98,'WP Cost HW W1'!$B$9:$B$66,0),MATCH(C98,'WP Cost HW W1'!$B$7:$GE$7,0))</f>
        <v>499.25</v>
      </c>
      <c r="K98" s="321">
        <f>INDEX('WP Cost HW W1'!$B$9:$GE$66,MATCH(I98,'WP Cost HW W1'!$B$9:$B$66,0),MATCH($E$1,'WP Cost HW W1'!$B$7:$GE$7,0))</f>
        <v>1080</v>
      </c>
      <c r="L98" s="321">
        <f t="shared" si="13"/>
        <v>2.1632448673009512</v>
      </c>
      <c r="M98" s="318">
        <f t="shared" si="14"/>
        <v>8852.3504616925366</v>
      </c>
    </row>
    <row r="99" spans="1:13" x14ac:dyDescent="0.4">
      <c r="A99" s="314" t="s">
        <v>1053</v>
      </c>
      <c r="B99" s="312">
        <v>39036</v>
      </c>
      <c r="C99" s="309">
        <f t="shared" si="9"/>
        <v>2006</v>
      </c>
      <c r="D99" s="313">
        <v>42542.9</v>
      </c>
      <c r="E99" s="317">
        <f t="shared" si="10"/>
        <v>17</v>
      </c>
      <c r="F99" s="318">
        <f>VLOOKUP(I99,'WP Cost HW and Useful Life'!$A$3:$B$15,2,FALSE)</f>
        <v>75</v>
      </c>
      <c r="G99" s="318">
        <f t="shared" si="11"/>
        <v>9643.0573333333323</v>
      </c>
      <c r="H99" s="318">
        <f t="shared" si="12"/>
        <v>32899.842666666671</v>
      </c>
      <c r="I99" s="309" t="s">
        <v>29</v>
      </c>
      <c r="J99" s="321">
        <f>INDEX('WP Cost HW W1'!$B$9:$GE$66,MATCH(I99,'WP Cost HW W1'!$B$9:$B$66,0),MATCH(C99,'WP Cost HW W1'!$B$7:$GE$7,0))</f>
        <v>499.25</v>
      </c>
      <c r="K99" s="321">
        <f>INDEX('WP Cost HW W1'!$B$9:$GE$66,MATCH(I99,'WP Cost HW W1'!$B$9:$B$66,0),MATCH($E$1,'WP Cost HW W1'!$B$7:$GE$7,0))</f>
        <v>1080</v>
      </c>
      <c r="L99" s="321">
        <f t="shared" si="13"/>
        <v>2.1632448673009512</v>
      </c>
      <c r="M99" s="318">
        <f t="shared" si="14"/>
        <v>71170.415783675518</v>
      </c>
    </row>
    <row r="100" spans="1:13" x14ac:dyDescent="0.4">
      <c r="A100" s="314" t="s">
        <v>1053</v>
      </c>
      <c r="B100" s="312">
        <v>39036</v>
      </c>
      <c r="C100" s="309">
        <f t="shared" si="9"/>
        <v>2006</v>
      </c>
      <c r="D100" s="313">
        <v>64965.56</v>
      </c>
      <c r="E100" s="317">
        <f t="shared" si="10"/>
        <v>17</v>
      </c>
      <c r="F100" s="318">
        <f>VLOOKUP(I100,'WP Cost HW and Useful Life'!$A$3:$B$15,2,FALSE)</f>
        <v>75</v>
      </c>
      <c r="G100" s="318">
        <f t="shared" si="11"/>
        <v>14725.526933333333</v>
      </c>
      <c r="H100" s="318">
        <f t="shared" ref="H100:H118" si="15">IFERROR(D100-G100,"NA")</f>
        <v>50240.033066666663</v>
      </c>
      <c r="I100" s="309" t="s">
        <v>29</v>
      </c>
      <c r="J100" s="321">
        <f>INDEX('WP Cost HW W1'!$B$9:$GE$66,MATCH(I100,'WP Cost HW W1'!$B$9:$B$66,0),MATCH(C100,'WP Cost HW W1'!$B$7:$GE$7,0))</f>
        <v>499.25</v>
      </c>
      <c r="K100" s="321">
        <f>INDEX('WP Cost HW W1'!$B$9:$GE$66,MATCH(I100,'WP Cost HW W1'!$B$9:$B$66,0),MATCH($E$1,'WP Cost HW W1'!$B$7:$GE$7,0))</f>
        <v>1080</v>
      </c>
      <c r="L100" s="321">
        <f t="shared" ref="L100:L118" si="16">K100/J100</f>
        <v>2.1632448673009512</v>
      </c>
      <c r="M100" s="318">
        <f t="shared" ref="M100:M118" si="17">IFERROR(H100*L100,"NA")</f>
        <v>108681.49366449672</v>
      </c>
    </row>
    <row r="101" spans="1:13" x14ac:dyDescent="0.4">
      <c r="A101" s="314" t="s">
        <v>1053</v>
      </c>
      <c r="B101" s="312">
        <v>39070</v>
      </c>
      <c r="C101" s="309">
        <f t="shared" si="9"/>
        <v>2006</v>
      </c>
      <c r="D101" s="313">
        <v>9858.26</v>
      </c>
      <c r="E101" s="317">
        <f t="shared" si="10"/>
        <v>17</v>
      </c>
      <c r="F101" s="318">
        <f>VLOOKUP(I101,'WP Cost HW and Useful Life'!$A$3:$B$15,2,FALSE)</f>
        <v>75</v>
      </c>
      <c r="G101" s="318">
        <f t="shared" si="11"/>
        <v>2234.5389333333333</v>
      </c>
      <c r="H101" s="318">
        <f t="shared" si="15"/>
        <v>7623.721066666667</v>
      </c>
      <c r="I101" s="309" t="s">
        <v>29</v>
      </c>
      <c r="J101" s="321">
        <f>INDEX('WP Cost HW W1'!$B$9:$GE$66,MATCH(I101,'WP Cost HW W1'!$B$9:$B$66,0),MATCH(C101,'WP Cost HW W1'!$B$7:$GE$7,0))</f>
        <v>499.25</v>
      </c>
      <c r="K101" s="321">
        <f>INDEX('WP Cost HW W1'!$B$9:$GE$66,MATCH(I101,'WP Cost HW W1'!$B$9:$B$66,0),MATCH($E$1,'WP Cost HW W1'!$B$7:$GE$7,0))</f>
        <v>1080</v>
      </c>
      <c r="L101" s="321">
        <f t="shared" si="16"/>
        <v>2.1632448673009512</v>
      </c>
      <c r="M101" s="318">
        <f t="shared" si="17"/>
        <v>16491.975467200802</v>
      </c>
    </row>
    <row r="102" spans="1:13" x14ac:dyDescent="0.4">
      <c r="A102" s="314" t="s">
        <v>1053</v>
      </c>
      <c r="B102" s="312">
        <v>39070</v>
      </c>
      <c r="C102" s="309">
        <f t="shared" si="9"/>
        <v>2006</v>
      </c>
      <c r="D102" s="313">
        <v>10501.36</v>
      </c>
      <c r="E102" s="317">
        <f t="shared" si="10"/>
        <v>17</v>
      </c>
      <c r="F102" s="318">
        <f>VLOOKUP(I102,'WP Cost HW and Useful Life'!$A$3:$B$15,2,FALSE)</f>
        <v>75</v>
      </c>
      <c r="G102" s="318">
        <f t="shared" si="11"/>
        <v>2380.3082666666669</v>
      </c>
      <c r="H102" s="318">
        <f t="shared" si="15"/>
        <v>8121.0517333333337</v>
      </c>
      <c r="I102" s="309" t="s">
        <v>29</v>
      </c>
      <c r="J102" s="321">
        <f>INDEX('WP Cost HW W1'!$B$9:$GE$66,MATCH(I102,'WP Cost HW W1'!$B$9:$B$66,0),MATCH(C102,'WP Cost HW W1'!$B$7:$GE$7,0))</f>
        <v>499.25</v>
      </c>
      <c r="K102" s="321">
        <f>INDEX('WP Cost HW W1'!$B$9:$GE$66,MATCH(I102,'WP Cost HW W1'!$B$9:$B$66,0),MATCH($E$1,'WP Cost HW W1'!$B$7:$GE$7,0))</f>
        <v>1080</v>
      </c>
      <c r="L102" s="321">
        <f t="shared" si="16"/>
        <v>2.1632448673009512</v>
      </c>
      <c r="M102" s="318">
        <f t="shared" si="17"/>
        <v>17567.823479218827</v>
      </c>
    </row>
    <row r="103" spans="1:13" x14ac:dyDescent="0.4">
      <c r="A103" s="314" t="s">
        <v>1053</v>
      </c>
      <c r="B103" s="312">
        <v>39070</v>
      </c>
      <c r="C103" s="309">
        <f t="shared" si="9"/>
        <v>2006</v>
      </c>
      <c r="D103" s="313">
        <v>135104.24</v>
      </c>
      <c r="E103" s="317">
        <f t="shared" si="10"/>
        <v>17</v>
      </c>
      <c r="F103" s="318">
        <f>VLOOKUP(I103,'WP Cost HW and Useful Life'!$A$3:$B$15,2,FALSE)</f>
        <v>75</v>
      </c>
      <c r="G103" s="318">
        <f t="shared" si="11"/>
        <v>30623.627733333335</v>
      </c>
      <c r="H103" s="318">
        <f t="shared" si="15"/>
        <v>104480.61226666666</v>
      </c>
      <c r="I103" s="309" t="s">
        <v>29</v>
      </c>
      <c r="J103" s="321">
        <f>INDEX('WP Cost HW W1'!$B$9:$GE$66,MATCH(I103,'WP Cost HW W1'!$B$9:$B$66,0),MATCH(C103,'WP Cost HW W1'!$B$7:$GE$7,0))</f>
        <v>499.25</v>
      </c>
      <c r="K103" s="321">
        <f>INDEX('WP Cost HW W1'!$B$9:$GE$66,MATCH(I103,'WP Cost HW W1'!$B$9:$B$66,0),MATCH($E$1,'WP Cost HW W1'!$B$7:$GE$7,0))</f>
        <v>1080</v>
      </c>
      <c r="L103" s="321">
        <f t="shared" si="16"/>
        <v>2.1632448673009512</v>
      </c>
      <c r="M103" s="318">
        <f t="shared" si="17"/>
        <v>226017.14821832746</v>
      </c>
    </row>
    <row r="104" spans="1:13" x14ac:dyDescent="0.4">
      <c r="A104" s="314" t="s">
        <v>1053</v>
      </c>
      <c r="B104" s="312">
        <v>39070</v>
      </c>
      <c r="C104" s="309">
        <f t="shared" si="9"/>
        <v>2006</v>
      </c>
      <c r="D104" s="313">
        <v>147182.79</v>
      </c>
      <c r="E104" s="317">
        <f t="shared" si="10"/>
        <v>17</v>
      </c>
      <c r="F104" s="318">
        <f>VLOOKUP(I104,'WP Cost HW and Useful Life'!$A$3:$B$15,2,FALSE)</f>
        <v>75</v>
      </c>
      <c r="G104" s="318">
        <f t="shared" si="11"/>
        <v>33361.432399999998</v>
      </c>
      <c r="H104" s="318">
        <f t="shared" si="15"/>
        <v>113821.35760000002</v>
      </c>
      <c r="I104" s="309" t="s">
        <v>29</v>
      </c>
      <c r="J104" s="321">
        <f>INDEX('WP Cost HW W1'!$B$9:$GE$66,MATCH(I104,'WP Cost HW W1'!$B$9:$B$66,0),MATCH(C104,'WP Cost HW W1'!$B$7:$GE$7,0))</f>
        <v>499.25</v>
      </c>
      <c r="K104" s="321">
        <f>INDEX('WP Cost HW W1'!$B$9:$GE$66,MATCH(I104,'WP Cost HW W1'!$B$9:$B$66,0),MATCH($E$1,'WP Cost HW W1'!$B$7:$GE$7,0))</f>
        <v>1080</v>
      </c>
      <c r="L104" s="321">
        <f t="shared" si="16"/>
        <v>2.1632448673009512</v>
      </c>
      <c r="M104" s="318">
        <f t="shared" si="17"/>
        <v>246223.46761742615</v>
      </c>
    </row>
    <row r="105" spans="1:13" x14ac:dyDescent="0.4">
      <c r="A105" s="314" t="s">
        <v>1053</v>
      </c>
      <c r="B105" s="312">
        <v>39141</v>
      </c>
      <c r="C105" s="309">
        <f t="shared" si="9"/>
        <v>2007</v>
      </c>
      <c r="D105" s="313">
        <v>124304.27</v>
      </c>
      <c r="E105" s="317">
        <f t="shared" si="10"/>
        <v>16</v>
      </c>
      <c r="F105" s="318">
        <f>VLOOKUP(I105,'WP Cost HW and Useful Life'!$A$3:$B$15,2,FALSE)</f>
        <v>75</v>
      </c>
      <c r="G105" s="318">
        <f t="shared" si="11"/>
        <v>26518.244266666668</v>
      </c>
      <c r="H105" s="318">
        <f t="shared" si="15"/>
        <v>97786.025733333343</v>
      </c>
      <c r="I105" s="309" t="s">
        <v>29</v>
      </c>
      <c r="J105" s="321">
        <f>INDEX('WP Cost HW W1'!$B$9:$GE$66,MATCH(I105,'WP Cost HW W1'!$B$9:$B$66,0),MATCH(C105,'WP Cost HW W1'!$B$7:$GE$7,0))</f>
        <v>529.87862322144701</v>
      </c>
      <c r="K105" s="321">
        <f>INDEX('WP Cost HW W1'!$B$9:$GE$66,MATCH(I105,'WP Cost HW W1'!$B$9:$B$66,0),MATCH($E$1,'WP Cost HW W1'!$B$7:$GE$7,0))</f>
        <v>1080</v>
      </c>
      <c r="L105" s="321">
        <f t="shared" si="16"/>
        <v>2.0382026235254371</v>
      </c>
      <c r="M105" s="318">
        <f t="shared" si="17"/>
        <v>199307.73419380593</v>
      </c>
    </row>
    <row r="106" spans="1:13" x14ac:dyDescent="0.4">
      <c r="A106" s="314" t="s">
        <v>1053</v>
      </c>
      <c r="B106" s="312">
        <v>39141</v>
      </c>
      <c r="C106" s="309">
        <f t="shared" si="9"/>
        <v>2007</v>
      </c>
      <c r="D106" s="313">
        <v>148637.95000000001</v>
      </c>
      <c r="E106" s="317">
        <f t="shared" si="10"/>
        <v>16</v>
      </c>
      <c r="F106" s="318">
        <f>VLOOKUP(I106,'WP Cost HW and Useful Life'!$A$3:$B$15,2,FALSE)</f>
        <v>75</v>
      </c>
      <c r="G106" s="318">
        <f t="shared" si="11"/>
        <v>31709.429333333337</v>
      </c>
      <c r="H106" s="318">
        <f t="shared" si="15"/>
        <v>116928.52066666668</v>
      </c>
      <c r="I106" s="309" t="s">
        <v>29</v>
      </c>
      <c r="J106" s="321">
        <f>INDEX('WP Cost HW W1'!$B$9:$GE$66,MATCH(I106,'WP Cost HW W1'!$B$9:$B$66,0),MATCH(C106,'WP Cost HW W1'!$B$7:$GE$7,0))</f>
        <v>529.87862322144701</v>
      </c>
      <c r="K106" s="321">
        <f>INDEX('WP Cost HW W1'!$B$9:$GE$66,MATCH(I106,'WP Cost HW W1'!$B$9:$B$66,0),MATCH($E$1,'WP Cost HW W1'!$B$7:$GE$7,0))</f>
        <v>1080</v>
      </c>
      <c r="L106" s="321">
        <f t="shared" si="16"/>
        <v>2.0382026235254371</v>
      </c>
      <c r="M106" s="318">
        <f t="shared" si="17"/>
        <v>238324.01758774833</v>
      </c>
    </row>
    <row r="107" spans="1:13" x14ac:dyDescent="0.4">
      <c r="A107" s="314" t="s">
        <v>1053</v>
      </c>
      <c r="B107" s="312">
        <v>39141</v>
      </c>
      <c r="C107" s="309">
        <f t="shared" si="9"/>
        <v>2007</v>
      </c>
      <c r="D107" s="313">
        <v>540908.92000000004</v>
      </c>
      <c r="E107" s="317">
        <f t="shared" si="10"/>
        <v>16</v>
      </c>
      <c r="F107" s="318">
        <f>VLOOKUP(I107,'WP Cost HW and Useful Life'!$A$3:$B$15,2,FALSE)</f>
        <v>75</v>
      </c>
      <c r="G107" s="318">
        <f t="shared" si="11"/>
        <v>115393.90293333335</v>
      </c>
      <c r="H107" s="318">
        <f t="shared" si="15"/>
        <v>425515.01706666668</v>
      </c>
      <c r="I107" s="309" t="s">
        <v>29</v>
      </c>
      <c r="J107" s="321">
        <f>INDEX('WP Cost HW W1'!$B$9:$GE$66,MATCH(I107,'WP Cost HW W1'!$B$9:$B$66,0),MATCH(C107,'WP Cost HW W1'!$B$7:$GE$7,0))</f>
        <v>529.87862322144701</v>
      </c>
      <c r="K107" s="321">
        <f>INDEX('WP Cost HW W1'!$B$9:$GE$66,MATCH(I107,'WP Cost HW W1'!$B$9:$B$66,0),MATCH($E$1,'WP Cost HW W1'!$B$7:$GE$7,0))</f>
        <v>1080</v>
      </c>
      <c r="L107" s="321">
        <f t="shared" si="16"/>
        <v>2.0382026235254371</v>
      </c>
      <c r="M107" s="318">
        <f t="shared" si="17"/>
        <v>867285.82413475122</v>
      </c>
    </row>
    <row r="108" spans="1:13" x14ac:dyDescent="0.4">
      <c r="A108" s="314" t="s">
        <v>1053</v>
      </c>
      <c r="B108" s="312">
        <v>39141</v>
      </c>
      <c r="C108" s="309">
        <f t="shared" si="9"/>
        <v>2007</v>
      </c>
      <c r="D108" s="313">
        <v>32886.959999999999</v>
      </c>
      <c r="E108" s="317">
        <f t="shared" si="10"/>
        <v>16</v>
      </c>
      <c r="F108" s="318">
        <f>VLOOKUP(I108,'WP Cost HW and Useful Life'!$A$3:$B$15,2,FALSE)</f>
        <v>75</v>
      </c>
      <c r="G108" s="318">
        <f t="shared" si="11"/>
        <v>7015.8847999999998</v>
      </c>
      <c r="H108" s="318">
        <f t="shared" si="15"/>
        <v>25871.075199999999</v>
      </c>
      <c r="I108" s="309" t="s">
        <v>29</v>
      </c>
      <c r="J108" s="321">
        <f>INDEX('WP Cost HW W1'!$B$9:$GE$66,MATCH(I108,'WP Cost HW W1'!$B$9:$B$66,0),MATCH(C108,'WP Cost HW W1'!$B$7:$GE$7,0))</f>
        <v>529.87862322144701</v>
      </c>
      <c r="K108" s="321">
        <f>INDEX('WP Cost HW W1'!$B$9:$GE$66,MATCH(I108,'WP Cost HW W1'!$B$9:$B$66,0),MATCH($E$1,'WP Cost HW W1'!$B$7:$GE$7,0))</f>
        <v>1080</v>
      </c>
      <c r="L108" s="321">
        <f t="shared" si="16"/>
        <v>2.0382026235254371</v>
      </c>
      <c r="M108" s="318">
        <f t="shared" si="17"/>
        <v>52730.493346063871</v>
      </c>
    </row>
    <row r="109" spans="1:13" x14ac:dyDescent="0.4">
      <c r="A109" s="314" t="s">
        <v>1053</v>
      </c>
      <c r="B109" s="312">
        <v>39141</v>
      </c>
      <c r="C109" s="309">
        <f t="shared" si="9"/>
        <v>2007</v>
      </c>
      <c r="D109" s="313">
        <v>17776.78</v>
      </c>
      <c r="E109" s="317">
        <f t="shared" si="10"/>
        <v>16</v>
      </c>
      <c r="F109" s="318">
        <f>VLOOKUP(I109,'WP Cost HW and Useful Life'!$A$3:$B$15,2,FALSE)</f>
        <v>75</v>
      </c>
      <c r="G109" s="318">
        <f t="shared" si="11"/>
        <v>3792.3797333333332</v>
      </c>
      <c r="H109" s="318">
        <f t="shared" si="15"/>
        <v>13984.400266666666</v>
      </c>
      <c r="I109" s="309" t="s">
        <v>29</v>
      </c>
      <c r="J109" s="321">
        <f>INDEX('WP Cost HW W1'!$B$9:$GE$66,MATCH(I109,'WP Cost HW W1'!$B$9:$B$66,0),MATCH(C109,'WP Cost HW W1'!$B$7:$GE$7,0))</f>
        <v>529.87862322144701</v>
      </c>
      <c r="K109" s="321">
        <f>INDEX('WP Cost HW W1'!$B$9:$GE$66,MATCH(I109,'WP Cost HW W1'!$B$9:$B$66,0),MATCH($E$1,'WP Cost HW W1'!$B$7:$GE$7,0))</f>
        <v>1080</v>
      </c>
      <c r="L109" s="321">
        <f t="shared" si="16"/>
        <v>2.0382026235254371</v>
      </c>
      <c r="M109" s="318">
        <f t="shared" si="17"/>
        <v>28503.041311949819</v>
      </c>
    </row>
    <row r="110" spans="1:13" x14ac:dyDescent="0.4">
      <c r="A110" s="314" t="s">
        <v>1053</v>
      </c>
      <c r="B110" s="312">
        <v>39141</v>
      </c>
      <c r="C110" s="309">
        <f t="shared" si="9"/>
        <v>2007</v>
      </c>
      <c r="D110" s="313">
        <v>34109.74</v>
      </c>
      <c r="E110" s="317">
        <f t="shared" si="10"/>
        <v>16</v>
      </c>
      <c r="F110" s="318">
        <f>VLOOKUP(I110,'WP Cost HW and Useful Life'!$A$3:$B$15,2,FALSE)</f>
        <v>75</v>
      </c>
      <c r="G110" s="318">
        <f t="shared" si="11"/>
        <v>7276.7445333333326</v>
      </c>
      <c r="H110" s="318">
        <f t="shared" si="15"/>
        <v>26832.995466666667</v>
      </c>
      <c r="I110" s="309" t="s">
        <v>29</v>
      </c>
      <c r="J110" s="321">
        <f>INDEX('WP Cost HW W1'!$B$9:$GE$66,MATCH(I110,'WP Cost HW W1'!$B$9:$B$66,0),MATCH(C110,'WP Cost HW W1'!$B$7:$GE$7,0))</f>
        <v>529.87862322144701</v>
      </c>
      <c r="K110" s="321">
        <f>INDEX('WP Cost HW W1'!$B$9:$GE$66,MATCH(I110,'WP Cost HW W1'!$B$9:$B$66,0),MATCH($E$1,'WP Cost HW W1'!$B$7:$GE$7,0))</f>
        <v>1080</v>
      </c>
      <c r="L110" s="321">
        <f t="shared" si="16"/>
        <v>2.0382026235254371</v>
      </c>
      <c r="M110" s="318">
        <f t="shared" si="17"/>
        <v>54691.081757206164</v>
      </c>
    </row>
    <row r="111" spans="1:13" x14ac:dyDescent="0.4">
      <c r="A111" s="314" t="s">
        <v>1053</v>
      </c>
      <c r="B111" s="312">
        <v>39141</v>
      </c>
      <c r="C111" s="309">
        <f t="shared" si="9"/>
        <v>2007</v>
      </c>
      <c r="D111" s="313">
        <v>9405.9500000000007</v>
      </c>
      <c r="E111" s="317">
        <f t="shared" si="10"/>
        <v>16</v>
      </c>
      <c r="F111" s="318">
        <f>VLOOKUP(I111,'WP Cost HW and Useful Life'!$A$3:$B$15,2,FALSE)</f>
        <v>75</v>
      </c>
      <c r="G111" s="318">
        <f t="shared" si="11"/>
        <v>2006.6026666666669</v>
      </c>
      <c r="H111" s="318">
        <f t="shared" si="15"/>
        <v>7399.3473333333341</v>
      </c>
      <c r="I111" s="309" t="s">
        <v>29</v>
      </c>
      <c r="J111" s="321">
        <f>INDEX('WP Cost HW W1'!$B$9:$GE$66,MATCH(I111,'WP Cost HW W1'!$B$9:$B$66,0),MATCH(C111,'WP Cost HW W1'!$B$7:$GE$7,0))</f>
        <v>529.87862322144701</v>
      </c>
      <c r="K111" s="321">
        <f>INDEX('WP Cost HW W1'!$B$9:$GE$66,MATCH(I111,'WP Cost HW W1'!$B$9:$B$66,0),MATCH($E$1,'WP Cost HW W1'!$B$7:$GE$7,0))</f>
        <v>1080</v>
      </c>
      <c r="L111" s="321">
        <f t="shared" si="16"/>
        <v>2.0382026235254371</v>
      </c>
      <c r="M111" s="318">
        <f t="shared" si="17"/>
        <v>15081.369147175948</v>
      </c>
    </row>
    <row r="112" spans="1:13" x14ac:dyDescent="0.4">
      <c r="A112" s="314" t="s">
        <v>1053</v>
      </c>
      <c r="B112" s="312">
        <v>39141</v>
      </c>
      <c r="C112" s="309">
        <f t="shared" si="9"/>
        <v>2007</v>
      </c>
      <c r="D112" s="313">
        <v>3610.95</v>
      </c>
      <c r="E112" s="317">
        <f t="shared" si="10"/>
        <v>16</v>
      </c>
      <c r="F112" s="318">
        <f>VLOOKUP(I112,'WP Cost HW and Useful Life'!$A$3:$B$15,2,FALSE)</f>
        <v>75</v>
      </c>
      <c r="G112" s="318">
        <f t="shared" si="11"/>
        <v>770.33600000000001</v>
      </c>
      <c r="H112" s="318">
        <f t="shared" si="15"/>
        <v>2840.6139999999996</v>
      </c>
      <c r="I112" s="309" t="s">
        <v>29</v>
      </c>
      <c r="J112" s="321">
        <f>INDEX('WP Cost HW W1'!$B$9:$GE$66,MATCH(I112,'WP Cost HW W1'!$B$9:$B$66,0),MATCH(C112,'WP Cost HW W1'!$B$7:$GE$7,0))</f>
        <v>529.87862322144701</v>
      </c>
      <c r="K112" s="321">
        <f>INDEX('WP Cost HW W1'!$B$9:$GE$66,MATCH(I112,'WP Cost HW W1'!$B$9:$B$66,0),MATCH($E$1,'WP Cost HW W1'!$B$7:$GE$7,0))</f>
        <v>1080</v>
      </c>
      <c r="L112" s="321">
        <f t="shared" si="16"/>
        <v>2.0382026235254371</v>
      </c>
      <c r="M112" s="318">
        <f t="shared" si="17"/>
        <v>5789.7469072230851</v>
      </c>
    </row>
    <row r="113" spans="1:13" x14ac:dyDescent="0.4">
      <c r="A113" s="314" t="s">
        <v>1053</v>
      </c>
      <c r="B113" s="312">
        <v>39233</v>
      </c>
      <c r="C113" s="309">
        <f t="shared" si="9"/>
        <v>2007</v>
      </c>
      <c r="D113" s="313">
        <v>71285.69</v>
      </c>
      <c r="E113" s="317">
        <f t="shared" si="10"/>
        <v>16</v>
      </c>
      <c r="F113" s="318">
        <f>VLOOKUP(I113,'WP Cost HW and Useful Life'!$A$3:$B$15,2,FALSE)</f>
        <v>75</v>
      </c>
      <c r="G113" s="318">
        <f t="shared" si="11"/>
        <v>15207.613866666667</v>
      </c>
      <c r="H113" s="318">
        <f t="shared" si="15"/>
        <v>56078.076133333336</v>
      </c>
      <c r="I113" s="309" t="s">
        <v>29</v>
      </c>
      <c r="J113" s="321">
        <f>INDEX('WP Cost HW W1'!$B$9:$GE$66,MATCH(I113,'WP Cost HW W1'!$B$9:$B$66,0),MATCH(C113,'WP Cost HW W1'!$B$7:$GE$7,0))</f>
        <v>529.87862322144701</v>
      </c>
      <c r="K113" s="321">
        <f>INDEX('WP Cost HW W1'!$B$9:$GE$66,MATCH(I113,'WP Cost HW W1'!$B$9:$B$66,0),MATCH($E$1,'WP Cost HW W1'!$B$7:$GE$7,0))</f>
        <v>1080</v>
      </c>
      <c r="L113" s="321">
        <f t="shared" si="16"/>
        <v>2.0382026235254371</v>
      </c>
      <c r="M113" s="318">
        <f t="shared" si="17"/>
        <v>114298.4818972192</v>
      </c>
    </row>
    <row r="114" spans="1:13" x14ac:dyDescent="0.4">
      <c r="A114" s="314" t="s">
        <v>1053</v>
      </c>
      <c r="B114" s="312">
        <v>39262</v>
      </c>
      <c r="C114" s="309">
        <f t="shared" si="9"/>
        <v>2007</v>
      </c>
      <c r="D114" s="313">
        <v>360.22</v>
      </c>
      <c r="E114" s="317">
        <f t="shared" si="10"/>
        <v>16</v>
      </c>
      <c r="F114" s="318">
        <f>VLOOKUP(I114,'WP Cost HW and Useful Life'!$A$3:$B$15,2,FALSE)</f>
        <v>75</v>
      </c>
      <c r="G114" s="318">
        <f t="shared" si="11"/>
        <v>76.84693333333334</v>
      </c>
      <c r="H114" s="318">
        <f t="shared" si="15"/>
        <v>283.37306666666666</v>
      </c>
      <c r="I114" s="309" t="s">
        <v>29</v>
      </c>
      <c r="J114" s="321">
        <f>INDEX('WP Cost HW W1'!$B$9:$GE$66,MATCH(I114,'WP Cost HW W1'!$B$9:$B$66,0),MATCH(C114,'WP Cost HW W1'!$B$7:$GE$7,0))</f>
        <v>529.87862322144701</v>
      </c>
      <c r="K114" s="321">
        <f>INDEX('WP Cost HW W1'!$B$9:$GE$66,MATCH(I114,'WP Cost HW W1'!$B$9:$B$66,0),MATCH($E$1,'WP Cost HW W1'!$B$7:$GE$7,0))</f>
        <v>1080</v>
      </c>
      <c r="L114" s="321">
        <f t="shared" si="16"/>
        <v>2.0382026235254371</v>
      </c>
      <c r="M114" s="318">
        <f t="shared" si="17"/>
        <v>577.57172791644859</v>
      </c>
    </row>
    <row r="115" spans="1:13" x14ac:dyDescent="0.4">
      <c r="A115" s="314" t="s">
        <v>1053</v>
      </c>
      <c r="B115" s="312">
        <v>39262</v>
      </c>
      <c r="C115" s="309">
        <f t="shared" si="9"/>
        <v>2007</v>
      </c>
      <c r="D115" s="313">
        <v>980.56</v>
      </c>
      <c r="E115" s="317">
        <f t="shared" si="10"/>
        <v>16</v>
      </c>
      <c r="F115" s="318">
        <f>VLOOKUP(I115,'WP Cost HW and Useful Life'!$A$3:$B$15,2,FALSE)</f>
        <v>75</v>
      </c>
      <c r="G115" s="318">
        <f t="shared" si="11"/>
        <v>209.18613333333332</v>
      </c>
      <c r="H115" s="318">
        <f t="shared" si="15"/>
        <v>771.37386666666657</v>
      </c>
      <c r="I115" s="309" t="s">
        <v>29</v>
      </c>
      <c r="J115" s="321">
        <f>INDEX('WP Cost HW W1'!$B$9:$GE$66,MATCH(I115,'WP Cost HW W1'!$B$9:$B$66,0),MATCH(C115,'WP Cost HW W1'!$B$7:$GE$7,0))</f>
        <v>529.87862322144701</v>
      </c>
      <c r="K115" s="321">
        <f>INDEX('WP Cost HW W1'!$B$9:$GE$66,MATCH(I115,'WP Cost HW W1'!$B$9:$B$66,0),MATCH($E$1,'WP Cost HW W1'!$B$7:$GE$7,0))</f>
        <v>1080</v>
      </c>
      <c r="L115" s="321">
        <f t="shared" si="16"/>
        <v>2.0382026235254371</v>
      </c>
      <c r="M115" s="318">
        <f t="shared" si="17"/>
        <v>1572.2162387589606</v>
      </c>
    </row>
    <row r="116" spans="1:13" x14ac:dyDescent="0.4">
      <c r="A116" s="314" t="s">
        <v>1053</v>
      </c>
      <c r="B116" s="312">
        <v>39262</v>
      </c>
      <c r="C116" s="309">
        <f t="shared" si="9"/>
        <v>2007</v>
      </c>
      <c r="D116" s="313">
        <v>12587.85</v>
      </c>
      <c r="E116" s="317">
        <f t="shared" si="10"/>
        <v>16</v>
      </c>
      <c r="F116" s="318">
        <f>VLOOKUP(I116,'WP Cost HW and Useful Life'!$A$3:$B$15,2,FALSE)</f>
        <v>75</v>
      </c>
      <c r="G116" s="318">
        <f t="shared" si="11"/>
        <v>2685.4079999999999</v>
      </c>
      <c r="H116" s="318">
        <f t="shared" si="15"/>
        <v>9902.4420000000009</v>
      </c>
      <c r="I116" s="309" t="s">
        <v>29</v>
      </c>
      <c r="J116" s="321">
        <f>INDEX('WP Cost HW W1'!$B$9:$GE$66,MATCH(I116,'WP Cost HW W1'!$B$9:$B$66,0),MATCH(C116,'WP Cost HW W1'!$B$7:$GE$7,0))</f>
        <v>529.87862322144701</v>
      </c>
      <c r="K116" s="321">
        <f>INDEX('WP Cost HW W1'!$B$9:$GE$66,MATCH(I116,'WP Cost HW W1'!$B$9:$B$66,0),MATCH($E$1,'WP Cost HW W1'!$B$7:$GE$7,0))</f>
        <v>1080</v>
      </c>
      <c r="L116" s="321">
        <f t="shared" si="16"/>
        <v>2.0382026235254371</v>
      </c>
      <c r="M116" s="318">
        <f t="shared" si="17"/>
        <v>20183.183263708477</v>
      </c>
    </row>
    <row r="117" spans="1:13" x14ac:dyDescent="0.4">
      <c r="A117" s="314" t="s">
        <v>1053</v>
      </c>
      <c r="B117" s="312">
        <v>39262</v>
      </c>
      <c r="C117" s="309">
        <f t="shared" si="9"/>
        <v>2007</v>
      </c>
      <c r="D117" s="313">
        <v>3294.76</v>
      </c>
      <c r="E117" s="317">
        <f t="shared" si="10"/>
        <v>16</v>
      </c>
      <c r="F117" s="318">
        <f>VLOOKUP(I117,'WP Cost HW and Useful Life'!$A$3:$B$15,2,FALSE)</f>
        <v>75</v>
      </c>
      <c r="G117" s="318">
        <f t="shared" si="11"/>
        <v>702.8821333333334</v>
      </c>
      <c r="H117" s="318">
        <f t="shared" si="15"/>
        <v>2591.8778666666667</v>
      </c>
      <c r="I117" s="309" t="s">
        <v>29</v>
      </c>
      <c r="J117" s="321">
        <f>INDEX('WP Cost HW W1'!$B$9:$GE$66,MATCH(I117,'WP Cost HW W1'!$B$9:$B$66,0),MATCH(C117,'WP Cost HW W1'!$B$7:$GE$7,0))</f>
        <v>529.87862322144701</v>
      </c>
      <c r="K117" s="321">
        <f>INDEX('WP Cost HW W1'!$B$9:$GE$66,MATCH(I117,'WP Cost HW W1'!$B$9:$B$66,0),MATCH($E$1,'WP Cost HW W1'!$B$7:$GE$7,0))</f>
        <v>1080</v>
      </c>
      <c r="L117" s="321">
        <f t="shared" si="16"/>
        <v>2.0382026235254371</v>
      </c>
      <c r="M117" s="318">
        <f t="shared" si="17"/>
        <v>5282.7722676975136</v>
      </c>
    </row>
    <row r="118" spans="1:13" x14ac:dyDescent="0.4">
      <c r="A118" s="314" t="s">
        <v>1060</v>
      </c>
      <c r="B118" s="312">
        <v>38656</v>
      </c>
      <c r="C118" s="309">
        <f t="shared" si="9"/>
        <v>2005</v>
      </c>
      <c r="D118" s="313">
        <v>9285</v>
      </c>
      <c r="E118" s="317">
        <f t="shared" si="10"/>
        <v>18</v>
      </c>
      <c r="F118" s="318">
        <f>VLOOKUP(I118,'WP Cost HW and Useful Life'!$A$3:$B$15,2,FALSE)</f>
        <v>75</v>
      </c>
      <c r="G118" s="318">
        <f t="shared" si="11"/>
        <v>2228.4</v>
      </c>
      <c r="H118" s="318">
        <f t="shared" si="15"/>
        <v>7056.6</v>
      </c>
      <c r="I118" s="309" t="s">
        <v>29</v>
      </c>
      <c r="J118" s="321">
        <f>INDEX('WP Cost HW W1'!$B$9:$GE$66,MATCH(I118,'WP Cost HW W1'!$B$9:$B$66,0),MATCH(C118,'WP Cost HW W1'!$B$7:$GE$7,0))</f>
        <v>468.75</v>
      </c>
      <c r="K118" s="321">
        <f>INDEX('WP Cost HW W1'!$B$9:$GE$66,MATCH(I118,'WP Cost HW W1'!$B$9:$B$66,0),MATCH($E$1,'WP Cost HW W1'!$B$7:$GE$7,0))</f>
        <v>1080</v>
      </c>
      <c r="L118" s="321">
        <f t="shared" si="16"/>
        <v>2.3039999999999998</v>
      </c>
      <c r="M118" s="318">
        <f t="shared" si="17"/>
        <v>16258.4064</v>
      </c>
    </row>
    <row r="119" spans="1:13" x14ac:dyDescent="0.4">
      <c r="A119" s="311" t="s">
        <v>1068</v>
      </c>
      <c r="B119" s="312">
        <v>7488</v>
      </c>
      <c r="C119" s="309">
        <f t="shared" si="9"/>
        <v>1920</v>
      </c>
      <c r="D119" s="313">
        <v>686900</v>
      </c>
      <c r="E119" s="317">
        <f t="shared" si="10"/>
        <v>103</v>
      </c>
      <c r="F119" s="318" t="e">
        <f>VLOOKUP(I119,'WP Cost HW and Useful Life'!$A$3:$B$15,2,FALSE)</f>
        <v>#N/A</v>
      </c>
      <c r="G119" s="318" t="str">
        <f t="shared" si="11"/>
        <v>NA</v>
      </c>
      <c r="H119" s="318">
        <f>D119</f>
        <v>686900</v>
      </c>
      <c r="I119" s="309" t="s">
        <v>1133</v>
      </c>
      <c r="J119" s="320"/>
      <c r="K119" s="320"/>
      <c r="L119" s="320"/>
      <c r="M119" s="336">
        <f t="shared" ref="M119:M120" si="18">D119</f>
        <v>686900</v>
      </c>
    </row>
    <row r="120" spans="1:13" x14ac:dyDescent="0.4">
      <c r="A120" s="314" t="s">
        <v>1067</v>
      </c>
      <c r="B120" s="312">
        <v>7488</v>
      </c>
      <c r="C120" s="309">
        <f t="shared" si="9"/>
        <v>1920</v>
      </c>
      <c r="D120" s="313">
        <v>15000</v>
      </c>
      <c r="E120" s="317">
        <f t="shared" si="10"/>
        <v>103</v>
      </c>
      <c r="F120" s="318" t="e">
        <f>VLOOKUP(I120,'WP Cost HW and Useful Life'!$A$3:$B$15,2,FALSE)</f>
        <v>#N/A</v>
      </c>
      <c r="G120" s="318" t="str">
        <f t="shared" si="11"/>
        <v>NA</v>
      </c>
      <c r="H120" s="318">
        <f t="shared" ref="H120" si="19">D120</f>
        <v>15000</v>
      </c>
      <c r="I120" s="309" t="s">
        <v>1133</v>
      </c>
      <c r="J120" s="320"/>
      <c r="K120" s="320"/>
      <c r="L120" s="320"/>
      <c r="M120" s="336">
        <f t="shared" si="18"/>
        <v>15000</v>
      </c>
    </row>
    <row r="121" spans="1:13" x14ac:dyDescent="0.4">
      <c r="A121" s="311" t="s">
        <v>1095</v>
      </c>
      <c r="B121" s="312">
        <v>25934</v>
      </c>
      <c r="C121" s="309">
        <f t="shared" si="9"/>
        <v>1971</v>
      </c>
      <c r="D121" s="313">
        <v>33495</v>
      </c>
      <c r="E121" s="317">
        <f t="shared" si="10"/>
        <v>52</v>
      </c>
      <c r="F121" s="318">
        <f>VLOOKUP(I121,'WP Cost HW and Useful Life'!$A$3:$B$15,2,FALSE)</f>
        <v>50</v>
      </c>
      <c r="G121" s="318">
        <f t="shared" si="11"/>
        <v>33495</v>
      </c>
      <c r="H121" s="318">
        <f t="shared" ref="H121:H149" si="20">IFERROR(D121-G121,"NA")</f>
        <v>0</v>
      </c>
      <c r="I121" s="309" t="s">
        <v>45</v>
      </c>
      <c r="J121" s="321">
        <f>INDEX('WP Cost HW W1'!$B$9:$GE$66,MATCH(I121,'WP Cost HW W1'!$B$9:$B$66,0),MATCH(C121,'WP Cost HW W1'!$B$7:$GE$7,0))</f>
        <v>84</v>
      </c>
      <c r="K121" s="321">
        <f>INDEX('WP Cost HW W1'!$B$9:$GE$66,MATCH(I121,'WP Cost HW W1'!$B$9:$B$66,0),MATCH($E$1,'WP Cost HW W1'!$B$7:$GE$7,0))</f>
        <v>912</v>
      </c>
      <c r="L121" s="321">
        <f t="shared" ref="L121:L149" si="21">K121/J121</f>
        <v>10.857142857142858</v>
      </c>
      <c r="M121" s="318">
        <f t="shared" ref="M121:M149" si="22">IFERROR(H121*L121,"NA")</f>
        <v>0</v>
      </c>
    </row>
    <row r="122" spans="1:13" x14ac:dyDescent="0.4">
      <c r="A122" s="311" t="s">
        <v>1104</v>
      </c>
      <c r="B122" s="312">
        <v>25934</v>
      </c>
      <c r="C122" s="309">
        <f t="shared" si="9"/>
        <v>1971</v>
      </c>
      <c r="D122" s="313">
        <v>33495</v>
      </c>
      <c r="E122" s="317">
        <f t="shared" si="10"/>
        <v>52</v>
      </c>
      <c r="F122" s="318">
        <f>VLOOKUP(I122,'WP Cost HW and Useful Life'!$A$3:$B$15,2,FALSE)</f>
        <v>50</v>
      </c>
      <c r="G122" s="318">
        <f t="shared" si="11"/>
        <v>33495</v>
      </c>
      <c r="H122" s="318">
        <f t="shared" si="20"/>
        <v>0</v>
      </c>
      <c r="I122" s="309" t="s">
        <v>45</v>
      </c>
      <c r="J122" s="321">
        <f>INDEX('WP Cost HW W1'!$B$9:$GE$66,MATCH(I122,'WP Cost HW W1'!$B$9:$B$66,0),MATCH(C122,'WP Cost HW W1'!$B$7:$GE$7,0))</f>
        <v>84</v>
      </c>
      <c r="K122" s="321">
        <f>INDEX('WP Cost HW W1'!$B$9:$GE$66,MATCH(I122,'WP Cost HW W1'!$B$9:$B$66,0),MATCH($E$1,'WP Cost HW W1'!$B$7:$GE$7,0))</f>
        <v>912</v>
      </c>
      <c r="L122" s="321">
        <f t="shared" si="21"/>
        <v>10.857142857142858</v>
      </c>
      <c r="M122" s="318">
        <f t="shared" si="22"/>
        <v>0</v>
      </c>
    </row>
    <row r="123" spans="1:13" x14ac:dyDescent="0.4">
      <c r="A123" s="311" t="s">
        <v>1105</v>
      </c>
      <c r="B123" s="312">
        <v>25934</v>
      </c>
      <c r="C123" s="309">
        <f t="shared" si="9"/>
        <v>1971</v>
      </c>
      <c r="D123" s="313">
        <v>33495</v>
      </c>
      <c r="E123" s="317">
        <f t="shared" si="10"/>
        <v>52</v>
      </c>
      <c r="F123" s="318">
        <f>VLOOKUP(I123,'WP Cost HW and Useful Life'!$A$3:$B$15,2,FALSE)</f>
        <v>50</v>
      </c>
      <c r="G123" s="318">
        <f t="shared" si="11"/>
        <v>33495</v>
      </c>
      <c r="H123" s="318">
        <f t="shared" si="20"/>
        <v>0</v>
      </c>
      <c r="I123" s="309" t="s">
        <v>45</v>
      </c>
      <c r="J123" s="321">
        <f>INDEX('WP Cost HW W1'!$B$9:$GE$66,MATCH(I123,'WP Cost HW W1'!$B$9:$B$66,0),MATCH(C123,'WP Cost HW W1'!$B$7:$GE$7,0))</f>
        <v>84</v>
      </c>
      <c r="K123" s="321">
        <f>INDEX('WP Cost HW W1'!$B$9:$GE$66,MATCH(I123,'WP Cost HW W1'!$B$9:$B$66,0),MATCH($E$1,'WP Cost HW W1'!$B$7:$GE$7,0))</f>
        <v>912</v>
      </c>
      <c r="L123" s="321">
        <f t="shared" si="21"/>
        <v>10.857142857142858</v>
      </c>
      <c r="M123" s="318">
        <f t="shared" si="22"/>
        <v>0</v>
      </c>
    </row>
    <row r="124" spans="1:13" x14ac:dyDescent="0.4">
      <c r="A124" s="311" t="s">
        <v>1106</v>
      </c>
      <c r="B124" s="312">
        <v>25934</v>
      </c>
      <c r="C124" s="309">
        <f t="shared" si="9"/>
        <v>1971</v>
      </c>
      <c r="D124" s="313">
        <v>33495</v>
      </c>
      <c r="E124" s="317">
        <f t="shared" si="10"/>
        <v>52</v>
      </c>
      <c r="F124" s="318">
        <f>VLOOKUP(I124,'WP Cost HW and Useful Life'!$A$3:$B$15,2,FALSE)</f>
        <v>50</v>
      </c>
      <c r="G124" s="318">
        <f t="shared" si="11"/>
        <v>33495</v>
      </c>
      <c r="H124" s="318">
        <f t="shared" si="20"/>
        <v>0</v>
      </c>
      <c r="I124" s="309" t="s">
        <v>45</v>
      </c>
      <c r="J124" s="321">
        <f>INDEX('WP Cost HW W1'!$B$9:$GE$66,MATCH(I124,'WP Cost HW W1'!$B$9:$B$66,0),MATCH(C124,'WP Cost HW W1'!$B$7:$GE$7,0))</f>
        <v>84</v>
      </c>
      <c r="K124" s="321">
        <f>INDEX('WP Cost HW W1'!$B$9:$GE$66,MATCH(I124,'WP Cost HW W1'!$B$9:$B$66,0),MATCH($E$1,'WP Cost HW W1'!$B$7:$GE$7,0))</f>
        <v>912</v>
      </c>
      <c r="L124" s="321">
        <f t="shared" si="21"/>
        <v>10.857142857142858</v>
      </c>
      <c r="M124" s="318">
        <f t="shared" si="22"/>
        <v>0</v>
      </c>
    </row>
    <row r="125" spans="1:13" x14ac:dyDescent="0.4">
      <c r="A125" s="311" t="s">
        <v>1107</v>
      </c>
      <c r="B125" s="312">
        <v>25934</v>
      </c>
      <c r="C125" s="309">
        <f t="shared" si="9"/>
        <v>1971</v>
      </c>
      <c r="D125" s="313">
        <v>33495</v>
      </c>
      <c r="E125" s="317">
        <f t="shared" si="10"/>
        <v>52</v>
      </c>
      <c r="F125" s="318">
        <f>VLOOKUP(I125,'WP Cost HW and Useful Life'!$A$3:$B$15,2,FALSE)</f>
        <v>50</v>
      </c>
      <c r="G125" s="318">
        <f t="shared" si="11"/>
        <v>33495</v>
      </c>
      <c r="H125" s="318">
        <f t="shared" si="20"/>
        <v>0</v>
      </c>
      <c r="I125" s="309" t="s">
        <v>45</v>
      </c>
      <c r="J125" s="321">
        <f>INDEX('WP Cost HW W1'!$B$9:$GE$66,MATCH(I125,'WP Cost HW W1'!$B$9:$B$66,0),MATCH(C125,'WP Cost HW W1'!$B$7:$GE$7,0))</f>
        <v>84</v>
      </c>
      <c r="K125" s="321">
        <f>INDEX('WP Cost HW W1'!$B$9:$GE$66,MATCH(I125,'WP Cost HW W1'!$B$9:$B$66,0),MATCH($E$1,'WP Cost HW W1'!$B$7:$GE$7,0))</f>
        <v>912</v>
      </c>
      <c r="L125" s="321">
        <f t="shared" si="21"/>
        <v>10.857142857142858</v>
      </c>
      <c r="M125" s="318">
        <f t="shared" si="22"/>
        <v>0</v>
      </c>
    </row>
    <row r="126" spans="1:13" x14ac:dyDescent="0.4">
      <c r="A126" s="311" t="s">
        <v>1096</v>
      </c>
      <c r="B126" s="312">
        <v>25934</v>
      </c>
      <c r="C126" s="309">
        <f t="shared" si="9"/>
        <v>1971</v>
      </c>
      <c r="D126" s="313">
        <v>33495</v>
      </c>
      <c r="E126" s="317">
        <f t="shared" si="10"/>
        <v>52</v>
      </c>
      <c r="F126" s="318">
        <f>VLOOKUP(I126,'WP Cost HW and Useful Life'!$A$3:$B$15,2,FALSE)</f>
        <v>50</v>
      </c>
      <c r="G126" s="318">
        <f t="shared" si="11"/>
        <v>33495</v>
      </c>
      <c r="H126" s="318">
        <f t="shared" si="20"/>
        <v>0</v>
      </c>
      <c r="I126" s="309" t="s">
        <v>45</v>
      </c>
      <c r="J126" s="321">
        <f>INDEX('WP Cost HW W1'!$B$9:$GE$66,MATCH(I126,'WP Cost HW W1'!$B$9:$B$66,0),MATCH(C126,'WP Cost HW W1'!$B$7:$GE$7,0))</f>
        <v>84</v>
      </c>
      <c r="K126" s="321">
        <f>INDEX('WP Cost HW W1'!$B$9:$GE$66,MATCH(I126,'WP Cost HW W1'!$B$9:$B$66,0),MATCH($E$1,'WP Cost HW W1'!$B$7:$GE$7,0))</f>
        <v>912</v>
      </c>
      <c r="L126" s="321">
        <f t="shared" si="21"/>
        <v>10.857142857142858</v>
      </c>
      <c r="M126" s="318">
        <f t="shared" si="22"/>
        <v>0</v>
      </c>
    </row>
    <row r="127" spans="1:13" x14ac:dyDescent="0.4">
      <c r="A127" s="311" t="s">
        <v>1097</v>
      </c>
      <c r="B127" s="312">
        <v>25934</v>
      </c>
      <c r="C127" s="309">
        <f t="shared" si="9"/>
        <v>1971</v>
      </c>
      <c r="D127" s="313">
        <v>33495</v>
      </c>
      <c r="E127" s="317">
        <f t="shared" si="10"/>
        <v>52</v>
      </c>
      <c r="F127" s="318">
        <f>VLOOKUP(I127,'WP Cost HW and Useful Life'!$A$3:$B$15,2,FALSE)</f>
        <v>50</v>
      </c>
      <c r="G127" s="318">
        <f t="shared" si="11"/>
        <v>33495</v>
      </c>
      <c r="H127" s="318">
        <f t="shared" si="20"/>
        <v>0</v>
      </c>
      <c r="I127" s="309" t="s">
        <v>45</v>
      </c>
      <c r="J127" s="321">
        <f>INDEX('WP Cost HW W1'!$B$9:$GE$66,MATCH(I127,'WP Cost HW W1'!$B$9:$B$66,0),MATCH(C127,'WP Cost HW W1'!$B$7:$GE$7,0))</f>
        <v>84</v>
      </c>
      <c r="K127" s="321">
        <f>INDEX('WP Cost HW W1'!$B$9:$GE$66,MATCH(I127,'WP Cost HW W1'!$B$9:$B$66,0),MATCH($E$1,'WP Cost HW W1'!$B$7:$GE$7,0))</f>
        <v>912</v>
      </c>
      <c r="L127" s="321">
        <f t="shared" si="21"/>
        <v>10.857142857142858</v>
      </c>
      <c r="M127" s="318">
        <f t="shared" si="22"/>
        <v>0</v>
      </c>
    </row>
    <row r="128" spans="1:13" x14ac:dyDescent="0.4">
      <c r="A128" s="311" t="s">
        <v>1098</v>
      </c>
      <c r="B128" s="312">
        <v>25934</v>
      </c>
      <c r="C128" s="309">
        <f t="shared" ref="C128:C188" si="23">YEAR(B128)</f>
        <v>1971</v>
      </c>
      <c r="D128" s="313">
        <v>33495</v>
      </c>
      <c r="E128" s="317">
        <f t="shared" ref="E128:E188" si="24">$E$1-C128</f>
        <v>52</v>
      </c>
      <c r="F128" s="318">
        <f>VLOOKUP(I128,'WP Cost HW and Useful Life'!$A$3:$B$15,2,FALSE)</f>
        <v>50</v>
      </c>
      <c r="G128" s="318">
        <f t="shared" ref="G128:G188" si="25">IFERROR(IF(D128/F128*E128&gt;D128,D128,D128/F128*E128),"NA")</f>
        <v>33495</v>
      </c>
      <c r="H128" s="318">
        <f t="shared" si="20"/>
        <v>0</v>
      </c>
      <c r="I128" s="309" t="s">
        <v>45</v>
      </c>
      <c r="J128" s="321">
        <f>INDEX('WP Cost HW W1'!$B$9:$GE$66,MATCH(I128,'WP Cost HW W1'!$B$9:$B$66,0),MATCH(C128,'WP Cost HW W1'!$B$7:$GE$7,0))</f>
        <v>84</v>
      </c>
      <c r="K128" s="321">
        <f>INDEX('WP Cost HW W1'!$B$9:$GE$66,MATCH(I128,'WP Cost HW W1'!$B$9:$B$66,0),MATCH($E$1,'WP Cost HW W1'!$B$7:$GE$7,0))</f>
        <v>912</v>
      </c>
      <c r="L128" s="321">
        <f t="shared" si="21"/>
        <v>10.857142857142858</v>
      </c>
      <c r="M128" s="318">
        <f t="shared" si="22"/>
        <v>0</v>
      </c>
    </row>
    <row r="129" spans="1:13" x14ac:dyDescent="0.4">
      <c r="A129" s="311" t="s">
        <v>1099</v>
      </c>
      <c r="B129" s="312">
        <v>25934</v>
      </c>
      <c r="C129" s="309">
        <f t="shared" si="23"/>
        <v>1971</v>
      </c>
      <c r="D129" s="313">
        <v>33495</v>
      </c>
      <c r="E129" s="317">
        <f t="shared" si="24"/>
        <v>52</v>
      </c>
      <c r="F129" s="318">
        <f>VLOOKUP(I129,'WP Cost HW and Useful Life'!$A$3:$B$15,2,FALSE)</f>
        <v>50</v>
      </c>
      <c r="G129" s="318">
        <f t="shared" si="25"/>
        <v>33495</v>
      </c>
      <c r="H129" s="318">
        <f t="shared" si="20"/>
        <v>0</v>
      </c>
      <c r="I129" s="309" t="s">
        <v>45</v>
      </c>
      <c r="J129" s="321">
        <f>INDEX('WP Cost HW W1'!$B$9:$GE$66,MATCH(I129,'WP Cost HW W1'!$B$9:$B$66,0),MATCH(C129,'WP Cost HW W1'!$B$7:$GE$7,0))</f>
        <v>84</v>
      </c>
      <c r="K129" s="321">
        <f>INDEX('WP Cost HW W1'!$B$9:$GE$66,MATCH(I129,'WP Cost HW W1'!$B$9:$B$66,0),MATCH($E$1,'WP Cost HW W1'!$B$7:$GE$7,0))</f>
        <v>912</v>
      </c>
      <c r="L129" s="321">
        <f t="shared" si="21"/>
        <v>10.857142857142858</v>
      </c>
      <c r="M129" s="318">
        <f t="shared" si="22"/>
        <v>0</v>
      </c>
    </row>
    <row r="130" spans="1:13" x14ac:dyDescent="0.4">
      <c r="A130" s="311" t="s">
        <v>1100</v>
      </c>
      <c r="B130" s="312">
        <v>25934</v>
      </c>
      <c r="C130" s="309">
        <f t="shared" si="23"/>
        <v>1971</v>
      </c>
      <c r="D130" s="313">
        <v>33495</v>
      </c>
      <c r="E130" s="317">
        <f t="shared" si="24"/>
        <v>52</v>
      </c>
      <c r="F130" s="318">
        <f>VLOOKUP(I130,'WP Cost HW and Useful Life'!$A$3:$B$15,2,FALSE)</f>
        <v>50</v>
      </c>
      <c r="G130" s="318">
        <f t="shared" si="25"/>
        <v>33495</v>
      </c>
      <c r="H130" s="318">
        <f t="shared" si="20"/>
        <v>0</v>
      </c>
      <c r="I130" s="309" t="s">
        <v>45</v>
      </c>
      <c r="J130" s="321">
        <f>INDEX('WP Cost HW W1'!$B$9:$GE$66,MATCH(I130,'WP Cost HW W1'!$B$9:$B$66,0),MATCH(C130,'WP Cost HW W1'!$B$7:$GE$7,0))</f>
        <v>84</v>
      </c>
      <c r="K130" s="321">
        <f>INDEX('WP Cost HW W1'!$B$9:$GE$66,MATCH(I130,'WP Cost HW W1'!$B$9:$B$66,0),MATCH($E$1,'WP Cost HW W1'!$B$7:$GE$7,0))</f>
        <v>912</v>
      </c>
      <c r="L130" s="321">
        <f t="shared" si="21"/>
        <v>10.857142857142858</v>
      </c>
      <c r="M130" s="318">
        <f t="shared" si="22"/>
        <v>0</v>
      </c>
    </row>
    <row r="131" spans="1:13" x14ac:dyDescent="0.4">
      <c r="A131" s="311" t="s">
        <v>1101</v>
      </c>
      <c r="B131" s="312">
        <v>25934</v>
      </c>
      <c r="C131" s="309">
        <f t="shared" si="23"/>
        <v>1971</v>
      </c>
      <c r="D131" s="313">
        <v>33495</v>
      </c>
      <c r="E131" s="317">
        <f t="shared" si="24"/>
        <v>52</v>
      </c>
      <c r="F131" s="318">
        <f>VLOOKUP(I131,'WP Cost HW and Useful Life'!$A$3:$B$15,2,FALSE)</f>
        <v>50</v>
      </c>
      <c r="G131" s="318">
        <f t="shared" si="25"/>
        <v>33495</v>
      </c>
      <c r="H131" s="318">
        <f t="shared" si="20"/>
        <v>0</v>
      </c>
      <c r="I131" s="309" t="s">
        <v>45</v>
      </c>
      <c r="J131" s="321">
        <f>INDEX('WP Cost HW W1'!$B$9:$GE$66,MATCH(I131,'WP Cost HW W1'!$B$9:$B$66,0),MATCH(C131,'WP Cost HW W1'!$B$7:$GE$7,0))</f>
        <v>84</v>
      </c>
      <c r="K131" s="321">
        <f>INDEX('WP Cost HW W1'!$B$9:$GE$66,MATCH(I131,'WP Cost HW W1'!$B$9:$B$66,0),MATCH($E$1,'WP Cost HW W1'!$B$7:$GE$7,0))</f>
        <v>912</v>
      </c>
      <c r="L131" s="321">
        <f t="shared" si="21"/>
        <v>10.857142857142858</v>
      </c>
      <c r="M131" s="318">
        <f t="shared" si="22"/>
        <v>0</v>
      </c>
    </row>
    <row r="132" spans="1:13" x14ac:dyDescent="0.4">
      <c r="A132" s="311" t="s">
        <v>1102</v>
      </c>
      <c r="B132" s="312">
        <v>25934</v>
      </c>
      <c r="C132" s="309">
        <f t="shared" si="23"/>
        <v>1971</v>
      </c>
      <c r="D132" s="313">
        <v>33495</v>
      </c>
      <c r="E132" s="317">
        <f t="shared" si="24"/>
        <v>52</v>
      </c>
      <c r="F132" s="318">
        <f>VLOOKUP(I132,'WP Cost HW and Useful Life'!$A$3:$B$15,2,FALSE)</f>
        <v>50</v>
      </c>
      <c r="G132" s="318">
        <f t="shared" si="25"/>
        <v>33495</v>
      </c>
      <c r="H132" s="318">
        <f t="shared" si="20"/>
        <v>0</v>
      </c>
      <c r="I132" s="309" t="s">
        <v>45</v>
      </c>
      <c r="J132" s="321">
        <f>INDEX('WP Cost HW W1'!$B$9:$GE$66,MATCH(I132,'WP Cost HW W1'!$B$9:$B$66,0),MATCH(C132,'WP Cost HW W1'!$B$7:$GE$7,0))</f>
        <v>84</v>
      </c>
      <c r="K132" s="321">
        <f>INDEX('WP Cost HW W1'!$B$9:$GE$66,MATCH(I132,'WP Cost HW W1'!$B$9:$B$66,0),MATCH($E$1,'WP Cost HW W1'!$B$7:$GE$7,0))</f>
        <v>912</v>
      </c>
      <c r="L132" s="321">
        <f t="shared" si="21"/>
        <v>10.857142857142858</v>
      </c>
      <c r="M132" s="318">
        <f t="shared" si="22"/>
        <v>0</v>
      </c>
    </row>
    <row r="133" spans="1:13" x14ac:dyDescent="0.4">
      <c r="A133" s="311" t="s">
        <v>1103</v>
      </c>
      <c r="B133" s="312">
        <v>25934</v>
      </c>
      <c r="C133" s="309">
        <f t="shared" si="23"/>
        <v>1971</v>
      </c>
      <c r="D133" s="313">
        <v>33495</v>
      </c>
      <c r="E133" s="317">
        <f t="shared" si="24"/>
        <v>52</v>
      </c>
      <c r="F133" s="318">
        <f>VLOOKUP(I133,'WP Cost HW and Useful Life'!$A$3:$B$15,2,FALSE)</f>
        <v>50</v>
      </c>
      <c r="G133" s="318">
        <f t="shared" si="25"/>
        <v>33495</v>
      </c>
      <c r="H133" s="318">
        <f t="shared" si="20"/>
        <v>0</v>
      </c>
      <c r="I133" s="309" t="s">
        <v>45</v>
      </c>
      <c r="J133" s="321">
        <f>INDEX('WP Cost HW W1'!$B$9:$GE$66,MATCH(I133,'WP Cost HW W1'!$B$9:$B$66,0),MATCH(C133,'WP Cost HW W1'!$B$7:$GE$7,0))</f>
        <v>84</v>
      </c>
      <c r="K133" s="321">
        <f>INDEX('WP Cost HW W1'!$B$9:$GE$66,MATCH(I133,'WP Cost HW W1'!$B$9:$B$66,0),MATCH($E$1,'WP Cost HW W1'!$B$7:$GE$7,0))</f>
        <v>912</v>
      </c>
      <c r="L133" s="321">
        <f t="shared" si="21"/>
        <v>10.857142857142858</v>
      </c>
      <c r="M133" s="318">
        <f t="shared" si="22"/>
        <v>0</v>
      </c>
    </row>
    <row r="134" spans="1:13" x14ac:dyDescent="0.3">
      <c r="A134" s="314" t="s">
        <v>1052</v>
      </c>
      <c r="B134" s="312">
        <v>39295</v>
      </c>
      <c r="C134" s="309">
        <f t="shared" si="23"/>
        <v>2007</v>
      </c>
      <c r="D134" s="313">
        <v>360000</v>
      </c>
      <c r="E134" s="317">
        <f t="shared" si="24"/>
        <v>16</v>
      </c>
      <c r="F134" s="318">
        <f>VLOOKUP(I134,'WP Cost HW and Useful Life'!$A$3:$B$15,2,FALSE)</f>
        <v>50</v>
      </c>
      <c r="G134" s="318">
        <f t="shared" si="25"/>
        <v>115200</v>
      </c>
      <c r="H134" s="318">
        <f t="shared" si="20"/>
        <v>244800</v>
      </c>
      <c r="I134" s="240" t="s">
        <v>45</v>
      </c>
      <c r="J134" s="321">
        <f>INDEX('WP Cost HW W1'!$B$9:$GE$66,MATCH(I134,'WP Cost HW W1'!$B$9:$B$66,0),MATCH(C134,'WP Cost HW W1'!$B$7:$GE$7,0))</f>
        <v>496.24986591587822</v>
      </c>
      <c r="K134" s="321">
        <f>INDEX('WP Cost HW W1'!$B$9:$GE$66,MATCH(I134,'WP Cost HW W1'!$B$9:$B$66,0),MATCH($E$1,'WP Cost HW W1'!$B$7:$GE$7,0))</f>
        <v>912</v>
      </c>
      <c r="L134" s="321">
        <f t="shared" si="21"/>
        <v>1.8377838718743305</v>
      </c>
      <c r="M134" s="318">
        <f t="shared" si="22"/>
        <v>449889.49183483608</v>
      </c>
    </row>
    <row r="135" spans="1:13" x14ac:dyDescent="0.3">
      <c r="A135" s="314" t="s">
        <v>1052</v>
      </c>
      <c r="B135" s="312">
        <v>39295</v>
      </c>
      <c r="C135" s="309">
        <f t="shared" si="23"/>
        <v>2007</v>
      </c>
      <c r="D135" s="313">
        <v>14315</v>
      </c>
      <c r="E135" s="317">
        <f t="shared" si="24"/>
        <v>16</v>
      </c>
      <c r="F135" s="318">
        <f>VLOOKUP(I135,'WP Cost HW and Useful Life'!$A$3:$B$15,2,FALSE)</f>
        <v>50</v>
      </c>
      <c r="G135" s="318">
        <f t="shared" si="25"/>
        <v>4580.8</v>
      </c>
      <c r="H135" s="318">
        <f t="shared" si="20"/>
        <v>9734.2000000000007</v>
      </c>
      <c r="I135" s="240" t="s">
        <v>45</v>
      </c>
      <c r="J135" s="321">
        <f>INDEX('WP Cost HW W1'!$B$9:$GE$66,MATCH(I135,'WP Cost HW W1'!$B$9:$B$66,0),MATCH(C135,'WP Cost HW W1'!$B$7:$GE$7,0))</f>
        <v>496.24986591587822</v>
      </c>
      <c r="K135" s="321">
        <f>INDEX('WP Cost HW W1'!$B$9:$GE$66,MATCH(I135,'WP Cost HW W1'!$B$9:$B$66,0),MATCH($E$1,'WP Cost HW W1'!$B$7:$GE$7,0))</f>
        <v>912</v>
      </c>
      <c r="L135" s="321">
        <f t="shared" si="21"/>
        <v>1.8377838718743305</v>
      </c>
      <c r="M135" s="318">
        <f t="shared" si="22"/>
        <v>17889.35576559911</v>
      </c>
    </row>
    <row r="136" spans="1:13" x14ac:dyDescent="0.3">
      <c r="A136" s="314" t="s">
        <v>1052</v>
      </c>
      <c r="B136" s="312">
        <v>39295</v>
      </c>
      <c r="C136" s="309">
        <f t="shared" si="23"/>
        <v>2007</v>
      </c>
      <c r="D136" s="313">
        <v>17700</v>
      </c>
      <c r="E136" s="317">
        <f t="shared" si="24"/>
        <v>16</v>
      </c>
      <c r="F136" s="318">
        <f>VLOOKUP(I136,'WP Cost HW and Useful Life'!$A$3:$B$15,2,FALSE)</f>
        <v>50</v>
      </c>
      <c r="G136" s="318">
        <f t="shared" si="25"/>
        <v>5664</v>
      </c>
      <c r="H136" s="318">
        <f t="shared" si="20"/>
        <v>12036</v>
      </c>
      <c r="I136" s="240" t="s">
        <v>45</v>
      </c>
      <c r="J136" s="321">
        <f>INDEX('WP Cost HW W1'!$B$9:$GE$66,MATCH(I136,'WP Cost HW W1'!$B$9:$B$66,0),MATCH(C136,'WP Cost HW W1'!$B$7:$GE$7,0))</f>
        <v>496.24986591587822</v>
      </c>
      <c r="K136" s="321">
        <f>INDEX('WP Cost HW W1'!$B$9:$GE$66,MATCH(I136,'WP Cost HW W1'!$B$9:$B$66,0),MATCH($E$1,'WP Cost HW W1'!$B$7:$GE$7,0))</f>
        <v>912</v>
      </c>
      <c r="L136" s="321">
        <f t="shared" si="21"/>
        <v>1.8377838718743305</v>
      </c>
      <c r="M136" s="318">
        <f t="shared" si="22"/>
        <v>22119.566681879442</v>
      </c>
    </row>
    <row r="137" spans="1:13" x14ac:dyDescent="0.3">
      <c r="A137" s="314" t="s">
        <v>1052</v>
      </c>
      <c r="B137" s="312">
        <v>39317</v>
      </c>
      <c r="C137" s="309">
        <f t="shared" si="23"/>
        <v>2007</v>
      </c>
      <c r="D137" s="313">
        <v>2645</v>
      </c>
      <c r="E137" s="317">
        <f t="shared" si="24"/>
        <v>16</v>
      </c>
      <c r="F137" s="318">
        <f>VLOOKUP(I137,'WP Cost HW and Useful Life'!$A$3:$B$15,2,FALSE)</f>
        <v>50</v>
      </c>
      <c r="G137" s="318">
        <f t="shared" si="25"/>
        <v>846.4</v>
      </c>
      <c r="H137" s="318">
        <f t="shared" si="20"/>
        <v>1798.6</v>
      </c>
      <c r="I137" s="240" t="s">
        <v>45</v>
      </c>
      <c r="J137" s="321">
        <f>INDEX('WP Cost HW W1'!$B$9:$GE$66,MATCH(I137,'WP Cost HW W1'!$B$9:$B$66,0),MATCH(C137,'WP Cost HW W1'!$B$7:$GE$7,0))</f>
        <v>496.24986591587822</v>
      </c>
      <c r="K137" s="321">
        <f>INDEX('WP Cost HW W1'!$B$9:$GE$66,MATCH(I137,'WP Cost HW W1'!$B$9:$B$66,0),MATCH($E$1,'WP Cost HW W1'!$B$7:$GE$7,0))</f>
        <v>912</v>
      </c>
      <c r="L137" s="321">
        <f t="shared" si="21"/>
        <v>1.8377838718743305</v>
      </c>
      <c r="M137" s="318">
        <f t="shared" si="22"/>
        <v>3305.4380719531705</v>
      </c>
    </row>
    <row r="138" spans="1:13" x14ac:dyDescent="0.3">
      <c r="A138" s="314" t="s">
        <v>1052</v>
      </c>
      <c r="B138" s="312">
        <v>39358</v>
      </c>
      <c r="C138" s="309">
        <f t="shared" si="23"/>
        <v>2007</v>
      </c>
      <c r="D138" s="313">
        <v>1000</v>
      </c>
      <c r="E138" s="317">
        <f t="shared" si="24"/>
        <v>16</v>
      </c>
      <c r="F138" s="318">
        <f>VLOOKUP(I138,'WP Cost HW and Useful Life'!$A$3:$B$15,2,FALSE)</f>
        <v>50</v>
      </c>
      <c r="G138" s="318">
        <f t="shared" si="25"/>
        <v>320</v>
      </c>
      <c r="H138" s="318">
        <f t="shared" si="20"/>
        <v>680</v>
      </c>
      <c r="I138" s="240" t="s">
        <v>45</v>
      </c>
      <c r="J138" s="321">
        <f>INDEX('WP Cost HW W1'!$B$9:$GE$66,MATCH(I138,'WP Cost HW W1'!$B$9:$B$66,0),MATCH(C138,'WP Cost HW W1'!$B$7:$GE$7,0))</f>
        <v>496.24986591587822</v>
      </c>
      <c r="K138" s="321">
        <f>INDEX('WP Cost HW W1'!$B$9:$GE$66,MATCH(I138,'WP Cost HW W1'!$B$9:$B$66,0),MATCH($E$1,'WP Cost HW W1'!$B$7:$GE$7,0))</f>
        <v>912</v>
      </c>
      <c r="L138" s="321">
        <f t="shared" si="21"/>
        <v>1.8377838718743305</v>
      </c>
      <c r="M138" s="318">
        <f t="shared" si="22"/>
        <v>1249.6930328745448</v>
      </c>
    </row>
    <row r="139" spans="1:13" x14ac:dyDescent="0.3">
      <c r="A139" s="314" t="s">
        <v>1052</v>
      </c>
      <c r="B139" s="312">
        <v>39358</v>
      </c>
      <c r="C139" s="309">
        <f t="shared" si="23"/>
        <v>2007</v>
      </c>
      <c r="D139" s="313">
        <v>5000</v>
      </c>
      <c r="E139" s="317">
        <f t="shared" si="24"/>
        <v>16</v>
      </c>
      <c r="F139" s="318">
        <f>VLOOKUP(I139,'WP Cost HW and Useful Life'!$A$3:$B$15,2,FALSE)</f>
        <v>50</v>
      </c>
      <c r="G139" s="318">
        <f t="shared" si="25"/>
        <v>1600</v>
      </c>
      <c r="H139" s="318">
        <f t="shared" si="20"/>
        <v>3400</v>
      </c>
      <c r="I139" s="240" t="s">
        <v>45</v>
      </c>
      <c r="J139" s="321">
        <f>INDEX('WP Cost HW W1'!$B$9:$GE$66,MATCH(I139,'WP Cost HW W1'!$B$9:$B$66,0),MATCH(C139,'WP Cost HW W1'!$B$7:$GE$7,0))</f>
        <v>496.24986591587822</v>
      </c>
      <c r="K139" s="321">
        <f>INDEX('WP Cost HW W1'!$B$9:$GE$66,MATCH(I139,'WP Cost HW W1'!$B$9:$B$66,0),MATCH($E$1,'WP Cost HW W1'!$B$7:$GE$7,0))</f>
        <v>912</v>
      </c>
      <c r="L139" s="321">
        <f t="shared" si="21"/>
        <v>1.8377838718743305</v>
      </c>
      <c r="M139" s="318">
        <f t="shared" si="22"/>
        <v>6248.4651643727238</v>
      </c>
    </row>
    <row r="140" spans="1:13" x14ac:dyDescent="0.3">
      <c r="A140" s="314" t="s">
        <v>1052</v>
      </c>
      <c r="B140" s="312">
        <v>39358</v>
      </c>
      <c r="C140" s="309">
        <f t="shared" si="23"/>
        <v>2007</v>
      </c>
      <c r="D140" s="313">
        <v>12425</v>
      </c>
      <c r="E140" s="317">
        <f t="shared" si="24"/>
        <v>16</v>
      </c>
      <c r="F140" s="318">
        <f>VLOOKUP(I140,'WP Cost HW and Useful Life'!$A$3:$B$15,2,FALSE)</f>
        <v>50</v>
      </c>
      <c r="G140" s="318">
        <f t="shared" si="25"/>
        <v>3976</v>
      </c>
      <c r="H140" s="318">
        <f t="shared" si="20"/>
        <v>8449</v>
      </c>
      <c r="I140" s="240" t="s">
        <v>45</v>
      </c>
      <c r="J140" s="321">
        <f>INDEX('WP Cost HW W1'!$B$9:$GE$66,MATCH(I140,'WP Cost HW W1'!$B$9:$B$66,0),MATCH(C140,'WP Cost HW W1'!$B$7:$GE$7,0))</f>
        <v>496.24986591587822</v>
      </c>
      <c r="K140" s="321">
        <f>INDEX('WP Cost HW W1'!$B$9:$GE$66,MATCH(I140,'WP Cost HW W1'!$B$9:$B$66,0),MATCH($E$1,'WP Cost HW W1'!$B$7:$GE$7,0))</f>
        <v>912</v>
      </c>
      <c r="L140" s="321">
        <f t="shared" si="21"/>
        <v>1.8377838718743305</v>
      </c>
      <c r="M140" s="318">
        <f t="shared" si="22"/>
        <v>15527.435933466219</v>
      </c>
    </row>
    <row r="141" spans="1:13" x14ac:dyDescent="0.3">
      <c r="A141" s="314" t="s">
        <v>1052</v>
      </c>
      <c r="B141" s="312">
        <v>39358</v>
      </c>
      <c r="C141" s="309">
        <f t="shared" si="23"/>
        <v>2007</v>
      </c>
      <c r="D141" s="313">
        <v>19000</v>
      </c>
      <c r="E141" s="317">
        <f t="shared" si="24"/>
        <v>16</v>
      </c>
      <c r="F141" s="318">
        <f>VLOOKUP(I141,'WP Cost HW and Useful Life'!$A$3:$B$15,2,FALSE)</f>
        <v>50</v>
      </c>
      <c r="G141" s="318">
        <f t="shared" si="25"/>
        <v>6080</v>
      </c>
      <c r="H141" s="318">
        <f t="shared" si="20"/>
        <v>12920</v>
      </c>
      <c r="I141" s="240" t="s">
        <v>45</v>
      </c>
      <c r="J141" s="321">
        <f>INDEX('WP Cost HW W1'!$B$9:$GE$66,MATCH(I141,'WP Cost HW W1'!$B$9:$B$66,0),MATCH(C141,'WP Cost HW W1'!$B$7:$GE$7,0))</f>
        <v>496.24986591587822</v>
      </c>
      <c r="K141" s="321">
        <f>INDEX('WP Cost HW W1'!$B$9:$GE$66,MATCH(I141,'WP Cost HW W1'!$B$9:$B$66,0),MATCH($E$1,'WP Cost HW W1'!$B$7:$GE$7,0))</f>
        <v>912</v>
      </c>
      <c r="L141" s="321">
        <f t="shared" si="21"/>
        <v>1.8377838718743305</v>
      </c>
      <c r="M141" s="318">
        <f t="shared" si="22"/>
        <v>23744.167624616348</v>
      </c>
    </row>
    <row r="142" spans="1:13" x14ac:dyDescent="0.3">
      <c r="A142" s="314" t="s">
        <v>1052</v>
      </c>
      <c r="B142" s="312">
        <v>39358</v>
      </c>
      <c r="C142" s="309">
        <f t="shared" si="23"/>
        <v>2007</v>
      </c>
      <c r="D142" s="313">
        <v>165000</v>
      </c>
      <c r="E142" s="317">
        <f t="shared" si="24"/>
        <v>16</v>
      </c>
      <c r="F142" s="318">
        <f>VLOOKUP(I142,'WP Cost HW and Useful Life'!$A$3:$B$15,2,FALSE)</f>
        <v>50</v>
      </c>
      <c r="G142" s="318">
        <f t="shared" si="25"/>
        <v>52800</v>
      </c>
      <c r="H142" s="318">
        <f t="shared" si="20"/>
        <v>112200</v>
      </c>
      <c r="I142" s="240" t="s">
        <v>45</v>
      </c>
      <c r="J142" s="321">
        <f>INDEX('WP Cost HW W1'!$B$9:$GE$66,MATCH(I142,'WP Cost HW W1'!$B$9:$B$66,0),MATCH(C142,'WP Cost HW W1'!$B$7:$GE$7,0))</f>
        <v>496.24986591587822</v>
      </c>
      <c r="K142" s="321">
        <f>INDEX('WP Cost HW W1'!$B$9:$GE$66,MATCH(I142,'WP Cost HW W1'!$B$9:$B$66,0),MATCH($E$1,'WP Cost HW W1'!$B$7:$GE$7,0))</f>
        <v>912</v>
      </c>
      <c r="L142" s="321">
        <f t="shared" si="21"/>
        <v>1.8377838718743305</v>
      </c>
      <c r="M142" s="318">
        <f t="shared" si="22"/>
        <v>206199.35042429989</v>
      </c>
    </row>
    <row r="143" spans="1:13" x14ac:dyDescent="0.3">
      <c r="A143" s="314" t="s">
        <v>1052</v>
      </c>
      <c r="B143" s="312">
        <v>39358</v>
      </c>
      <c r="C143" s="309">
        <f t="shared" si="23"/>
        <v>2007</v>
      </c>
      <c r="D143" s="313">
        <v>173812.14</v>
      </c>
      <c r="E143" s="317">
        <f t="shared" si="24"/>
        <v>16</v>
      </c>
      <c r="F143" s="318">
        <f>VLOOKUP(I143,'WP Cost HW and Useful Life'!$A$3:$B$15,2,FALSE)</f>
        <v>50</v>
      </c>
      <c r="G143" s="318">
        <f t="shared" si="25"/>
        <v>55619.884800000007</v>
      </c>
      <c r="H143" s="318">
        <f t="shared" si="20"/>
        <v>118192.25520000001</v>
      </c>
      <c r="I143" s="240" t="s">
        <v>45</v>
      </c>
      <c r="J143" s="321">
        <f>INDEX('WP Cost HW W1'!$B$9:$GE$66,MATCH(I143,'WP Cost HW W1'!$B$9:$B$66,0),MATCH(C143,'WP Cost HW W1'!$B$7:$GE$7,0))</f>
        <v>496.24986591587822</v>
      </c>
      <c r="K143" s="321">
        <f>INDEX('WP Cost HW W1'!$B$9:$GE$66,MATCH(I143,'WP Cost HW W1'!$B$9:$B$66,0),MATCH($E$1,'WP Cost HW W1'!$B$7:$GE$7,0))</f>
        <v>912</v>
      </c>
      <c r="L143" s="321">
        <f t="shared" si="21"/>
        <v>1.8377838718743305</v>
      </c>
      <c r="M143" s="318">
        <f t="shared" si="22"/>
        <v>217211.820387015</v>
      </c>
    </row>
    <row r="144" spans="1:13" x14ac:dyDescent="0.3">
      <c r="A144" s="314" t="s">
        <v>1052</v>
      </c>
      <c r="B144" s="312">
        <v>39358</v>
      </c>
      <c r="C144" s="309">
        <f t="shared" si="23"/>
        <v>2007</v>
      </c>
      <c r="D144" s="313">
        <v>273850</v>
      </c>
      <c r="E144" s="317">
        <f t="shared" si="24"/>
        <v>16</v>
      </c>
      <c r="F144" s="318">
        <f>VLOOKUP(I144,'WP Cost HW and Useful Life'!$A$3:$B$15,2,FALSE)</f>
        <v>50</v>
      </c>
      <c r="G144" s="318">
        <f t="shared" si="25"/>
        <v>87632</v>
      </c>
      <c r="H144" s="318">
        <f t="shared" si="20"/>
        <v>186218</v>
      </c>
      <c r="I144" s="240" t="s">
        <v>45</v>
      </c>
      <c r="J144" s="321">
        <f>INDEX('WP Cost HW W1'!$B$9:$GE$66,MATCH(I144,'WP Cost HW W1'!$B$9:$B$66,0),MATCH(C144,'WP Cost HW W1'!$B$7:$GE$7,0))</f>
        <v>496.24986591587822</v>
      </c>
      <c r="K144" s="321">
        <f>INDEX('WP Cost HW W1'!$B$9:$GE$66,MATCH(I144,'WP Cost HW W1'!$B$9:$B$66,0),MATCH($E$1,'WP Cost HW W1'!$B$7:$GE$7,0))</f>
        <v>912</v>
      </c>
      <c r="L144" s="321">
        <f t="shared" si="21"/>
        <v>1.8377838718743305</v>
      </c>
      <c r="M144" s="318">
        <f t="shared" si="22"/>
        <v>342228.43705269409</v>
      </c>
    </row>
    <row r="145" spans="1:13" x14ac:dyDescent="0.3">
      <c r="A145" s="314" t="s">
        <v>1052</v>
      </c>
      <c r="B145" s="312">
        <v>39416</v>
      </c>
      <c r="C145" s="309">
        <f t="shared" si="23"/>
        <v>2007</v>
      </c>
      <c r="D145" s="313">
        <v>47750</v>
      </c>
      <c r="E145" s="317">
        <f t="shared" si="24"/>
        <v>16</v>
      </c>
      <c r="F145" s="318">
        <f>VLOOKUP(I145,'WP Cost HW and Useful Life'!$A$3:$B$15,2,FALSE)</f>
        <v>50</v>
      </c>
      <c r="G145" s="318">
        <f t="shared" si="25"/>
        <v>15280</v>
      </c>
      <c r="H145" s="318">
        <f t="shared" si="20"/>
        <v>32470</v>
      </c>
      <c r="I145" s="240" t="s">
        <v>45</v>
      </c>
      <c r="J145" s="321">
        <f>INDEX('WP Cost HW W1'!$B$9:$GE$66,MATCH(I145,'WP Cost HW W1'!$B$9:$B$66,0),MATCH(C145,'WP Cost HW W1'!$B$7:$GE$7,0))</f>
        <v>496.24986591587822</v>
      </c>
      <c r="K145" s="321">
        <f>INDEX('WP Cost HW W1'!$B$9:$GE$66,MATCH(I145,'WP Cost HW W1'!$B$9:$B$66,0),MATCH($E$1,'WP Cost HW W1'!$B$7:$GE$7,0))</f>
        <v>912</v>
      </c>
      <c r="L145" s="321">
        <f t="shared" si="21"/>
        <v>1.8377838718743305</v>
      </c>
      <c r="M145" s="318">
        <f t="shared" si="22"/>
        <v>59672.842319759511</v>
      </c>
    </row>
    <row r="146" spans="1:13" x14ac:dyDescent="0.3">
      <c r="A146" s="314" t="s">
        <v>1052</v>
      </c>
      <c r="B146" s="312">
        <v>39358</v>
      </c>
      <c r="C146" s="309">
        <f t="shared" si="23"/>
        <v>2007</v>
      </c>
      <c r="D146" s="313">
        <v>278000</v>
      </c>
      <c r="E146" s="317">
        <f t="shared" si="24"/>
        <v>16</v>
      </c>
      <c r="F146" s="318">
        <f>VLOOKUP(I146,'WP Cost HW and Useful Life'!$A$3:$B$15,2,FALSE)</f>
        <v>50</v>
      </c>
      <c r="G146" s="318">
        <f t="shared" si="25"/>
        <v>88960</v>
      </c>
      <c r="H146" s="318">
        <f t="shared" si="20"/>
        <v>189040</v>
      </c>
      <c r="I146" s="240" t="s">
        <v>45</v>
      </c>
      <c r="J146" s="321">
        <f>INDEX('WP Cost HW W1'!$B$9:$GE$66,MATCH(I146,'WP Cost HW W1'!$B$9:$B$66,0),MATCH(C146,'WP Cost HW W1'!$B$7:$GE$7,0))</f>
        <v>496.24986591587822</v>
      </c>
      <c r="K146" s="321">
        <f>INDEX('WP Cost HW W1'!$B$9:$GE$66,MATCH(I146,'WP Cost HW W1'!$B$9:$B$66,0),MATCH($E$1,'WP Cost HW W1'!$B$7:$GE$7,0))</f>
        <v>912</v>
      </c>
      <c r="L146" s="321">
        <f t="shared" si="21"/>
        <v>1.8377838718743305</v>
      </c>
      <c r="M146" s="318">
        <f t="shared" si="22"/>
        <v>347414.66313912341</v>
      </c>
    </row>
    <row r="147" spans="1:13" x14ac:dyDescent="0.3">
      <c r="A147" s="314" t="s">
        <v>1052</v>
      </c>
      <c r="B147" s="312">
        <v>39447</v>
      </c>
      <c r="C147" s="309">
        <f t="shared" si="23"/>
        <v>2007</v>
      </c>
      <c r="D147" s="313">
        <v>248000</v>
      </c>
      <c r="E147" s="317">
        <f t="shared" si="24"/>
        <v>16</v>
      </c>
      <c r="F147" s="318">
        <f>VLOOKUP(I147,'WP Cost HW and Useful Life'!$A$3:$B$15,2,FALSE)</f>
        <v>50</v>
      </c>
      <c r="G147" s="318">
        <f t="shared" si="25"/>
        <v>79360</v>
      </c>
      <c r="H147" s="318">
        <f t="shared" si="20"/>
        <v>168640</v>
      </c>
      <c r="I147" s="240" t="s">
        <v>45</v>
      </c>
      <c r="J147" s="321">
        <f>INDEX('WP Cost HW W1'!$B$9:$GE$66,MATCH(I147,'WP Cost HW W1'!$B$9:$B$66,0),MATCH(C147,'WP Cost HW W1'!$B$7:$GE$7,0))</f>
        <v>496.24986591587822</v>
      </c>
      <c r="K147" s="321">
        <f>INDEX('WP Cost HW W1'!$B$9:$GE$66,MATCH(I147,'WP Cost HW W1'!$B$9:$B$66,0),MATCH($E$1,'WP Cost HW W1'!$B$7:$GE$7,0))</f>
        <v>912</v>
      </c>
      <c r="L147" s="321">
        <f t="shared" si="21"/>
        <v>1.8377838718743305</v>
      </c>
      <c r="M147" s="318">
        <f t="shared" si="22"/>
        <v>309923.87215288711</v>
      </c>
    </row>
    <row r="148" spans="1:13" x14ac:dyDescent="0.3">
      <c r="A148" s="314" t="s">
        <v>1052</v>
      </c>
      <c r="B148" s="312">
        <v>39476</v>
      </c>
      <c r="C148" s="309">
        <f t="shared" si="23"/>
        <v>2008</v>
      </c>
      <c r="D148" s="313">
        <v>35100</v>
      </c>
      <c r="E148" s="317">
        <f t="shared" si="24"/>
        <v>15</v>
      </c>
      <c r="F148" s="318">
        <f>VLOOKUP(I148,'WP Cost HW and Useful Life'!$A$3:$B$15,2,FALSE)</f>
        <v>50</v>
      </c>
      <c r="G148" s="318">
        <f t="shared" si="25"/>
        <v>10530</v>
      </c>
      <c r="H148" s="318">
        <f t="shared" si="20"/>
        <v>24570</v>
      </c>
      <c r="I148" s="240" t="s">
        <v>45</v>
      </c>
      <c r="J148" s="321">
        <f>INDEX('WP Cost HW W1'!$B$9:$GE$66,MATCH(I148,'WP Cost HW W1'!$B$9:$B$66,0),MATCH(C148,'WP Cost HW W1'!$B$7:$GE$7,0))</f>
        <v>538.25</v>
      </c>
      <c r="K148" s="321">
        <f>INDEX('WP Cost HW W1'!$B$9:$GE$66,MATCH(I148,'WP Cost HW W1'!$B$9:$B$66,0),MATCH($E$1,'WP Cost HW W1'!$B$7:$GE$7,0))</f>
        <v>912</v>
      </c>
      <c r="L148" s="321">
        <f t="shared" si="21"/>
        <v>1.6943799349744542</v>
      </c>
      <c r="M148" s="318">
        <f t="shared" si="22"/>
        <v>41630.915002322341</v>
      </c>
    </row>
    <row r="149" spans="1:13" x14ac:dyDescent="0.3">
      <c r="A149" s="314" t="s">
        <v>1052</v>
      </c>
      <c r="B149" s="312">
        <v>39512</v>
      </c>
      <c r="C149" s="309">
        <f t="shared" si="23"/>
        <v>2008</v>
      </c>
      <c r="D149" s="313">
        <v>50141</v>
      </c>
      <c r="E149" s="317">
        <f t="shared" si="24"/>
        <v>15</v>
      </c>
      <c r="F149" s="318">
        <f>VLOOKUP(I149,'WP Cost HW and Useful Life'!$A$3:$B$15,2,FALSE)</f>
        <v>50</v>
      </c>
      <c r="G149" s="318">
        <f t="shared" si="25"/>
        <v>15042.300000000001</v>
      </c>
      <c r="H149" s="318">
        <f t="shared" si="20"/>
        <v>35098.699999999997</v>
      </c>
      <c r="I149" s="240" t="s">
        <v>45</v>
      </c>
      <c r="J149" s="321">
        <f>INDEX('WP Cost HW W1'!$B$9:$GE$66,MATCH(I149,'WP Cost HW W1'!$B$9:$B$66,0),MATCH(C149,'WP Cost HW W1'!$B$7:$GE$7,0))</f>
        <v>538.25</v>
      </c>
      <c r="K149" s="321">
        <f>INDEX('WP Cost HW W1'!$B$9:$GE$66,MATCH(I149,'WP Cost HW W1'!$B$9:$B$66,0),MATCH($E$1,'WP Cost HW W1'!$B$7:$GE$7,0))</f>
        <v>912</v>
      </c>
      <c r="L149" s="321">
        <f t="shared" si="21"/>
        <v>1.6943799349744542</v>
      </c>
      <c r="M149" s="318">
        <f t="shared" si="22"/>
        <v>59470.533023687873</v>
      </c>
    </row>
    <row r="150" spans="1:13" x14ac:dyDescent="0.3">
      <c r="A150" s="314" t="s">
        <v>1052</v>
      </c>
      <c r="B150" s="312">
        <v>39512</v>
      </c>
      <c r="C150" s="309">
        <f t="shared" si="23"/>
        <v>2008</v>
      </c>
      <c r="D150" s="313">
        <v>17400</v>
      </c>
      <c r="E150" s="317">
        <f t="shared" si="24"/>
        <v>15</v>
      </c>
      <c r="F150" s="318">
        <f>VLOOKUP(I150,'WP Cost HW and Useful Life'!$A$3:$B$15,2,FALSE)</f>
        <v>50</v>
      </c>
      <c r="G150" s="318">
        <f t="shared" si="25"/>
        <v>5220</v>
      </c>
      <c r="H150" s="318">
        <f t="shared" ref="H150:H181" si="26">IFERROR(D150-G150,"NA")</f>
        <v>12180</v>
      </c>
      <c r="I150" s="240" t="s">
        <v>45</v>
      </c>
      <c r="J150" s="321">
        <f>INDEX('WP Cost HW W1'!$B$9:$GE$66,MATCH(I150,'WP Cost HW W1'!$B$9:$B$66,0),MATCH(C150,'WP Cost HW W1'!$B$7:$GE$7,0))</f>
        <v>538.25</v>
      </c>
      <c r="K150" s="321">
        <f>INDEX('WP Cost HW W1'!$B$9:$GE$66,MATCH(I150,'WP Cost HW W1'!$B$9:$B$66,0),MATCH($E$1,'WP Cost HW W1'!$B$7:$GE$7,0))</f>
        <v>912</v>
      </c>
      <c r="L150" s="321">
        <f t="shared" ref="L150:L181" si="27">K150/J150</f>
        <v>1.6943799349744542</v>
      </c>
      <c r="M150" s="318">
        <f t="shared" ref="M150:M181" si="28">IFERROR(H150*L150,"NA")</f>
        <v>20637.54760798885</v>
      </c>
    </row>
    <row r="151" spans="1:13" x14ac:dyDescent="0.3">
      <c r="A151" s="314" t="s">
        <v>1052</v>
      </c>
      <c r="B151" s="312">
        <v>39512</v>
      </c>
      <c r="C151" s="309">
        <f t="shared" si="23"/>
        <v>2008</v>
      </c>
      <c r="D151" s="313">
        <v>43946</v>
      </c>
      <c r="E151" s="317">
        <f t="shared" si="24"/>
        <v>15</v>
      </c>
      <c r="F151" s="318">
        <f>VLOOKUP(I151,'WP Cost HW and Useful Life'!$A$3:$B$15,2,FALSE)</f>
        <v>50</v>
      </c>
      <c r="G151" s="318">
        <f t="shared" si="25"/>
        <v>13183.8</v>
      </c>
      <c r="H151" s="318">
        <f t="shared" si="26"/>
        <v>30762.2</v>
      </c>
      <c r="I151" s="240" t="s">
        <v>45</v>
      </c>
      <c r="J151" s="321">
        <f>INDEX('WP Cost HW W1'!$B$9:$GE$66,MATCH(I151,'WP Cost HW W1'!$B$9:$B$66,0),MATCH(C151,'WP Cost HW W1'!$B$7:$GE$7,0))</f>
        <v>538.25</v>
      </c>
      <c r="K151" s="321">
        <f>INDEX('WP Cost HW W1'!$B$9:$GE$66,MATCH(I151,'WP Cost HW W1'!$B$9:$B$66,0),MATCH($E$1,'WP Cost HW W1'!$B$7:$GE$7,0))</f>
        <v>912</v>
      </c>
      <c r="L151" s="321">
        <f t="shared" si="27"/>
        <v>1.6943799349744542</v>
      </c>
      <c r="M151" s="318">
        <f t="shared" si="28"/>
        <v>52122.854435671157</v>
      </c>
    </row>
    <row r="152" spans="1:13" x14ac:dyDescent="0.3">
      <c r="A152" s="314" t="s">
        <v>1052</v>
      </c>
      <c r="B152" s="312">
        <v>39563</v>
      </c>
      <c r="C152" s="309">
        <f t="shared" si="23"/>
        <v>2008</v>
      </c>
      <c r="D152" s="313">
        <v>51454</v>
      </c>
      <c r="E152" s="317">
        <f t="shared" si="24"/>
        <v>15</v>
      </c>
      <c r="F152" s="318">
        <f>VLOOKUP(I152,'WP Cost HW and Useful Life'!$A$3:$B$15,2,FALSE)</f>
        <v>50</v>
      </c>
      <c r="G152" s="318">
        <f t="shared" si="25"/>
        <v>15436.199999999999</v>
      </c>
      <c r="H152" s="318">
        <f t="shared" si="26"/>
        <v>36017.800000000003</v>
      </c>
      <c r="I152" s="240" t="s">
        <v>45</v>
      </c>
      <c r="J152" s="321">
        <f>INDEX('WP Cost HW W1'!$B$9:$GE$66,MATCH(I152,'WP Cost HW W1'!$B$9:$B$66,0),MATCH(C152,'WP Cost HW W1'!$B$7:$GE$7,0))</f>
        <v>538.25</v>
      </c>
      <c r="K152" s="321">
        <f>INDEX('WP Cost HW W1'!$B$9:$GE$66,MATCH(I152,'WP Cost HW W1'!$B$9:$B$66,0),MATCH($E$1,'WP Cost HW W1'!$B$7:$GE$7,0))</f>
        <v>912</v>
      </c>
      <c r="L152" s="321">
        <f t="shared" si="27"/>
        <v>1.6943799349744542</v>
      </c>
      <c r="M152" s="318">
        <f t="shared" si="28"/>
        <v>61027.837621922903</v>
      </c>
    </row>
    <row r="153" spans="1:13" x14ac:dyDescent="0.3">
      <c r="A153" s="314" t="s">
        <v>1052</v>
      </c>
      <c r="B153" s="312">
        <v>39563</v>
      </c>
      <c r="C153" s="309">
        <f t="shared" si="23"/>
        <v>2008</v>
      </c>
      <c r="D153" s="313">
        <v>948.86</v>
      </c>
      <c r="E153" s="317">
        <f t="shared" si="24"/>
        <v>15</v>
      </c>
      <c r="F153" s="318">
        <f>VLOOKUP(I153,'WP Cost HW and Useful Life'!$A$3:$B$15,2,FALSE)</f>
        <v>50</v>
      </c>
      <c r="G153" s="318">
        <f t="shared" si="25"/>
        <v>284.65800000000002</v>
      </c>
      <c r="H153" s="318">
        <f t="shared" si="26"/>
        <v>664.202</v>
      </c>
      <c r="I153" s="240" t="s">
        <v>45</v>
      </c>
      <c r="J153" s="321">
        <f>INDEX('WP Cost HW W1'!$B$9:$GE$66,MATCH(I153,'WP Cost HW W1'!$B$9:$B$66,0),MATCH(C153,'WP Cost HW W1'!$B$7:$GE$7,0))</f>
        <v>538.25</v>
      </c>
      <c r="K153" s="321">
        <f>INDEX('WP Cost HW W1'!$B$9:$GE$66,MATCH(I153,'WP Cost HW W1'!$B$9:$B$66,0),MATCH($E$1,'WP Cost HW W1'!$B$7:$GE$7,0))</f>
        <v>912</v>
      </c>
      <c r="L153" s="321">
        <f t="shared" si="27"/>
        <v>1.6943799349744542</v>
      </c>
      <c r="M153" s="318">
        <f t="shared" si="28"/>
        <v>1125.4105415699023</v>
      </c>
    </row>
    <row r="154" spans="1:13" x14ac:dyDescent="0.3">
      <c r="A154" s="314" t="s">
        <v>1052</v>
      </c>
      <c r="B154" s="312">
        <v>39872</v>
      </c>
      <c r="C154" s="309">
        <f t="shared" si="23"/>
        <v>2009</v>
      </c>
      <c r="D154" s="313">
        <v>1578731.87</v>
      </c>
      <c r="E154" s="317">
        <f t="shared" si="24"/>
        <v>14</v>
      </c>
      <c r="F154" s="318">
        <f>VLOOKUP(I154,'WP Cost HW and Useful Life'!$A$3:$B$15,2,FALSE)</f>
        <v>50</v>
      </c>
      <c r="G154" s="318">
        <f t="shared" si="25"/>
        <v>442044.92360000004</v>
      </c>
      <c r="H154" s="318">
        <f t="shared" si="26"/>
        <v>1136686.9464</v>
      </c>
      <c r="I154" s="240" t="s">
        <v>45</v>
      </c>
      <c r="J154" s="321">
        <f>INDEX('WP Cost HW W1'!$B$9:$GE$66,MATCH(I154,'WP Cost HW W1'!$B$9:$B$66,0),MATCH(C154,'WP Cost HW W1'!$B$7:$GE$7,0))</f>
        <v>543.75</v>
      </c>
      <c r="K154" s="321">
        <f>INDEX('WP Cost HW W1'!$B$9:$GE$66,MATCH(I154,'WP Cost HW W1'!$B$9:$B$66,0),MATCH($E$1,'WP Cost HW W1'!$B$7:$GE$7,0))</f>
        <v>912</v>
      </c>
      <c r="L154" s="321">
        <f t="shared" si="27"/>
        <v>1.6772413793103449</v>
      </c>
      <c r="M154" s="318">
        <f t="shared" si="28"/>
        <v>1906498.381824</v>
      </c>
    </row>
    <row r="155" spans="1:13" x14ac:dyDescent="0.3">
      <c r="A155" s="314" t="s">
        <v>1052</v>
      </c>
      <c r="B155" s="312">
        <v>39872</v>
      </c>
      <c r="C155" s="309">
        <f t="shared" si="23"/>
        <v>2009</v>
      </c>
      <c r="D155" s="313">
        <v>163500</v>
      </c>
      <c r="E155" s="317">
        <f t="shared" si="24"/>
        <v>14</v>
      </c>
      <c r="F155" s="318">
        <f>VLOOKUP(I155,'WP Cost HW and Useful Life'!$A$3:$B$15,2,FALSE)</f>
        <v>50</v>
      </c>
      <c r="G155" s="318">
        <f t="shared" si="25"/>
        <v>45780</v>
      </c>
      <c r="H155" s="318">
        <f t="shared" si="26"/>
        <v>117720</v>
      </c>
      <c r="I155" s="240" t="s">
        <v>45</v>
      </c>
      <c r="J155" s="321">
        <f>INDEX('WP Cost HW W1'!$B$9:$GE$66,MATCH(I155,'WP Cost HW W1'!$B$9:$B$66,0),MATCH(C155,'WP Cost HW W1'!$B$7:$GE$7,0))</f>
        <v>543.75</v>
      </c>
      <c r="K155" s="321">
        <f>INDEX('WP Cost HW W1'!$B$9:$GE$66,MATCH(I155,'WP Cost HW W1'!$B$9:$B$66,0),MATCH($E$1,'WP Cost HW W1'!$B$7:$GE$7,0))</f>
        <v>912</v>
      </c>
      <c r="L155" s="321">
        <f t="shared" si="27"/>
        <v>1.6772413793103449</v>
      </c>
      <c r="M155" s="318">
        <f t="shared" si="28"/>
        <v>197444.85517241381</v>
      </c>
    </row>
    <row r="156" spans="1:13" x14ac:dyDescent="0.3">
      <c r="A156" s="314" t="s">
        <v>1052</v>
      </c>
      <c r="B156" s="312">
        <v>39895</v>
      </c>
      <c r="C156" s="309">
        <f t="shared" si="23"/>
        <v>2009</v>
      </c>
      <c r="D156" s="313">
        <v>130000</v>
      </c>
      <c r="E156" s="317">
        <f t="shared" si="24"/>
        <v>14</v>
      </c>
      <c r="F156" s="318">
        <f>VLOOKUP(I156,'WP Cost HW and Useful Life'!$A$3:$B$15,2,FALSE)</f>
        <v>50</v>
      </c>
      <c r="G156" s="318">
        <f t="shared" si="25"/>
        <v>36400</v>
      </c>
      <c r="H156" s="318">
        <f t="shared" si="26"/>
        <v>93600</v>
      </c>
      <c r="I156" s="240" t="s">
        <v>45</v>
      </c>
      <c r="J156" s="321">
        <f>INDEX('WP Cost HW W1'!$B$9:$GE$66,MATCH(I156,'WP Cost HW W1'!$B$9:$B$66,0),MATCH(C156,'WP Cost HW W1'!$B$7:$GE$7,0))</f>
        <v>543.75</v>
      </c>
      <c r="K156" s="321">
        <f>INDEX('WP Cost HW W1'!$B$9:$GE$66,MATCH(I156,'WP Cost HW W1'!$B$9:$B$66,0),MATCH($E$1,'WP Cost HW W1'!$B$7:$GE$7,0))</f>
        <v>912</v>
      </c>
      <c r="L156" s="321">
        <f t="shared" si="27"/>
        <v>1.6772413793103449</v>
      </c>
      <c r="M156" s="318">
        <f t="shared" si="28"/>
        <v>156989.79310344829</v>
      </c>
    </row>
    <row r="157" spans="1:13" x14ac:dyDescent="0.3">
      <c r="A157" s="314" t="s">
        <v>1052</v>
      </c>
      <c r="B157" s="312">
        <v>39895</v>
      </c>
      <c r="C157" s="309">
        <f t="shared" si="23"/>
        <v>2009</v>
      </c>
      <c r="D157" s="313">
        <v>757768.91</v>
      </c>
      <c r="E157" s="317">
        <f t="shared" si="24"/>
        <v>14</v>
      </c>
      <c r="F157" s="318">
        <f>VLOOKUP(I157,'WP Cost HW and Useful Life'!$A$3:$B$15,2,FALSE)</f>
        <v>50</v>
      </c>
      <c r="G157" s="318">
        <f t="shared" si="25"/>
        <v>212175.2948</v>
      </c>
      <c r="H157" s="318">
        <f t="shared" si="26"/>
        <v>545593.6152</v>
      </c>
      <c r="I157" s="240" t="s">
        <v>45</v>
      </c>
      <c r="J157" s="321">
        <f>INDEX('WP Cost HW W1'!$B$9:$GE$66,MATCH(I157,'WP Cost HW W1'!$B$9:$B$66,0),MATCH(C157,'WP Cost HW W1'!$B$7:$GE$7,0))</f>
        <v>543.75</v>
      </c>
      <c r="K157" s="321">
        <f>INDEX('WP Cost HW W1'!$B$9:$GE$66,MATCH(I157,'WP Cost HW W1'!$B$9:$B$66,0),MATCH($E$1,'WP Cost HW W1'!$B$7:$GE$7,0))</f>
        <v>912</v>
      </c>
      <c r="L157" s="321">
        <f t="shared" si="27"/>
        <v>1.6772413793103449</v>
      </c>
      <c r="M157" s="318">
        <f t="shared" si="28"/>
        <v>915092.18770096556</v>
      </c>
    </row>
    <row r="158" spans="1:13" x14ac:dyDescent="0.3">
      <c r="A158" s="314" t="s">
        <v>1052</v>
      </c>
      <c r="B158" s="312">
        <v>39895</v>
      </c>
      <c r="C158" s="309">
        <f t="shared" si="23"/>
        <v>2009</v>
      </c>
      <c r="D158" s="313">
        <v>15989.36</v>
      </c>
      <c r="E158" s="317">
        <f t="shared" si="24"/>
        <v>14</v>
      </c>
      <c r="F158" s="318">
        <f>VLOOKUP(I158,'WP Cost HW and Useful Life'!$A$3:$B$15,2,FALSE)</f>
        <v>50</v>
      </c>
      <c r="G158" s="318">
        <f t="shared" si="25"/>
        <v>4477.0208000000002</v>
      </c>
      <c r="H158" s="318">
        <f t="shared" si="26"/>
        <v>11512.3392</v>
      </c>
      <c r="I158" s="240" t="s">
        <v>45</v>
      </c>
      <c r="J158" s="321">
        <f>INDEX('WP Cost HW W1'!$B$9:$GE$66,MATCH(I158,'WP Cost HW W1'!$B$9:$B$66,0),MATCH(C158,'WP Cost HW W1'!$B$7:$GE$7,0))</f>
        <v>543.75</v>
      </c>
      <c r="K158" s="321">
        <f>INDEX('WP Cost HW W1'!$B$9:$GE$66,MATCH(I158,'WP Cost HW W1'!$B$9:$B$66,0),MATCH($E$1,'WP Cost HW W1'!$B$7:$GE$7,0))</f>
        <v>912</v>
      </c>
      <c r="L158" s="321">
        <f t="shared" si="27"/>
        <v>1.6772413793103449</v>
      </c>
      <c r="M158" s="318">
        <f t="shared" si="28"/>
        <v>19308.971678896552</v>
      </c>
    </row>
    <row r="159" spans="1:13" x14ac:dyDescent="0.3">
      <c r="A159" s="314" t="s">
        <v>1052</v>
      </c>
      <c r="B159" s="312">
        <v>39933</v>
      </c>
      <c r="C159" s="309">
        <f t="shared" si="23"/>
        <v>2009</v>
      </c>
      <c r="D159" s="313">
        <v>8115</v>
      </c>
      <c r="E159" s="317">
        <f t="shared" si="24"/>
        <v>14</v>
      </c>
      <c r="F159" s="318">
        <f>VLOOKUP(I159,'WP Cost HW and Useful Life'!$A$3:$B$15,2,FALSE)</f>
        <v>50</v>
      </c>
      <c r="G159" s="318">
        <f t="shared" si="25"/>
        <v>2272.2000000000003</v>
      </c>
      <c r="H159" s="318">
        <f t="shared" si="26"/>
        <v>5842.7999999999993</v>
      </c>
      <c r="I159" s="240" t="s">
        <v>45</v>
      </c>
      <c r="J159" s="321">
        <f>INDEX('WP Cost HW W1'!$B$9:$GE$66,MATCH(I159,'WP Cost HW W1'!$B$9:$B$66,0),MATCH(C159,'WP Cost HW W1'!$B$7:$GE$7,0))</f>
        <v>543.75</v>
      </c>
      <c r="K159" s="321">
        <f>INDEX('WP Cost HW W1'!$B$9:$GE$66,MATCH(I159,'WP Cost HW W1'!$B$9:$B$66,0),MATCH($E$1,'WP Cost HW W1'!$B$7:$GE$7,0))</f>
        <v>912</v>
      </c>
      <c r="L159" s="321">
        <f t="shared" si="27"/>
        <v>1.6772413793103449</v>
      </c>
      <c r="M159" s="318">
        <f t="shared" si="28"/>
        <v>9799.7859310344811</v>
      </c>
    </row>
    <row r="160" spans="1:13" x14ac:dyDescent="0.3">
      <c r="A160" s="314" t="s">
        <v>1052</v>
      </c>
      <c r="B160" s="312">
        <v>39933</v>
      </c>
      <c r="C160" s="309">
        <f t="shared" si="23"/>
        <v>2009</v>
      </c>
      <c r="D160" s="313">
        <v>1405310.73</v>
      </c>
      <c r="E160" s="317">
        <f t="shared" si="24"/>
        <v>14</v>
      </c>
      <c r="F160" s="318">
        <f>VLOOKUP(I160,'WP Cost HW and Useful Life'!$A$3:$B$15,2,FALSE)</f>
        <v>50</v>
      </c>
      <c r="G160" s="318">
        <f t="shared" si="25"/>
        <v>393487.00439999998</v>
      </c>
      <c r="H160" s="318">
        <f t="shared" si="26"/>
        <v>1011823.7256</v>
      </c>
      <c r="I160" s="240" t="s">
        <v>45</v>
      </c>
      <c r="J160" s="321">
        <f>INDEX('WP Cost HW W1'!$B$9:$GE$66,MATCH(I160,'WP Cost HW W1'!$B$9:$B$66,0),MATCH(C160,'WP Cost HW W1'!$B$7:$GE$7,0))</f>
        <v>543.75</v>
      </c>
      <c r="K160" s="321">
        <f>INDEX('WP Cost HW W1'!$B$9:$GE$66,MATCH(I160,'WP Cost HW W1'!$B$9:$B$66,0),MATCH($E$1,'WP Cost HW W1'!$B$7:$GE$7,0))</f>
        <v>912</v>
      </c>
      <c r="L160" s="321">
        <f t="shared" si="27"/>
        <v>1.6772413793103449</v>
      </c>
      <c r="M160" s="318">
        <f t="shared" si="28"/>
        <v>1697072.6211442759</v>
      </c>
    </row>
    <row r="161" spans="1:13" x14ac:dyDescent="0.3">
      <c r="A161" s="314" t="s">
        <v>1052</v>
      </c>
      <c r="B161" s="312">
        <v>39933</v>
      </c>
      <c r="C161" s="309">
        <f t="shared" si="23"/>
        <v>2009</v>
      </c>
      <c r="D161" s="313">
        <v>39032.449999999997</v>
      </c>
      <c r="E161" s="317">
        <f t="shared" si="24"/>
        <v>14</v>
      </c>
      <c r="F161" s="318">
        <f>VLOOKUP(I161,'WP Cost HW and Useful Life'!$A$3:$B$15,2,FALSE)</f>
        <v>50</v>
      </c>
      <c r="G161" s="318">
        <f t="shared" si="25"/>
        <v>10929.085999999999</v>
      </c>
      <c r="H161" s="318">
        <f t="shared" si="26"/>
        <v>28103.363999999998</v>
      </c>
      <c r="I161" s="240" t="s">
        <v>45</v>
      </c>
      <c r="J161" s="321">
        <f>INDEX('WP Cost HW W1'!$B$9:$GE$66,MATCH(I161,'WP Cost HW W1'!$B$9:$B$66,0),MATCH(C161,'WP Cost HW W1'!$B$7:$GE$7,0))</f>
        <v>543.75</v>
      </c>
      <c r="K161" s="321">
        <f>INDEX('WP Cost HW W1'!$B$9:$GE$66,MATCH(I161,'WP Cost HW W1'!$B$9:$B$66,0),MATCH($E$1,'WP Cost HW W1'!$B$7:$GE$7,0))</f>
        <v>912</v>
      </c>
      <c r="L161" s="321">
        <f t="shared" si="27"/>
        <v>1.6772413793103449</v>
      </c>
      <c r="M161" s="318">
        <f t="shared" si="28"/>
        <v>47136.124998620689</v>
      </c>
    </row>
    <row r="162" spans="1:13" x14ac:dyDescent="0.3">
      <c r="A162" s="314" t="s">
        <v>1052</v>
      </c>
      <c r="B162" s="312">
        <v>39933</v>
      </c>
      <c r="C162" s="309">
        <f t="shared" si="23"/>
        <v>2009</v>
      </c>
      <c r="D162" s="313">
        <v>141500</v>
      </c>
      <c r="E162" s="317">
        <f t="shared" si="24"/>
        <v>14</v>
      </c>
      <c r="F162" s="318">
        <f>VLOOKUP(I162,'WP Cost HW and Useful Life'!$A$3:$B$15,2,FALSE)</f>
        <v>50</v>
      </c>
      <c r="G162" s="318">
        <f t="shared" si="25"/>
        <v>39620</v>
      </c>
      <c r="H162" s="318">
        <f t="shared" si="26"/>
        <v>101880</v>
      </c>
      <c r="I162" s="240" t="s">
        <v>45</v>
      </c>
      <c r="J162" s="321">
        <f>INDEX('WP Cost HW W1'!$B$9:$GE$66,MATCH(I162,'WP Cost HW W1'!$B$9:$B$66,0),MATCH(C162,'WP Cost HW W1'!$B$7:$GE$7,0))</f>
        <v>543.75</v>
      </c>
      <c r="K162" s="321">
        <f>INDEX('WP Cost HW W1'!$B$9:$GE$66,MATCH(I162,'WP Cost HW W1'!$B$9:$B$66,0),MATCH($E$1,'WP Cost HW W1'!$B$7:$GE$7,0))</f>
        <v>912</v>
      </c>
      <c r="L162" s="321">
        <f t="shared" si="27"/>
        <v>1.6772413793103449</v>
      </c>
      <c r="M162" s="318">
        <f t="shared" si="28"/>
        <v>170877.35172413793</v>
      </c>
    </row>
    <row r="163" spans="1:13" x14ac:dyDescent="0.3">
      <c r="A163" s="314" t="s">
        <v>1052</v>
      </c>
      <c r="B163" s="312">
        <v>39947</v>
      </c>
      <c r="C163" s="309">
        <f t="shared" si="23"/>
        <v>2009</v>
      </c>
      <c r="D163" s="313">
        <v>13600</v>
      </c>
      <c r="E163" s="317">
        <f t="shared" si="24"/>
        <v>14</v>
      </c>
      <c r="F163" s="318">
        <f>VLOOKUP(I163,'WP Cost HW and Useful Life'!$A$3:$B$15,2,FALSE)</f>
        <v>50</v>
      </c>
      <c r="G163" s="318">
        <f t="shared" si="25"/>
        <v>3808</v>
      </c>
      <c r="H163" s="318">
        <f t="shared" si="26"/>
        <v>9792</v>
      </c>
      <c r="I163" s="240" t="s">
        <v>45</v>
      </c>
      <c r="J163" s="321">
        <f>INDEX('WP Cost HW W1'!$B$9:$GE$66,MATCH(I163,'WP Cost HW W1'!$B$9:$B$66,0),MATCH(C163,'WP Cost HW W1'!$B$7:$GE$7,0))</f>
        <v>543.75</v>
      </c>
      <c r="K163" s="321">
        <f>INDEX('WP Cost HW W1'!$B$9:$GE$66,MATCH(I163,'WP Cost HW W1'!$B$9:$B$66,0),MATCH($E$1,'WP Cost HW W1'!$B$7:$GE$7,0))</f>
        <v>912</v>
      </c>
      <c r="L163" s="321">
        <f t="shared" si="27"/>
        <v>1.6772413793103449</v>
      </c>
      <c r="M163" s="318">
        <f t="shared" si="28"/>
        <v>16423.547586206896</v>
      </c>
    </row>
    <row r="164" spans="1:13" x14ac:dyDescent="0.3">
      <c r="A164" s="314" t="s">
        <v>1052</v>
      </c>
      <c r="B164" s="312">
        <v>39947</v>
      </c>
      <c r="C164" s="309">
        <f t="shared" si="23"/>
        <v>2009</v>
      </c>
      <c r="D164" s="313">
        <v>12900</v>
      </c>
      <c r="E164" s="317">
        <f t="shared" si="24"/>
        <v>14</v>
      </c>
      <c r="F164" s="318">
        <f>VLOOKUP(I164,'WP Cost HW and Useful Life'!$A$3:$B$15,2,FALSE)</f>
        <v>50</v>
      </c>
      <c r="G164" s="318">
        <f t="shared" si="25"/>
        <v>3612</v>
      </c>
      <c r="H164" s="318">
        <f t="shared" si="26"/>
        <v>9288</v>
      </c>
      <c r="I164" s="240" t="s">
        <v>45</v>
      </c>
      <c r="J164" s="321">
        <f>INDEX('WP Cost HW W1'!$B$9:$GE$66,MATCH(I164,'WP Cost HW W1'!$B$9:$B$66,0),MATCH(C164,'WP Cost HW W1'!$B$7:$GE$7,0))</f>
        <v>543.75</v>
      </c>
      <c r="K164" s="321">
        <f>INDEX('WP Cost HW W1'!$B$9:$GE$66,MATCH(I164,'WP Cost HW W1'!$B$9:$B$66,0),MATCH($E$1,'WP Cost HW W1'!$B$7:$GE$7,0))</f>
        <v>912</v>
      </c>
      <c r="L164" s="321">
        <f t="shared" si="27"/>
        <v>1.6772413793103449</v>
      </c>
      <c r="M164" s="318">
        <f t="shared" si="28"/>
        <v>15578.217931034484</v>
      </c>
    </row>
    <row r="165" spans="1:13" x14ac:dyDescent="0.3">
      <c r="A165" s="314" t="s">
        <v>1052</v>
      </c>
      <c r="B165" s="312">
        <v>39947</v>
      </c>
      <c r="C165" s="309">
        <f t="shared" si="23"/>
        <v>2009</v>
      </c>
      <c r="D165" s="313">
        <v>3350920.48</v>
      </c>
      <c r="E165" s="317">
        <f t="shared" si="24"/>
        <v>14</v>
      </c>
      <c r="F165" s="318">
        <f>VLOOKUP(I165,'WP Cost HW and Useful Life'!$A$3:$B$15,2,FALSE)</f>
        <v>50</v>
      </c>
      <c r="G165" s="318">
        <f t="shared" si="25"/>
        <v>938257.73439999996</v>
      </c>
      <c r="H165" s="318">
        <f t="shared" si="26"/>
        <v>2412662.7456</v>
      </c>
      <c r="I165" s="240" t="s">
        <v>45</v>
      </c>
      <c r="J165" s="321">
        <f>INDEX('WP Cost HW W1'!$B$9:$GE$66,MATCH(I165,'WP Cost HW W1'!$B$9:$B$66,0),MATCH(C165,'WP Cost HW W1'!$B$7:$GE$7,0))</f>
        <v>543.75</v>
      </c>
      <c r="K165" s="321">
        <f>INDEX('WP Cost HW W1'!$B$9:$GE$66,MATCH(I165,'WP Cost HW W1'!$B$9:$B$66,0),MATCH($E$1,'WP Cost HW W1'!$B$7:$GE$7,0))</f>
        <v>912</v>
      </c>
      <c r="L165" s="321">
        <f t="shared" si="27"/>
        <v>1.6772413793103449</v>
      </c>
      <c r="M165" s="318">
        <f t="shared" si="28"/>
        <v>4046617.7912408276</v>
      </c>
    </row>
    <row r="166" spans="1:13" x14ac:dyDescent="0.3">
      <c r="A166" s="314" t="s">
        <v>1052</v>
      </c>
      <c r="B166" s="312">
        <v>39955</v>
      </c>
      <c r="C166" s="309">
        <f t="shared" si="23"/>
        <v>2009</v>
      </c>
      <c r="D166" s="313">
        <v>160112.92000000001</v>
      </c>
      <c r="E166" s="317">
        <f t="shared" si="24"/>
        <v>14</v>
      </c>
      <c r="F166" s="318">
        <f>VLOOKUP(I166,'WP Cost HW and Useful Life'!$A$3:$B$15,2,FALSE)</f>
        <v>50</v>
      </c>
      <c r="G166" s="318">
        <f t="shared" si="25"/>
        <v>44831.617600000005</v>
      </c>
      <c r="H166" s="318">
        <f t="shared" si="26"/>
        <v>115281.30240000002</v>
      </c>
      <c r="I166" s="240" t="s">
        <v>45</v>
      </c>
      <c r="J166" s="321">
        <f>INDEX('WP Cost HW W1'!$B$9:$GE$66,MATCH(I166,'WP Cost HW W1'!$B$9:$B$66,0),MATCH(C166,'WP Cost HW W1'!$B$7:$GE$7,0))</f>
        <v>543.75</v>
      </c>
      <c r="K166" s="321">
        <f>INDEX('WP Cost HW W1'!$B$9:$GE$66,MATCH(I166,'WP Cost HW W1'!$B$9:$B$66,0),MATCH($E$1,'WP Cost HW W1'!$B$7:$GE$7,0))</f>
        <v>912</v>
      </c>
      <c r="L166" s="321">
        <f t="shared" si="27"/>
        <v>1.6772413793103449</v>
      </c>
      <c r="M166" s="318">
        <f t="shared" si="28"/>
        <v>193354.57064606901</v>
      </c>
    </row>
    <row r="167" spans="1:13" x14ac:dyDescent="0.3">
      <c r="A167" s="314" t="s">
        <v>1052</v>
      </c>
      <c r="B167" s="312">
        <v>39987</v>
      </c>
      <c r="C167" s="309">
        <f t="shared" si="23"/>
        <v>2009</v>
      </c>
      <c r="D167" s="313">
        <v>2807566.67</v>
      </c>
      <c r="E167" s="317">
        <f t="shared" si="24"/>
        <v>14</v>
      </c>
      <c r="F167" s="318">
        <f>VLOOKUP(I167,'WP Cost HW and Useful Life'!$A$3:$B$15,2,FALSE)</f>
        <v>50</v>
      </c>
      <c r="G167" s="318">
        <f t="shared" si="25"/>
        <v>786118.66759999993</v>
      </c>
      <c r="H167" s="318">
        <f t="shared" si="26"/>
        <v>2021448.0024000001</v>
      </c>
      <c r="I167" s="240" t="s">
        <v>45</v>
      </c>
      <c r="J167" s="321">
        <f>INDEX('WP Cost HW W1'!$B$9:$GE$66,MATCH(I167,'WP Cost HW W1'!$B$9:$B$66,0),MATCH(C167,'WP Cost HW W1'!$B$7:$GE$7,0))</f>
        <v>543.75</v>
      </c>
      <c r="K167" s="321">
        <f>INDEX('WP Cost HW W1'!$B$9:$GE$66,MATCH(I167,'WP Cost HW W1'!$B$9:$B$66,0),MATCH($E$1,'WP Cost HW W1'!$B$7:$GE$7,0))</f>
        <v>912</v>
      </c>
      <c r="L167" s="321">
        <f t="shared" si="27"/>
        <v>1.6772413793103449</v>
      </c>
      <c r="M167" s="318">
        <f t="shared" si="28"/>
        <v>3390456.2357495176</v>
      </c>
    </row>
    <row r="168" spans="1:13" x14ac:dyDescent="0.3">
      <c r="A168" s="314" t="s">
        <v>1052</v>
      </c>
      <c r="B168" s="312">
        <v>39987</v>
      </c>
      <c r="C168" s="309">
        <f t="shared" si="23"/>
        <v>2009</v>
      </c>
      <c r="D168" s="313">
        <v>94279.88</v>
      </c>
      <c r="E168" s="317">
        <f t="shared" si="24"/>
        <v>14</v>
      </c>
      <c r="F168" s="318">
        <f>VLOOKUP(I168,'WP Cost HW and Useful Life'!$A$3:$B$15,2,FALSE)</f>
        <v>50</v>
      </c>
      <c r="G168" s="318">
        <f t="shared" si="25"/>
        <v>26398.366399999999</v>
      </c>
      <c r="H168" s="318">
        <f t="shared" si="26"/>
        <v>67881.513600000006</v>
      </c>
      <c r="I168" s="240" t="s">
        <v>45</v>
      </c>
      <c r="J168" s="321">
        <f>INDEX('WP Cost HW W1'!$B$9:$GE$66,MATCH(I168,'WP Cost HW W1'!$B$9:$B$66,0),MATCH(C168,'WP Cost HW W1'!$B$7:$GE$7,0))</f>
        <v>543.75</v>
      </c>
      <c r="K168" s="321">
        <f>INDEX('WP Cost HW W1'!$B$9:$GE$66,MATCH(I168,'WP Cost HW W1'!$B$9:$B$66,0),MATCH($E$1,'WP Cost HW W1'!$B$7:$GE$7,0))</f>
        <v>912</v>
      </c>
      <c r="L168" s="321">
        <f t="shared" si="27"/>
        <v>1.6772413793103449</v>
      </c>
      <c r="M168" s="318">
        <f t="shared" si="28"/>
        <v>113853.68350013795</v>
      </c>
    </row>
    <row r="169" spans="1:13" x14ac:dyDescent="0.3">
      <c r="A169" s="314" t="s">
        <v>1052</v>
      </c>
      <c r="B169" s="312">
        <v>40016</v>
      </c>
      <c r="C169" s="309">
        <f t="shared" si="23"/>
        <v>2009</v>
      </c>
      <c r="D169" s="313">
        <v>91932.56</v>
      </c>
      <c r="E169" s="317">
        <f t="shared" si="24"/>
        <v>14</v>
      </c>
      <c r="F169" s="318">
        <f>VLOOKUP(I169,'WP Cost HW and Useful Life'!$A$3:$B$15,2,FALSE)</f>
        <v>50</v>
      </c>
      <c r="G169" s="318">
        <f t="shared" si="25"/>
        <v>25741.1168</v>
      </c>
      <c r="H169" s="318">
        <f t="shared" si="26"/>
        <v>66191.443199999994</v>
      </c>
      <c r="I169" s="240" t="s">
        <v>45</v>
      </c>
      <c r="J169" s="321">
        <f>INDEX('WP Cost HW W1'!$B$9:$GE$66,MATCH(I169,'WP Cost HW W1'!$B$9:$B$66,0),MATCH(C169,'WP Cost HW W1'!$B$7:$GE$7,0))</f>
        <v>543.75</v>
      </c>
      <c r="K169" s="321">
        <f>INDEX('WP Cost HW W1'!$B$9:$GE$66,MATCH(I169,'WP Cost HW W1'!$B$9:$B$66,0),MATCH($E$1,'WP Cost HW W1'!$B$7:$GE$7,0))</f>
        <v>912</v>
      </c>
      <c r="L169" s="321">
        <f t="shared" si="27"/>
        <v>1.6772413793103449</v>
      </c>
      <c r="M169" s="318">
        <f t="shared" si="28"/>
        <v>111019.02749131033</v>
      </c>
    </row>
    <row r="170" spans="1:13" x14ac:dyDescent="0.3">
      <c r="A170" s="314" t="s">
        <v>1052</v>
      </c>
      <c r="B170" s="312">
        <v>40051</v>
      </c>
      <c r="C170" s="309">
        <f t="shared" si="23"/>
        <v>2009</v>
      </c>
      <c r="D170" s="313">
        <v>171354.51</v>
      </c>
      <c r="E170" s="317">
        <f t="shared" si="24"/>
        <v>14</v>
      </c>
      <c r="F170" s="318">
        <f>VLOOKUP(I170,'WP Cost HW and Useful Life'!$A$3:$B$15,2,FALSE)</f>
        <v>50</v>
      </c>
      <c r="G170" s="318">
        <f t="shared" si="25"/>
        <v>47979.262800000004</v>
      </c>
      <c r="H170" s="318">
        <f t="shared" si="26"/>
        <v>123375.24720000001</v>
      </c>
      <c r="I170" s="240" t="s">
        <v>45</v>
      </c>
      <c r="J170" s="321">
        <f>INDEX('WP Cost HW W1'!$B$9:$GE$66,MATCH(I170,'WP Cost HW W1'!$B$9:$B$66,0),MATCH(C170,'WP Cost HW W1'!$B$7:$GE$7,0))</f>
        <v>543.75</v>
      </c>
      <c r="K170" s="321">
        <f>INDEX('WP Cost HW W1'!$B$9:$GE$66,MATCH(I170,'WP Cost HW W1'!$B$9:$B$66,0),MATCH($E$1,'WP Cost HW W1'!$B$7:$GE$7,0))</f>
        <v>912</v>
      </c>
      <c r="L170" s="321">
        <f t="shared" si="27"/>
        <v>1.6772413793103449</v>
      </c>
      <c r="M170" s="318">
        <f t="shared" si="28"/>
        <v>206930.06978648278</v>
      </c>
    </row>
    <row r="171" spans="1:13" x14ac:dyDescent="0.3">
      <c r="A171" s="314" t="s">
        <v>1052</v>
      </c>
      <c r="B171" s="312">
        <v>40051</v>
      </c>
      <c r="C171" s="309">
        <f t="shared" si="23"/>
        <v>2009</v>
      </c>
      <c r="D171" s="313">
        <v>31881.32</v>
      </c>
      <c r="E171" s="317">
        <f t="shared" si="24"/>
        <v>14</v>
      </c>
      <c r="F171" s="318">
        <f>VLOOKUP(I171,'WP Cost HW and Useful Life'!$A$3:$B$15,2,FALSE)</f>
        <v>50</v>
      </c>
      <c r="G171" s="318">
        <f t="shared" si="25"/>
        <v>8926.7695999999996</v>
      </c>
      <c r="H171" s="318">
        <f t="shared" si="26"/>
        <v>22954.5504</v>
      </c>
      <c r="I171" s="240" t="s">
        <v>45</v>
      </c>
      <c r="J171" s="321">
        <f>INDEX('WP Cost HW W1'!$B$9:$GE$66,MATCH(I171,'WP Cost HW W1'!$B$9:$B$66,0),MATCH(C171,'WP Cost HW W1'!$B$7:$GE$7,0))</f>
        <v>543.75</v>
      </c>
      <c r="K171" s="321">
        <f>INDEX('WP Cost HW W1'!$B$9:$GE$66,MATCH(I171,'WP Cost HW W1'!$B$9:$B$66,0),MATCH($E$1,'WP Cost HW W1'!$B$7:$GE$7,0))</f>
        <v>912</v>
      </c>
      <c r="L171" s="321">
        <f t="shared" si="27"/>
        <v>1.6772413793103449</v>
      </c>
      <c r="M171" s="318">
        <f t="shared" si="28"/>
        <v>38500.321774344826</v>
      </c>
    </row>
    <row r="172" spans="1:13" x14ac:dyDescent="0.3">
      <c r="A172" s="314" t="s">
        <v>1052</v>
      </c>
      <c r="B172" s="312">
        <v>40101</v>
      </c>
      <c r="C172" s="309">
        <f t="shared" si="23"/>
        <v>2009</v>
      </c>
      <c r="D172" s="313">
        <v>173208.99</v>
      </c>
      <c r="E172" s="317">
        <f t="shared" si="24"/>
        <v>14</v>
      </c>
      <c r="F172" s="318">
        <f>VLOOKUP(I172,'WP Cost HW and Useful Life'!$A$3:$B$15,2,FALSE)</f>
        <v>50</v>
      </c>
      <c r="G172" s="318">
        <f t="shared" si="25"/>
        <v>48498.517200000002</v>
      </c>
      <c r="H172" s="318">
        <f t="shared" si="26"/>
        <v>124710.47279999999</v>
      </c>
      <c r="I172" s="240" t="s">
        <v>45</v>
      </c>
      <c r="J172" s="321">
        <f>INDEX('WP Cost HW W1'!$B$9:$GE$66,MATCH(I172,'WP Cost HW W1'!$B$9:$B$66,0),MATCH(C172,'WP Cost HW W1'!$B$7:$GE$7,0))</f>
        <v>543.75</v>
      </c>
      <c r="K172" s="321">
        <f>INDEX('WP Cost HW W1'!$B$9:$GE$66,MATCH(I172,'WP Cost HW W1'!$B$9:$B$66,0),MATCH($E$1,'WP Cost HW W1'!$B$7:$GE$7,0))</f>
        <v>912</v>
      </c>
      <c r="L172" s="321">
        <f t="shared" si="27"/>
        <v>1.6772413793103449</v>
      </c>
      <c r="M172" s="318">
        <f t="shared" si="28"/>
        <v>209169.56541351724</v>
      </c>
    </row>
    <row r="173" spans="1:13" x14ac:dyDescent="0.3">
      <c r="A173" s="314" t="s">
        <v>1052</v>
      </c>
      <c r="B173" s="312">
        <v>40140</v>
      </c>
      <c r="C173" s="309">
        <f t="shared" si="23"/>
        <v>2009</v>
      </c>
      <c r="D173" s="313">
        <v>124594.91</v>
      </c>
      <c r="E173" s="317">
        <f t="shared" si="24"/>
        <v>14</v>
      </c>
      <c r="F173" s="318">
        <f>VLOOKUP(I173,'WP Cost HW and Useful Life'!$A$3:$B$15,2,FALSE)</f>
        <v>50</v>
      </c>
      <c r="G173" s="318">
        <f t="shared" si="25"/>
        <v>34886.574800000002</v>
      </c>
      <c r="H173" s="318">
        <f t="shared" si="26"/>
        <v>89708.335200000001</v>
      </c>
      <c r="I173" s="240" t="s">
        <v>45</v>
      </c>
      <c r="J173" s="321">
        <f>INDEX('WP Cost HW W1'!$B$9:$GE$66,MATCH(I173,'WP Cost HW W1'!$B$9:$B$66,0),MATCH(C173,'WP Cost HW W1'!$B$7:$GE$7,0))</f>
        <v>543.75</v>
      </c>
      <c r="K173" s="321">
        <f>INDEX('WP Cost HW W1'!$B$9:$GE$66,MATCH(I173,'WP Cost HW W1'!$B$9:$B$66,0),MATCH($E$1,'WP Cost HW W1'!$B$7:$GE$7,0))</f>
        <v>912</v>
      </c>
      <c r="L173" s="321">
        <f t="shared" si="27"/>
        <v>1.6772413793103449</v>
      </c>
      <c r="M173" s="318">
        <f t="shared" si="28"/>
        <v>150462.53186648278</v>
      </c>
    </row>
    <row r="174" spans="1:13" x14ac:dyDescent="0.3">
      <c r="A174" s="314" t="s">
        <v>1052</v>
      </c>
      <c r="B174" s="312">
        <v>40169</v>
      </c>
      <c r="C174" s="309">
        <f t="shared" si="23"/>
        <v>2009</v>
      </c>
      <c r="D174" s="313">
        <v>122008.38</v>
      </c>
      <c r="E174" s="317">
        <f t="shared" si="24"/>
        <v>14</v>
      </c>
      <c r="F174" s="318">
        <f>VLOOKUP(I174,'WP Cost HW and Useful Life'!$A$3:$B$15,2,FALSE)</f>
        <v>50</v>
      </c>
      <c r="G174" s="318">
        <f t="shared" si="25"/>
        <v>34162.346400000002</v>
      </c>
      <c r="H174" s="318">
        <f t="shared" si="26"/>
        <v>87846.033599999995</v>
      </c>
      <c r="I174" s="240" t="s">
        <v>45</v>
      </c>
      <c r="J174" s="321">
        <f>INDEX('WP Cost HW W1'!$B$9:$GE$66,MATCH(I174,'WP Cost HW W1'!$B$9:$B$66,0),MATCH(C174,'WP Cost HW W1'!$B$7:$GE$7,0))</f>
        <v>543.75</v>
      </c>
      <c r="K174" s="321">
        <f>INDEX('WP Cost HW W1'!$B$9:$GE$66,MATCH(I174,'WP Cost HW W1'!$B$9:$B$66,0),MATCH($E$1,'WP Cost HW W1'!$B$7:$GE$7,0))</f>
        <v>912</v>
      </c>
      <c r="L174" s="321">
        <f t="shared" si="27"/>
        <v>1.6772413793103449</v>
      </c>
      <c r="M174" s="318">
        <f t="shared" si="28"/>
        <v>147339.00256220691</v>
      </c>
    </row>
    <row r="175" spans="1:13" x14ac:dyDescent="0.3">
      <c r="A175" s="314" t="s">
        <v>1052</v>
      </c>
      <c r="B175" s="312">
        <v>40016</v>
      </c>
      <c r="C175" s="309">
        <f t="shared" si="23"/>
        <v>2009</v>
      </c>
      <c r="D175" s="313">
        <v>2325153.27</v>
      </c>
      <c r="E175" s="317">
        <f t="shared" si="24"/>
        <v>14</v>
      </c>
      <c r="F175" s="318">
        <f>VLOOKUP(I175,'WP Cost HW and Useful Life'!$A$3:$B$15,2,FALSE)</f>
        <v>50</v>
      </c>
      <c r="G175" s="318">
        <f t="shared" si="25"/>
        <v>651042.91559999995</v>
      </c>
      <c r="H175" s="318">
        <f t="shared" si="26"/>
        <v>1674110.3544000001</v>
      </c>
      <c r="I175" s="240" t="s">
        <v>45</v>
      </c>
      <c r="J175" s="321">
        <f>INDEX('WP Cost HW W1'!$B$9:$GE$66,MATCH(I175,'WP Cost HW W1'!$B$9:$B$66,0),MATCH(C175,'WP Cost HW W1'!$B$7:$GE$7,0))</f>
        <v>543.75</v>
      </c>
      <c r="K175" s="321">
        <f>INDEX('WP Cost HW W1'!$B$9:$GE$66,MATCH(I175,'WP Cost HW W1'!$B$9:$B$66,0),MATCH($E$1,'WP Cost HW W1'!$B$7:$GE$7,0))</f>
        <v>912</v>
      </c>
      <c r="L175" s="321">
        <f t="shared" si="27"/>
        <v>1.6772413793103449</v>
      </c>
      <c r="M175" s="318">
        <f t="shared" si="28"/>
        <v>2807887.1599315866</v>
      </c>
    </row>
    <row r="176" spans="1:13" x14ac:dyDescent="0.3">
      <c r="A176" s="314" t="s">
        <v>1052</v>
      </c>
      <c r="B176" s="312">
        <v>40051</v>
      </c>
      <c r="C176" s="309">
        <f t="shared" si="23"/>
        <v>2009</v>
      </c>
      <c r="D176" s="313">
        <v>1668421.41</v>
      </c>
      <c r="E176" s="317">
        <f t="shared" si="24"/>
        <v>14</v>
      </c>
      <c r="F176" s="318">
        <f>VLOOKUP(I176,'WP Cost HW and Useful Life'!$A$3:$B$15,2,FALSE)</f>
        <v>50</v>
      </c>
      <c r="G176" s="318">
        <f t="shared" si="25"/>
        <v>467157.99479999993</v>
      </c>
      <c r="H176" s="318">
        <f t="shared" si="26"/>
        <v>1201263.4151999999</v>
      </c>
      <c r="I176" s="240" t="s">
        <v>45</v>
      </c>
      <c r="J176" s="321">
        <f>INDEX('WP Cost HW W1'!$B$9:$GE$66,MATCH(I176,'WP Cost HW W1'!$B$9:$B$66,0),MATCH(C176,'WP Cost HW W1'!$B$7:$GE$7,0))</f>
        <v>543.75</v>
      </c>
      <c r="K176" s="321">
        <f>INDEX('WP Cost HW W1'!$B$9:$GE$66,MATCH(I176,'WP Cost HW W1'!$B$9:$B$66,0),MATCH($E$1,'WP Cost HW W1'!$B$7:$GE$7,0))</f>
        <v>912</v>
      </c>
      <c r="L176" s="321">
        <f t="shared" si="27"/>
        <v>1.6772413793103449</v>
      </c>
      <c r="M176" s="318">
        <f t="shared" si="28"/>
        <v>2014808.7074251035</v>
      </c>
    </row>
    <row r="177" spans="1:13" x14ac:dyDescent="0.3">
      <c r="A177" s="314" t="s">
        <v>1052</v>
      </c>
      <c r="B177" s="312">
        <v>40079</v>
      </c>
      <c r="C177" s="309">
        <f t="shared" si="23"/>
        <v>2009</v>
      </c>
      <c r="D177" s="313">
        <v>1152697.48</v>
      </c>
      <c r="E177" s="317">
        <f t="shared" si="24"/>
        <v>14</v>
      </c>
      <c r="F177" s="318">
        <f>VLOOKUP(I177,'WP Cost HW and Useful Life'!$A$3:$B$15,2,FALSE)</f>
        <v>50</v>
      </c>
      <c r="G177" s="318">
        <f t="shared" si="25"/>
        <v>322755.29440000001</v>
      </c>
      <c r="H177" s="318">
        <f t="shared" si="26"/>
        <v>829942.18559999997</v>
      </c>
      <c r="I177" s="240" t="s">
        <v>45</v>
      </c>
      <c r="J177" s="321">
        <f>INDEX('WP Cost HW W1'!$B$9:$GE$66,MATCH(I177,'WP Cost HW W1'!$B$9:$B$66,0),MATCH(C177,'WP Cost HW W1'!$B$7:$GE$7,0))</f>
        <v>543.75</v>
      </c>
      <c r="K177" s="321">
        <f>INDEX('WP Cost HW W1'!$B$9:$GE$66,MATCH(I177,'WP Cost HW W1'!$B$9:$B$66,0),MATCH($E$1,'WP Cost HW W1'!$B$7:$GE$7,0))</f>
        <v>912</v>
      </c>
      <c r="L177" s="321">
        <f t="shared" si="27"/>
        <v>1.6772413793103449</v>
      </c>
      <c r="M177" s="318">
        <f t="shared" si="28"/>
        <v>1392013.3761235862</v>
      </c>
    </row>
    <row r="178" spans="1:13" x14ac:dyDescent="0.3">
      <c r="A178" s="314" t="s">
        <v>1052</v>
      </c>
      <c r="B178" s="312">
        <v>40079</v>
      </c>
      <c r="C178" s="309">
        <f t="shared" si="23"/>
        <v>2009</v>
      </c>
      <c r="D178" s="313">
        <v>122261.66</v>
      </c>
      <c r="E178" s="317">
        <f t="shared" si="24"/>
        <v>14</v>
      </c>
      <c r="F178" s="318">
        <f>VLOOKUP(I178,'WP Cost HW and Useful Life'!$A$3:$B$15,2,FALSE)</f>
        <v>50</v>
      </c>
      <c r="G178" s="318">
        <f t="shared" si="25"/>
        <v>34233.264800000004</v>
      </c>
      <c r="H178" s="318">
        <f t="shared" si="26"/>
        <v>88028.395199999999</v>
      </c>
      <c r="I178" s="240" t="s">
        <v>45</v>
      </c>
      <c r="J178" s="321">
        <f>INDEX('WP Cost HW W1'!$B$9:$GE$66,MATCH(I178,'WP Cost HW W1'!$B$9:$B$66,0),MATCH(C178,'WP Cost HW W1'!$B$7:$GE$7,0))</f>
        <v>543.75</v>
      </c>
      <c r="K178" s="321">
        <f>INDEX('WP Cost HW W1'!$B$9:$GE$66,MATCH(I178,'WP Cost HW W1'!$B$9:$B$66,0),MATCH($E$1,'WP Cost HW W1'!$B$7:$GE$7,0))</f>
        <v>912</v>
      </c>
      <c r="L178" s="321">
        <f t="shared" si="27"/>
        <v>1.6772413793103449</v>
      </c>
      <c r="M178" s="318">
        <f t="shared" si="28"/>
        <v>147644.86698372415</v>
      </c>
    </row>
    <row r="179" spans="1:13" x14ac:dyDescent="0.3">
      <c r="A179" s="314" t="s">
        <v>1052</v>
      </c>
      <c r="B179" s="312">
        <v>40101</v>
      </c>
      <c r="C179" s="309">
        <f t="shared" si="23"/>
        <v>2009</v>
      </c>
      <c r="D179" s="313">
        <v>1683038.31</v>
      </c>
      <c r="E179" s="317">
        <f t="shared" si="24"/>
        <v>14</v>
      </c>
      <c r="F179" s="318">
        <f>VLOOKUP(I179,'WP Cost HW and Useful Life'!$A$3:$B$15,2,FALSE)</f>
        <v>50</v>
      </c>
      <c r="G179" s="318">
        <f t="shared" si="25"/>
        <v>471250.72679999995</v>
      </c>
      <c r="H179" s="318">
        <f t="shared" si="26"/>
        <v>1211787.5832000002</v>
      </c>
      <c r="I179" s="240" t="s">
        <v>45</v>
      </c>
      <c r="J179" s="321">
        <f>INDEX('WP Cost HW W1'!$B$9:$GE$66,MATCH(I179,'WP Cost HW W1'!$B$9:$B$66,0),MATCH(C179,'WP Cost HW W1'!$B$7:$GE$7,0))</f>
        <v>543.75</v>
      </c>
      <c r="K179" s="321">
        <f>INDEX('WP Cost HW W1'!$B$9:$GE$66,MATCH(I179,'WP Cost HW W1'!$B$9:$B$66,0),MATCH($E$1,'WP Cost HW W1'!$B$7:$GE$7,0))</f>
        <v>912</v>
      </c>
      <c r="L179" s="321">
        <f t="shared" si="27"/>
        <v>1.6772413793103449</v>
      </c>
      <c r="M179" s="318">
        <f t="shared" si="28"/>
        <v>2032460.2774775177</v>
      </c>
    </row>
    <row r="180" spans="1:13" x14ac:dyDescent="0.3">
      <c r="A180" s="314" t="s">
        <v>1052</v>
      </c>
      <c r="B180" s="312">
        <v>40140</v>
      </c>
      <c r="C180" s="309">
        <f t="shared" si="23"/>
        <v>2009</v>
      </c>
      <c r="D180" s="313">
        <v>2100726.7999999998</v>
      </c>
      <c r="E180" s="317">
        <f t="shared" si="24"/>
        <v>14</v>
      </c>
      <c r="F180" s="318">
        <f>VLOOKUP(I180,'WP Cost HW and Useful Life'!$A$3:$B$15,2,FALSE)</f>
        <v>50</v>
      </c>
      <c r="G180" s="318">
        <f t="shared" si="25"/>
        <v>588203.50399999996</v>
      </c>
      <c r="H180" s="318">
        <f t="shared" si="26"/>
        <v>1512523.2959999999</v>
      </c>
      <c r="I180" s="240" t="s">
        <v>45</v>
      </c>
      <c r="J180" s="321">
        <f>INDEX('WP Cost HW W1'!$B$9:$GE$66,MATCH(I180,'WP Cost HW W1'!$B$9:$B$66,0),MATCH(C180,'WP Cost HW W1'!$B$7:$GE$7,0))</f>
        <v>543.75</v>
      </c>
      <c r="K180" s="321">
        <f>INDEX('WP Cost HW W1'!$B$9:$GE$66,MATCH(I180,'WP Cost HW W1'!$B$9:$B$66,0),MATCH($E$1,'WP Cost HW W1'!$B$7:$GE$7,0))</f>
        <v>912</v>
      </c>
      <c r="L180" s="321">
        <f t="shared" si="27"/>
        <v>1.6772413793103449</v>
      </c>
      <c r="M180" s="318">
        <f t="shared" si="28"/>
        <v>2536866.6592220687</v>
      </c>
    </row>
    <row r="181" spans="1:13" x14ac:dyDescent="0.3">
      <c r="A181" s="314" t="s">
        <v>1052</v>
      </c>
      <c r="B181" s="312">
        <v>40169</v>
      </c>
      <c r="C181" s="309">
        <f t="shared" si="23"/>
        <v>2009</v>
      </c>
      <c r="D181" s="313">
        <v>3279644.05</v>
      </c>
      <c r="E181" s="317">
        <f t="shared" si="24"/>
        <v>14</v>
      </c>
      <c r="F181" s="318">
        <f>VLOOKUP(I181,'WP Cost HW and Useful Life'!$A$3:$B$15,2,FALSE)</f>
        <v>50</v>
      </c>
      <c r="G181" s="318">
        <f t="shared" si="25"/>
        <v>918300.33399999992</v>
      </c>
      <c r="H181" s="318">
        <f t="shared" si="26"/>
        <v>2361343.716</v>
      </c>
      <c r="I181" s="240" t="s">
        <v>45</v>
      </c>
      <c r="J181" s="321">
        <f>INDEX('WP Cost HW W1'!$B$9:$GE$66,MATCH(I181,'WP Cost HW W1'!$B$9:$B$66,0),MATCH(C181,'WP Cost HW W1'!$B$7:$GE$7,0))</f>
        <v>543.75</v>
      </c>
      <c r="K181" s="321">
        <f>INDEX('WP Cost HW W1'!$B$9:$GE$66,MATCH(I181,'WP Cost HW W1'!$B$9:$B$66,0),MATCH($E$1,'WP Cost HW W1'!$B$7:$GE$7,0))</f>
        <v>912</v>
      </c>
      <c r="L181" s="321">
        <f t="shared" si="27"/>
        <v>1.6772413793103449</v>
      </c>
      <c r="M181" s="318">
        <f t="shared" si="28"/>
        <v>3960543.3912496553</v>
      </c>
    </row>
    <row r="182" spans="1:13" x14ac:dyDescent="0.3">
      <c r="A182" s="314" t="s">
        <v>1052</v>
      </c>
      <c r="B182" s="312">
        <v>40191</v>
      </c>
      <c r="C182" s="309">
        <f t="shared" si="23"/>
        <v>2010</v>
      </c>
      <c r="D182" s="313">
        <v>1823146.73</v>
      </c>
      <c r="E182" s="317">
        <f t="shared" si="24"/>
        <v>13</v>
      </c>
      <c r="F182" s="318">
        <f>VLOOKUP(I182,'WP Cost HW and Useful Life'!$A$3:$B$15,2,FALSE)</f>
        <v>50</v>
      </c>
      <c r="G182" s="318">
        <f t="shared" si="25"/>
        <v>474018.14980000001</v>
      </c>
      <c r="H182" s="318">
        <f t="shared" ref="H182:H213" si="29">IFERROR(D182-G182,"NA")</f>
        <v>1349128.5802</v>
      </c>
      <c r="I182" s="240" t="s">
        <v>45</v>
      </c>
      <c r="J182" s="321">
        <f>INDEX('WP Cost HW W1'!$B$9:$GE$66,MATCH(I182,'WP Cost HW W1'!$B$9:$B$66,0),MATCH(C182,'WP Cost HW W1'!$B$7:$GE$7,0))</f>
        <v>559.75</v>
      </c>
      <c r="K182" s="321">
        <f>INDEX('WP Cost HW W1'!$B$9:$GE$66,MATCH(I182,'WP Cost HW W1'!$B$9:$B$66,0),MATCH($E$1,'WP Cost HW W1'!$B$7:$GE$7,0))</f>
        <v>912</v>
      </c>
      <c r="L182" s="321">
        <f t="shared" ref="L182:L213" si="30">K182/J182</f>
        <v>1.629298794104511</v>
      </c>
      <c r="M182" s="318">
        <f t="shared" ref="M182:M213" si="31">IFERROR(H182*L182,"NA")</f>
        <v>2198133.568811791</v>
      </c>
    </row>
    <row r="183" spans="1:13" x14ac:dyDescent="0.3">
      <c r="A183" s="314" t="s">
        <v>1052</v>
      </c>
      <c r="B183" s="312">
        <v>40238</v>
      </c>
      <c r="C183" s="309">
        <f t="shared" si="23"/>
        <v>2010</v>
      </c>
      <c r="D183" s="313">
        <v>1417911.81</v>
      </c>
      <c r="E183" s="317">
        <f t="shared" si="24"/>
        <v>13</v>
      </c>
      <c r="F183" s="318">
        <f>VLOOKUP(I183,'WP Cost HW and Useful Life'!$A$3:$B$15,2,FALSE)</f>
        <v>50</v>
      </c>
      <c r="G183" s="318">
        <f t="shared" si="25"/>
        <v>368657.07059999998</v>
      </c>
      <c r="H183" s="318">
        <f t="shared" si="29"/>
        <v>1049254.7394000001</v>
      </c>
      <c r="I183" s="240" t="s">
        <v>45</v>
      </c>
      <c r="J183" s="321">
        <f>INDEX('WP Cost HW W1'!$B$9:$GE$66,MATCH(I183,'WP Cost HW W1'!$B$9:$B$66,0),MATCH(C183,'WP Cost HW W1'!$B$7:$GE$7,0))</f>
        <v>559.75</v>
      </c>
      <c r="K183" s="321">
        <f>INDEX('WP Cost HW W1'!$B$9:$GE$66,MATCH(I183,'WP Cost HW W1'!$B$9:$B$66,0),MATCH($E$1,'WP Cost HW W1'!$B$7:$GE$7,0))</f>
        <v>912</v>
      </c>
      <c r="L183" s="321">
        <f t="shared" si="30"/>
        <v>1.629298794104511</v>
      </c>
      <c r="M183" s="318">
        <f t="shared" si="31"/>
        <v>1709549.481612863</v>
      </c>
    </row>
    <row r="184" spans="1:13" x14ac:dyDescent="0.3">
      <c r="A184" s="314" t="s">
        <v>1052</v>
      </c>
      <c r="B184" s="312">
        <v>40253</v>
      </c>
      <c r="C184" s="309">
        <f t="shared" si="23"/>
        <v>2010</v>
      </c>
      <c r="D184" s="313">
        <v>33871.919999999998</v>
      </c>
      <c r="E184" s="317">
        <f t="shared" si="24"/>
        <v>13</v>
      </c>
      <c r="F184" s="318">
        <f>VLOOKUP(I184,'WP Cost HW and Useful Life'!$A$3:$B$15,2,FALSE)</f>
        <v>50</v>
      </c>
      <c r="G184" s="318">
        <f t="shared" si="25"/>
        <v>8806.6991999999991</v>
      </c>
      <c r="H184" s="318">
        <f t="shared" si="29"/>
        <v>25065.220799999999</v>
      </c>
      <c r="I184" s="240" t="s">
        <v>45</v>
      </c>
      <c r="J184" s="321">
        <f>INDEX('WP Cost HW W1'!$B$9:$GE$66,MATCH(I184,'WP Cost HW W1'!$B$9:$B$66,0),MATCH(C184,'WP Cost HW W1'!$B$7:$GE$7,0))</f>
        <v>559.75</v>
      </c>
      <c r="K184" s="321">
        <f>INDEX('WP Cost HW W1'!$B$9:$GE$66,MATCH(I184,'WP Cost HW W1'!$B$9:$B$66,0),MATCH($E$1,'WP Cost HW W1'!$B$7:$GE$7,0))</f>
        <v>912</v>
      </c>
      <c r="L184" s="321">
        <f t="shared" si="30"/>
        <v>1.629298794104511</v>
      </c>
      <c r="M184" s="318">
        <f t="shared" si="31"/>
        <v>40838.734023403304</v>
      </c>
    </row>
    <row r="185" spans="1:13" x14ac:dyDescent="0.3">
      <c r="A185" s="314" t="s">
        <v>1052</v>
      </c>
      <c r="B185" s="312">
        <v>40259</v>
      </c>
      <c r="C185" s="309">
        <f t="shared" si="23"/>
        <v>2010</v>
      </c>
      <c r="D185" s="313">
        <v>1873533.22</v>
      </c>
      <c r="E185" s="317">
        <f t="shared" si="24"/>
        <v>13</v>
      </c>
      <c r="F185" s="318">
        <f>VLOOKUP(I185,'WP Cost HW and Useful Life'!$A$3:$B$15,2,FALSE)</f>
        <v>50</v>
      </c>
      <c r="G185" s="318">
        <f t="shared" si="25"/>
        <v>487118.6372</v>
      </c>
      <c r="H185" s="318">
        <f t="shared" si="29"/>
        <v>1386414.5828</v>
      </c>
      <c r="I185" s="240" t="s">
        <v>45</v>
      </c>
      <c r="J185" s="321">
        <f>INDEX('WP Cost HW W1'!$B$9:$GE$66,MATCH(I185,'WP Cost HW W1'!$B$9:$B$66,0),MATCH(C185,'WP Cost HW W1'!$B$7:$GE$7,0))</f>
        <v>559.75</v>
      </c>
      <c r="K185" s="321">
        <f>INDEX('WP Cost HW W1'!$B$9:$GE$66,MATCH(I185,'WP Cost HW W1'!$B$9:$B$66,0),MATCH($E$1,'WP Cost HW W1'!$B$7:$GE$7,0))</f>
        <v>912</v>
      </c>
      <c r="L185" s="321">
        <f t="shared" si="30"/>
        <v>1.629298794104511</v>
      </c>
      <c r="M185" s="318">
        <f t="shared" si="31"/>
        <v>2258883.6078849486</v>
      </c>
    </row>
    <row r="186" spans="1:13" x14ac:dyDescent="0.3">
      <c r="A186" s="314" t="s">
        <v>1052</v>
      </c>
      <c r="B186" s="312">
        <v>40296</v>
      </c>
      <c r="C186" s="309">
        <f t="shared" si="23"/>
        <v>2010</v>
      </c>
      <c r="D186" s="313">
        <v>1909150.49</v>
      </c>
      <c r="E186" s="317">
        <f t="shared" si="24"/>
        <v>13</v>
      </c>
      <c r="F186" s="318">
        <f>VLOOKUP(I186,'WP Cost HW and Useful Life'!$A$3:$B$15,2,FALSE)</f>
        <v>50</v>
      </c>
      <c r="G186" s="318">
        <f t="shared" si="25"/>
        <v>496379.1274</v>
      </c>
      <c r="H186" s="318">
        <f t="shared" si="29"/>
        <v>1412771.3626000001</v>
      </c>
      <c r="I186" s="240" t="s">
        <v>45</v>
      </c>
      <c r="J186" s="321">
        <f>INDEX('WP Cost HW W1'!$B$9:$GE$66,MATCH(I186,'WP Cost HW W1'!$B$9:$B$66,0),MATCH(C186,'WP Cost HW W1'!$B$7:$GE$7,0))</f>
        <v>559.75</v>
      </c>
      <c r="K186" s="321">
        <f>INDEX('WP Cost HW W1'!$B$9:$GE$66,MATCH(I186,'WP Cost HW W1'!$B$9:$B$66,0),MATCH($E$1,'WP Cost HW W1'!$B$7:$GE$7,0))</f>
        <v>912</v>
      </c>
      <c r="L186" s="321">
        <f t="shared" si="30"/>
        <v>1.629298794104511</v>
      </c>
      <c r="M186" s="318">
        <f t="shared" si="31"/>
        <v>2301826.6774295671</v>
      </c>
    </row>
    <row r="187" spans="1:13" x14ac:dyDescent="0.3">
      <c r="A187" s="314" t="s">
        <v>1052</v>
      </c>
      <c r="B187" s="312">
        <v>40191</v>
      </c>
      <c r="C187" s="309">
        <f t="shared" si="23"/>
        <v>2010</v>
      </c>
      <c r="D187" s="313">
        <v>116304.5</v>
      </c>
      <c r="E187" s="317">
        <f t="shared" si="24"/>
        <v>13</v>
      </c>
      <c r="F187" s="318">
        <f>VLOOKUP(I187,'WP Cost HW and Useful Life'!$A$3:$B$15,2,FALSE)</f>
        <v>50</v>
      </c>
      <c r="G187" s="318">
        <f t="shared" si="25"/>
        <v>30239.170000000002</v>
      </c>
      <c r="H187" s="318">
        <f t="shared" si="29"/>
        <v>86065.33</v>
      </c>
      <c r="I187" s="240" t="s">
        <v>45</v>
      </c>
      <c r="J187" s="321">
        <f>INDEX('WP Cost HW W1'!$B$9:$GE$66,MATCH(I187,'WP Cost HW W1'!$B$9:$B$66,0),MATCH(C187,'WP Cost HW W1'!$B$7:$GE$7,0))</f>
        <v>559.75</v>
      </c>
      <c r="K187" s="321">
        <f>INDEX('WP Cost HW W1'!$B$9:$GE$66,MATCH(I187,'WP Cost HW W1'!$B$9:$B$66,0),MATCH($E$1,'WP Cost HW W1'!$B$7:$GE$7,0))</f>
        <v>912</v>
      </c>
      <c r="L187" s="321">
        <f t="shared" si="30"/>
        <v>1.629298794104511</v>
      </c>
      <c r="M187" s="318">
        <f t="shared" si="31"/>
        <v>140226.13838320679</v>
      </c>
    </row>
    <row r="188" spans="1:13" x14ac:dyDescent="0.3">
      <c r="A188" s="314" t="s">
        <v>1052</v>
      </c>
      <c r="B188" s="312">
        <v>40238</v>
      </c>
      <c r="C188" s="309">
        <f t="shared" si="23"/>
        <v>2010</v>
      </c>
      <c r="D188" s="313">
        <v>124423.32</v>
      </c>
      <c r="E188" s="317">
        <f t="shared" si="24"/>
        <v>13</v>
      </c>
      <c r="F188" s="318">
        <f>VLOOKUP(I188,'WP Cost HW and Useful Life'!$A$3:$B$15,2,FALSE)</f>
        <v>50</v>
      </c>
      <c r="G188" s="318">
        <f t="shared" si="25"/>
        <v>32350.063200000004</v>
      </c>
      <c r="H188" s="318">
        <f t="shared" si="29"/>
        <v>92073.256800000003</v>
      </c>
      <c r="I188" s="240" t="s">
        <v>45</v>
      </c>
      <c r="J188" s="321">
        <f>INDEX('WP Cost HW W1'!$B$9:$GE$66,MATCH(I188,'WP Cost HW W1'!$B$9:$B$66,0),MATCH(C188,'WP Cost HW W1'!$B$7:$GE$7,0))</f>
        <v>559.75</v>
      </c>
      <c r="K188" s="321">
        <f>INDEX('WP Cost HW W1'!$B$9:$GE$66,MATCH(I188,'WP Cost HW W1'!$B$9:$B$66,0),MATCH($E$1,'WP Cost HW W1'!$B$7:$GE$7,0))</f>
        <v>912</v>
      </c>
      <c r="L188" s="321">
        <f t="shared" si="30"/>
        <v>1.629298794104511</v>
      </c>
      <c r="M188" s="318">
        <f t="shared" si="31"/>
        <v>150014.84627351497</v>
      </c>
    </row>
    <row r="189" spans="1:13" x14ac:dyDescent="0.3">
      <c r="A189" s="314" t="s">
        <v>1052</v>
      </c>
      <c r="B189" s="312">
        <v>40253</v>
      </c>
      <c r="C189" s="309">
        <f t="shared" ref="C189:C252" si="32">YEAR(B189)</f>
        <v>2010</v>
      </c>
      <c r="D189" s="313">
        <v>129954.57</v>
      </c>
      <c r="E189" s="317">
        <f t="shared" ref="E189:E252" si="33">$E$1-C189</f>
        <v>13</v>
      </c>
      <c r="F189" s="318">
        <f>VLOOKUP(I189,'WP Cost HW and Useful Life'!$A$3:$B$15,2,FALSE)</f>
        <v>50</v>
      </c>
      <c r="G189" s="318">
        <f t="shared" ref="G189:G252" si="34">IFERROR(IF(D189/F189*E189&gt;D189,D189,D189/F189*E189),"NA")</f>
        <v>33788.188200000004</v>
      </c>
      <c r="H189" s="318">
        <f t="shared" si="29"/>
        <v>96166.381800000003</v>
      </c>
      <c r="I189" s="240" t="s">
        <v>45</v>
      </c>
      <c r="J189" s="321">
        <f>INDEX('WP Cost HW W1'!$B$9:$GE$66,MATCH(I189,'WP Cost HW W1'!$B$9:$B$66,0),MATCH(C189,'WP Cost HW W1'!$B$7:$GE$7,0))</f>
        <v>559.75</v>
      </c>
      <c r="K189" s="321">
        <f>INDEX('WP Cost HW W1'!$B$9:$GE$66,MATCH(I189,'WP Cost HW W1'!$B$9:$B$66,0),MATCH($E$1,'WP Cost HW W1'!$B$7:$GE$7,0))</f>
        <v>912</v>
      </c>
      <c r="L189" s="321">
        <f t="shared" si="30"/>
        <v>1.629298794104511</v>
      </c>
      <c r="M189" s="318">
        <f t="shared" si="31"/>
        <v>156683.76990013401</v>
      </c>
    </row>
    <row r="190" spans="1:13" x14ac:dyDescent="0.3">
      <c r="A190" s="314" t="s">
        <v>1052</v>
      </c>
      <c r="B190" s="312">
        <v>40296</v>
      </c>
      <c r="C190" s="309">
        <f t="shared" si="32"/>
        <v>2010</v>
      </c>
      <c r="D190" s="313">
        <v>122703.82</v>
      </c>
      <c r="E190" s="317">
        <f t="shared" si="33"/>
        <v>13</v>
      </c>
      <c r="F190" s="318">
        <f>VLOOKUP(I190,'WP Cost HW and Useful Life'!$A$3:$B$15,2,FALSE)</f>
        <v>50</v>
      </c>
      <c r="G190" s="318">
        <f t="shared" si="34"/>
        <v>31902.993199999997</v>
      </c>
      <c r="H190" s="318">
        <f t="shared" si="29"/>
        <v>90800.82680000001</v>
      </c>
      <c r="I190" s="240" t="s">
        <v>45</v>
      </c>
      <c r="J190" s="321">
        <f>INDEX('WP Cost HW W1'!$B$9:$GE$66,MATCH(I190,'WP Cost HW W1'!$B$9:$B$66,0),MATCH(C190,'WP Cost HW W1'!$B$7:$GE$7,0))</f>
        <v>559.75</v>
      </c>
      <c r="K190" s="321">
        <f>INDEX('WP Cost HW W1'!$B$9:$GE$66,MATCH(I190,'WP Cost HW W1'!$B$9:$B$66,0),MATCH($E$1,'WP Cost HW W1'!$B$7:$GE$7,0))</f>
        <v>912</v>
      </c>
      <c r="L190" s="321">
        <f t="shared" si="30"/>
        <v>1.629298794104511</v>
      </c>
      <c r="M190" s="318">
        <f t="shared" si="31"/>
        <v>147941.67760893257</v>
      </c>
    </row>
    <row r="191" spans="1:13" x14ac:dyDescent="0.3">
      <c r="A191" s="314" t="s">
        <v>1052</v>
      </c>
      <c r="B191" s="312">
        <v>40303</v>
      </c>
      <c r="C191" s="309">
        <f t="shared" si="32"/>
        <v>2010</v>
      </c>
      <c r="D191" s="313">
        <v>77300</v>
      </c>
      <c r="E191" s="317">
        <f t="shared" si="33"/>
        <v>13</v>
      </c>
      <c r="F191" s="318">
        <f>VLOOKUP(I191,'WP Cost HW and Useful Life'!$A$3:$B$15,2,FALSE)</f>
        <v>50</v>
      </c>
      <c r="G191" s="318">
        <f t="shared" si="34"/>
        <v>20098</v>
      </c>
      <c r="H191" s="318">
        <f t="shared" si="29"/>
        <v>57202</v>
      </c>
      <c r="I191" s="240" t="s">
        <v>45</v>
      </c>
      <c r="J191" s="321">
        <f>INDEX('WP Cost HW W1'!$B$9:$GE$66,MATCH(I191,'WP Cost HW W1'!$B$9:$B$66,0),MATCH(C191,'WP Cost HW W1'!$B$7:$GE$7,0))</f>
        <v>559.75</v>
      </c>
      <c r="K191" s="321">
        <f>INDEX('WP Cost HW W1'!$B$9:$GE$66,MATCH(I191,'WP Cost HW W1'!$B$9:$B$66,0),MATCH($E$1,'WP Cost HW W1'!$B$7:$GE$7,0))</f>
        <v>912</v>
      </c>
      <c r="L191" s="321">
        <f t="shared" si="30"/>
        <v>1.629298794104511</v>
      </c>
      <c r="M191" s="318">
        <f t="shared" si="31"/>
        <v>93199.149620366239</v>
      </c>
    </row>
    <row r="192" spans="1:13" x14ac:dyDescent="0.3">
      <c r="A192" s="314" t="s">
        <v>1052</v>
      </c>
      <c r="B192" s="312">
        <v>40303</v>
      </c>
      <c r="C192" s="309">
        <f t="shared" si="32"/>
        <v>2010</v>
      </c>
      <c r="D192" s="313">
        <v>68477.710000000006</v>
      </c>
      <c r="E192" s="317">
        <f t="shared" si="33"/>
        <v>13</v>
      </c>
      <c r="F192" s="318">
        <f>VLOOKUP(I192,'WP Cost HW and Useful Life'!$A$3:$B$15,2,FALSE)</f>
        <v>50</v>
      </c>
      <c r="G192" s="318">
        <f t="shared" si="34"/>
        <v>17804.204600000001</v>
      </c>
      <c r="H192" s="318">
        <f t="shared" si="29"/>
        <v>50673.505400000009</v>
      </c>
      <c r="I192" s="240" t="s">
        <v>45</v>
      </c>
      <c r="J192" s="321">
        <f>INDEX('WP Cost HW W1'!$B$9:$GE$66,MATCH(I192,'WP Cost HW W1'!$B$9:$B$66,0),MATCH(C192,'WP Cost HW W1'!$B$7:$GE$7,0))</f>
        <v>559.75</v>
      </c>
      <c r="K192" s="321">
        <f>INDEX('WP Cost HW W1'!$B$9:$GE$66,MATCH(I192,'WP Cost HW W1'!$B$9:$B$66,0),MATCH($E$1,'WP Cost HW W1'!$B$7:$GE$7,0))</f>
        <v>912</v>
      </c>
      <c r="L192" s="321">
        <f t="shared" si="30"/>
        <v>1.629298794104511</v>
      </c>
      <c r="M192" s="318">
        <f t="shared" si="31"/>
        <v>82562.281241268443</v>
      </c>
    </row>
    <row r="193" spans="1:13" x14ac:dyDescent="0.3">
      <c r="A193" s="314" t="s">
        <v>1052</v>
      </c>
      <c r="B193" s="312">
        <v>40331</v>
      </c>
      <c r="C193" s="309">
        <f t="shared" si="32"/>
        <v>2010</v>
      </c>
      <c r="D193" s="313">
        <v>81500</v>
      </c>
      <c r="E193" s="317">
        <f t="shared" si="33"/>
        <v>13</v>
      </c>
      <c r="F193" s="318">
        <f>VLOOKUP(I193,'WP Cost HW and Useful Life'!$A$3:$B$15,2,FALSE)</f>
        <v>50</v>
      </c>
      <c r="G193" s="318">
        <f t="shared" si="34"/>
        <v>21190</v>
      </c>
      <c r="H193" s="318">
        <f t="shared" si="29"/>
        <v>60310</v>
      </c>
      <c r="I193" s="240" t="s">
        <v>45</v>
      </c>
      <c r="J193" s="321">
        <f>INDEX('WP Cost HW W1'!$B$9:$GE$66,MATCH(I193,'WP Cost HW W1'!$B$9:$B$66,0),MATCH(C193,'WP Cost HW W1'!$B$7:$GE$7,0))</f>
        <v>559.75</v>
      </c>
      <c r="K193" s="321">
        <f>INDEX('WP Cost HW W1'!$B$9:$GE$66,MATCH(I193,'WP Cost HW W1'!$B$9:$B$66,0),MATCH($E$1,'WP Cost HW W1'!$B$7:$GE$7,0))</f>
        <v>912</v>
      </c>
      <c r="L193" s="321">
        <f t="shared" si="30"/>
        <v>1.629298794104511</v>
      </c>
      <c r="M193" s="318">
        <f t="shared" si="31"/>
        <v>98263.010272443062</v>
      </c>
    </row>
    <row r="194" spans="1:13" x14ac:dyDescent="0.3">
      <c r="A194" s="314" t="s">
        <v>1052</v>
      </c>
      <c r="B194" s="312">
        <v>40331</v>
      </c>
      <c r="C194" s="309">
        <f t="shared" si="32"/>
        <v>2010</v>
      </c>
      <c r="D194" s="313">
        <v>33927.370000000003</v>
      </c>
      <c r="E194" s="317">
        <f t="shared" si="33"/>
        <v>13</v>
      </c>
      <c r="F194" s="318">
        <f>VLOOKUP(I194,'WP Cost HW and Useful Life'!$A$3:$B$15,2,FALSE)</f>
        <v>50</v>
      </c>
      <c r="G194" s="318">
        <f t="shared" si="34"/>
        <v>8821.1162000000004</v>
      </c>
      <c r="H194" s="318">
        <f t="shared" si="29"/>
        <v>25106.253800000002</v>
      </c>
      <c r="I194" s="240" t="s">
        <v>45</v>
      </c>
      <c r="J194" s="321">
        <f>INDEX('WP Cost HW W1'!$B$9:$GE$66,MATCH(I194,'WP Cost HW W1'!$B$9:$B$66,0),MATCH(C194,'WP Cost HW W1'!$B$7:$GE$7,0))</f>
        <v>559.75</v>
      </c>
      <c r="K194" s="321">
        <f>INDEX('WP Cost HW W1'!$B$9:$GE$66,MATCH(I194,'WP Cost HW W1'!$B$9:$B$66,0),MATCH($E$1,'WP Cost HW W1'!$B$7:$GE$7,0))</f>
        <v>912</v>
      </c>
      <c r="L194" s="321">
        <f t="shared" si="30"/>
        <v>1.629298794104511</v>
      </c>
      <c r="M194" s="318">
        <f t="shared" si="31"/>
        <v>40905.589040821797</v>
      </c>
    </row>
    <row r="195" spans="1:13" x14ac:dyDescent="0.3">
      <c r="A195" s="314" t="s">
        <v>1052</v>
      </c>
      <c r="B195" s="312">
        <v>40357</v>
      </c>
      <c r="C195" s="309">
        <f t="shared" si="32"/>
        <v>2010</v>
      </c>
      <c r="D195" s="313">
        <v>63302.92</v>
      </c>
      <c r="E195" s="317">
        <f t="shared" si="33"/>
        <v>13</v>
      </c>
      <c r="F195" s="318">
        <f>VLOOKUP(I195,'WP Cost HW and Useful Life'!$A$3:$B$15,2,FALSE)</f>
        <v>50</v>
      </c>
      <c r="G195" s="318">
        <f t="shared" si="34"/>
        <v>16458.7592</v>
      </c>
      <c r="H195" s="318">
        <f t="shared" si="29"/>
        <v>46844.160799999998</v>
      </c>
      <c r="I195" s="240" t="s">
        <v>45</v>
      </c>
      <c r="J195" s="321">
        <f>INDEX('WP Cost HW W1'!$B$9:$GE$66,MATCH(I195,'WP Cost HW W1'!$B$9:$B$66,0),MATCH(C195,'WP Cost HW W1'!$B$7:$GE$7,0))</f>
        <v>559.75</v>
      </c>
      <c r="K195" s="321">
        <f>INDEX('WP Cost HW W1'!$B$9:$GE$66,MATCH(I195,'WP Cost HW W1'!$B$9:$B$66,0),MATCH($E$1,'WP Cost HW W1'!$B$7:$GE$7,0))</f>
        <v>912</v>
      </c>
      <c r="L195" s="321">
        <f t="shared" si="30"/>
        <v>1.629298794104511</v>
      </c>
      <c r="M195" s="318">
        <f t="shared" si="31"/>
        <v>76323.134702277806</v>
      </c>
    </row>
    <row r="196" spans="1:13" x14ac:dyDescent="0.3">
      <c r="A196" s="314" t="s">
        <v>1052</v>
      </c>
      <c r="B196" s="312">
        <v>40357</v>
      </c>
      <c r="C196" s="309">
        <f t="shared" si="32"/>
        <v>2010</v>
      </c>
      <c r="D196" s="313">
        <v>75300</v>
      </c>
      <c r="E196" s="317">
        <f t="shared" si="33"/>
        <v>13</v>
      </c>
      <c r="F196" s="318">
        <f>VLOOKUP(I196,'WP Cost HW and Useful Life'!$A$3:$B$15,2,FALSE)</f>
        <v>50</v>
      </c>
      <c r="G196" s="318">
        <f t="shared" si="34"/>
        <v>19578</v>
      </c>
      <c r="H196" s="318">
        <f t="shared" si="29"/>
        <v>55722</v>
      </c>
      <c r="I196" s="240" t="s">
        <v>45</v>
      </c>
      <c r="J196" s="321">
        <f>INDEX('WP Cost HW W1'!$B$9:$GE$66,MATCH(I196,'WP Cost HW W1'!$B$9:$B$66,0),MATCH(C196,'WP Cost HW W1'!$B$7:$GE$7,0))</f>
        <v>559.75</v>
      </c>
      <c r="K196" s="321">
        <f>INDEX('WP Cost HW W1'!$B$9:$GE$66,MATCH(I196,'WP Cost HW W1'!$B$9:$B$66,0),MATCH($E$1,'WP Cost HW W1'!$B$7:$GE$7,0))</f>
        <v>912</v>
      </c>
      <c r="L196" s="321">
        <f t="shared" si="30"/>
        <v>1.629298794104511</v>
      </c>
      <c r="M196" s="318">
        <f t="shared" si="31"/>
        <v>90787.787405091556</v>
      </c>
    </row>
    <row r="197" spans="1:13" x14ac:dyDescent="0.3">
      <c r="A197" s="314" t="s">
        <v>1052</v>
      </c>
      <c r="B197" s="312">
        <v>40324</v>
      </c>
      <c r="C197" s="309">
        <f t="shared" si="32"/>
        <v>2010</v>
      </c>
      <c r="D197" s="313">
        <v>1305616.76</v>
      </c>
      <c r="E197" s="317">
        <f t="shared" si="33"/>
        <v>13</v>
      </c>
      <c r="F197" s="318">
        <f>VLOOKUP(I197,'WP Cost HW and Useful Life'!$A$3:$B$15,2,FALSE)</f>
        <v>50</v>
      </c>
      <c r="G197" s="318">
        <f t="shared" si="34"/>
        <v>339460.35759999999</v>
      </c>
      <c r="H197" s="318">
        <f t="shared" si="29"/>
        <v>966156.40240000002</v>
      </c>
      <c r="I197" s="240" t="s">
        <v>45</v>
      </c>
      <c r="J197" s="321">
        <f>INDEX('WP Cost HW W1'!$B$9:$GE$66,MATCH(I197,'WP Cost HW W1'!$B$9:$B$66,0),MATCH(C197,'WP Cost HW W1'!$B$7:$GE$7,0))</f>
        <v>559.75</v>
      </c>
      <c r="K197" s="321">
        <f>INDEX('WP Cost HW W1'!$B$9:$GE$66,MATCH(I197,'WP Cost HW W1'!$B$9:$B$66,0),MATCH($E$1,'WP Cost HW W1'!$B$7:$GE$7,0))</f>
        <v>912</v>
      </c>
      <c r="L197" s="321">
        <f t="shared" si="30"/>
        <v>1.629298794104511</v>
      </c>
      <c r="M197" s="318">
        <f t="shared" si="31"/>
        <v>1574157.4613466726</v>
      </c>
    </row>
    <row r="198" spans="1:13" x14ac:dyDescent="0.3">
      <c r="A198" s="314" t="s">
        <v>1052</v>
      </c>
      <c r="B198" s="312">
        <v>40331</v>
      </c>
      <c r="C198" s="309">
        <f t="shared" si="32"/>
        <v>2010</v>
      </c>
      <c r="D198" s="313">
        <v>1307647.0900000001</v>
      </c>
      <c r="E198" s="317">
        <f t="shared" si="33"/>
        <v>13</v>
      </c>
      <c r="F198" s="318">
        <f>VLOOKUP(I198,'WP Cost HW and Useful Life'!$A$3:$B$15,2,FALSE)</f>
        <v>50</v>
      </c>
      <c r="G198" s="318">
        <f t="shared" si="34"/>
        <v>339988.24340000004</v>
      </c>
      <c r="H198" s="318">
        <f t="shared" si="29"/>
        <v>967658.84660000005</v>
      </c>
      <c r="I198" s="240" t="s">
        <v>45</v>
      </c>
      <c r="J198" s="321">
        <f>INDEX('WP Cost HW W1'!$B$9:$GE$66,MATCH(I198,'WP Cost HW W1'!$B$9:$B$66,0),MATCH(C198,'WP Cost HW W1'!$B$7:$GE$7,0))</f>
        <v>559.75</v>
      </c>
      <c r="K198" s="321">
        <f>INDEX('WP Cost HW W1'!$B$9:$GE$66,MATCH(I198,'WP Cost HW W1'!$B$9:$B$66,0),MATCH($E$1,'WP Cost HW W1'!$B$7:$GE$7,0))</f>
        <v>912</v>
      </c>
      <c r="L198" s="321">
        <f t="shared" si="30"/>
        <v>1.629298794104511</v>
      </c>
      <c r="M198" s="318">
        <f t="shared" si="31"/>
        <v>1576605.391869942</v>
      </c>
    </row>
    <row r="199" spans="1:13" x14ac:dyDescent="0.3">
      <c r="A199" s="314" t="s">
        <v>1052</v>
      </c>
      <c r="B199" s="312">
        <v>40357</v>
      </c>
      <c r="C199" s="309">
        <f t="shared" si="32"/>
        <v>2010</v>
      </c>
      <c r="D199" s="313">
        <v>1360561.69</v>
      </c>
      <c r="E199" s="317">
        <f t="shared" si="33"/>
        <v>13</v>
      </c>
      <c r="F199" s="318">
        <f>VLOOKUP(I199,'WP Cost HW and Useful Life'!$A$3:$B$15,2,FALSE)</f>
        <v>50</v>
      </c>
      <c r="G199" s="318">
        <f t="shared" si="34"/>
        <v>353746.03939999995</v>
      </c>
      <c r="H199" s="318">
        <f t="shared" si="29"/>
        <v>1006815.6506000001</v>
      </c>
      <c r="I199" s="240" t="s">
        <v>45</v>
      </c>
      <c r="J199" s="321">
        <f>INDEX('WP Cost HW W1'!$B$9:$GE$66,MATCH(I199,'WP Cost HW W1'!$B$9:$B$66,0),MATCH(C199,'WP Cost HW W1'!$B$7:$GE$7,0))</f>
        <v>559.75</v>
      </c>
      <c r="K199" s="321">
        <f>INDEX('WP Cost HW W1'!$B$9:$GE$66,MATCH(I199,'WP Cost HW W1'!$B$9:$B$66,0),MATCH($E$1,'WP Cost HW W1'!$B$7:$GE$7,0))</f>
        <v>912</v>
      </c>
      <c r="L199" s="321">
        <f t="shared" si="30"/>
        <v>1.629298794104511</v>
      </c>
      <c r="M199" s="318">
        <f t="shared" si="31"/>
        <v>1640403.5254081287</v>
      </c>
    </row>
    <row r="200" spans="1:13" x14ac:dyDescent="0.3">
      <c r="A200" s="314" t="s">
        <v>1052</v>
      </c>
      <c r="B200" s="312">
        <v>40386</v>
      </c>
      <c r="C200" s="309">
        <f t="shared" si="32"/>
        <v>2010</v>
      </c>
      <c r="D200" s="313">
        <v>991226.2</v>
      </c>
      <c r="E200" s="317">
        <f t="shared" si="33"/>
        <v>13</v>
      </c>
      <c r="F200" s="318">
        <f>VLOOKUP(I200,'WP Cost HW and Useful Life'!$A$3:$B$15,2,FALSE)</f>
        <v>50</v>
      </c>
      <c r="G200" s="318">
        <f t="shared" si="34"/>
        <v>257718.81199999998</v>
      </c>
      <c r="H200" s="318">
        <f t="shared" si="29"/>
        <v>733507.38800000004</v>
      </c>
      <c r="I200" s="240" t="s">
        <v>45</v>
      </c>
      <c r="J200" s="321">
        <f>INDEX('WP Cost HW W1'!$B$9:$GE$66,MATCH(I200,'WP Cost HW W1'!$B$9:$B$66,0),MATCH(C200,'WP Cost HW W1'!$B$7:$GE$7,0))</f>
        <v>559.75</v>
      </c>
      <c r="K200" s="321">
        <f>INDEX('WP Cost HW W1'!$B$9:$GE$66,MATCH(I200,'WP Cost HW W1'!$B$9:$B$66,0),MATCH($E$1,'WP Cost HW W1'!$B$7:$GE$7,0))</f>
        <v>912</v>
      </c>
      <c r="L200" s="321">
        <f t="shared" si="30"/>
        <v>1.629298794104511</v>
      </c>
      <c r="M200" s="318">
        <f t="shared" si="31"/>
        <v>1195102.7027351498</v>
      </c>
    </row>
    <row r="201" spans="1:13" x14ac:dyDescent="0.3">
      <c r="A201" s="314" t="s">
        <v>1052</v>
      </c>
      <c r="B201" s="312">
        <v>40386</v>
      </c>
      <c r="C201" s="309">
        <f t="shared" si="32"/>
        <v>2010</v>
      </c>
      <c r="D201" s="313">
        <v>83100</v>
      </c>
      <c r="E201" s="317">
        <f t="shared" si="33"/>
        <v>13</v>
      </c>
      <c r="F201" s="318">
        <f>VLOOKUP(I201,'WP Cost HW and Useful Life'!$A$3:$B$15,2,FALSE)</f>
        <v>50</v>
      </c>
      <c r="G201" s="318">
        <f t="shared" si="34"/>
        <v>21606</v>
      </c>
      <c r="H201" s="318">
        <f t="shared" si="29"/>
        <v>61494</v>
      </c>
      <c r="I201" s="240" t="s">
        <v>45</v>
      </c>
      <c r="J201" s="321">
        <f>INDEX('WP Cost HW W1'!$B$9:$GE$66,MATCH(I201,'WP Cost HW W1'!$B$9:$B$66,0),MATCH(C201,'WP Cost HW W1'!$B$7:$GE$7,0))</f>
        <v>559.75</v>
      </c>
      <c r="K201" s="321">
        <f>INDEX('WP Cost HW W1'!$B$9:$GE$66,MATCH(I201,'WP Cost HW W1'!$B$9:$B$66,0),MATCH($E$1,'WP Cost HW W1'!$B$7:$GE$7,0))</f>
        <v>912</v>
      </c>
      <c r="L201" s="321">
        <f t="shared" si="30"/>
        <v>1.629298794104511</v>
      </c>
      <c r="M201" s="318">
        <f t="shared" si="31"/>
        <v>100192.1000446628</v>
      </c>
    </row>
    <row r="202" spans="1:13" x14ac:dyDescent="0.3">
      <c r="A202" s="314" t="s">
        <v>1052</v>
      </c>
      <c r="B202" s="312">
        <v>40386</v>
      </c>
      <c r="C202" s="309">
        <f t="shared" si="32"/>
        <v>2010</v>
      </c>
      <c r="D202" s="313">
        <v>48072.28</v>
      </c>
      <c r="E202" s="317">
        <f t="shared" si="33"/>
        <v>13</v>
      </c>
      <c r="F202" s="318">
        <f>VLOOKUP(I202,'WP Cost HW and Useful Life'!$A$3:$B$15,2,FALSE)</f>
        <v>50</v>
      </c>
      <c r="G202" s="318">
        <f t="shared" si="34"/>
        <v>12498.792799999999</v>
      </c>
      <c r="H202" s="318">
        <f t="shared" si="29"/>
        <v>35573.487200000003</v>
      </c>
      <c r="I202" s="240" t="s">
        <v>45</v>
      </c>
      <c r="J202" s="321">
        <f>INDEX('WP Cost HW W1'!$B$9:$GE$66,MATCH(I202,'WP Cost HW W1'!$B$9:$B$66,0),MATCH(C202,'WP Cost HW W1'!$B$7:$GE$7,0))</f>
        <v>559.75</v>
      </c>
      <c r="K202" s="321">
        <f>INDEX('WP Cost HW W1'!$B$9:$GE$66,MATCH(I202,'WP Cost HW W1'!$B$9:$B$66,0),MATCH($E$1,'WP Cost HW W1'!$B$7:$GE$7,0))</f>
        <v>912</v>
      </c>
      <c r="L202" s="321">
        <f t="shared" si="30"/>
        <v>1.629298794104511</v>
      </c>
      <c r="M202" s="318">
        <f t="shared" si="31"/>
        <v>57959.839797052264</v>
      </c>
    </row>
    <row r="203" spans="1:13" x14ac:dyDescent="0.3">
      <c r="A203" s="314" t="s">
        <v>1052</v>
      </c>
      <c r="B203" s="312">
        <v>40449</v>
      </c>
      <c r="C203" s="309">
        <f t="shared" si="32"/>
        <v>2010</v>
      </c>
      <c r="D203" s="313">
        <v>715342.58</v>
      </c>
      <c r="E203" s="317">
        <f t="shared" si="33"/>
        <v>13</v>
      </c>
      <c r="F203" s="318">
        <f>VLOOKUP(I203,'WP Cost HW and Useful Life'!$A$3:$B$15,2,FALSE)</f>
        <v>50</v>
      </c>
      <c r="G203" s="318">
        <f t="shared" si="34"/>
        <v>185989.07079999999</v>
      </c>
      <c r="H203" s="318">
        <f t="shared" si="29"/>
        <v>529353.50919999997</v>
      </c>
      <c r="I203" s="240" t="s">
        <v>45</v>
      </c>
      <c r="J203" s="321">
        <f>INDEX('WP Cost HW W1'!$B$9:$GE$66,MATCH(I203,'WP Cost HW W1'!$B$9:$B$66,0),MATCH(C203,'WP Cost HW W1'!$B$7:$GE$7,0))</f>
        <v>559.75</v>
      </c>
      <c r="K203" s="321">
        <f>INDEX('WP Cost HW W1'!$B$9:$GE$66,MATCH(I203,'WP Cost HW W1'!$B$9:$B$66,0),MATCH($E$1,'WP Cost HW W1'!$B$7:$GE$7,0))</f>
        <v>912</v>
      </c>
      <c r="L203" s="321">
        <f t="shared" si="30"/>
        <v>1.629298794104511</v>
      </c>
      <c r="M203" s="318">
        <f t="shared" si="31"/>
        <v>862475.03419455106</v>
      </c>
    </row>
    <row r="204" spans="1:13" x14ac:dyDescent="0.3">
      <c r="A204" s="314" t="s">
        <v>1052</v>
      </c>
      <c r="B204" s="312">
        <v>40457</v>
      </c>
      <c r="C204" s="309">
        <f t="shared" si="32"/>
        <v>2010</v>
      </c>
      <c r="D204" s="313">
        <v>643675.18000000005</v>
      </c>
      <c r="E204" s="317">
        <f t="shared" si="33"/>
        <v>13</v>
      </c>
      <c r="F204" s="318">
        <f>VLOOKUP(I204,'WP Cost HW and Useful Life'!$A$3:$B$15,2,FALSE)</f>
        <v>50</v>
      </c>
      <c r="G204" s="318">
        <f t="shared" si="34"/>
        <v>167355.54680000001</v>
      </c>
      <c r="H204" s="318">
        <f t="shared" si="29"/>
        <v>476319.63320000004</v>
      </c>
      <c r="I204" s="240" t="s">
        <v>45</v>
      </c>
      <c r="J204" s="321">
        <f>INDEX('WP Cost HW W1'!$B$9:$GE$66,MATCH(I204,'WP Cost HW W1'!$B$9:$B$66,0),MATCH(C204,'WP Cost HW W1'!$B$7:$GE$7,0))</f>
        <v>559.75</v>
      </c>
      <c r="K204" s="321">
        <f>INDEX('WP Cost HW W1'!$B$9:$GE$66,MATCH(I204,'WP Cost HW W1'!$B$9:$B$66,0),MATCH($E$1,'WP Cost HW W1'!$B$7:$GE$7,0))</f>
        <v>912</v>
      </c>
      <c r="L204" s="321">
        <f t="shared" si="30"/>
        <v>1.629298794104511</v>
      </c>
      <c r="M204" s="318">
        <f t="shared" si="31"/>
        <v>776067.00398106303</v>
      </c>
    </row>
    <row r="205" spans="1:13" x14ac:dyDescent="0.3">
      <c r="A205" s="314" t="s">
        <v>1052</v>
      </c>
      <c r="B205" s="312">
        <v>40476</v>
      </c>
      <c r="C205" s="309">
        <f t="shared" si="32"/>
        <v>2010</v>
      </c>
      <c r="D205" s="313">
        <v>1125651.73</v>
      </c>
      <c r="E205" s="317">
        <f t="shared" si="33"/>
        <v>13</v>
      </c>
      <c r="F205" s="318">
        <f>VLOOKUP(I205,'WP Cost HW and Useful Life'!$A$3:$B$15,2,FALSE)</f>
        <v>50</v>
      </c>
      <c r="G205" s="318">
        <f t="shared" si="34"/>
        <v>292669.4498</v>
      </c>
      <c r="H205" s="318">
        <f t="shared" si="29"/>
        <v>832982.28019999992</v>
      </c>
      <c r="I205" s="240" t="s">
        <v>45</v>
      </c>
      <c r="J205" s="321">
        <f>INDEX('WP Cost HW W1'!$B$9:$GE$66,MATCH(I205,'WP Cost HW W1'!$B$9:$B$66,0),MATCH(C205,'WP Cost HW W1'!$B$7:$GE$7,0))</f>
        <v>559.75</v>
      </c>
      <c r="K205" s="321">
        <f>INDEX('WP Cost HW W1'!$B$9:$GE$66,MATCH(I205,'WP Cost HW W1'!$B$9:$B$66,0),MATCH($E$1,'WP Cost HW W1'!$B$7:$GE$7,0))</f>
        <v>912</v>
      </c>
      <c r="L205" s="321">
        <f t="shared" si="30"/>
        <v>1.629298794104511</v>
      </c>
      <c r="M205" s="318">
        <f t="shared" si="31"/>
        <v>1357177.0246402856</v>
      </c>
    </row>
    <row r="206" spans="1:13" x14ac:dyDescent="0.3">
      <c r="A206" s="314" t="s">
        <v>1052</v>
      </c>
      <c r="B206" s="312">
        <v>40513</v>
      </c>
      <c r="C206" s="309">
        <f t="shared" si="32"/>
        <v>2010</v>
      </c>
      <c r="D206" s="313">
        <v>542888.62</v>
      </c>
      <c r="E206" s="317">
        <f t="shared" si="33"/>
        <v>13</v>
      </c>
      <c r="F206" s="318">
        <f>VLOOKUP(I206,'WP Cost HW and Useful Life'!$A$3:$B$15,2,FALSE)</f>
        <v>50</v>
      </c>
      <c r="G206" s="318">
        <f t="shared" si="34"/>
        <v>141151.04120000001</v>
      </c>
      <c r="H206" s="318">
        <f t="shared" si="29"/>
        <v>401737.57880000002</v>
      </c>
      <c r="I206" s="240" t="s">
        <v>45</v>
      </c>
      <c r="J206" s="321">
        <f>INDEX('WP Cost HW W1'!$B$9:$GE$66,MATCH(I206,'WP Cost HW W1'!$B$9:$B$66,0),MATCH(C206,'WP Cost HW W1'!$B$7:$GE$7,0))</f>
        <v>559.75</v>
      </c>
      <c r="K206" s="321">
        <f>INDEX('WP Cost HW W1'!$B$9:$GE$66,MATCH(I206,'WP Cost HW W1'!$B$9:$B$66,0),MATCH($E$1,'WP Cost HW W1'!$B$7:$GE$7,0))</f>
        <v>912</v>
      </c>
      <c r="L206" s="321">
        <f t="shared" si="30"/>
        <v>1.629298794104511</v>
      </c>
      <c r="M206" s="318">
        <f t="shared" si="31"/>
        <v>654550.55268530594</v>
      </c>
    </row>
    <row r="207" spans="1:13" x14ac:dyDescent="0.3">
      <c r="A207" s="314" t="s">
        <v>1052</v>
      </c>
      <c r="B207" s="312">
        <v>40479</v>
      </c>
      <c r="C207" s="309">
        <f t="shared" si="32"/>
        <v>2010</v>
      </c>
      <c r="D207" s="313">
        <v>497553.1</v>
      </c>
      <c r="E207" s="317">
        <f t="shared" si="33"/>
        <v>13</v>
      </c>
      <c r="F207" s="318">
        <f>VLOOKUP(I207,'WP Cost HW and Useful Life'!$A$3:$B$15,2,FALSE)</f>
        <v>50</v>
      </c>
      <c r="G207" s="318">
        <f t="shared" si="34"/>
        <v>129363.806</v>
      </c>
      <c r="H207" s="318">
        <f t="shared" si="29"/>
        <v>368189.29399999999</v>
      </c>
      <c r="I207" s="240" t="s">
        <v>45</v>
      </c>
      <c r="J207" s="321">
        <f>INDEX('WP Cost HW W1'!$B$9:$GE$66,MATCH(I207,'WP Cost HW W1'!$B$9:$B$66,0),MATCH(C207,'WP Cost HW W1'!$B$7:$GE$7,0))</f>
        <v>559.75</v>
      </c>
      <c r="K207" s="321">
        <f>INDEX('WP Cost HW W1'!$B$9:$GE$66,MATCH(I207,'WP Cost HW W1'!$B$9:$B$66,0),MATCH($E$1,'WP Cost HW W1'!$B$7:$GE$7,0))</f>
        <v>912</v>
      </c>
      <c r="L207" s="321">
        <f t="shared" si="30"/>
        <v>1.629298794104511</v>
      </c>
      <c r="M207" s="318">
        <f t="shared" si="31"/>
        <v>599890.37271639123</v>
      </c>
    </row>
    <row r="208" spans="1:13" x14ac:dyDescent="0.3">
      <c r="A208" s="314" t="s">
        <v>1052</v>
      </c>
      <c r="B208" s="312">
        <v>40574</v>
      </c>
      <c r="C208" s="309">
        <f t="shared" si="32"/>
        <v>2011</v>
      </c>
      <c r="D208" s="313">
        <v>246567.29</v>
      </c>
      <c r="E208" s="317">
        <f t="shared" si="33"/>
        <v>12</v>
      </c>
      <c r="F208" s="318">
        <f>VLOOKUP(I208,'WP Cost HW and Useful Life'!$A$3:$B$15,2,FALSE)</f>
        <v>50</v>
      </c>
      <c r="G208" s="318">
        <f t="shared" si="34"/>
        <v>59176.149600000004</v>
      </c>
      <c r="H208" s="318">
        <f t="shared" si="29"/>
        <v>187391.1404</v>
      </c>
      <c r="I208" s="240" t="s">
        <v>45</v>
      </c>
      <c r="J208" s="321">
        <f>INDEX('WP Cost HW W1'!$B$9:$GE$66,MATCH(I208,'WP Cost HW W1'!$B$9:$B$66,0),MATCH(C208,'WP Cost HW W1'!$B$7:$GE$7,0))</f>
        <v>583.5</v>
      </c>
      <c r="K208" s="321">
        <f>INDEX('WP Cost HW W1'!$B$9:$GE$66,MATCH(I208,'WP Cost HW W1'!$B$9:$B$66,0),MATCH($E$1,'WP Cost HW W1'!$B$7:$GE$7,0))</f>
        <v>912</v>
      </c>
      <c r="L208" s="321">
        <f t="shared" si="30"/>
        <v>1.5629820051413881</v>
      </c>
      <c r="M208" s="318">
        <f t="shared" si="31"/>
        <v>292888.98036812339</v>
      </c>
    </row>
    <row r="209" spans="1:13" x14ac:dyDescent="0.3">
      <c r="A209" s="314" t="s">
        <v>1052</v>
      </c>
      <c r="B209" s="312">
        <v>40597</v>
      </c>
      <c r="C209" s="309">
        <f t="shared" si="32"/>
        <v>2011</v>
      </c>
      <c r="D209" s="313">
        <v>220465.44</v>
      </c>
      <c r="E209" s="317">
        <f t="shared" si="33"/>
        <v>12</v>
      </c>
      <c r="F209" s="318">
        <f>VLOOKUP(I209,'WP Cost HW and Useful Life'!$A$3:$B$15,2,FALSE)</f>
        <v>50</v>
      </c>
      <c r="G209" s="318">
        <f t="shared" si="34"/>
        <v>52911.705600000001</v>
      </c>
      <c r="H209" s="318">
        <f t="shared" si="29"/>
        <v>167553.73440000002</v>
      </c>
      <c r="I209" s="240" t="s">
        <v>45</v>
      </c>
      <c r="J209" s="321">
        <f>INDEX('WP Cost HW W1'!$B$9:$GE$66,MATCH(I209,'WP Cost HW W1'!$B$9:$B$66,0),MATCH(C209,'WP Cost HW W1'!$B$7:$GE$7,0))</f>
        <v>583.5</v>
      </c>
      <c r="K209" s="321">
        <f>INDEX('WP Cost HW W1'!$B$9:$GE$66,MATCH(I209,'WP Cost HW W1'!$B$9:$B$66,0),MATCH($E$1,'WP Cost HW W1'!$B$7:$GE$7,0))</f>
        <v>912</v>
      </c>
      <c r="L209" s="321">
        <f t="shared" si="30"/>
        <v>1.5629820051413881</v>
      </c>
      <c r="M209" s="318">
        <f t="shared" si="31"/>
        <v>261883.47176143961</v>
      </c>
    </row>
    <row r="210" spans="1:13" x14ac:dyDescent="0.3">
      <c r="A210" s="314" t="s">
        <v>1052</v>
      </c>
      <c r="B210" s="312">
        <v>40639</v>
      </c>
      <c r="C210" s="309">
        <f t="shared" si="32"/>
        <v>2011</v>
      </c>
      <c r="D210" s="313">
        <v>93501.84</v>
      </c>
      <c r="E210" s="317">
        <f t="shared" si="33"/>
        <v>12</v>
      </c>
      <c r="F210" s="318">
        <f>VLOOKUP(I210,'WP Cost HW and Useful Life'!$A$3:$B$15,2,FALSE)</f>
        <v>50</v>
      </c>
      <c r="G210" s="318">
        <f t="shared" si="34"/>
        <v>22440.441599999998</v>
      </c>
      <c r="H210" s="318">
        <f t="shared" si="29"/>
        <v>71061.398400000005</v>
      </c>
      <c r="I210" s="240" t="s">
        <v>45</v>
      </c>
      <c r="J210" s="321">
        <f>INDEX('WP Cost HW W1'!$B$9:$GE$66,MATCH(I210,'WP Cost HW W1'!$B$9:$B$66,0),MATCH(C210,'WP Cost HW W1'!$B$7:$GE$7,0))</f>
        <v>583.5</v>
      </c>
      <c r="K210" s="321">
        <f>INDEX('WP Cost HW W1'!$B$9:$GE$66,MATCH(I210,'WP Cost HW W1'!$B$9:$B$66,0),MATCH($E$1,'WP Cost HW W1'!$B$7:$GE$7,0))</f>
        <v>912</v>
      </c>
      <c r="L210" s="321">
        <f t="shared" si="30"/>
        <v>1.5629820051413881</v>
      </c>
      <c r="M210" s="318">
        <f t="shared" si="31"/>
        <v>111067.68695938303</v>
      </c>
    </row>
    <row r="211" spans="1:13" x14ac:dyDescent="0.3">
      <c r="A211" s="314" t="s">
        <v>1052</v>
      </c>
      <c r="B211" s="312">
        <v>40449</v>
      </c>
      <c r="C211" s="309">
        <f t="shared" si="32"/>
        <v>2010</v>
      </c>
      <c r="D211" s="313">
        <v>80400</v>
      </c>
      <c r="E211" s="317">
        <f t="shared" si="33"/>
        <v>13</v>
      </c>
      <c r="F211" s="318">
        <f>VLOOKUP(I211,'WP Cost HW and Useful Life'!$A$3:$B$15,2,FALSE)</f>
        <v>50</v>
      </c>
      <c r="G211" s="318">
        <f t="shared" si="34"/>
        <v>20904</v>
      </c>
      <c r="H211" s="318">
        <f t="shared" si="29"/>
        <v>59496</v>
      </c>
      <c r="I211" s="240" t="s">
        <v>45</v>
      </c>
      <c r="J211" s="321">
        <f>INDEX('WP Cost HW W1'!$B$9:$GE$66,MATCH(I211,'WP Cost HW W1'!$B$9:$B$66,0),MATCH(C211,'WP Cost HW W1'!$B$7:$GE$7,0))</f>
        <v>559.75</v>
      </c>
      <c r="K211" s="321">
        <f>INDEX('WP Cost HW W1'!$B$9:$GE$66,MATCH(I211,'WP Cost HW W1'!$B$9:$B$66,0),MATCH($E$1,'WP Cost HW W1'!$B$7:$GE$7,0))</f>
        <v>912</v>
      </c>
      <c r="L211" s="321">
        <f t="shared" si="30"/>
        <v>1.629298794104511</v>
      </c>
      <c r="M211" s="318">
        <f t="shared" si="31"/>
        <v>96936.761054041985</v>
      </c>
    </row>
    <row r="212" spans="1:13" x14ac:dyDescent="0.3">
      <c r="A212" s="314" t="s">
        <v>1052</v>
      </c>
      <c r="B212" s="312">
        <v>40449</v>
      </c>
      <c r="C212" s="309">
        <f t="shared" si="32"/>
        <v>2010</v>
      </c>
      <c r="D212" s="313">
        <v>55222.59</v>
      </c>
      <c r="E212" s="317">
        <f t="shared" si="33"/>
        <v>13</v>
      </c>
      <c r="F212" s="318">
        <f>VLOOKUP(I212,'WP Cost HW and Useful Life'!$A$3:$B$15,2,FALSE)</f>
        <v>50</v>
      </c>
      <c r="G212" s="318">
        <f t="shared" si="34"/>
        <v>14357.873399999997</v>
      </c>
      <c r="H212" s="318">
        <f t="shared" si="29"/>
        <v>40864.7166</v>
      </c>
      <c r="I212" s="240" t="s">
        <v>45</v>
      </c>
      <c r="J212" s="321">
        <f>INDEX('WP Cost HW W1'!$B$9:$GE$66,MATCH(I212,'WP Cost HW W1'!$B$9:$B$66,0),MATCH(C212,'WP Cost HW W1'!$B$7:$GE$7,0))</f>
        <v>559.75</v>
      </c>
      <c r="K212" s="321">
        <f>INDEX('WP Cost HW W1'!$B$9:$GE$66,MATCH(I212,'WP Cost HW W1'!$B$9:$B$66,0),MATCH($E$1,'WP Cost HW W1'!$B$7:$GE$7,0))</f>
        <v>912</v>
      </c>
      <c r="L212" s="321">
        <f t="shared" si="30"/>
        <v>1.629298794104511</v>
      </c>
      <c r="M212" s="318">
        <f t="shared" si="31"/>
        <v>66580.833477802589</v>
      </c>
    </row>
    <row r="213" spans="1:13" x14ac:dyDescent="0.3">
      <c r="A213" s="314" t="s">
        <v>1052</v>
      </c>
      <c r="B213" s="312">
        <v>40457</v>
      </c>
      <c r="C213" s="309">
        <f t="shared" si="32"/>
        <v>2010</v>
      </c>
      <c r="D213" s="313">
        <v>48735.07</v>
      </c>
      <c r="E213" s="317">
        <f t="shared" si="33"/>
        <v>13</v>
      </c>
      <c r="F213" s="318">
        <f>VLOOKUP(I213,'WP Cost HW and Useful Life'!$A$3:$B$15,2,FALSE)</f>
        <v>50</v>
      </c>
      <c r="G213" s="318">
        <f t="shared" si="34"/>
        <v>12671.118200000001</v>
      </c>
      <c r="H213" s="318">
        <f t="shared" si="29"/>
        <v>36063.951799999995</v>
      </c>
      <c r="I213" s="240" t="s">
        <v>45</v>
      </c>
      <c r="J213" s="321">
        <f>INDEX('WP Cost HW W1'!$B$9:$GE$66,MATCH(I213,'WP Cost HW W1'!$B$9:$B$66,0),MATCH(C213,'WP Cost HW W1'!$B$7:$GE$7,0))</f>
        <v>559.75</v>
      </c>
      <c r="K213" s="321">
        <f>INDEX('WP Cost HW W1'!$B$9:$GE$66,MATCH(I213,'WP Cost HW W1'!$B$9:$B$66,0),MATCH($E$1,'WP Cost HW W1'!$B$7:$GE$7,0))</f>
        <v>912</v>
      </c>
      <c r="L213" s="321">
        <f t="shared" si="30"/>
        <v>1.629298794104511</v>
      </c>
      <c r="M213" s="318">
        <f t="shared" si="31"/>
        <v>58758.953178383199</v>
      </c>
    </row>
    <row r="214" spans="1:13" x14ac:dyDescent="0.3">
      <c r="A214" s="314" t="s">
        <v>1052</v>
      </c>
      <c r="B214" s="312">
        <v>40457</v>
      </c>
      <c r="C214" s="309">
        <f t="shared" si="32"/>
        <v>2010</v>
      </c>
      <c r="D214" s="313">
        <v>78000</v>
      </c>
      <c r="E214" s="317">
        <f t="shared" si="33"/>
        <v>13</v>
      </c>
      <c r="F214" s="318">
        <f>VLOOKUP(I214,'WP Cost HW and Useful Life'!$A$3:$B$15,2,FALSE)</f>
        <v>50</v>
      </c>
      <c r="G214" s="318">
        <f t="shared" si="34"/>
        <v>20280</v>
      </c>
      <c r="H214" s="318">
        <f t="shared" ref="H214:H245" si="35">IFERROR(D214-G214,"NA")</f>
        <v>57720</v>
      </c>
      <c r="I214" s="240" t="s">
        <v>45</v>
      </c>
      <c r="J214" s="321">
        <f>INDEX('WP Cost HW W1'!$B$9:$GE$66,MATCH(I214,'WP Cost HW W1'!$B$9:$B$66,0),MATCH(C214,'WP Cost HW W1'!$B$7:$GE$7,0))</f>
        <v>559.75</v>
      </c>
      <c r="K214" s="321">
        <f>INDEX('WP Cost HW W1'!$B$9:$GE$66,MATCH(I214,'WP Cost HW W1'!$B$9:$B$66,0),MATCH($E$1,'WP Cost HW W1'!$B$7:$GE$7,0))</f>
        <v>912</v>
      </c>
      <c r="L214" s="321">
        <f t="shared" ref="L214:L245" si="36">K214/J214</f>
        <v>1.629298794104511</v>
      </c>
      <c r="M214" s="318">
        <f t="shared" ref="M214:M245" si="37">IFERROR(H214*L214,"NA")</f>
        <v>94043.126395712374</v>
      </c>
    </row>
    <row r="215" spans="1:13" x14ac:dyDescent="0.3">
      <c r="A215" s="314" t="s">
        <v>1052</v>
      </c>
      <c r="B215" s="312">
        <v>40457</v>
      </c>
      <c r="C215" s="309">
        <f t="shared" si="32"/>
        <v>2010</v>
      </c>
      <c r="D215" s="313">
        <v>7000</v>
      </c>
      <c r="E215" s="317">
        <f t="shared" si="33"/>
        <v>13</v>
      </c>
      <c r="F215" s="318">
        <f>VLOOKUP(I215,'WP Cost HW and Useful Life'!$A$3:$B$15,2,FALSE)</f>
        <v>50</v>
      </c>
      <c r="G215" s="318">
        <f t="shared" si="34"/>
        <v>1820</v>
      </c>
      <c r="H215" s="318">
        <f t="shared" si="35"/>
        <v>5180</v>
      </c>
      <c r="I215" s="240" t="s">
        <v>45</v>
      </c>
      <c r="J215" s="321">
        <f>INDEX('WP Cost HW W1'!$B$9:$GE$66,MATCH(I215,'WP Cost HW W1'!$B$9:$B$66,0),MATCH(C215,'WP Cost HW W1'!$B$7:$GE$7,0))</f>
        <v>559.75</v>
      </c>
      <c r="K215" s="321">
        <f>INDEX('WP Cost HW W1'!$B$9:$GE$66,MATCH(I215,'WP Cost HW W1'!$B$9:$B$66,0),MATCH($E$1,'WP Cost HW W1'!$B$7:$GE$7,0))</f>
        <v>912</v>
      </c>
      <c r="L215" s="321">
        <f t="shared" si="36"/>
        <v>1.629298794104511</v>
      </c>
      <c r="M215" s="318">
        <f t="shared" si="37"/>
        <v>8439.7677534613667</v>
      </c>
    </row>
    <row r="216" spans="1:13" x14ac:dyDescent="0.3">
      <c r="A216" s="314" t="s">
        <v>1052</v>
      </c>
      <c r="B216" s="312">
        <v>40476</v>
      </c>
      <c r="C216" s="309">
        <f t="shared" si="32"/>
        <v>2010</v>
      </c>
      <c r="D216" s="313">
        <v>64654.38</v>
      </c>
      <c r="E216" s="317">
        <f t="shared" si="33"/>
        <v>13</v>
      </c>
      <c r="F216" s="318">
        <f>VLOOKUP(I216,'WP Cost HW and Useful Life'!$A$3:$B$15,2,FALSE)</f>
        <v>50</v>
      </c>
      <c r="G216" s="318">
        <f t="shared" si="34"/>
        <v>16810.138799999997</v>
      </c>
      <c r="H216" s="318">
        <f t="shared" si="35"/>
        <v>47844.241200000004</v>
      </c>
      <c r="I216" s="240" t="s">
        <v>45</v>
      </c>
      <c r="J216" s="321">
        <f>INDEX('WP Cost HW W1'!$B$9:$GE$66,MATCH(I216,'WP Cost HW W1'!$B$9:$B$66,0),MATCH(C216,'WP Cost HW W1'!$B$7:$GE$7,0))</f>
        <v>559.75</v>
      </c>
      <c r="K216" s="321">
        <f>INDEX('WP Cost HW W1'!$B$9:$GE$66,MATCH(I216,'WP Cost HW W1'!$B$9:$B$66,0),MATCH($E$1,'WP Cost HW W1'!$B$7:$GE$7,0))</f>
        <v>912</v>
      </c>
      <c r="L216" s="321">
        <f t="shared" si="36"/>
        <v>1.629298794104511</v>
      </c>
      <c r="M216" s="318">
        <f t="shared" si="37"/>
        <v>77952.56449200536</v>
      </c>
    </row>
    <row r="217" spans="1:13" x14ac:dyDescent="0.3">
      <c r="A217" s="314" t="s">
        <v>1052</v>
      </c>
      <c r="B217" s="312">
        <v>40476</v>
      </c>
      <c r="C217" s="309">
        <f t="shared" si="32"/>
        <v>2010</v>
      </c>
      <c r="D217" s="313">
        <v>90500</v>
      </c>
      <c r="E217" s="317">
        <f t="shared" si="33"/>
        <v>13</v>
      </c>
      <c r="F217" s="318">
        <f>VLOOKUP(I217,'WP Cost HW and Useful Life'!$A$3:$B$15,2,FALSE)</f>
        <v>50</v>
      </c>
      <c r="G217" s="318">
        <f t="shared" si="34"/>
        <v>23530</v>
      </c>
      <c r="H217" s="318">
        <f t="shared" si="35"/>
        <v>66970</v>
      </c>
      <c r="I217" s="240" t="s">
        <v>45</v>
      </c>
      <c r="J217" s="321">
        <f>INDEX('WP Cost HW W1'!$B$9:$GE$66,MATCH(I217,'WP Cost HW W1'!$B$9:$B$66,0),MATCH(C217,'WP Cost HW W1'!$B$7:$GE$7,0))</f>
        <v>559.75</v>
      </c>
      <c r="K217" s="321">
        <f>INDEX('WP Cost HW W1'!$B$9:$GE$66,MATCH(I217,'WP Cost HW W1'!$B$9:$B$66,0),MATCH($E$1,'WP Cost HW W1'!$B$7:$GE$7,0))</f>
        <v>912</v>
      </c>
      <c r="L217" s="321">
        <f t="shared" si="36"/>
        <v>1.629298794104511</v>
      </c>
      <c r="M217" s="318">
        <f t="shared" si="37"/>
        <v>109114.14024117909</v>
      </c>
    </row>
    <row r="218" spans="1:13" x14ac:dyDescent="0.3">
      <c r="A218" s="314" t="s">
        <v>1052</v>
      </c>
      <c r="B218" s="312">
        <v>40513</v>
      </c>
      <c r="C218" s="309">
        <f t="shared" si="32"/>
        <v>2010</v>
      </c>
      <c r="D218" s="313">
        <v>50365.95</v>
      </c>
      <c r="E218" s="317">
        <f t="shared" si="33"/>
        <v>13</v>
      </c>
      <c r="F218" s="318">
        <f>VLOOKUP(I218,'WP Cost HW and Useful Life'!$A$3:$B$15,2,FALSE)</f>
        <v>50</v>
      </c>
      <c r="G218" s="318">
        <f t="shared" si="34"/>
        <v>13095.146999999999</v>
      </c>
      <c r="H218" s="318">
        <f t="shared" si="35"/>
        <v>37270.803</v>
      </c>
      <c r="I218" s="240" t="s">
        <v>45</v>
      </c>
      <c r="J218" s="321">
        <f>INDEX('WP Cost HW W1'!$B$9:$GE$66,MATCH(I218,'WP Cost HW W1'!$B$9:$B$66,0),MATCH(C218,'WP Cost HW W1'!$B$7:$GE$7,0))</f>
        <v>559.75</v>
      </c>
      <c r="K218" s="321">
        <f>INDEX('WP Cost HW W1'!$B$9:$GE$66,MATCH(I218,'WP Cost HW W1'!$B$9:$B$66,0),MATCH($E$1,'WP Cost HW W1'!$B$7:$GE$7,0))</f>
        <v>912</v>
      </c>
      <c r="L218" s="321">
        <f t="shared" si="36"/>
        <v>1.629298794104511</v>
      </c>
      <c r="M218" s="318">
        <f t="shared" si="37"/>
        <v>60725.274383206786</v>
      </c>
    </row>
    <row r="219" spans="1:13" x14ac:dyDescent="0.3">
      <c r="A219" s="314" t="s">
        <v>1052</v>
      </c>
      <c r="B219" s="312">
        <v>40513</v>
      </c>
      <c r="C219" s="309">
        <f t="shared" si="32"/>
        <v>2010</v>
      </c>
      <c r="D219" s="313">
        <v>96600</v>
      </c>
      <c r="E219" s="317">
        <f t="shared" si="33"/>
        <v>13</v>
      </c>
      <c r="F219" s="318">
        <f>VLOOKUP(I219,'WP Cost HW and Useful Life'!$A$3:$B$15,2,FALSE)</f>
        <v>50</v>
      </c>
      <c r="G219" s="318">
        <f t="shared" si="34"/>
        <v>25116</v>
      </c>
      <c r="H219" s="318">
        <f t="shared" si="35"/>
        <v>71484</v>
      </c>
      <c r="I219" s="240" t="s">
        <v>45</v>
      </c>
      <c r="J219" s="321">
        <f>INDEX('WP Cost HW W1'!$B$9:$GE$66,MATCH(I219,'WP Cost HW W1'!$B$9:$B$66,0),MATCH(C219,'WP Cost HW W1'!$B$7:$GE$7,0))</f>
        <v>559.75</v>
      </c>
      <c r="K219" s="321">
        <f>INDEX('WP Cost HW W1'!$B$9:$GE$66,MATCH(I219,'WP Cost HW W1'!$B$9:$B$66,0),MATCH($E$1,'WP Cost HW W1'!$B$7:$GE$7,0))</f>
        <v>912</v>
      </c>
      <c r="L219" s="321">
        <f t="shared" si="36"/>
        <v>1.629298794104511</v>
      </c>
      <c r="M219" s="318">
        <f t="shared" si="37"/>
        <v>116468.79499776686</v>
      </c>
    </row>
    <row r="220" spans="1:13" x14ac:dyDescent="0.3">
      <c r="A220" s="314" t="s">
        <v>1052</v>
      </c>
      <c r="B220" s="312">
        <v>40540</v>
      </c>
      <c r="C220" s="309">
        <f t="shared" si="32"/>
        <v>2010</v>
      </c>
      <c r="D220" s="313">
        <v>90500</v>
      </c>
      <c r="E220" s="317">
        <f t="shared" si="33"/>
        <v>13</v>
      </c>
      <c r="F220" s="318">
        <f>VLOOKUP(I220,'WP Cost HW and Useful Life'!$A$3:$B$15,2,FALSE)</f>
        <v>50</v>
      </c>
      <c r="G220" s="318">
        <f t="shared" si="34"/>
        <v>23530</v>
      </c>
      <c r="H220" s="318">
        <f t="shared" si="35"/>
        <v>66970</v>
      </c>
      <c r="I220" s="240" t="s">
        <v>45</v>
      </c>
      <c r="J220" s="321">
        <f>INDEX('WP Cost HW W1'!$B$9:$GE$66,MATCH(I220,'WP Cost HW W1'!$B$9:$B$66,0),MATCH(C220,'WP Cost HW W1'!$B$7:$GE$7,0))</f>
        <v>559.75</v>
      </c>
      <c r="K220" s="321">
        <f>INDEX('WP Cost HW W1'!$B$9:$GE$66,MATCH(I220,'WP Cost HW W1'!$B$9:$B$66,0),MATCH($E$1,'WP Cost HW W1'!$B$7:$GE$7,0))</f>
        <v>912</v>
      </c>
      <c r="L220" s="321">
        <f t="shared" si="36"/>
        <v>1.629298794104511</v>
      </c>
      <c r="M220" s="318">
        <f t="shared" si="37"/>
        <v>109114.14024117909</v>
      </c>
    </row>
    <row r="221" spans="1:13" x14ac:dyDescent="0.3">
      <c r="A221" s="314" t="s">
        <v>1052</v>
      </c>
      <c r="B221" s="312">
        <v>40540</v>
      </c>
      <c r="C221" s="309">
        <f t="shared" si="32"/>
        <v>2010</v>
      </c>
      <c r="D221" s="313">
        <v>34585.42</v>
      </c>
      <c r="E221" s="317">
        <f t="shared" si="33"/>
        <v>13</v>
      </c>
      <c r="F221" s="318">
        <f>VLOOKUP(I221,'WP Cost HW and Useful Life'!$A$3:$B$15,2,FALSE)</f>
        <v>50</v>
      </c>
      <c r="G221" s="318">
        <f t="shared" si="34"/>
        <v>8992.2091999999993</v>
      </c>
      <c r="H221" s="318">
        <f t="shared" si="35"/>
        <v>25593.210800000001</v>
      </c>
      <c r="I221" s="240" t="s">
        <v>45</v>
      </c>
      <c r="J221" s="321">
        <f>INDEX('WP Cost HW W1'!$B$9:$GE$66,MATCH(I221,'WP Cost HW W1'!$B$9:$B$66,0),MATCH(C221,'WP Cost HW W1'!$B$7:$GE$7,0))</f>
        <v>559.75</v>
      </c>
      <c r="K221" s="321">
        <f>INDEX('WP Cost HW W1'!$B$9:$GE$66,MATCH(I221,'WP Cost HW W1'!$B$9:$B$66,0),MATCH($E$1,'WP Cost HW W1'!$B$7:$GE$7,0))</f>
        <v>912</v>
      </c>
      <c r="L221" s="321">
        <f t="shared" si="36"/>
        <v>1.629298794104511</v>
      </c>
      <c r="M221" s="318">
        <f t="shared" si="37"/>
        <v>41698.987493702545</v>
      </c>
    </row>
    <row r="222" spans="1:13" x14ac:dyDescent="0.3">
      <c r="A222" s="314" t="s">
        <v>1052</v>
      </c>
      <c r="B222" s="312">
        <v>40597</v>
      </c>
      <c r="C222" s="309">
        <f t="shared" si="32"/>
        <v>2011</v>
      </c>
      <c r="D222" s="313">
        <v>77210.880000000005</v>
      </c>
      <c r="E222" s="317">
        <f t="shared" si="33"/>
        <v>12</v>
      </c>
      <c r="F222" s="318">
        <f>VLOOKUP(I222,'WP Cost HW and Useful Life'!$A$3:$B$15,2,FALSE)</f>
        <v>50</v>
      </c>
      <c r="G222" s="318">
        <f t="shared" si="34"/>
        <v>18530.611200000003</v>
      </c>
      <c r="H222" s="318">
        <f t="shared" si="35"/>
        <v>58680.268800000005</v>
      </c>
      <c r="I222" s="240" t="s">
        <v>45</v>
      </c>
      <c r="J222" s="321">
        <f>INDEX('WP Cost HW W1'!$B$9:$GE$66,MATCH(I222,'WP Cost HW W1'!$B$9:$B$66,0),MATCH(C222,'WP Cost HW W1'!$B$7:$GE$7,0))</f>
        <v>583.5</v>
      </c>
      <c r="K222" s="321">
        <f>INDEX('WP Cost HW W1'!$B$9:$GE$66,MATCH(I222,'WP Cost HW W1'!$B$9:$B$66,0),MATCH($E$1,'WP Cost HW W1'!$B$7:$GE$7,0))</f>
        <v>912</v>
      </c>
      <c r="L222" s="321">
        <f t="shared" si="36"/>
        <v>1.5629820051413881</v>
      </c>
      <c r="M222" s="318">
        <f t="shared" si="37"/>
        <v>91716.204191259647</v>
      </c>
    </row>
    <row r="223" spans="1:13" x14ac:dyDescent="0.3">
      <c r="A223" s="314" t="s">
        <v>1052</v>
      </c>
      <c r="B223" s="312">
        <v>40597</v>
      </c>
      <c r="C223" s="309">
        <f t="shared" si="32"/>
        <v>2011</v>
      </c>
      <c r="D223" s="313">
        <v>90000</v>
      </c>
      <c r="E223" s="317">
        <f t="shared" si="33"/>
        <v>12</v>
      </c>
      <c r="F223" s="318">
        <f>VLOOKUP(I223,'WP Cost HW and Useful Life'!$A$3:$B$15,2,FALSE)</f>
        <v>50</v>
      </c>
      <c r="G223" s="318">
        <f t="shared" si="34"/>
        <v>21600</v>
      </c>
      <c r="H223" s="318">
        <f t="shared" si="35"/>
        <v>68400</v>
      </c>
      <c r="I223" s="240" t="s">
        <v>45</v>
      </c>
      <c r="J223" s="321">
        <f>INDEX('WP Cost HW W1'!$B$9:$GE$66,MATCH(I223,'WP Cost HW W1'!$B$9:$B$66,0),MATCH(C223,'WP Cost HW W1'!$B$7:$GE$7,0))</f>
        <v>583.5</v>
      </c>
      <c r="K223" s="321">
        <f>INDEX('WP Cost HW W1'!$B$9:$GE$66,MATCH(I223,'WP Cost HW W1'!$B$9:$B$66,0),MATCH($E$1,'WP Cost HW W1'!$B$7:$GE$7,0))</f>
        <v>912</v>
      </c>
      <c r="L223" s="321">
        <f t="shared" si="36"/>
        <v>1.5629820051413881</v>
      </c>
      <c r="M223" s="318">
        <f t="shared" si="37"/>
        <v>106907.96915167094</v>
      </c>
    </row>
    <row r="224" spans="1:13" x14ac:dyDescent="0.3">
      <c r="A224" s="314" t="s">
        <v>1052</v>
      </c>
      <c r="B224" s="312">
        <v>40597</v>
      </c>
      <c r="C224" s="309">
        <f t="shared" si="32"/>
        <v>2011</v>
      </c>
      <c r="D224" s="313">
        <v>2818.16</v>
      </c>
      <c r="E224" s="317">
        <f t="shared" si="33"/>
        <v>12</v>
      </c>
      <c r="F224" s="318">
        <f>VLOOKUP(I224,'WP Cost HW and Useful Life'!$A$3:$B$15,2,FALSE)</f>
        <v>50</v>
      </c>
      <c r="G224" s="318">
        <f t="shared" si="34"/>
        <v>676.35839999999996</v>
      </c>
      <c r="H224" s="318">
        <f t="shared" si="35"/>
        <v>2141.8015999999998</v>
      </c>
      <c r="I224" s="240" t="s">
        <v>45</v>
      </c>
      <c r="J224" s="321">
        <f>INDEX('WP Cost HW W1'!$B$9:$GE$66,MATCH(I224,'WP Cost HW W1'!$B$9:$B$66,0),MATCH(C224,'WP Cost HW W1'!$B$7:$GE$7,0))</f>
        <v>583.5</v>
      </c>
      <c r="K224" s="321">
        <f>INDEX('WP Cost HW W1'!$B$9:$GE$66,MATCH(I224,'WP Cost HW W1'!$B$9:$B$66,0),MATCH($E$1,'WP Cost HW W1'!$B$7:$GE$7,0))</f>
        <v>912</v>
      </c>
      <c r="L224" s="321">
        <f t="shared" si="36"/>
        <v>1.5629820051413881</v>
      </c>
      <c r="M224" s="318">
        <f t="shared" si="37"/>
        <v>3347.5973593830327</v>
      </c>
    </row>
    <row r="225" spans="1:13" x14ac:dyDescent="0.3">
      <c r="A225" s="314" t="s">
        <v>1052</v>
      </c>
      <c r="B225" s="312">
        <v>40597</v>
      </c>
      <c r="C225" s="309">
        <f t="shared" si="32"/>
        <v>2011</v>
      </c>
      <c r="D225" s="313">
        <v>91600</v>
      </c>
      <c r="E225" s="317">
        <f t="shared" si="33"/>
        <v>12</v>
      </c>
      <c r="F225" s="318">
        <f>VLOOKUP(I225,'WP Cost HW and Useful Life'!$A$3:$B$15,2,FALSE)</f>
        <v>50</v>
      </c>
      <c r="G225" s="318">
        <f t="shared" si="34"/>
        <v>21984</v>
      </c>
      <c r="H225" s="318">
        <f t="shared" si="35"/>
        <v>69616</v>
      </c>
      <c r="I225" s="240" t="s">
        <v>45</v>
      </c>
      <c r="J225" s="321">
        <f>INDEX('WP Cost HW W1'!$B$9:$GE$66,MATCH(I225,'WP Cost HW W1'!$B$9:$B$66,0),MATCH(C225,'WP Cost HW W1'!$B$7:$GE$7,0))</f>
        <v>583.5</v>
      </c>
      <c r="K225" s="321">
        <f>INDEX('WP Cost HW W1'!$B$9:$GE$66,MATCH(I225,'WP Cost HW W1'!$B$9:$B$66,0),MATCH($E$1,'WP Cost HW W1'!$B$7:$GE$7,0))</f>
        <v>912</v>
      </c>
      <c r="L225" s="321">
        <f t="shared" si="36"/>
        <v>1.5629820051413881</v>
      </c>
      <c r="M225" s="318">
        <f t="shared" si="37"/>
        <v>108808.55526992287</v>
      </c>
    </row>
    <row r="226" spans="1:13" x14ac:dyDescent="0.3">
      <c r="A226" s="314" t="s">
        <v>1052</v>
      </c>
      <c r="B226" s="312">
        <v>40597</v>
      </c>
      <c r="C226" s="309">
        <f t="shared" si="32"/>
        <v>2011</v>
      </c>
      <c r="D226" s="313">
        <v>53095.199999999997</v>
      </c>
      <c r="E226" s="317">
        <f t="shared" si="33"/>
        <v>12</v>
      </c>
      <c r="F226" s="318">
        <f>VLOOKUP(I226,'WP Cost HW and Useful Life'!$A$3:$B$15,2,FALSE)</f>
        <v>50</v>
      </c>
      <c r="G226" s="318">
        <f t="shared" si="34"/>
        <v>12742.848</v>
      </c>
      <c r="H226" s="318">
        <f t="shared" si="35"/>
        <v>40352.351999999999</v>
      </c>
      <c r="I226" s="240" t="s">
        <v>45</v>
      </c>
      <c r="J226" s="321">
        <f>INDEX('WP Cost HW W1'!$B$9:$GE$66,MATCH(I226,'WP Cost HW W1'!$B$9:$B$66,0),MATCH(C226,'WP Cost HW W1'!$B$7:$GE$7,0))</f>
        <v>583.5</v>
      </c>
      <c r="K226" s="321">
        <f>INDEX('WP Cost HW W1'!$B$9:$GE$66,MATCH(I226,'WP Cost HW W1'!$B$9:$B$66,0),MATCH($E$1,'WP Cost HW W1'!$B$7:$GE$7,0))</f>
        <v>912</v>
      </c>
      <c r="L226" s="321">
        <f t="shared" si="36"/>
        <v>1.5629820051413881</v>
      </c>
      <c r="M226" s="318">
        <f t="shared" si="37"/>
        <v>63070.000041131098</v>
      </c>
    </row>
    <row r="227" spans="1:13" x14ac:dyDescent="0.3">
      <c r="A227" s="314" t="s">
        <v>1052</v>
      </c>
      <c r="B227" s="312">
        <v>40639</v>
      </c>
      <c r="C227" s="309">
        <f t="shared" si="32"/>
        <v>2011</v>
      </c>
      <c r="D227" s="313">
        <v>118448.92</v>
      </c>
      <c r="E227" s="317">
        <f t="shared" si="33"/>
        <v>12</v>
      </c>
      <c r="F227" s="318">
        <f>VLOOKUP(I227,'WP Cost HW and Useful Life'!$A$3:$B$15,2,FALSE)</f>
        <v>50</v>
      </c>
      <c r="G227" s="318">
        <f t="shared" si="34"/>
        <v>28427.7408</v>
      </c>
      <c r="H227" s="318">
        <f t="shared" si="35"/>
        <v>90021.179199999999</v>
      </c>
      <c r="I227" s="240" t="s">
        <v>45</v>
      </c>
      <c r="J227" s="321">
        <f>INDEX('WP Cost HW W1'!$B$9:$GE$66,MATCH(I227,'WP Cost HW W1'!$B$9:$B$66,0),MATCH(C227,'WP Cost HW W1'!$B$7:$GE$7,0))</f>
        <v>583.5</v>
      </c>
      <c r="K227" s="321">
        <f>INDEX('WP Cost HW W1'!$B$9:$GE$66,MATCH(I227,'WP Cost HW W1'!$B$9:$B$66,0),MATCH($E$1,'WP Cost HW W1'!$B$7:$GE$7,0))</f>
        <v>912</v>
      </c>
      <c r="L227" s="321">
        <f t="shared" si="36"/>
        <v>1.5629820051413881</v>
      </c>
      <c r="M227" s="318">
        <f t="shared" si="37"/>
        <v>140701.48317120821</v>
      </c>
    </row>
    <row r="228" spans="1:13" x14ac:dyDescent="0.3">
      <c r="A228" s="314" t="s">
        <v>1052</v>
      </c>
      <c r="B228" s="312">
        <v>40639</v>
      </c>
      <c r="C228" s="309">
        <f t="shared" si="32"/>
        <v>2011</v>
      </c>
      <c r="D228" s="313">
        <v>34783.839999999997</v>
      </c>
      <c r="E228" s="317">
        <f t="shared" si="33"/>
        <v>12</v>
      </c>
      <c r="F228" s="318">
        <f>VLOOKUP(I228,'WP Cost HW and Useful Life'!$A$3:$B$15,2,FALSE)</f>
        <v>50</v>
      </c>
      <c r="G228" s="318">
        <f t="shared" si="34"/>
        <v>8348.1215999999986</v>
      </c>
      <c r="H228" s="318">
        <f t="shared" si="35"/>
        <v>26435.718399999998</v>
      </c>
      <c r="I228" s="240" t="s">
        <v>45</v>
      </c>
      <c r="J228" s="321">
        <f>INDEX('WP Cost HW W1'!$B$9:$GE$66,MATCH(I228,'WP Cost HW W1'!$B$9:$B$66,0),MATCH(C228,'WP Cost HW W1'!$B$7:$GE$7,0))</f>
        <v>583.5</v>
      </c>
      <c r="K228" s="321">
        <f>INDEX('WP Cost HW W1'!$B$9:$GE$66,MATCH(I228,'WP Cost HW W1'!$B$9:$B$66,0),MATCH($E$1,'WP Cost HW W1'!$B$7:$GE$7,0))</f>
        <v>912</v>
      </c>
      <c r="L228" s="321">
        <f t="shared" si="36"/>
        <v>1.5629820051413881</v>
      </c>
      <c r="M228" s="318">
        <f t="shared" si="37"/>
        <v>41318.552152185082</v>
      </c>
    </row>
    <row r="229" spans="1:13" x14ac:dyDescent="0.3">
      <c r="A229" s="314" t="s">
        <v>1052</v>
      </c>
      <c r="B229" s="312">
        <v>40667</v>
      </c>
      <c r="C229" s="309">
        <f t="shared" si="32"/>
        <v>2011</v>
      </c>
      <c r="D229" s="313">
        <v>54850</v>
      </c>
      <c r="E229" s="317">
        <f t="shared" si="33"/>
        <v>12</v>
      </c>
      <c r="F229" s="318">
        <f>VLOOKUP(I229,'WP Cost HW and Useful Life'!$A$3:$B$15,2,FALSE)</f>
        <v>50</v>
      </c>
      <c r="G229" s="318">
        <f t="shared" si="34"/>
        <v>13164</v>
      </c>
      <c r="H229" s="318">
        <f t="shared" si="35"/>
        <v>41686</v>
      </c>
      <c r="I229" s="240" t="s">
        <v>45</v>
      </c>
      <c r="J229" s="321">
        <f>INDEX('WP Cost HW W1'!$B$9:$GE$66,MATCH(I229,'WP Cost HW W1'!$B$9:$B$66,0),MATCH(C229,'WP Cost HW W1'!$B$7:$GE$7,0))</f>
        <v>583.5</v>
      </c>
      <c r="K229" s="321">
        <f>INDEX('WP Cost HW W1'!$B$9:$GE$66,MATCH(I229,'WP Cost HW W1'!$B$9:$B$66,0),MATCH($E$1,'WP Cost HW W1'!$B$7:$GE$7,0))</f>
        <v>912</v>
      </c>
      <c r="L229" s="321">
        <f t="shared" si="36"/>
        <v>1.5629820051413881</v>
      </c>
      <c r="M229" s="318">
        <f t="shared" si="37"/>
        <v>65154.467866323903</v>
      </c>
    </row>
    <row r="230" spans="1:13" x14ac:dyDescent="0.3">
      <c r="A230" s="314" t="s">
        <v>1052</v>
      </c>
      <c r="B230" s="312">
        <v>40667</v>
      </c>
      <c r="C230" s="309">
        <f t="shared" si="32"/>
        <v>2011</v>
      </c>
      <c r="D230" s="313">
        <v>69503.38</v>
      </c>
      <c r="E230" s="317">
        <f t="shared" si="33"/>
        <v>12</v>
      </c>
      <c r="F230" s="318">
        <f>VLOOKUP(I230,'WP Cost HW and Useful Life'!$A$3:$B$15,2,FALSE)</f>
        <v>50</v>
      </c>
      <c r="G230" s="318">
        <f t="shared" si="34"/>
        <v>16680.8112</v>
      </c>
      <c r="H230" s="318">
        <f t="shared" si="35"/>
        <v>52822.568800000008</v>
      </c>
      <c r="I230" s="240" t="s">
        <v>45</v>
      </c>
      <c r="J230" s="321">
        <f>INDEX('WP Cost HW W1'!$B$9:$GE$66,MATCH(I230,'WP Cost HW W1'!$B$9:$B$66,0),MATCH(C230,'WP Cost HW W1'!$B$7:$GE$7,0))</f>
        <v>583.5</v>
      </c>
      <c r="K230" s="321">
        <f>INDEX('WP Cost HW W1'!$B$9:$GE$66,MATCH(I230,'WP Cost HW W1'!$B$9:$B$66,0),MATCH($E$1,'WP Cost HW W1'!$B$7:$GE$7,0))</f>
        <v>912</v>
      </c>
      <c r="L230" s="321">
        <f t="shared" si="36"/>
        <v>1.5629820051413881</v>
      </c>
      <c r="M230" s="318">
        <f t="shared" si="37"/>
        <v>82560.724499742937</v>
      </c>
    </row>
    <row r="231" spans="1:13" x14ac:dyDescent="0.3">
      <c r="A231" s="314" t="s">
        <v>1052</v>
      </c>
      <c r="B231" s="312">
        <v>40667</v>
      </c>
      <c r="C231" s="309">
        <f t="shared" si="32"/>
        <v>2011</v>
      </c>
      <c r="D231" s="313">
        <v>73685.539999999994</v>
      </c>
      <c r="E231" s="317">
        <f t="shared" si="33"/>
        <v>12</v>
      </c>
      <c r="F231" s="318">
        <f>VLOOKUP(I231,'WP Cost HW and Useful Life'!$A$3:$B$15,2,FALSE)</f>
        <v>50</v>
      </c>
      <c r="G231" s="318">
        <f t="shared" si="34"/>
        <v>17684.529599999998</v>
      </c>
      <c r="H231" s="318">
        <f t="shared" si="35"/>
        <v>56001.010399999999</v>
      </c>
      <c r="I231" s="240" t="s">
        <v>45</v>
      </c>
      <c r="J231" s="321">
        <f>INDEX('WP Cost HW W1'!$B$9:$GE$66,MATCH(I231,'WP Cost HW W1'!$B$9:$B$66,0),MATCH(C231,'WP Cost HW W1'!$B$7:$GE$7,0))</f>
        <v>583.5</v>
      </c>
      <c r="K231" s="321">
        <f>INDEX('WP Cost HW W1'!$B$9:$GE$66,MATCH(I231,'WP Cost HW W1'!$B$9:$B$66,0),MATCH($E$1,'WP Cost HW W1'!$B$7:$GE$7,0))</f>
        <v>912</v>
      </c>
      <c r="L231" s="321">
        <f t="shared" si="36"/>
        <v>1.5629820051413881</v>
      </c>
      <c r="M231" s="318">
        <f t="shared" si="37"/>
        <v>87528.571524935731</v>
      </c>
    </row>
    <row r="232" spans="1:13" x14ac:dyDescent="0.3">
      <c r="A232" s="314" t="s">
        <v>1052</v>
      </c>
      <c r="B232" s="312">
        <v>40696</v>
      </c>
      <c r="C232" s="309">
        <f t="shared" si="32"/>
        <v>2011</v>
      </c>
      <c r="D232" s="313">
        <v>37112.17</v>
      </c>
      <c r="E232" s="317">
        <f t="shared" si="33"/>
        <v>12</v>
      </c>
      <c r="F232" s="318">
        <f>VLOOKUP(I232,'WP Cost HW and Useful Life'!$A$3:$B$15,2,FALSE)</f>
        <v>50</v>
      </c>
      <c r="G232" s="318">
        <f t="shared" si="34"/>
        <v>8906.9207999999999</v>
      </c>
      <c r="H232" s="318">
        <f t="shared" si="35"/>
        <v>28205.249199999998</v>
      </c>
      <c r="I232" s="240" t="s">
        <v>45</v>
      </c>
      <c r="J232" s="321">
        <f>INDEX('WP Cost HW W1'!$B$9:$GE$66,MATCH(I232,'WP Cost HW W1'!$B$9:$B$66,0),MATCH(C232,'WP Cost HW W1'!$B$7:$GE$7,0))</f>
        <v>583.5</v>
      </c>
      <c r="K232" s="321">
        <f>INDEX('WP Cost HW W1'!$B$9:$GE$66,MATCH(I232,'WP Cost HW W1'!$B$9:$B$66,0),MATCH($E$1,'WP Cost HW W1'!$B$7:$GE$7,0))</f>
        <v>912</v>
      </c>
      <c r="L232" s="321">
        <f t="shared" si="36"/>
        <v>1.5629820051413881</v>
      </c>
      <c r="M232" s="318">
        <f t="shared" si="37"/>
        <v>44084.296950128526</v>
      </c>
    </row>
    <row r="233" spans="1:13" x14ac:dyDescent="0.3">
      <c r="A233" s="314" t="s">
        <v>1052</v>
      </c>
      <c r="B233" s="312">
        <v>40696</v>
      </c>
      <c r="C233" s="309">
        <f t="shared" si="32"/>
        <v>2011</v>
      </c>
      <c r="D233" s="313">
        <v>21300</v>
      </c>
      <c r="E233" s="317">
        <f t="shared" si="33"/>
        <v>12</v>
      </c>
      <c r="F233" s="318">
        <f>VLOOKUP(I233,'WP Cost HW and Useful Life'!$A$3:$B$15,2,FALSE)</f>
        <v>50</v>
      </c>
      <c r="G233" s="318">
        <f t="shared" si="34"/>
        <v>5112</v>
      </c>
      <c r="H233" s="318">
        <f t="shared" si="35"/>
        <v>16188</v>
      </c>
      <c r="I233" s="240" t="s">
        <v>45</v>
      </c>
      <c r="J233" s="321">
        <f>INDEX('WP Cost HW W1'!$B$9:$GE$66,MATCH(I233,'WP Cost HW W1'!$B$9:$B$66,0),MATCH(C233,'WP Cost HW W1'!$B$7:$GE$7,0))</f>
        <v>583.5</v>
      </c>
      <c r="K233" s="321">
        <f>INDEX('WP Cost HW W1'!$B$9:$GE$66,MATCH(I233,'WP Cost HW W1'!$B$9:$B$66,0),MATCH($E$1,'WP Cost HW W1'!$B$7:$GE$7,0))</f>
        <v>912</v>
      </c>
      <c r="L233" s="321">
        <f t="shared" si="36"/>
        <v>1.5629820051413881</v>
      </c>
      <c r="M233" s="318">
        <f t="shared" si="37"/>
        <v>25301.552699228789</v>
      </c>
    </row>
    <row r="234" spans="1:13" x14ac:dyDescent="0.3">
      <c r="A234" s="314" t="s">
        <v>1052</v>
      </c>
      <c r="B234" s="312">
        <v>40696</v>
      </c>
      <c r="C234" s="309">
        <f t="shared" si="32"/>
        <v>2011</v>
      </c>
      <c r="D234" s="313">
        <v>647671.84</v>
      </c>
      <c r="E234" s="317">
        <f t="shared" si="33"/>
        <v>12</v>
      </c>
      <c r="F234" s="318">
        <f>VLOOKUP(I234,'WP Cost HW and Useful Life'!$A$3:$B$15,2,FALSE)</f>
        <v>50</v>
      </c>
      <c r="G234" s="318">
        <f t="shared" si="34"/>
        <v>155441.24160000001</v>
      </c>
      <c r="H234" s="318">
        <f t="shared" si="35"/>
        <v>492230.59839999996</v>
      </c>
      <c r="I234" s="240" t="s">
        <v>45</v>
      </c>
      <c r="J234" s="321">
        <f>INDEX('WP Cost HW W1'!$B$9:$GE$66,MATCH(I234,'WP Cost HW W1'!$B$9:$B$66,0),MATCH(C234,'WP Cost HW W1'!$B$7:$GE$7,0))</f>
        <v>583.5</v>
      </c>
      <c r="K234" s="321">
        <f>INDEX('WP Cost HW W1'!$B$9:$GE$66,MATCH(I234,'WP Cost HW W1'!$B$9:$B$66,0),MATCH($E$1,'WP Cost HW W1'!$B$7:$GE$7,0))</f>
        <v>912</v>
      </c>
      <c r="L234" s="321">
        <f t="shared" si="36"/>
        <v>1.5629820051413881</v>
      </c>
      <c r="M234" s="318">
        <f t="shared" si="37"/>
        <v>769347.56767917727</v>
      </c>
    </row>
    <row r="235" spans="1:13" x14ac:dyDescent="0.3">
      <c r="A235" s="314" t="s">
        <v>1052</v>
      </c>
      <c r="B235" s="312">
        <v>40696</v>
      </c>
      <c r="C235" s="309">
        <f t="shared" si="32"/>
        <v>2011</v>
      </c>
      <c r="D235" s="313">
        <v>10903</v>
      </c>
      <c r="E235" s="317">
        <f t="shared" si="33"/>
        <v>12</v>
      </c>
      <c r="F235" s="318">
        <f>VLOOKUP(I235,'WP Cost HW and Useful Life'!$A$3:$B$15,2,FALSE)</f>
        <v>50</v>
      </c>
      <c r="G235" s="318">
        <f t="shared" si="34"/>
        <v>2616.7200000000003</v>
      </c>
      <c r="H235" s="318">
        <f t="shared" si="35"/>
        <v>8286.2799999999988</v>
      </c>
      <c r="I235" s="240" t="s">
        <v>45</v>
      </c>
      <c r="J235" s="321">
        <f>INDEX('WP Cost HW W1'!$B$9:$GE$66,MATCH(I235,'WP Cost HW W1'!$B$9:$B$66,0),MATCH(C235,'WP Cost HW W1'!$B$7:$GE$7,0))</f>
        <v>583.5</v>
      </c>
      <c r="K235" s="321">
        <f>INDEX('WP Cost HW W1'!$B$9:$GE$66,MATCH(I235,'WP Cost HW W1'!$B$9:$B$66,0),MATCH($E$1,'WP Cost HW W1'!$B$7:$GE$7,0))</f>
        <v>912</v>
      </c>
      <c r="L235" s="321">
        <f t="shared" si="36"/>
        <v>1.5629820051413881</v>
      </c>
      <c r="M235" s="318">
        <f t="shared" si="37"/>
        <v>12951.306529562979</v>
      </c>
    </row>
    <row r="236" spans="1:13" x14ac:dyDescent="0.3">
      <c r="A236" s="314" t="s">
        <v>1052</v>
      </c>
      <c r="B236" s="312">
        <v>40730</v>
      </c>
      <c r="C236" s="309">
        <f t="shared" si="32"/>
        <v>2011</v>
      </c>
      <c r="D236" s="313">
        <v>9713.0400000000009</v>
      </c>
      <c r="E236" s="317">
        <f t="shared" si="33"/>
        <v>12</v>
      </c>
      <c r="F236" s="318">
        <f>VLOOKUP(I236,'WP Cost HW and Useful Life'!$A$3:$B$15,2,FALSE)</f>
        <v>50</v>
      </c>
      <c r="G236" s="318">
        <f t="shared" si="34"/>
        <v>2331.1296000000002</v>
      </c>
      <c r="H236" s="318">
        <f t="shared" si="35"/>
        <v>7381.9104000000007</v>
      </c>
      <c r="I236" s="240" t="s">
        <v>45</v>
      </c>
      <c r="J236" s="321">
        <f>INDEX('WP Cost HW W1'!$B$9:$GE$66,MATCH(I236,'WP Cost HW W1'!$B$9:$B$66,0),MATCH(C236,'WP Cost HW W1'!$B$7:$GE$7,0))</f>
        <v>583.5</v>
      </c>
      <c r="K236" s="321">
        <f>INDEX('WP Cost HW W1'!$B$9:$GE$66,MATCH(I236,'WP Cost HW W1'!$B$9:$B$66,0),MATCH($E$1,'WP Cost HW W1'!$B$7:$GE$7,0))</f>
        <v>912</v>
      </c>
      <c r="L236" s="321">
        <f t="shared" si="36"/>
        <v>1.5629820051413881</v>
      </c>
      <c r="M236" s="318">
        <f t="shared" si="37"/>
        <v>11537.793118766067</v>
      </c>
    </row>
    <row r="237" spans="1:13" x14ac:dyDescent="0.3">
      <c r="A237" s="314" t="s">
        <v>1052</v>
      </c>
      <c r="B237" s="312">
        <v>40765</v>
      </c>
      <c r="C237" s="309">
        <f t="shared" si="32"/>
        <v>2011</v>
      </c>
      <c r="D237" s="313">
        <v>18495.900000000001</v>
      </c>
      <c r="E237" s="317">
        <f t="shared" si="33"/>
        <v>12</v>
      </c>
      <c r="F237" s="318">
        <f>VLOOKUP(I237,'WP Cost HW and Useful Life'!$A$3:$B$15,2,FALSE)</f>
        <v>50</v>
      </c>
      <c r="G237" s="318">
        <f t="shared" si="34"/>
        <v>4439.0159999999996</v>
      </c>
      <c r="H237" s="318">
        <f t="shared" si="35"/>
        <v>14056.884000000002</v>
      </c>
      <c r="I237" s="240" t="s">
        <v>45</v>
      </c>
      <c r="J237" s="321">
        <f>INDEX('WP Cost HW W1'!$B$9:$GE$66,MATCH(I237,'WP Cost HW W1'!$B$9:$B$66,0),MATCH(C237,'WP Cost HW W1'!$B$7:$GE$7,0))</f>
        <v>583.5</v>
      </c>
      <c r="K237" s="321">
        <f>INDEX('WP Cost HW W1'!$B$9:$GE$66,MATCH(I237,'WP Cost HW W1'!$B$9:$B$66,0),MATCH($E$1,'WP Cost HW W1'!$B$7:$GE$7,0))</f>
        <v>912</v>
      </c>
      <c r="L237" s="321">
        <f t="shared" si="36"/>
        <v>1.5629820051413881</v>
      </c>
      <c r="M237" s="318">
        <f t="shared" si="37"/>
        <v>21970.6567403599</v>
      </c>
    </row>
    <row r="238" spans="1:13" x14ac:dyDescent="0.3">
      <c r="A238" s="314" t="s">
        <v>1052</v>
      </c>
      <c r="B238" s="312">
        <v>40730</v>
      </c>
      <c r="C238" s="309">
        <f t="shared" si="32"/>
        <v>2011</v>
      </c>
      <c r="D238" s="313">
        <v>59543.32</v>
      </c>
      <c r="E238" s="317">
        <f t="shared" si="33"/>
        <v>12</v>
      </c>
      <c r="F238" s="318">
        <f>VLOOKUP(I238,'WP Cost HW and Useful Life'!$A$3:$B$15,2,FALSE)</f>
        <v>50</v>
      </c>
      <c r="G238" s="318">
        <f t="shared" si="34"/>
        <v>14290.396799999999</v>
      </c>
      <c r="H238" s="318">
        <f t="shared" si="35"/>
        <v>45252.923200000005</v>
      </c>
      <c r="I238" s="240" t="s">
        <v>45</v>
      </c>
      <c r="J238" s="321">
        <f>INDEX('WP Cost HW W1'!$B$9:$GE$66,MATCH(I238,'WP Cost HW W1'!$B$9:$B$66,0),MATCH(C238,'WP Cost HW W1'!$B$7:$GE$7,0))</f>
        <v>583.5</v>
      </c>
      <c r="K238" s="321">
        <f>INDEX('WP Cost HW W1'!$B$9:$GE$66,MATCH(I238,'WP Cost HW W1'!$B$9:$B$66,0),MATCH($E$1,'WP Cost HW W1'!$B$7:$GE$7,0))</f>
        <v>912</v>
      </c>
      <c r="L238" s="321">
        <f t="shared" si="36"/>
        <v>1.5629820051413881</v>
      </c>
      <c r="M238" s="318">
        <f t="shared" si="37"/>
        <v>70729.504641645253</v>
      </c>
    </row>
    <row r="239" spans="1:13" x14ac:dyDescent="0.3">
      <c r="A239" s="314" t="s">
        <v>1052</v>
      </c>
      <c r="B239" s="312">
        <v>40765</v>
      </c>
      <c r="C239" s="309">
        <f t="shared" si="32"/>
        <v>2011</v>
      </c>
      <c r="D239" s="313">
        <v>63163.82</v>
      </c>
      <c r="E239" s="317">
        <f t="shared" si="33"/>
        <v>12</v>
      </c>
      <c r="F239" s="318">
        <f>VLOOKUP(I239,'WP Cost HW and Useful Life'!$A$3:$B$15,2,FALSE)</f>
        <v>50</v>
      </c>
      <c r="G239" s="318">
        <f t="shared" si="34"/>
        <v>15159.316800000001</v>
      </c>
      <c r="H239" s="318">
        <f t="shared" si="35"/>
        <v>48004.503199999999</v>
      </c>
      <c r="I239" s="240" t="s">
        <v>45</v>
      </c>
      <c r="J239" s="321">
        <f>INDEX('WP Cost HW W1'!$B$9:$GE$66,MATCH(I239,'WP Cost HW W1'!$B$9:$B$66,0),MATCH(C239,'WP Cost HW W1'!$B$7:$GE$7,0))</f>
        <v>583.5</v>
      </c>
      <c r="K239" s="321">
        <f>INDEX('WP Cost HW W1'!$B$9:$GE$66,MATCH(I239,'WP Cost HW W1'!$B$9:$B$66,0),MATCH($E$1,'WP Cost HW W1'!$B$7:$GE$7,0))</f>
        <v>912</v>
      </c>
      <c r="L239" s="321">
        <f t="shared" si="36"/>
        <v>1.5629820051413881</v>
      </c>
      <c r="M239" s="318">
        <f t="shared" si="37"/>
        <v>75030.174667352185</v>
      </c>
    </row>
    <row r="240" spans="1:13" x14ac:dyDescent="0.3">
      <c r="A240" s="314" t="s">
        <v>1052</v>
      </c>
      <c r="B240" s="312">
        <v>40813</v>
      </c>
      <c r="C240" s="309">
        <f t="shared" si="32"/>
        <v>2011</v>
      </c>
      <c r="D240" s="313">
        <v>19691.46</v>
      </c>
      <c r="E240" s="317">
        <f t="shared" si="33"/>
        <v>12</v>
      </c>
      <c r="F240" s="318">
        <f>VLOOKUP(I240,'WP Cost HW and Useful Life'!$A$3:$B$15,2,FALSE)</f>
        <v>50</v>
      </c>
      <c r="G240" s="318">
        <f t="shared" si="34"/>
        <v>4725.9503999999997</v>
      </c>
      <c r="H240" s="318">
        <f t="shared" si="35"/>
        <v>14965.509599999999</v>
      </c>
      <c r="I240" s="240" t="s">
        <v>45</v>
      </c>
      <c r="J240" s="321">
        <f>INDEX('WP Cost HW W1'!$B$9:$GE$66,MATCH(I240,'WP Cost HW W1'!$B$9:$B$66,0),MATCH(C240,'WP Cost HW W1'!$B$7:$GE$7,0))</f>
        <v>583.5</v>
      </c>
      <c r="K240" s="321">
        <f>INDEX('WP Cost HW W1'!$B$9:$GE$66,MATCH(I240,'WP Cost HW W1'!$B$9:$B$66,0),MATCH($E$1,'WP Cost HW W1'!$B$7:$GE$7,0))</f>
        <v>912</v>
      </c>
      <c r="L240" s="321">
        <f t="shared" si="36"/>
        <v>1.5629820051413881</v>
      </c>
      <c r="M240" s="318">
        <f t="shared" si="37"/>
        <v>23390.822202570693</v>
      </c>
    </row>
    <row r="241" spans="1:13" x14ac:dyDescent="0.3">
      <c r="A241" s="314" t="s">
        <v>1052</v>
      </c>
      <c r="B241" s="312">
        <v>40821</v>
      </c>
      <c r="C241" s="309">
        <f t="shared" si="32"/>
        <v>2011</v>
      </c>
      <c r="D241" s="313">
        <v>20864.91</v>
      </c>
      <c r="E241" s="317">
        <f t="shared" si="33"/>
        <v>12</v>
      </c>
      <c r="F241" s="318">
        <f>VLOOKUP(I241,'WP Cost HW and Useful Life'!$A$3:$B$15,2,FALSE)</f>
        <v>50</v>
      </c>
      <c r="G241" s="318">
        <f t="shared" si="34"/>
        <v>5007.5784000000003</v>
      </c>
      <c r="H241" s="318">
        <f t="shared" si="35"/>
        <v>15857.3316</v>
      </c>
      <c r="I241" s="240" t="s">
        <v>45</v>
      </c>
      <c r="J241" s="321">
        <f>INDEX('WP Cost HW W1'!$B$9:$GE$66,MATCH(I241,'WP Cost HW W1'!$B$9:$B$66,0),MATCH(C241,'WP Cost HW W1'!$B$7:$GE$7,0))</f>
        <v>583.5</v>
      </c>
      <c r="K241" s="321">
        <f>INDEX('WP Cost HW W1'!$B$9:$GE$66,MATCH(I241,'WP Cost HW W1'!$B$9:$B$66,0),MATCH($E$1,'WP Cost HW W1'!$B$7:$GE$7,0))</f>
        <v>912</v>
      </c>
      <c r="L241" s="321">
        <f t="shared" si="36"/>
        <v>1.5629820051413881</v>
      </c>
      <c r="M241" s="318">
        <f t="shared" si="37"/>
        <v>24784.723940359894</v>
      </c>
    </row>
    <row r="242" spans="1:13" x14ac:dyDescent="0.3">
      <c r="A242" s="314" t="s">
        <v>1052</v>
      </c>
      <c r="B242" s="312">
        <v>40849</v>
      </c>
      <c r="C242" s="309">
        <f t="shared" si="32"/>
        <v>2011</v>
      </c>
      <c r="D242" s="313">
        <v>103278.48</v>
      </c>
      <c r="E242" s="317">
        <f t="shared" si="33"/>
        <v>12</v>
      </c>
      <c r="F242" s="318">
        <f>VLOOKUP(I242,'WP Cost HW and Useful Life'!$A$3:$B$15,2,FALSE)</f>
        <v>50</v>
      </c>
      <c r="G242" s="318">
        <f t="shared" si="34"/>
        <v>24786.835199999998</v>
      </c>
      <c r="H242" s="318">
        <f t="shared" si="35"/>
        <v>78491.644799999995</v>
      </c>
      <c r="I242" s="240" t="s">
        <v>45</v>
      </c>
      <c r="J242" s="321">
        <f>INDEX('WP Cost HW W1'!$B$9:$GE$66,MATCH(I242,'WP Cost HW W1'!$B$9:$B$66,0),MATCH(C242,'WP Cost HW W1'!$B$7:$GE$7,0))</f>
        <v>583.5</v>
      </c>
      <c r="K242" s="321">
        <f>INDEX('WP Cost HW W1'!$B$9:$GE$66,MATCH(I242,'WP Cost HW W1'!$B$9:$B$66,0),MATCH($E$1,'WP Cost HW W1'!$B$7:$GE$7,0))</f>
        <v>912</v>
      </c>
      <c r="L242" s="321">
        <f t="shared" si="36"/>
        <v>1.5629820051413881</v>
      </c>
      <c r="M242" s="318">
        <f t="shared" si="37"/>
        <v>122681.0283763496</v>
      </c>
    </row>
    <row r="243" spans="1:13" x14ac:dyDescent="0.3">
      <c r="A243" s="314" t="s">
        <v>1052</v>
      </c>
      <c r="B243" s="312">
        <v>40912</v>
      </c>
      <c r="C243" s="309">
        <f t="shared" si="32"/>
        <v>2012</v>
      </c>
      <c r="D243" s="313">
        <v>29055.91</v>
      </c>
      <c r="E243" s="317">
        <f t="shared" si="33"/>
        <v>11</v>
      </c>
      <c r="F243" s="318">
        <f>VLOOKUP(I243,'WP Cost HW and Useful Life'!$A$3:$B$15,2,FALSE)</f>
        <v>50</v>
      </c>
      <c r="G243" s="318">
        <f t="shared" si="34"/>
        <v>6392.3001999999997</v>
      </c>
      <c r="H243" s="318">
        <f t="shared" si="35"/>
        <v>22663.609799999998</v>
      </c>
      <c r="I243" s="240" t="s">
        <v>45</v>
      </c>
      <c r="J243" s="321">
        <f>INDEX('WP Cost HW W1'!$B$9:$GE$66,MATCH(I243,'WP Cost HW W1'!$B$9:$B$66,0),MATCH(C243,'WP Cost HW W1'!$B$7:$GE$7,0))</f>
        <v>603.75</v>
      </c>
      <c r="K243" s="321">
        <f>INDEX('WP Cost HW W1'!$B$9:$GE$66,MATCH(I243,'WP Cost HW W1'!$B$9:$B$66,0),MATCH($E$1,'WP Cost HW W1'!$B$7:$GE$7,0))</f>
        <v>912</v>
      </c>
      <c r="L243" s="321">
        <f t="shared" si="36"/>
        <v>1.5105590062111802</v>
      </c>
      <c r="M243" s="318">
        <f t="shared" si="37"/>
        <v>34234.719896645962</v>
      </c>
    </row>
    <row r="244" spans="1:13" x14ac:dyDescent="0.3">
      <c r="A244" s="314" t="s">
        <v>1052</v>
      </c>
      <c r="B244" s="312">
        <v>40724</v>
      </c>
      <c r="C244" s="309">
        <f t="shared" si="32"/>
        <v>2011</v>
      </c>
      <c r="D244" s="313">
        <v>0</v>
      </c>
      <c r="E244" s="317">
        <f t="shared" si="33"/>
        <v>12</v>
      </c>
      <c r="F244" s="318">
        <f>VLOOKUP(I244,'WP Cost HW and Useful Life'!$A$3:$B$15,2,FALSE)</f>
        <v>50</v>
      </c>
      <c r="G244" s="318">
        <f t="shared" si="34"/>
        <v>0</v>
      </c>
      <c r="H244" s="318">
        <f t="shared" si="35"/>
        <v>0</v>
      </c>
      <c r="I244" s="240" t="s">
        <v>45</v>
      </c>
      <c r="J244" s="321">
        <f>INDEX('WP Cost HW W1'!$B$9:$GE$66,MATCH(I244,'WP Cost HW W1'!$B$9:$B$66,0),MATCH(C244,'WP Cost HW W1'!$B$7:$GE$7,0))</f>
        <v>583.5</v>
      </c>
      <c r="K244" s="321">
        <f>INDEX('WP Cost HW W1'!$B$9:$GE$66,MATCH(I244,'WP Cost HW W1'!$B$9:$B$66,0),MATCH($E$1,'WP Cost HW W1'!$B$7:$GE$7,0))</f>
        <v>912</v>
      </c>
      <c r="L244" s="321">
        <f t="shared" si="36"/>
        <v>1.5629820051413881</v>
      </c>
      <c r="M244" s="318">
        <f t="shared" si="37"/>
        <v>0</v>
      </c>
    </row>
    <row r="245" spans="1:13" x14ac:dyDescent="0.3">
      <c r="A245" s="314" t="s">
        <v>1052</v>
      </c>
      <c r="B245" s="312">
        <v>39100</v>
      </c>
      <c r="C245" s="309">
        <f t="shared" si="32"/>
        <v>2007</v>
      </c>
      <c r="D245" s="313">
        <v>8100</v>
      </c>
      <c r="E245" s="317">
        <f t="shared" si="33"/>
        <v>16</v>
      </c>
      <c r="F245" s="318">
        <f>VLOOKUP(I245,'WP Cost HW and Useful Life'!$A$3:$B$15,2,FALSE)</f>
        <v>50</v>
      </c>
      <c r="G245" s="318">
        <f t="shared" si="34"/>
        <v>2592</v>
      </c>
      <c r="H245" s="318">
        <f t="shared" si="35"/>
        <v>5508</v>
      </c>
      <c r="I245" s="240" t="s">
        <v>45</v>
      </c>
      <c r="J245" s="321">
        <f>INDEX('WP Cost HW W1'!$B$9:$GE$66,MATCH(I245,'WP Cost HW W1'!$B$9:$B$66,0),MATCH(C245,'WP Cost HW W1'!$B$7:$GE$7,0))</f>
        <v>496.24986591587822</v>
      </c>
      <c r="K245" s="321">
        <f>INDEX('WP Cost HW W1'!$B$9:$GE$66,MATCH(I245,'WP Cost HW W1'!$B$9:$B$66,0),MATCH($E$1,'WP Cost HW W1'!$B$7:$GE$7,0))</f>
        <v>912</v>
      </c>
      <c r="L245" s="321">
        <f t="shared" si="36"/>
        <v>1.8377838718743305</v>
      </c>
      <c r="M245" s="318">
        <f t="shared" si="37"/>
        <v>10122.513566283813</v>
      </c>
    </row>
    <row r="246" spans="1:13" x14ac:dyDescent="0.3">
      <c r="A246" s="314" t="s">
        <v>1052</v>
      </c>
      <c r="B246" s="312">
        <v>39111</v>
      </c>
      <c r="C246" s="309">
        <f t="shared" si="32"/>
        <v>2007</v>
      </c>
      <c r="D246" s="313">
        <v>19694.72</v>
      </c>
      <c r="E246" s="317">
        <f t="shared" si="33"/>
        <v>16</v>
      </c>
      <c r="F246" s="318">
        <f>VLOOKUP(I246,'WP Cost HW and Useful Life'!$A$3:$B$15,2,FALSE)</f>
        <v>50</v>
      </c>
      <c r="G246" s="318">
        <f t="shared" si="34"/>
        <v>6302.3104000000003</v>
      </c>
      <c r="H246" s="318">
        <f t="shared" ref="H246:H275" si="38">IFERROR(D246-G246,"NA")</f>
        <v>13392.409600000001</v>
      </c>
      <c r="I246" s="240" t="s">
        <v>45</v>
      </c>
      <c r="J246" s="321">
        <f>INDEX('WP Cost HW W1'!$B$9:$GE$66,MATCH(I246,'WP Cost HW W1'!$B$9:$B$66,0),MATCH(C246,'WP Cost HW W1'!$B$7:$GE$7,0))</f>
        <v>496.24986591587822</v>
      </c>
      <c r="K246" s="321">
        <f>INDEX('WP Cost HW W1'!$B$9:$GE$66,MATCH(I246,'WP Cost HW W1'!$B$9:$B$66,0),MATCH($E$1,'WP Cost HW W1'!$B$7:$GE$7,0))</f>
        <v>912</v>
      </c>
      <c r="L246" s="321">
        <f t="shared" ref="L246:L275" si="39">K246/J246</f>
        <v>1.8377838718743305</v>
      </c>
      <c r="M246" s="318">
        <f t="shared" ref="M246:M275" si="40">IFERROR(H246*L246,"NA")</f>
        <v>24612.354368414955</v>
      </c>
    </row>
    <row r="247" spans="1:13" x14ac:dyDescent="0.3">
      <c r="A247" s="314" t="s">
        <v>1052</v>
      </c>
      <c r="B247" s="312">
        <v>39111</v>
      </c>
      <c r="C247" s="309">
        <f t="shared" si="32"/>
        <v>2007</v>
      </c>
      <c r="D247" s="313">
        <v>12190.99</v>
      </c>
      <c r="E247" s="317">
        <f t="shared" si="33"/>
        <v>16</v>
      </c>
      <c r="F247" s="318">
        <f>VLOOKUP(I247,'WP Cost HW and Useful Life'!$A$3:$B$15,2,FALSE)</f>
        <v>50</v>
      </c>
      <c r="G247" s="318">
        <f t="shared" si="34"/>
        <v>3901.1167999999998</v>
      </c>
      <c r="H247" s="318">
        <f t="shared" si="38"/>
        <v>8289.8732</v>
      </c>
      <c r="I247" s="240" t="s">
        <v>45</v>
      </c>
      <c r="J247" s="321">
        <f>INDEX('WP Cost HW W1'!$B$9:$GE$66,MATCH(I247,'WP Cost HW W1'!$B$9:$B$66,0),MATCH(C247,'WP Cost HW W1'!$B$7:$GE$7,0))</f>
        <v>496.24986591587822</v>
      </c>
      <c r="K247" s="321">
        <f>INDEX('WP Cost HW W1'!$B$9:$GE$66,MATCH(I247,'WP Cost HW W1'!$B$9:$B$66,0),MATCH($E$1,'WP Cost HW W1'!$B$7:$GE$7,0))</f>
        <v>912</v>
      </c>
      <c r="L247" s="321">
        <f t="shared" si="39"/>
        <v>1.8377838718743305</v>
      </c>
      <c r="M247" s="318">
        <f t="shared" si="40"/>
        <v>15234.995266843245</v>
      </c>
    </row>
    <row r="248" spans="1:13" x14ac:dyDescent="0.3">
      <c r="A248" s="314" t="s">
        <v>1052</v>
      </c>
      <c r="B248" s="312">
        <v>39148</v>
      </c>
      <c r="C248" s="309">
        <f t="shared" si="32"/>
        <v>2007</v>
      </c>
      <c r="D248" s="313">
        <v>9055</v>
      </c>
      <c r="E248" s="317">
        <f t="shared" si="33"/>
        <v>16</v>
      </c>
      <c r="F248" s="318">
        <f>VLOOKUP(I248,'WP Cost HW and Useful Life'!$A$3:$B$15,2,FALSE)</f>
        <v>50</v>
      </c>
      <c r="G248" s="318">
        <f t="shared" si="34"/>
        <v>2897.6</v>
      </c>
      <c r="H248" s="318">
        <f t="shared" si="38"/>
        <v>6157.4</v>
      </c>
      <c r="I248" s="240" t="s">
        <v>45</v>
      </c>
      <c r="J248" s="321">
        <f>INDEX('WP Cost HW W1'!$B$9:$GE$66,MATCH(I248,'WP Cost HW W1'!$B$9:$B$66,0),MATCH(C248,'WP Cost HW W1'!$B$7:$GE$7,0))</f>
        <v>496.24986591587822</v>
      </c>
      <c r="K248" s="321">
        <f>INDEX('WP Cost HW W1'!$B$9:$GE$66,MATCH(I248,'WP Cost HW W1'!$B$9:$B$66,0),MATCH($E$1,'WP Cost HW W1'!$B$7:$GE$7,0))</f>
        <v>912</v>
      </c>
      <c r="L248" s="321">
        <f t="shared" si="39"/>
        <v>1.8377838718743305</v>
      </c>
      <c r="M248" s="318">
        <f t="shared" si="40"/>
        <v>11315.970412679002</v>
      </c>
    </row>
    <row r="249" spans="1:13" x14ac:dyDescent="0.3">
      <c r="A249" s="314" t="s">
        <v>1052</v>
      </c>
      <c r="B249" s="312">
        <v>39176</v>
      </c>
      <c r="C249" s="309">
        <f t="shared" si="32"/>
        <v>2007</v>
      </c>
      <c r="D249" s="313">
        <v>159000</v>
      </c>
      <c r="E249" s="317">
        <f t="shared" si="33"/>
        <v>16</v>
      </c>
      <c r="F249" s="318">
        <f>VLOOKUP(I249,'WP Cost HW and Useful Life'!$A$3:$B$15,2,FALSE)</f>
        <v>50</v>
      </c>
      <c r="G249" s="318">
        <f t="shared" si="34"/>
        <v>50880</v>
      </c>
      <c r="H249" s="318">
        <f t="shared" si="38"/>
        <v>108120</v>
      </c>
      <c r="I249" s="240" t="s">
        <v>45</v>
      </c>
      <c r="J249" s="321">
        <f>INDEX('WP Cost HW W1'!$B$9:$GE$66,MATCH(I249,'WP Cost HW W1'!$B$9:$B$66,0),MATCH(C249,'WP Cost HW W1'!$B$7:$GE$7,0))</f>
        <v>496.24986591587822</v>
      </c>
      <c r="K249" s="321">
        <f>INDEX('WP Cost HW W1'!$B$9:$GE$66,MATCH(I249,'WP Cost HW W1'!$B$9:$B$66,0),MATCH($E$1,'WP Cost HW W1'!$B$7:$GE$7,0))</f>
        <v>912</v>
      </c>
      <c r="L249" s="321">
        <f t="shared" si="39"/>
        <v>1.8377838718743305</v>
      </c>
      <c r="M249" s="318">
        <f t="shared" si="40"/>
        <v>198701.19222705261</v>
      </c>
    </row>
    <row r="250" spans="1:13" x14ac:dyDescent="0.3">
      <c r="A250" s="314" t="s">
        <v>1052</v>
      </c>
      <c r="B250" s="312">
        <v>39176</v>
      </c>
      <c r="C250" s="309">
        <f t="shared" si="32"/>
        <v>2007</v>
      </c>
      <c r="D250" s="313">
        <v>6000</v>
      </c>
      <c r="E250" s="317">
        <f t="shared" si="33"/>
        <v>16</v>
      </c>
      <c r="F250" s="318">
        <f>VLOOKUP(I250,'WP Cost HW and Useful Life'!$A$3:$B$15,2,FALSE)</f>
        <v>50</v>
      </c>
      <c r="G250" s="318">
        <f t="shared" si="34"/>
        <v>1920</v>
      </c>
      <c r="H250" s="318">
        <f t="shared" si="38"/>
        <v>4080</v>
      </c>
      <c r="I250" s="240" t="s">
        <v>45</v>
      </c>
      <c r="J250" s="321">
        <f>INDEX('WP Cost HW W1'!$B$9:$GE$66,MATCH(I250,'WP Cost HW W1'!$B$9:$B$66,0),MATCH(C250,'WP Cost HW W1'!$B$7:$GE$7,0))</f>
        <v>496.24986591587822</v>
      </c>
      <c r="K250" s="321">
        <f>INDEX('WP Cost HW W1'!$B$9:$GE$66,MATCH(I250,'WP Cost HW W1'!$B$9:$B$66,0),MATCH($E$1,'WP Cost HW W1'!$B$7:$GE$7,0))</f>
        <v>912</v>
      </c>
      <c r="L250" s="321">
        <f t="shared" si="39"/>
        <v>1.8377838718743305</v>
      </c>
      <c r="M250" s="318">
        <f t="shared" si="40"/>
        <v>7498.1581972472686</v>
      </c>
    </row>
    <row r="251" spans="1:13" x14ac:dyDescent="0.3">
      <c r="A251" s="314" t="s">
        <v>1052</v>
      </c>
      <c r="B251" s="312">
        <v>39233</v>
      </c>
      <c r="C251" s="309">
        <f t="shared" si="32"/>
        <v>2007</v>
      </c>
      <c r="D251" s="313">
        <v>57850</v>
      </c>
      <c r="E251" s="317">
        <f t="shared" si="33"/>
        <v>16</v>
      </c>
      <c r="F251" s="318">
        <f>VLOOKUP(I251,'WP Cost HW and Useful Life'!$A$3:$B$15,2,FALSE)</f>
        <v>50</v>
      </c>
      <c r="G251" s="318">
        <f t="shared" si="34"/>
        <v>18512</v>
      </c>
      <c r="H251" s="318">
        <f t="shared" si="38"/>
        <v>39338</v>
      </c>
      <c r="I251" s="240" t="s">
        <v>45</v>
      </c>
      <c r="J251" s="321">
        <f>INDEX('WP Cost HW W1'!$B$9:$GE$66,MATCH(I251,'WP Cost HW W1'!$B$9:$B$66,0),MATCH(C251,'WP Cost HW W1'!$B$7:$GE$7,0))</f>
        <v>496.24986591587822</v>
      </c>
      <c r="K251" s="321">
        <f>INDEX('WP Cost HW W1'!$B$9:$GE$66,MATCH(I251,'WP Cost HW W1'!$B$9:$B$66,0),MATCH($E$1,'WP Cost HW W1'!$B$7:$GE$7,0))</f>
        <v>912</v>
      </c>
      <c r="L251" s="321">
        <f t="shared" si="39"/>
        <v>1.8377838718743305</v>
      </c>
      <c r="M251" s="318">
        <f t="shared" si="40"/>
        <v>72294.741951792414</v>
      </c>
    </row>
    <row r="252" spans="1:13" x14ac:dyDescent="0.3">
      <c r="A252" s="314" t="s">
        <v>1052</v>
      </c>
      <c r="B252" s="312">
        <v>39233</v>
      </c>
      <c r="C252" s="309">
        <f t="shared" si="32"/>
        <v>2007</v>
      </c>
      <c r="D252" s="313">
        <v>4000</v>
      </c>
      <c r="E252" s="317">
        <f t="shared" si="33"/>
        <v>16</v>
      </c>
      <c r="F252" s="318">
        <f>VLOOKUP(I252,'WP Cost HW and Useful Life'!$A$3:$B$15,2,FALSE)</f>
        <v>50</v>
      </c>
      <c r="G252" s="318">
        <f t="shared" si="34"/>
        <v>1280</v>
      </c>
      <c r="H252" s="318">
        <f t="shared" si="38"/>
        <v>2720</v>
      </c>
      <c r="I252" s="240" t="s">
        <v>45</v>
      </c>
      <c r="J252" s="321">
        <f>INDEX('WP Cost HW W1'!$B$9:$GE$66,MATCH(I252,'WP Cost HW W1'!$B$9:$B$66,0),MATCH(C252,'WP Cost HW W1'!$B$7:$GE$7,0))</f>
        <v>496.24986591587822</v>
      </c>
      <c r="K252" s="321">
        <f>INDEX('WP Cost HW W1'!$B$9:$GE$66,MATCH(I252,'WP Cost HW W1'!$B$9:$B$66,0),MATCH($E$1,'WP Cost HW W1'!$B$7:$GE$7,0))</f>
        <v>912</v>
      </c>
      <c r="L252" s="321">
        <f t="shared" si="39"/>
        <v>1.8377838718743305</v>
      </c>
      <c r="M252" s="318">
        <f t="shared" si="40"/>
        <v>4998.7721314981791</v>
      </c>
    </row>
    <row r="253" spans="1:13" x14ac:dyDescent="0.3">
      <c r="A253" s="314" t="s">
        <v>1052</v>
      </c>
      <c r="B253" s="312">
        <v>39262</v>
      </c>
      <c r="C253" s="309">
        <f t="shared" ref="C253:C275" si="41">YEAR(B253)</f>
        <v>2007</v>
      </c>
      <c r="D253" s="313">
        <v>22000</v>
      </c>
      <c r="E253" s="317">
        <f t="shared" ref="E253:E275" si="42">$E$1-C253</f>
        <v>16</v>
      </c>
      <c r="F253" s="318">
        <f>VLOOKUP(I253,'WP Cost HW and Useful Life'!$A$3:$B$15,2,FALSE)</f>
        <v>50</v>
      </c>
      <c r="G253" s="318">
        <f t="shared" ref="G253:G275" si="43">IFERROR(IF(D253/F253*E253&gt;D253,D253,D253/F253*E253),"NA")</f>
        <v>7040</v>
      </c>
      <c r="H253" s="318">
        <f t="shared" si="38"/>
        <v>14960</v>
      </c>
      <c r="I253" s="240" t="s">
        <v>45</v>
      </c>
      <c r="J253" s="321">
        <f>INDEX('WP Cost HW W1'!$B$9:$GE$66,MATCH(I253,'WP Cost HW W1'!$B$9:$B$66,0),MATCH(C253,'WP Cost HW W1'!$B$7:$GE$7,0))</f>
        <v>496.24986591587822</v>
      </c>
      <c r="K253" s="321">
        <f>INDEX('WP Cost HW W1'!$B$9:$GE$66,MATCH(I253,'WP Cost HW W1'!$B$9:$B$66,0),MATCH($E$1,'WP Cost HW W1'!$B$7:$GE$7,0))</f>
        <v>912</v>
      </c>
      <c r="L253" s="321">
        <f t="shared" si="39"/>
        <v>1.8377838718743305</v>
      </c>
      <c r="M253" s="318">
        <f t="shared" si="40"/>
        <v>27493.246723239983</v>
      </c>
    </row>
    <row r="254" spans="1:13" x14ac:dyDescent="0.3">
      <c r="A254" s="314" t="s">
        <v>1052</v>
      </c>
      <c r="B254" s="312">
        <v>39262</v>
      </c>
      <c r="C254" s="309">
        <f t="shared" si="41"/>
        <v>2007</v>
      </c>
      <c r="D254" s="313">
        <v>245000</v>
      </c>
      <c r="E254" s="317">
        <f t="shared" si="42"/>
        <v>16</v>
      </c>
      <c r="F254" s="318">
        <f>VLOOKUP(I254,'WP Cost HW and Useful Life'!$A$3:$B$15,2,FALSE)</f>
        <v>50</v>
      </c>
      <c r="G254" s="318">
        <f t="shared" si="43"/>
        <v>78400</v>
      </c>
      <c r="H254" s="318">
        <f t="shared" si="38"/>
        <v>166600</v>
      </c>
      <c r="I254" s="240" t="s">
        <v>45</v>
      </c>
      <c r="J254" s="321">
        <f>INDEX('WP Cost HW W1'!$B$9:$GE$66,MATCH(I254,'WP Cost HW W1'!$B$9:$B$66,0),MATCH(C254,'WP Cost HW W1'!$B$7:$GE$7,0))</f>
        <v>496.24986591587822</v>
      </c>
      <c r="K254" s="321">
        <f>INDEX('WP Cost HW W1'!$B$9:$GE$66,MATCH(I254,'WP Cost HW W1'!$B$9:$B$66,0),MATCH($E$1,'WP Cost HW W1'!$B$7:$GE$7,0))</f>
        <v>912</v>
      </c>
      <c r="L254" s="321">
        <f t="shared" si="39"/>
        <v>1.8377838718743305</v>
      </c>
      <c r="M254" s="318">
        <f t="shared" si="40"/>
        <v>306174.79305426346</v>
      </c>
    </row>
    <row r="255" spans="1:13" x14ac:dyDescent="0.3">
      <c r="A255" s="314" t="s">
        <v>1052</v>
      </c>
      <c r="B255" s="312">
        <v>39262</v>
      </c>
      <c r="C255" s="309">
        <f t="shared" si="41"/>
        <v>2007</v>
      </c>
      <c r="D255" s="313">
        <v>6156.26</v>
      </c>
      <c r="E255" s="317">
        <f t="shared" si="42"/>
        <v>16</v>
      </c>
      <c r="F255" s="318">
        <f>VLOOKUP(I255,'WP Cost HW and Useful Life'!$A$3:$B$15,2,FALSE)</f>
        <v>50</v>
      </c>
      <c r="G255" s="318">
        <f t="shared" si="43"/>
        <v>1970.0032000000001</v>
      </c>
      <c r="H255" s="318">
        <f t="shared" si="38"/>
        <v>4186.2568000000001</v>
      </c>
      <c r="I255" s="240" t="s">
        <v>45</v>
      </c>
      <c r="J255" s="321">
        <f>INDEX('WP Cost HW W1'!$B$9:$GE$66,MATCH(I255,'WP Cost HW W1'!$B$9:$B$66,0),MATCH(C255,'WP Cost HW W1'!$B$7:$GE$7,0))</f>
        <v>496.24986591587822</v>
      </c>
      <c r="K255" s="321">
        <f>INDEX('WP Cost HW W1'!$B$9:$GE$66,MATCH(I255,'WP Cost HW W1'!$B$9:$B$66,0),MATCH($E$1,'WP Cost HW W1'!$B$7:$GE$7,0))</f>
        <v>912</v>
      </c>
      <c r="L255" s="321">
        <f t="shared" si="39"/>
        <v>1.8377838718743305</v>
      </c>
      <c r="M255" s="318">
        <f t="shared" si="40"/>
        <v>7693.4352305642451</v>
      </c>
    </row>
    <row r="256" spans="1:13" x14ac:dyDescent="0.3">
      <c r="A256" s="314" t="s">
        <v>1052</v>
      </c>
      <c r="B256" s="312">
        <v>39262</v>
      </c>
      <c r="C256" s="309">
        <f t="shared" si="41"/>
        <v>2007</v>
      </c>
      <c r="D256" s="313">
        <v>7125</v>
      </c>
      <c r="E256" s="317">
        <f t="shared" si="42"/>
        <v>16</v>
      </c>
      <c r="F256" s="318">
        <f>VLOOKUP(I256,'WP Cost HW and Useful Life'!$A$3:$B$15,2,FALSE)</f>
        <v>50</v>
      </c>
      <c r="G256" s="318">
        <f t="shared" si="43"/>
        <v>2280</v>
      </c>
      <c r="H256" s="318">
        <f t="shared" si="38"/>
        <v>4845</v>
      </c>
      <c r="I256" s="240" t="s">
        <v>45</v>
      </c>
      <c r="J256" s="321">
        <f>INDEX('WP Cost HW W1'!$B$9:$GE$66,MATCH(I256,'WP Cost HW W1'!$B$9:$B$66,0),MATCH(C256,'WP Cost HW W1'!$B$7:$GE$7,0))</f>
        <v>496.24986591587822</v>
      </c>
      <c r="K256" s="321">
        <f>INDEX('WP Cost HW W1'!$B$9:$GE$66,MATCH(I256,'WP Cost HW W1'!$B$9:$B$66,0),MATCH($E$1,'WP Cost HW W1'!$B$7:$GE$7,0))</f>
        <v>912</v>
      </c>
      <c r="L256" s="321">
        <f t="shared" si="39"/>
        <v>1.8377838718743305</v>
      </c>
      <c r="M256" s="318">
        <f t="shared" si="40"/>
        <v>8904.0628592311314</v>
      </c>
    </row>
    <row r="257" spans="1:13" x14ac:dyDescent="0.4">
      <c r="A257" s="314" t="s">
        <v>1056</v>
      </c>
      <c r="B257" s="312">
        <v>43909</v>
      </c>
      <c r="C257" s="309">
        <f t="shared" si="41"/>
        <v>2020</v>
      </c>
      <c r="D257" s="313">
        <v>237772</v>
      </c>
      <c r="E257" s="317">
        <f t="shared" si="42"/>
        <v>3</v>
      </c>
      <c r="F257" s="318">
        <f>VLOOKUP(I257,'WP Cost HW and Useful Life'!$A$3:$B$15,2,FALSE)</f>
        <v>25</v>
      </c>
      <c r="G257" s="318">
        <f t="shared" si="43"/>
        <v>28532.639999999999</v>
      </c>
      <c r="H257" s="318">
        <f t="shared" si="38"/>
        <v>209239.36</v>
      </c>
      <c r="I257" s="309" t="s">
        <v>23</v>
      </c>
      <c r="J257" s="321">
        <f>INDEX('WP Cost HW W1'!$B$9:$GE$66,MATCH(I257,'WP Cost HW W1'!$B$9:$B$66,0),MATCH(C257,'WP Cost HW W1'!$B$7:$GE$7,0))</f>
        <v>1429.5</v>
      </c>
      <c r="K257" s="321">
        <f>INDEX('WP Cost HW W1'!$B$9:$GE$66,MATCH(I257,'WP Cost HW W1'!$B$9:$B$66,0),MATCH($E$1,'WP Cost HW W1'!$B$7:$GE$7,0))</f>
        <v>1801</v>
      </c>
      <c r="L257" s="321">
        <f t="shared" si="39"/>
        <v>1.2598810772997551</v>
      </c>
      <c r="M257" s="318">
        <f t="shared" si="40"/>
        <v>263616.71029031125</v>
      </c>
    </row>
    <row r="258" spans="1:13" x14ac:dyDescent="0.4">
      <c r="A258" s="311" t="s">
        <v>1073</v>
      </c>
      <c r="B258" s="312">
        <v>24838</v>
      </c>
      <c r="C258" s="309">
        <f t="shared" si="41"/>
        <v>1968</v>
      </c>
      <c r="D258" s="313">
        <v>46300</v>
      </c>
      <c r="E258" s="317">
        <f t="shared" si="42"/>
        <v>55</v>
      </c>
      <c r="F258" s="318">
        <f>VLOOKUP(I258,'WP Cost HW and Useful Life'!$A$3:$B$15,2,FALSE)</f>
        <v>25</v>
      </c>
      <c r="G258" s="318">
        <f t="shared" si="43"/>
        <v>46300</v>
      </c>
      <c r="H258" s="318">
        <f t="shared" si="38"/>
        <v>0</v>
      </c>
      <c r="I258" s="309" t="s">
        <v>28</v>
      </c>
      <c r="J258" s="321">
        <f>INDEX('WP Cost HW W1'!$B$9:$GE$66,MATCH(I258,'WP Cost HW W1'!$B$9:$B$66,0),MATCH(C258,'WP Cost HW W1'!$B$7:$GE$7,0))</f>
        <v>69</v>
      </c>
      <c r="K258" s="321">
        <f>INDEX('WP Cost HW W1'!$B$9:$GE$66,MATCH(I258,'WP Cost HW W1'!$B$9:$B$66,0),MATCH($E$1,'WP Cost HW W1'!$B$7:$GE$7,0))</f>
        <v>1122</v>
      </c>
      <c r="L258" s="321">
        <f t="shared" si="39"/>
        <v>16.260869565217391</v>
      </c>
      <c r="M258" s="318">
        <f t="shared" si="40"/>
        <v>0</v>
      </c>
    </row>
    <row r="259" spans="1:13" x14ac:dyDescent="0.4">
      <c r="A259" s="311" t="s">
        <v>1073</v>
      </c>
      <c r="B259" s="312">
        <v>24838</v>
      </c>
      <c r="C259" s="309">
        <f t="shared" si="41"/>
        <v>1968</v>
      </c>
      <c r="D259" s="313">
        <v>32400</v>
      </c>
      <c r="E259" s="317">
        <f t="shared" si="42"/>
        <v>55</v>
      </c>
      <c r="F259" s="318">
        <f>VLOOKUP(I259,'WP Cost HW and Useful Life'!$A$3:$B$15,2,FALSE)</f>
        <v>25</v>
      </c>
      <c r="G259" s="318">
        <f t="shared" si="43"/>
        <v>32400</v>
      </c>
      <c r="H259" s="318">
        <f t="shared" si="38"/>
        <v>0</v>
      </c>
      <c r="I259" s="309" t="s">
        <v>28</v>
      </c>
      <c r="J259" s="321">
        <f>INDEX('WP Cost HW W1'!$B$9:$GE$66,MATCH(I259,'WP Cost HW W1'!$B$9:$B$66,0),MATCH(C259,'WP Cost HW W1'!$B$7:$GE$7,0))</f>
        <v>69</v>
      </c>
      <c r="K259" s="321">
        <f>INDEX('WP Cost HW W1'!$B$9:$GE$66,MATCH(I259,'WP Cost HW W1'!$B$9:$B$66,0),MATCH($E$1,'WP Cost HW W1'!$B$7:$GE$7,0))</f>
        <v>1122</v>
      </c>
      <c r="L259" s="321">
        <f t="shared" si="39"/>
        <v>16.260869565217391</v>
      </c>
      <c r="M259" s="318">
        <f t="shared" si="40"/>
        <v>0</v>
      </c>
    </row>
    <row r="260" spans="1:13" x14ac:dyDescent="0.4">
      <c r="A260" s="311" t="s">
        <v>1073</v>
      </c>
      <c r="B260" s="312">
        <v>24838</v>
      </c>
      <c r="C260" s="309">
        <f t="shared" si="41"/>
        <v>1968</v>
      </c>
      <c r="D260" s="313">
        <v>8500</v>
      </c>
      <c r="E260" s="317">
        <f t="shared" si="42"/>
        <v>55</v>
      </c>
      <c r="F260" s="318">
        <f>VLOOKUP(I260,'WP Cost HW and Useful Life'!$A$3:$B$15,2,FALSE)</f>
        <v>25</v>
      </c>
      <c r="G260" s="318">
        <f t="shared" si="43"/>
        <v>8500</v>
      </c>
      <c r="H260" s="318">
        <f t="shared" si="38"/>
        <v>0</v>
      </c>
      <c r="I260" s="309" t="s">
        <v>28</v>
      </c>
      <c r="J260" s="321">
        <f>INDEX('WP Cost HW W1'!$B$9:$GE$66,MATCH(I260,'WP Cost HW W1'!$B$9:$B$66,0),MATCH(C260,'WP Cost HW W1'!$B$7:$GE$7,0))</f>
        <v>69</v>
      </c>
      <c r="K260" s="321">
        <f>INDEX('WP Cost HW W1'!$B$9:$GE$66,MATCH(I260,'WP Cost HW W1'!$B$9:$B$66,0),MATCH($E$1,'WP Cost HW W1'!$B$7:$GE$7,0))</f>
        <v>1122</v>
      </c>
      <c r="L260" s="321">
        <f t="shared" si="39"/>
        <v>16.260869565217391</v>
      </c>
      <c r="M260" s="318">
        <f t="shared" si="40"/>
        <v>0</v>
      </c>
    </row>
    <row r="261" spans="1:13" x14ac:dyDescent="0.4">
      <c r="A261" s="311" t="s">
        <v>1110</v>
      </c>
      <c r="B261" s="312">
        <v>37945</v>
      </c>
      <c r="C261" s="309">
        <f t="shared" si="41"/>
        <v>2003</v>
      </c>
      <c r="D261" s="313">
        <v>33844.639999999999</v>
      </c>
      <c r="E261" s="317">
        <f t="shared" si="42"/>
        <v>20</v>
      </c>
      <c r="F261" s="318">
        <f>VLOOKUP(I261,'WP Cost HW and Useful Life'!$A$3:$B$15,2,FALSE)</f>
        <v>50</v>
      </c>
      <c r="G261" s="318">
        <f t="shared" si="43"/>
        <v>13537.856</v>
      </c>
      <c r="H261" s="318">
        <f t="shared" si="38"/>
        <v>20306.784</v>
      </c>
      <c r="I261" s="309" t="s">
        <v>45</v>
      </c>
      <c r="J261" s="321">
        <f>INDEX('WP Cost HW W1'!$B$9:$GE$66,MATCH(I261,'WP Cost HW W1'!$B$9:$B$66,0),MATCH(C261,'WP Cost HW W1'!$B$7:$GE$7,0))</f>
        <v>393.5</v>
      </c>
      <c r="K261" s="321">
        <f>INDEX('WP Cost HW W1'!$B$9:$GE$66,MATCH(I261,'WP Cost HW W1'!$B$9:$B$66,0),MATCH($E$1,'WP Cost HW W1'!$B$7:$GE$7,0))</f>
        <v>912</v>
      </c>
      <c r="L261" s="321">
        <f t="shared" si="39"/>
        <v>2.3176620076238881</v>
      </c>
      <c r="M261" s="318">
        <f t="shared" si="40"/>
        <v>47064.261773824648</v>
      </c>
    </row>
    <row r="262" spans="1:13" x14ac:dyDescent="0.4">
      <c r="A262" s="314" t="s">
        <v>1055</v>
      </c>
      <c r="B262" s="312">
        <v>44263</v>
      </c>
      <c r="C262" s="309">
        <f t="shared" si="41"/>
        <v>2021</v>
      </c>
      <c r="D262" s="313">
        <v>22771</v>
      </c>
      <c r="E262" s="317">
        <f t="shared" si="42"/>
        <v>2</v>
      </c>
      <c r="F262" s="318">
        <f>VLOOKUP(I262,'WP Cost HW and Useful Life'!$A$3:$B$15,2,FALSE)</f>
        <v>25</v>
      </c>
      <c r="G262" s="318">
        <f t="shared" si="43"/>
        <v>1821.68</v>
      </c>
      <c r="H262" s="318">
        <f t="shared" si="38"/>
        <v>20949.32</v>
      </c>
      <c r="I262" s="309" t="s">
        <v>23</v>
      </c>
      <c r="J262" s="321">
        <f>INDEX('WP Cost HW W1'!$B$9:$GE$66,MATCH(I262,'WP Cost HW W1'!$B$9:$B$66,0),MATCH(C262,'WP Cost HW W1'!$B$7:$GE$7,0))</f>
        <v>1489.75</v>
      </c>
      <c r="K262" s="321">
        <f>INDEX('WP Cost HW W1'!$B$9:$GE$66,MATCH(I262,'WP Cost HW W1'!$B$9:$B$66,0),MATCH($E$1,'WP Cost HW W1'!$B$7:$GE$7,0))</f>
        <v>1801</v>
      </c>
      <c r="L262" s="321">
        <f t="shared" si="39"/>
        <v>1.2089276724282598</v>
      </c>
      <c r="M262" s="318">
        <f t="shared" si="40"/>
        <v>25326.212666554791</v>
      </c>
    </row>
    <row r="263" spans="1:13" x14ac:dyDescent="0.4">
      <c r="A263" s="311" t="s">
        <v>1057</v>
      </c>
      <c r="B263" s="312">
        <v>44728</v>
      </c>
      <c r="C263" s="309">
        <f t="shared" si="41"/>
        <v>2022</v>
      </c>
      <c r="D263" s="313">
        <v>73312</v>
      </c>
      <c r="E263" s="317">
        <f t="shared" si="42"/>
        <v>1</v>
      </c>
      <c r="F263" s="318">
        <f>VLOOKUP(I263,'WP Cost HW and Useful Life'!$A$3:$B$15,2,FALSE)</f>
        <v>25</v>
      </c>
      <c r="G263" s="318">
        <f t="shared" si="43"/>
        <v>2932.48</v>
      </c>
      <c r="H263" s="318">
        <f t="shared" si="38"/>
        <v>70379.520000000004</v>
      </c>
      <c r="I263" s="309" t="s">
        <v>701</v>
      </c>
      <c r="J263" s="321">
        <f>INDEX('WP Cost HW W1'!$B$9:$GE$66,MATCH(I263,'WP Cost HW W1'!$B$9:$B$66,0),MATCH(C263,'WP Cost HW W1'!$B$7:$GE$7,0))</f>
        <v>190.50141666666664</v>
      </c>
      <c r="K263" s="321">
        <f>INDEX('WP Cost HW W1'!$B$9:$GE$66,MATCH(I263,'WP Cost HW W1'!$B$9:$B$66,0),MATCH($E$1,'WP Cost HW W1'!$B$7:$GE$7,0))</f>
        <v>201.67675</v>
      </c>
      <c r="L263" s="321">
        <f t="shared" si="39"/>
        <v>1.0586627308545826</v>
      </c>
      <c r="M263" s="318">
        <f t="shared" si="40"/>
        <v>74508.174839434723</v>
      </c>
    </row>
    <row r="264" spans="1:13" x14ac:dyDescent="0.4">
      <c r="A264" s="311" t="s">
        <v>1074</v>
      </c>
      <c r="B264" s="312">
        <v>24838</v>
      </c>
      <c r="C264" s="309">
        <f t="shared" si="41"/>
        <v>1968</v>
      </c>
      <c r="D264" s="313">
        <v>117000</v>
      </c>
      <c r="E264" s="317">
        <f t="shared" si="42"/>
        <v>55</v>
      </c>
      <c r="F264" s="318">
        <f>VLOOKUP(I264,'WP Cost HW and Useful Life'!$A$3:$B$15,2,FALSE)</f>
        <v>25</v>
      </c>
      <c r="G264" s="318">
        <f t="shared" si="43"/>
        <v>117000</v>
      </c>
      <c r="H264" s="318">
        <f t="shared" si="38"/>
        <v>0</v>
      </c>
      <c r="I264" s="309" t="s">
        <v>28</v>
      </c>
      <c r="J264" s="321">
        <f>INDEX('WP Cost HW W1'!$B$9:$GE$66,MATCH(I264,'WP Cost HW W1'!$B$9:$B$66,0),MATCH(C264,'WP Cost HW W1'!$B$7:$GE$7,0))</f>
        <v>69</v>
      </c>
      <c r="K264" s="321">
        <f>INDEX('WP Cost HW W1'!$B$9:$GE$66,MATCH(I264,'WP Cost HW W1'!$B$9:$B$66,0),MATCH($E$1,'WP Cost HW W1'!$B$7:$GE$7,0))</f>
        <v>1122</v>
      </c>
      <c r="L264" s="321">
        <f t="shared" si="39"/>
        <v>16.260869565217391</v>
      </c>
      <c r="M264" s="318">
        <f t="shared" si="40"/>
        <v>0</v>
      </c>
    </row>
    <row r="265" spans="1:13" x14ac:dyDescent="0.4">
      <c r="A265" s="311" t="s">
        <v>1074</v>
      </c>
      <c r="B265" s="312">
        <v>24838</v>
      </c>
      <c r="C265" s="309">
        <f t="shared" si="41"/>
        <v>1968</v>
      </c>
      <c r="D265" s="313">
        <v>32500</v>
      </c>
      <c r="E265" s="317">
        <f t="shared" si="42"/>
        <v>55</v>
      </c>
      <c r="F265" s="318">
        <f>VLOOKUP(I265,'WP Cost HW and Useful Life'!$A$3:$B$15,2,FALSE)</f>
        <v>25</v>
      </c>
      <c r="G265" s="318">
        <f t="shared" si="43"/>
        <v>32500</v>
      </c>
      <c r="H265" s="318">
        <f t="shared" si="38"/>
        <v>0</v>
      </c>
      <c r="I265" s="309" t="s">
        <v>28</v>
      </c>
      <c r="J265" s="321">
        <f>INDEX('WP Cost HW W1'!$B$9:$GE$66,MATCH(I265,'WP Cost HW W1'!$B$9:$B$66,0),MATCH(C265,'WP Cost HW W1'!$B$7:$GE$7,0))</f>
        <v>69</v>
      </c>
      <c r="K265" s="321">
        <f>INDEX('WP Cost HW W1'!$B$9:$GE$66,MATCH(I265,'WP Cost HW W1'!$B$9:$B$66,0),MATCH($E$1,'WP Cost HW W1'!$B$7:$GE$7,0))</f>
        <v>1122</v>
      </c>
      <c r="L265" s="321">
        <f t="shared" si="39"/>
        <v>16.260869565217391</v>
      </c>
      <c r="M265" s="318">
        <f t="shared" si="40"/>
        <v>0</v>
      </c>
    </row>
    <row r="266" spans="1:13" x14ac:dyDescent="0.4">
      <c r="A266" s="311" t="s">
        <v>1074</v>
      </c>
      <c r="B266" s="312">
        <v>24838</v>
      </c>
      <c r="C266" s="309">
        <f t="shared" si="41"/>
        <v>1968</v>
      </c>
      <c r="D266" s="313">
        <v>79500</v>
      </c>
      <c r="E266" s="317">
        <f t="shared" si="42"/>
        <v>55</v>
      </c>
      <c r="F266" s="318">
        <f>VLOOKUP(I266,'WP Cost HW and Useful Life'!$A$3:$B$15,2,FALSE)</f>
        <v>25</v>
      </c>
      <c r="G266" s="318">
        <f t="shared" si="43"/>
        <v>79500</v>
      </c>
      <c r="H266" s="318">
        <f t="shared" si="38"/>
        <v>0</v>
      </c>
      <c r="I266" s="309" t="s">
        <v>28</v>
      </c>
      <c r="J266" s="321">
        <f>INDEX('WP Cost HW W1'!$B$9:$GE$66,MATCH(I266,'WP Cost HW W1'!$B$9:$B$66,0),MATCH(C266,'WP Cost HW W1'!$B$7:$GE$7,0))</f>
        <v>69</v>
      </c>
      <c r="K266" s="321">
        <f>INDEX('WP Cost HW W1'!$B$9:$GE$66,MATCH(I266,'WP Cost HW W1'!$B$9:$B$66,0),MATCH($E$1,'WP Cost HW W1'!$B$7:$GE$7,0))</f>
        <v>1122</v>
      </c>
      <c r="L266" s="321">
        <f t="shared" si="39"/>
        <v>16.260869565217391</v>
      </c>
      <c r="M266" s="318">
        <f t="shared" si="40"/>
        <v>0</v>
      </c>
    </row>
    <row r="267" spans="1:13" x14ac:dyDescent="0.4">
      <c r="A267" s="311" t="s">
        <v>1074</v>
      </c>
      <c r="B267" s="312">
        <v>24838</v>
      </c>
      <c r="C267" s="309">
        <f t="shared" si="41"/>
        <v>1968</v>
      </c>
      <c r="D267" s="313">
        <v>46100</v>
      </c>
      <c r="E267" s="317">
        <f t="shared" si="42"/>
        <v>55</v>
      </c>
      <c r="F267" s="318">
        <f>VLOOKUP(I267,'WP Cost HW and Useful Life'!$A$3:$B$15,2,FALSE)</f>
        <v>25</v>
      </c>
      <c r="G267" s="318">
        <f t="shared" si="43"/>
        <v>46100</v>
      </c>
      <c r="H267" s="318">
        <f t="shared" si="38"/>
        <v>0</v>
      </c>
      <c r="I267" s="309" t="s">
        <v>28</v>
      </c>
      <c r="J267" s="321">
        <f>INDEX('WP Cost HW W1'!$B$9:$GE$66,MATCH(I267,'WP Cost HW W1'!$B$9:$B$66,0),MATCH(C267,'WP Cost HW W1'!$B$7:$GE$7,0))</f>
        <v>69</v>
      </c>
      <c r="K267" s="321">
        <f>INDEX('WP Cost HW W1'!$B$9:$GE$66,MATCH(I267,'WP Cost HW W1'!$B$9:$B$66,0),MATCH($E$1,'WP Cost HW W1'!$B$7:$GE$7,0))</f>
        <v>1122</v>
      </c>
      <c r="L267" s="321">
        <f t="shared" si="39"/>
        <v>16.260869565217391</v>
      </c>
      <c r="M267" s="318">
        <f t="shared" si="40"/>
        <v>0</v>
      </c>
    </row>
    <row r="268" spans="1:13" x14ac:dyDescent="0.4">
      <c r="A268" s="311" t="s">
        <v>1074</v>
      </c>
      <c r="B268" s="312">
        <v>24838</v>
      </c>
      <c r="C268" s="309">
        <f t="shared" si="41"/>
        <v>1968</v>
      </c>
      <c r="D268" s="313">
        <v>97500</v>
      </c>
      <c r="E268" s="317">
        <f t="shared" si="42"/>
        <v>55</v>
      </c>
      <c r="F268" s="318">
        <f>VLOOKUP(I268,'WP Cost HW and Useful Life'!$A$3:$B$15,2,FALSE)</f>
        <v>25</v>
      </c>
      <c r="G268" s="318">
        <f t="shared" si="43"/>
        <v>97500</v>
      </c>
      <c r="H268" s="318">
        <f t="shared" si="38"/>
        <v>0</v>
      </c>
      <c r="I268" s="309" t="s">
        <v>28</v>
      </c>
      <c r="J268" s="321">
        <f>INDEX('WP Cost HW W1'!$B$9:$GE$66,MATCH(I268,'WP Cost HW W1'!$B$9:$B$66,0),MATCH(C268,'WP Cost HW W1'!$B$7:$GE$7,0))</f>
        <v>69</v>
      </c>
      <c r="K268" s="321">
        <f>INDEX('WP Cost HW W1'!$B$9:$GE$66,MATCH(I268,'WP Cost HW W1'!$B$9:$B$66,0),MATCH($E$1,'WP Cost HW W1'!$B$7:$GE$7,0))</f>
        <v>1122</v>
      </c>
      <c r="L268" s="321">
        <f t="shared" si="39"/>
        <v>16.260869565217391</v>
      </c>
      <c r="M268" s="318">
        <f t="shared" si="40"/>
        <v>0</v>
      </c>
    </row>
    <row r="269" spans="1:13" x14ac:dyDescent="0.4">
      <c r="A269" s="311" t="s">
        <v>1074</v>
      </c>
      <c r="B269" s="312">
        <v>24838</v>
      </c>
      <c r="C269" s="309">
        <f t="shared" si="41"/>
        <v>1968</v>
      </c>
      <c r="D269" s="313">
        <v>166000</v>
      </c>
      <c r="E269" s="317">
        <f t="shared" si="42"/>
        <v>55</v>
      </c>
      <c r="F269" s="318">
        <f>VLOOKUP(I269,'WP Cost HW and Useful Life'!$A$3:$B$15,2,FALSE)</f>
        <v>25</v>
      </c>
      <c r="G269" s="318">
        <f t="shared" si="43"/>
        <v>166000</v>
      </c>
      <c r="H269" s="318">
        <f t="shared" si="38"/>
        <v>0</v>
      </c>
      <c r="I269" s="309" t="s">
        <v>28</v>
      </c>
      <c r="J269" s="321">
        <f>INDEX('WP Cost HW W1'!$B$9:$GE$66,MATCH(I269,'WP Cost HW W1'!$B$9:$B$66,0),MATCH(C269,'WP Cost HW W1'!$B$7:$GE$7,0))</f>
        <v>69</v>
      </c>
      <c r="K269" s="321">
        <f>INDEX('WP Cost HW W1'!$B$9:$GE$66,MATCH(I269,'WP Cost HW W1'!$B$9:$B$66,0),MATCH($E$1,'WP Cost HW W1'!$B$7:$GE$7,0))</f>
        <v>1122</v>
      </c>
      <c r="L269" s="321">
        <f t="shared" si="39"/>
        <v>16.260869565217391</v>
      </c>
      <c r="M269" s="318">
        <f t="shared" si="40"/>
        <v>0</v>
      </c>
    </row>
    <row r="270" spans="1:13" x14ac:dyDescent="0.4">
      <c r="A270" s="311" t="s">
        <v>1108</v>
      </c>
      <c r="B270" s="312">
        <v>37782</v>
      </c>
      <c r="C270" s="309">
        <f t="shared" si="41"/>
        <v>2003</v>
      </c>
      <c r="D270" s="313">
        <v>212183.65</v>
      </c>
      <c r="E270" s="317">
        <f t="shared" si="42"/>
        <v>20</v>
      </c>
      <c r="F270" s="318">
        <f>VLOOKUP(I270,'WP Cost HW and Useful Life'!$A$3:$B$15,2,FALSE)</f>
        <v>75</v>
      </c>
      <c r="G270" s="318">
        <f t="shared" si="43"/>
        <v>56582.306666666664</v>
      </c>
      <c r="H270" s="318">
        <f t="shared" si="38"/>
        <v>155601.34333333332</v>
      </c>
      <c r="I270" s="309" t="s">
        <v>29</v>
      </c>
      <c r="J270" s="321">
        <f>INDEX('WP Cost HW W1'!$B$9:$GE$66,MATCH(I270,'WP Cost HW W1'!$B$9:$B$66,0),MATCH(C270,'WP Cost HW W1'!$B$7:$GE$7,0))</f>
        <v>407</v>
      </c>
      <c r="K270" s="321">
        <f>INDEX('WP Cost HW W1'!$B$9:$GE$66,MATCH(I270,'WP Cost HW W1'!$B$9:$B$66,0),MATCH($E$1,'WP Cost HW W1'!$B$7:$GE$7,0))</f>
        <v>1080</v>
      </c>
      <c r="L270" s="321">
        <f t="shared" si="39"/>
        <v>2.6535626535626538</v>
      </c>
      <c r="M270" s="318">
        <f t="shared" si="40"/>
        <v>412897.91351351351</v>
      </c>
    </row>
    <row r="271" spans="1:13" x14ac:dyDescent="0.4">
      <c r="A271" s="311" t="s">
        <v>1109</v>
      </c>
      <c r="B271" s="312">
        <v>37802</v>
      </c>
      <c r="C271" s="309">
        <f t="shared" si="41"/>
        <v>2003</v>
      </c>
      <c r="D271" s="313">
        <v>55379.14</v>
      </c>
      <c r="E271" s="317">
        <f t="shared" si="42"/>
        <v>20</v>
      </c>
      <c r="F271" s="318">
        <f>VLOOKUP(I271,'WP Cost HW and Useful Life'!$A$3:$B$15,2,FALSE)</f>
        <v>75</v>
      </c>
      <c r="G271" s="318">
        <f t="shared" si="43"/>
        <v>14767.770666666665</v>
      </c>
      <c r="H271" s="318">
        <f t="shared" si="38"/>
        <v>40611.369333333336</v>
      </c>
      <c r="I271" s="309" t="s">
        <v>29</v>
      </c>
      <c r="J271" s="321">
        <f>INDEX('WP Cost HW W1'!$B$9:$GE$66,MATCH(I271,'WP Cost HW W1'!$B$9:$B$66,0),MATCH(C271,'WP Cost HW W1'!$B$7:$GE$7,0))</f>
        <v>407</v>
      </c>
      <c r="K271" s="321">
        <f>INDEX('WP Cost HW W1'!$B$9:$GE$66,MATCH(I271,'WP Cost HW W1'!$B$9:$B$66,0),MATCH($E$1,'WP Cost HW W1'!$B$7:$GE$7,0))</f>
        <v>1080</v>
      </c>
      <c r="L271" s="321">
        <f t="shared" si="39"/>
        <v>2.6535626535626538</v>
      </c>
      <c r="M271" s="318">
        <f t="shared" si="40"/>
        <v>107764.81297297298</v>
      </c>
    </row>
    <row r="272" spans="1:13" x14ac:dyDescent="0.4">
      <c r="A272" s="314" t="s">
        <v>1064</v>
      </c>
      <c r="B272" s="312">
        <v>38898</v>
      </c>
      <c r="C272" s="309">
        <f t="shared" si="41"/>
        <v>2006</v>
      </c>
      <c r="D272" s="313">
        <v>1528685.31</v>
      </c>
      <c r="E272" s="317">
        <f t="shared" si="42"/>
        <v>17</v>
      </c>
      <c r="F272" s="318">
        <f>VLOOKUP(I272,'WP Cost HW and Useful Life'!$A$3:$B$15,2,FALSE)</f>
        <v>75</v>
      </c>
      <c r="G272" s="318">
        <f t="shared" si="43"/>
        <v>346502.0036</v>
      </c>
      <c r="H272" s="318">
        <f t="shared" si="38"/>
        <v>1182183.3064000001</v>
      </c>
      <c r="I272" s="309" t="s">
        <v>29</v>
      </c>
      <c r="J272" s="321">
        <f>INDEX('WP Cost HW W1'!$B$9:$GE$66,MATCH(I272,'WP Cost HW W1'!$B$9:$B$66,0),MATCH(C272,'WP Cost HW W1'!$B$7:$GE$7,0))</f>
        <v>499.25</v>
      </c>
      <c r="K272" s="321">
        <f>INDEX('WP Cost HW W1'!$B$9:$GE$66,MATCH(I272,'WP Cost HW W1'!$B$9:$B$66,0),MATCH($E$1,'WP Cost HW W1'!$B$7:$GE$7,0))</f>
        <v>1080</v>
      </c>
      <c r="L272" s="321">
        <f t="shared" si="39"/>
        <v>2.1632448673009512</v>
      </c>
      <c r="M272" s="318">
        <f t="shared" si="40"/>
        <v>2557351.9697786681</v>
      </c>
    </row>
    <row r="273" spans="1:13" x14ac:dyDescent="0.4">
      <c r="A273" s="314" t="s">
        <v>1064</v>
      </c>
      <c r="B273" s="312">
        <v>38898</v>
      </c>
      <c r="C273" s="309">
        <f t="shared" si="41"/>
        <v>2006</v>
      </c>
      <c r="D273" s="313">
        <v>1900</v>
      </c>
      <c r="E273" s="317">
        <f t="shared" si="42"/>
        <v>17</v>
      </c>
      <c r="F273" s="318">
        <f>VLOOKUP(I273,'WP Cost HW and Useful Life'!$A$3:$B$15,2,FALSE)</f>
        <v>75</v>
      </c>
      <c r="G273" s="318">
        <f t="shared" si="43"/>
        <v>430.66666666666663</v>
      </c>
      <c r="H273" s="318">
        <f t="shared" si="38"/>
        <v>1469.3333333333335</v>
      </c>
      <c r="I273" s="309" t="s">
        <v>29</v>
      </c>
      <c r="J273" s="321">
        <f>INDEX('WP Cost HW W1'!$B$9:$GE$66,MATCH(I273,'WP Cost HW W1'!$B$9:$B$66,0),MATCH(C273,'WP Cost HW W1'!$B$7:$GE$7,0))</f>
        <v>499.25</v>
      </c>
      <c r="K273" s="321">
        <f>INDEX('WP Cost HW W1'!$B$9:$GE$66,MATCH(I273,'WP Cost HW W1'!$B$9:$B$66,0),MATCH($E$1,'WP Cost HW W1'!$B$7:$GE$7,0))</f>
        <v>1080</v>
      </c>
      <c r="L273" s="321">
        <f t="shared" si="39"/>
        <v>2.1632448673009512</v>
      </c>
      <c r="M273" s="318">
        <f t="shared" si="40"/>
        <v>3178.5277916875311</v>
      </c>
    </row>
    <row r="274" spans="1:13" x14ac:dyDescent="0.3">
      <c r="A274" s="311" t="s">
        <v>1051</v>
      </c>
      <c r="B274" s="312">
        <v>38085</v>
      </c>
      <c r="C274" s="309">
        <f t="shared" si="41"/>
        <v>2004</v>
      </c>
      <c r="D274" s="313">
        <v>0</v>
      </c>
      <c r="E274" s="317">
        <f t="shared" si="42"/>
        <v>19</v>
      </c>
      <c r="F274" s="318">
        <f>VLOOKUP(I274,'WP Cost HW and Useful Life'!$A$3:$B$15,2,FALSE)</f>
        <v>50</v>
      </c>
      <c r="G274" s="318">
        <f t="shared" si="43"/>
        <v>0</v>
      </c>
      <c r="H274" s="318">
        <f t="shared" si="38"/>
        <v>0</v>
      </c>
      <c r="I274" s="240" t="s">
        <v>45</v>
      </c>
      <c r="J274" s="321">
        <f>INDEX('WP Cost HW W1'!$B$9:$GE$66,MATCH(I274,'WP Cost HW W1'!$B$9:$B$66,0),MATCH(C274,'WP Cost HW W1'!$B$7:$GE$7,0))</f>
        <v>420.75</v>
      </c>
      <c r="K274" s="321">
        <f>INDEX('WP Cost HW W1'!$B$9:$GE$66,MATCH(I274,'WP Cost HW W1'!$B$9:$B$66,0),MATCH($E$1,'WP Cost HW W1'!$B$7:$GE$7,0))</f>
        <v>912</v>
      </c>
      <c r="L274" s="321">
        <f t="shared" si="39"/>
        <v>2.1675579322638145</v>
      </c>
      <c r="M274" s="318">
        <f t="shared" si="40"/>
        <v>0</v>
      </c>
    </row>
    <row r="275" spans="1:13" x14ac:dyDescent="0.4">
      <c r="A275" s="311" t="s">
        <v>1051</v>
      </c>
      <c r="B275" s="312">
        <v>38085</v>
      </c>
      <c r="C275" s="309">
        <f t="shared" si="41"/>
        <v>2004</v>
      </c>
      <c r="D275" s="313">
        <v>12045</v>
      </c>
      <c r="E275" s="317">
        <f t="shared" si="42"/>
        <v>19</v>
      </c>
      <c r="F275" s="318">
        <f>VLOOKUP(I275,'WP Cost HW and Useful Life'!$A$3:$B$15,2,FALSE)</f>
        <v>50</v>
      </c>
      <c r="G275" s="318">
        <f t="shared" si="43"/>
        <v>4577.1000000000004</v>
      </c>
      <c r="H275" s="318">
        <f t="shared" si="38"/>
        <v>7467.9</v>
      </c>
      <c r="I275" s="309" t="s">
        <v>45</v>
      </c>
      <c r="J275" s="321">
        <f>INDEX('WP Cost HW W1'!$B$9:$GE$66,MATCH(I275,'WP Cost HW W1'!$B$9:$B$66,0),MATCH(C275,'WP Cost HW W1'!$B$7:$GE$7,0))</f>
        <v>420.75</v>
      </c>
      <c r="K275" s="321">
        <f>INDEX('WP Cost HW W1'!$B$9:$GE$66,MATCH(I275,'WP Cost HW W1'!$B$9:$B$66,0),MATCH($E$1,'WP Cost HW W1'!$B$7:$GE$7,0))</f>
        <v>912</v>
      </c>
      <c r="L275" s="321">
        <f t="shared" si="39"/>
        <v>2.1675579322638145</v>
      </c>
      <c r="M275" s="318">
        <f t="shared" si="40"/>
        <v>16187.10588235294</v>
      </c>
    </row>
  </sheetData>
  <printOptions horizontalCentered="1"/>
  <pageMargins left="0.7" right="0.7" top="0.75" bottom="0.75" header="0.3" footer="0.3"/>
  <pageSetup scale="71" fitToHeight="6" orientation="landscape" horizontalDpi="1200" verticalDpi="1200" r:id="rId1"/>
  <rowBreaks count="1" manualBreakCount="1">
    <brk id="5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7D60-FBB6-418D-8803-29EB598CCE72}">
  <sheetPr>
    <pageSetUpPr fitToPage="1"/>
  </sheetPr>
  <dimension ref="A1:P59"/>
  <sheetViews>
    <sheetView view="pageBreakPreview" zoomScale="70" zoomScaleNormal="100" zoomScaleSheetLayoutView="70" workbookViewId="0">
      <selection sqref="A1:O1"/>
    </sheetView>
  </sheetViews>
  <sheetFormatPr defaultColWidth="8.84375" defaultRowHeight="15" x14ac:dyDescent="0.35"/>
  <cols>
    <col min="1" max="1" width="8.84375" style="346"/>
    <col min="2" max="2" width="10.3828125" style="346" bestFit="1" customWidth="1"/>
    <col min="3" max="9" width="8.84375" style="346"/>
    <col min="10" max="13" width="5.69140625" style="346" customWidth="1"/>
    <col min="14" max="14" width="8.84375" style="346"/>
    <col min="15" max="15" width="3.84375" style="346" customWidth="1"/>
    <col min="16" max="16384" width="8.84375" style="346"/>
  </cols>
  <sheetData>
    <row r="1" spans="1:15" x14ac:dyDescent="0.35">
      <c r="A1" s="922" t="str">
        <f>Input!G29</f>
        <v>City of Ansonia</v>
      </c>
      <c r="B1" s="922"/>
      <c r="C1" s="922"/>
      <c r="D1" s="922"/>
      <c r="E1" s="922"/>
      <c r="F1" s="922"/>
      <c r="G1" s="922"/>
      <c r="H1" s="922"/>
      <c r="I1" s="922"/>
      <c r="J1" s="922"/>
      <c r="K1" s="922"/>
      <c r="L1" s="922"/>
      <c r="M1" s="922"/>
      <c r="N1" s="922"/>
      <c r="O1" s="922"/>
    </row>
    <row r="2" spans="1:15" ht="15.75" customHeight="1" x14ac:dyDescent="0.35">
      <c r="A2" s="938" t="s">
        <v>1372</v>
      </c>
      <c r="B2" s="938"/>
      <c r="C2" s="938"/>
      <c r="D2" s="938"/>
      <c r="E2" s="938"/>
      <c r="F2" s="938"/>
      <c r="G2" s="938"/>
      <c r="H2" s="938"/>
      <c r="I2" s="938"/>
      <c r="J2" s="938"/>
      <c r="K2" s="938"/>
      <c r="L2" s="938"/>
      <c r="M2" s="938"/>
      <c r="N2" s="938"/>
      <c r="O2" s="938"/>
    </row>
    <row r="4" spans="1:15" x14ac:dyDescent="0.35">
      <c r="A4" s="670" t="s">
        <v>1164</v>
      </c>
    </row>
    <row r="5" spans="1:15" ht="34.5" customHeight="1" x14ac:dyDescent="0.35">
      <c r="A5" s="711" t="s">
        <v>1165</v>
      </c>
      <c r="B5" s="924" t="s">
        <v>1373</v>
      </c>
      <c r="C5" s="924"/>
      <c r="D5" s="924"/>
      <c r="E5" s="924"/>
      <c r="F5" s="924"/>
      <c r="G5" s="924"/>
      <c r="H5" s="924"/>
      <c r="I5" s="924"/>
      <c r="J5" s="924"/>
      <c r="K5" s="924"/>
      <c r="L5" s="924"/>
      <c r="M5" s="924"/>
      <c r="N5" s="924"/>
      <c r="O5" s="924"/>
    </row>
    <row r="6" spans="1:15" x14ac:dyDescent="0.35">
      <c r="A6" s="711"/>
      <c r="B6" s="712"/>
      <c r="C6" s="712"/>
      <c r="D6" s="712"/>
      <c r="E6" s="712"/>
      <c r="F6" s="712"/>
      <c r="G6" s="712"/>
      <c r="H6" s="712"/>
      <c r="I6" s="712"/>
      <c r="J6" s="712"/>
      <c r="K6" s="712"/>
      <c r="L6" s="712"/>
      <c r="M6" s="712"/>
      <c r="N6" s="712"/>
      <c r="O6" s="712"/>
    </row>
    <row r="7" spans="1:15" x14ac:dyDescent="0.35">
      <c r="B7" s="713" t="s">
        <v>1374</v>
      </c>
      <c r="L7" s="670"/>
      <c r="N7" s="714"/>
      <c r="O7" s="714"/>
    </row>
    <row r="9" spans="1:15" x14ac:dyDescent="0.35">
      <c r="B9" s="346" t="str">
        <f>CONCATENATE("Measure 1: Ibbotson Arithmetic Mean MRP ",MID(Input!E21,FIND("(",Input!E21),11))</f>
        <v>Measure 1: Ibbotson Arithmetic Mean MRP (1926-2022)</v>
      </c>
    </row>
    <row r="11" spans="1:15" x14ac:dyDescent="0.35">
      <c r="B11" s="346" t="str">
        <f>CONCATENATE("Arithmetic Mean Monthly Returns for Large Stocks ",MID(Input!E21,FIND("1",Input!E21),9),":")</f>
        <v>Arithmetic Mean Monthly Returns for Large Stocks 1926-2022:</v>
      </c>
      <c r="N11" s="715">
        <f>'MRP WP1'!H48</f>
        <v>12.03</v>
      </c>
      <c r="O11" s="346" t="s">
        <v>1197</v>
      </c>
    </row>
    <row r="12" spans="1:15" x14ac:dyDescent="0.35">
      <c r="B12" s="346" t="s">
        <v>1375</v>
      </c>
      <c r="N12" s="716">
        <f>'MRP WP1'!H50</f>
        <v>5</v>
      </c>
    </row>
    <row r="13" spans="1:15" ht="15.45" thickBot="1" x14ac:dyDescent="0.4">
      <c r="B13" s="346" t="s">
        <v>1376</v>
      </c>
      <c r="N13" s="717">
        <f>N11-N12</f>
        <v>7.0299999999999994</v>
      </c>
      <c r="O13" s="346" t="s">
        <v>1197</v>
      </c>
    </row>
    <row r="14" spans="1:15" ht="15.45" thickTop="1" x14ac:dyDescent="0.35"/>
    <row r="15" spans="1:15" x14ac:dyDescent="0.35">
      <c r="B15" s="346" t="s">
        <v>1377</v>
      </c>
      <c r="O15" s="715"/>
    </row>
    <row r="16" spans="1:15" ht="15.45" thickBot="1" x14ac:dyDescent="0.4">
      <c r="B16" s="346" t="s">
        <v>1378</v>
      </c>
      <c r="N16" s="718">
        <f>'MRP ERP WP'!AB42*100</f>
        <v>8.5912938447414131</v>
      </c>
      <c r="O16" s="346" t="s">
        <v>1197</v>
      </c>
    </row>
    <row r="17" spans="1:16" ht="15.45" thickTop="1" x14ac:dyDescent="0.35">
      <c r="P17" s="715"/>
    </row>
    <row r="18" spans="1:16" x14ac:dyDescent="0.35">
      <c r="A18" s="711"/>
      <c r="B18" s="719" t="s">
        <v>1379</v>
      </c>
      <c r="C18" s="712"/>
      <c r="D18" s="712"/>
      <c r="E18" s="712"/>
      <c r="F18" s="712"/>
      <c r="G18" s="712"/>
      <c r="H18" s="712"/>
      <c r="I18" s="712"/>
      <c r="J18" s="712"/>
      <c r="K18" s="712"/>
      <c r="L18" s="712"/>
      <c r="M18" s="712"/>
      <c r="N18" s="712"/>
      <c r="O18" s="712"/>
    </row>
    <row r="20" spans="1:16" x14ac:dyDescent="0.35">
      <c r="B20" s="346" t="str">
        <f>CONCATENATE("Measure 3: Value Line Projected MRP (Thirteen weeks ending ",TEXT('MRP WP1'!B7,"mmmm dd, yyyy)"))</f>
        <v>Measure 3: Value Line Projected MRP (Thirteen weeks ending July 14, 2023)</v>
      </c>
    </row>
    <row r="22" spans="1:16" x14ac:dyDescent="0.35">
      <c r="B22" s="346" t="s">
        <v>1380</v>
      </c>
      <c r="N22" s="720">
        <f>'MRP WP1'!M22*100</f>
        <v>15.309999999999999</v>
      </c>
      <c r="O22" s="346" t="s">
        <v>1197</v>
      </c>
    </row>
    <row r="23" spans="1:16" x14ac:dyDescent="0.35">
      <c r="B23" s="346" t="s">
        <v>1381</v>
      </c>
      <c r="N23" s="716">
        <f>N51</f>
        <v>3.85</v>
      </c>
    </row>
    <row r="24" spans="1:16" ht="15.45" thickBot="1" x14ac:dyDescent="0.4">
      <c r="B24" s="346" t="s">
        <v>1382</v>
      </c>
      <c r="N24" s="718">
        <f>N22-N23</f>
        <v>11.459999999999999</v>
      </c>
      <c r="O24" s="346" t="s">
        <v>1197</v>
      </c>
    </row>
    <row r="25" spans="1:16" ht="15.45" thickTop="1" x14ac:dyDescent="0.35">
      <c r="C25" s="346" t="s">
        <v>1383</v>
      </c>
      <c r="N25" s="721"/>
    </row>
    <row r="26" spans="1:16" x14ac:dyDescent="0.35">
      <c r="N26" s="721"/>
    </row>
    <row r="27" spans="1:16" x14ac:dyDescent="0.35">
      <c r="B27" s="346" t="s">
        <v>1384</v>
      </c>
      <c r="N27" s="721"/>
    </row>
    <row r="28" spans="1:16" x14ac:dyDescent="0.35">
      <c r="N28" s="721"/>
    </row>
    <row r="29" spans="1:16" x14ac:dyDescent="0.35">
      <c r="B29" s="346" t="s">
        <v>1385</v>
      </c>
      <c r="N29" s="721">
        <f>'MRP WP3'!H504*100</f>
        <v>14.13811086577228</v>
      </c>
      <c r="O29" s="346" t="s">
        <v>1197</v>
      </c>
    </row>
    <row r="30" spans="1:16" x14ac:dyDescent="0.35">
      <c r="B30" s="346" t="s">
        <v>1381</v>
      </c>
      <c r="N30" s="722">
        <f>N51</f>
        <v>3.85</v>
      </c>
    </row>
    <row r="31" spans="1:16" ht="15.45" thickBot="1" x14ac:dyDescent="0.4">
      <c r="B31" s="346" t="s">
        <v>1386</v>
      </c>
      <c r="N31" s="717">
        <f>IFERROR(N29-N30,"NA")</f>
        <v>10.28811086577228</v>
      </c>
      <c r="O31" s="346" t="s">
        <v>1197</v>
      </c>
    </row>
    <row r="32" spans="1:16" ht="15.45" thickTop="1" x14ac:dyDescent="0.35">
      <c r="N32" s="721"/>
    </row>
    <row r="33" spans="1:15" x14ac:dyDescent="0.35">
      <c r="B33" s="346" t="s">
        <v>1387</v>
      </c>
    </row>
    <row r="35" spans="1:15" x14ac:dyDescent="0.35">
      <c r="B35" s="346" t="s">
        <v>1385</v>
      </c>
      <c r="N35" s="720">
        <f>'MRP WP2'!Q504*100</f>
        <v>16.041046129625077</v>
      </c>
      <c r="O35" s="346" t="s">
        <v>1197</v>
      </c>
    </row>
    <row r="36" spans="1:15" x14ac:dyDescent="0.35">
      <c r="B36" s="346" t="s">
        <v>1381</v>
      </c>
      <c r="N36" s="716">
        <f>N51</f>
        <v>3.85</v>
      </c>
    </row>
    <row r="37" spans="1:15" ht="15.45" thickBot="1" x14ac:dyDescent="0.4">
      <c r="B37" s="723" t="s">
        <v>1388</v>
      </c>
      <c r="N37" s="717">
        <f>IFERROR(N35-N36,"NA")</f>
        <v>12.191046129625077</v>
      </c>
      <c r="O37" s="346" t="s">
        <v>1197</v>
      </c>
    </row>
    <row r="38" spans="1:15" ht="15.45" thickTop="1" x14ac:dyDescent="0.35"/>
    <row r="39" spans="1:15" ht="15.45" thickBot="1" x14ac:dyDescent="0.4">
      <c r="L39" s="670" t="s">
        <v>1389</v>
      </c>
      <c r="N39" s="717">
        <f>AVERAGE(N13,N16,N24,N31,N37)</f>
        <v>9.9120901680277544</v>
      </c>
      <c r="O39" s="346" t="s">
        <v>1197</v>
      </c>
    </row>
    <row r="40" spans="1:15" ht="15.45" thickTop="1" x14ac:dyDescent="0.35"/>
    <row r="41" spans="1:15" ht="48.75" customHeight="1" x14ac:dyDescent="0.35">
      <c r="A41" s="711" t="s">
        <v>1161</v>
      </c>
      <c r="B41" s="924" t="s">
        <v>1390</v>
      </c>
      <c r="C41" s="924"/>
      <c r="D41" s="924"/>
      <c r="E41" s="924"/>
      <c r="F41" s="924"/>
      <c r="G41" s="924"/>
      <c r="H41" s="924"/>
      <c r="I41" s="924"/>
      <c r="J41" s="924"/>
      <c r="K41" s="924"/>
      <c r="L41" s="924"/>
      <c r="M41" s="924"/>
      <c r="N41" s="924"/>
      <c r="O41" s="924"/>
    </row>
    <row r="42" spans="1:15" x14ac:dyDescent="0.35">
      <c r="A42" s="711"/>
      <c r="B42" s="712"/>
      <c r="C42" s="712"/>
      <c r="D42" s="712"/>
      <c r="E42" s="712"/>
      <c r="F42" s="712"/>
      <c r="G42" s="712"/>
      <c r="H42" s="712"/>
      <c r="I42" s="712"/>
      <c r="J42" s="712"/>
      <c r="K42" s="712"/>
      <c r="L42" s="712"/>
      <c r="M42" s="712"/>
      <c r="N42" s="712"/>
      <c r="O42" s="712"/>
    </row>
    <row r="43" spans="1:15" x14ac:dyDescent="0.35">
      <c r="J43" s="670" t="str">
        <f>'MRP WP1'!B28</f>
        <v>Third Quarter 2023</v>
      </c>
      <c r="N43" s="715">
        <f>'MRP WP1'!F28</f>
        <v>3.9</v>
      </c>
      <c r="O43" s="346" t="s">
        <v>1197</v>
      </c>
    </row>
    <row r="44" spans="1:15" x14ac:dyDescent="0.35">
      <c r="J44" s="670" t="str">
        <f>'MRP WP1'!B29</f>
        <v>Fourth Quarter 2023</v>
      </c>
      <c r="N44" s="715">
        <f>'MRP WP1'!F29</f>
        <v>3.9</v>
      </c>
    </row>
    <row r="45" spans="1:15" x14ac:dyDescent="0.35">
      <c r="J45" s="670" t="str">
        <f>'MRP WP1'!B30</f>
        <v>First Quarter 2024</v>
      </c>
      <c r="N45" s="715">
        <f>'MRP WP1'!F30</f>
        <v>3.9</v>
      </c>
    </row>
    <row r="46" spans="1:15" x14ac:dyDescent="0.35">
      <c r="J46" s="670" t="str">
        <f>'MRP WP1'!B31</f>
        <v>Second Quarter 2024</v>
      </c>
      <c r="N46" s="715">
        <f>'MRP WP1'!F31</f>
        <v>3.8</v>
      </c>
    </row>
    <row r="47" spans="1:15" x14ac:dyDescent="0.35">
      <c r="J47" s="670" t="str">
        <f>'MRP WP1'!B32</f>
        <v>Third Quarter 2024</v>
      </c>
      <c r="N47" s="715">
        <f>'MRP WP1'!F32</f>
        <v>3.8</v>
      </c>
    </row>
    <row r="48" spans="1:15" x14ac:dyDescent="0.35">
      <c r="J48" s="670" t="str">
        <f>'MRP WP1'!B33</f>
        <v>Fourth Quarter 2024</v>
      </c>
      <c r="N48" s="715">
        <f>'MRP WP1'!F33</f>
        <v>3.8</v>
      </c>
    </row>
    <row r="49" spans="1:15" x14ac:dyDescent="0.35">
      <c r="J49" s="670" t="str">
        <f>'MRP WP1'!B34</f>
        <v>2025-2029</v>
      </c>
      <c r="N49" s="715">
        <f>'MRP WP1'!F34</f>
        <v>3.8</v>
      </c>
    </row>
    <row r="50" spans="1:15" x14ac:dyDescent="0.35">
      <c r="J50" s="670" t="str">
        <f>'MRP WP1'!B35</f>
        <v>2030-2034</v>
      </c>
      <c r="N50" s="715">
        <f>'MRP WP1'!F35</f>
        <v>3.9</v>
      </c>
    </row>
    <row r="51" spans="1:15" ht="15.45" thickBot="1" x14ac:dyDescent="0.4">
      <c r="N51" s="724">
        <f>ROUND(AVERAGE(N43:N50),2)</f>
        <v>3.85</v>
      </c>
      <c r="O51" s="346" t="s">
        <v>1197</v>
      </c>
    </row>
    <row r="52" spans="1:15" ht="15.45" thickTop="1" x14ac:dyDescent="0.35">
      <c r="N52" s="715"/>
    </row>
    <row r="53" spans="1:15" x14ac:dyDescent="0.35">
      <c r="A53" s="725" t="s">
        <v>1163</v>
      </c>
      <c r="B53" s="346" t="s">
        <v>1391</v>
      </c>
    </row>
    <row r="55" spans="1:15" x14ac:dyDescent="0.35">
      <c r="A55" s="726" t="s">
        <v>1340</v>
      </c>
    </row>
    <row r="56" spans="1:15" x14ac:dyDescent="0.35">
      <c r="B56" s="346" t="s">
        <v>1343</v>
      </c>
    </row>
    <row r="57" spans="1:15" x14ac:dyDescent="0.35">
      <c r="B57" s="346" t="str">
        <f>'1.17 Beta Adjusted ERP'!C38</f>
        <v>Blue Chip Financial Forecasts, June 2, 2023 and June 30, 2023</v>
      </c>
    </row>
    <row r="58" spans="1:15" x14ac:dyDescent="0.35">
      <c r="B58" s="939" t="str">
        <f>'1.17 Beta Adjusted ERP'!C35</f>
        <v>Stocks, Bonds, Bills, and Inflation -  2023 SBBI Yearbook, Kroll.</v>
      </c>
      <c r="C58" s="939"/>
      <c r="D58" s="939"/>
      <c r="E58" s="939"/>
      <c r="F58" s="939"/>
      <c r="G58" s="939"/>
      <c r="H58" s="939"/>
      <c r="I58" s="939"/>
      <c r="J58" s="939"/>
      <c r="K58" s="939"/>
      <c r="L58" s="939"/>
      <c r="M58" s="939"/>
    </row>
    <row r="59" spans="1:15" x14ac:dyDescent="0.35">
      <c r="B59" s="346" t="s">
        <v>1175</v>
      </c>
    </row>
  </sheetData>
  <mergeCells count="5">
    <mergeCell ref="A1:O1"/>
    <mergeCell ref="A2:O2"/>
    <mergeCell ref="B5:O5"/>
    <mergeCell ref="B41:O41"/>
    <mergeCell ref="B58:M58"/>
  </mergeCells>
  <printOptions horizontalCentered="1"/>
  <pageMargins left="0.7" right="0.7" top="0.75" bottom="0.75" header="0.3" footer="0.3"/>
  <pageSetup scale="72"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02008-8209-44F8-A5C3-7DEF32EE8367}">
  <sheetPr codeName="Sheet41">
    <pageSetUpPr fitToPage="1"/>
  </sheetPr>
  <dimension ref="A1:T39"/>
  <sheetViews>
    <sheetView view="pageBreakPreview" zoomScale="85" zoomScaleNormal="85" zoomScaleSheetLayoutView="85" workbookViewId="0"/>
  </sheetViews>
  <sheetFormatPr defaultColWidth="9.15234375" defaultRowHeight="15" x14ac:dyDescent="0.35"/>
  <cols>
    <col min="1" max="1" width="7.53515625" style="673" bestFit="1" customWidth="1"/>
    <col min="2" max="2" width="4" style="674" customWidth="1"/>
    <col min="3" max="3" width="28.53515625" style="673" customWidth="1"/>
    <col min="4" max="4" width="4.15234375" style="673" bestFit="1" customWidth="1"/>
    <col min="5" max="5" width="20.69140625" style="673" customWidth="1"/>
    <col min="6" max="6" width="3" style="673" customWidth="1"/>
    <col min="7" max="7" width="16" style="673" customWidth="1"/>
    <col min="8" max="8" width="3.53515625" style="673" customWidth="1"/>
    <col min="9" max="9" width="19.84375" style="673" customWidth="1"/>
    <col min="10" max="10" width="7.15234375" style="673" customWidth="1"/>
    <col min="11" max="11" width="20.15234375" style="673" customWidth="1"/>
    <col min="12" max="12" width="2.3046875" style="673" customWidth="1"/>
    <col min="13" max="13" width="15.15234375" style="673" customWidth="1"/>
    <col min="14" max="14" width="2.53515625" style="673" customWidth="1"/>
    <col min="15" max="15" width="9.15234375" style="673"/>
    <col min="16" max="16" width="17.53515625" style="673" customWidth="1"/>
    <col min="17" max="17" width="13.3046875" style="673" customWidth="1"/>
    <col min="18" max="18" width="10.3046875" style="673" bestFit="1" customWidth="1"/>
    <col min="19" max="16384" width="9.15234375" style="673"/>
  </cols>
  <sheetData>
    <row r="1" spans="1:17" x14ac:dyDescent="0.35">
      <c r="C1" s="945" t="str">
        <f>Input!G29</f>
        <v>City of Ansonia</v>
      </c>
      <c r="D1" s="946"/>
      <c r="E1" s="946"/>
      <c r="F1" s="946"/>
      <c r="G1" s="946"/>
      <c r="H1" s="946"/>
      <c r="I1" s="946"/>
      <c r="J1" s="946"/>
      <c r="K1" s="946"/>
      <c r="L1" s="946"/>
      <c r="M1" s="946"/>
      <c r="N1" s="675"/>
    </row>
    <row r="2" spans="1:17" x14ac:dyDescent="0.35">
      <c r="C2" s="947" t="s">
        <v>1392</v>
      </c>
      <c r="D2" s="947"/>
      <c r="E2" s="947"/>
      <c r="F2" s="947"/>
      <c r="G2" s="947"/>
      <c r="H2" s="947"/>
      <c r="I2" s="947"/>
      <c r="J2" s="947"/>
      <c r="K2" s="947"/>
      <c r="L2" s="947"/>
      <c r="M2" s="947"/>
    </row>
    <row r="3" spans="1:17" x14ac:dyDescent="0.35">
      <c r="C3" s="946" t="s">
        <v>1393</v>
      </c>
      <c r="D3" s="946"/>
      <c r="E3" s="946"/>
      <c r="F3" s="946"/>
      <c r="G3" s="946"/>
      <c r="H3" s="946"/>
      <c r="I3" s="946"/>
      <c r="J3" s="946"/>
      <c r="K3" s="946"/>
      <c r="L3" s="946"/>
      <c r="M3" s="946"/>
      <c r="N3" s="675"/>
    </row>
    <row r="4" spans="1:17" x14ac:dyDescent="0.35">
      <c r="C4" s="675"/>
    </row>
    <row r="5" spans="1:17" x14ac:dyDescent="0.35">
      <c r="C5" s="675"/>
    </row>
    <row r="6" spans="1:17" x14ac:dyDescent="0.35">
      <c r="C6" s="675"/>
      <c r="E6" s="947" t="s">
        <v>15</v>
      </c>
      <c r="F6" s="947"/>
      <c r="G6" s="947"/>
      <c r="I6" s="674" t="s">
        <v>16</v>
      </c>
      <c r="K6" s="674" t="s">
        <v>17</v>
      </c>
      <c r="M6" s="674" t="s">
        <v>1117</v>
      </c>
    </row>
    <row r="7" spans="1:17" ht="13.4" customHeight="1" x14ac:dyDescent="0.35">
      <c r="M7" s="948" t="s">
        <v>1394</v>
      </c>
    </row>
    <row r="8" spans="1:17" ht="13.4" customHeight="1" x14ac:dyDescent="0.35">
      <c r="E8" s="948" t="s">
        <v>1395</v>
      </c>
      <c r="F8" s="948"/>
      <c r="G8" s="948"/>
      <c r="I8" s="948" t="s">
        <v>1396</v>
      </c>
      <c r="K8" s="674"/>
      <c r="M8" s="948"/>
    </row>
    <row r="9" spans="1:17" x14ac:dyDescent="0.35">
      <c r="E9" s="948"/>
      <c r="F9" s="948"/>
      <c r="G9" s="948"/>
      <c r="I9" s="948"/>
      <c r="K9" s="948" t="s">
        <v>1397</v>
      </c>
      <c r="M9" s="948"/>
      <c r="Q9" s="673" t="s">
        <v>1398</v>
      </c>
    </row>
    <row r="10" spans="1:17" ht="12.75" customHeight="1" x14ac:dyDescent="0.35">
      <c r="E10" s="948"/>
      <c r="F10" s="948"/>
      <c r="G10" s="948"/>
      <c r="I10" s="948"/>
      <c r="K10" s="948"/>
      <c r="M10" s="948"/>
    </row>
    <row r="11" spans="1:17" ht="30.75" customHeight="1" x14ac:dyDescent="0.35">
      <c r="A11" s="676" t="s">
        <v>1177</v>
      </c>
      <c r="E11" s="949"/>
      <c r="F11" s="949"/>
      <c r="G11" s="949"/>
      <c r="I11" s="949"/>
      <c r="K11" s="949"/>
      <c r="M11" s="949"/>
    </row>
    <row r="12" spans="1:17" ht="15.75" customHeight="1" x14ac:dyDescent="0.35">
      <c r="A12" s="674"/>
      <c r="E12" s="677" t="s">
        <v>1399</v>
      </c>
      <c r="F12" s="677"/>
      <c r="G12" s="674" t="s">
        <v>1400</v>
      </c>
    </row>
    <row r="13" spans="1:17" ht="15.75" customHeight="1" x14ac:dyDescent="0.35">
      <c r="A13" s="674"/>
    </row>
    <row r="14" spans="1:17" ht="15.75" customHeight="1" x14ac:dyDescent="0.35">
      <c r="A14" s="677" t="s">
        <v>1180</v>
      </c>
      <c r="B14" s="677"/>
      <c r="C14" s="678" t="str">
        <f>Input!G29</f>
        <v>City of Ansonia</v>
      </c>
      <c r="E14" s="679">
        <f>'1.24 Market Cap'!P13</f>
        <v>57.280657566085466</v>
      </c>
      <c r="F14" s="680"/>
      <c r="G14" s="681"/>
      <c r="I14" s="682">
        <v>10</v>
      </c>
      <c r="K14" s="683">
        <f>VLOOKUP(I14,$G$23:$M$32,7)</f>
        <v>4.8300000000000003E-2</v>
      </c>
    </row>
    <row r="15" spans="1:17" ht="15.75" customHeight="1" x14ac:dyDescent="0.35">
      <c r="A15" s="677"/>
      <c r="B15" s="677"/>
      <c r="C15" s="680"/>
      <c r="E15" s="684"/>
      <c r="F15" s="680"/>
      <c r="G15" s="681"/>
      <c r="I15" s="682"/>
      <c r="K15" s="685"/>
    </row>
    <row r="16" spans="1:17" ht="35.25" customHeight="1" x14ac:dyDescent="0.35">
      <c r="A16" s="677" t="s">
        <v>1184</v>
      </c>
      <c r="B16" s="677"/>
      <c r="C16" s="686" t="str">
        <f>Input!I32</f>
        <v>Proxy Group of Six Water Companies</v>
      </c>
      <c r="E16" s="679">
        <f>'1.24 Market Cap'!P23</f>
        <v>7978.125</v>
      </c>
      <c r="F16" s="674"/>
      <c r="G16" s="687">
        <f>ROUND(E16/E14,1)</f>
        <v>139.30000000000001</v>
      </c>
      <c r="H16" s="673" t="s">
        <v>1401</v>
      </c>
      <c r="I16" s="682">
        <v>3</v>
      </c>
      <c r="K16" s="683">
        <f>VLOOKUP(I16,$G$23:$M$32,7)</f>
        <v>5.7000000000000002E-3</v>
      </c>
      <c r="M16" s="688">
        <f>K14-K16</f>
        <v>4.2599999999999999E-2</v>
      </c>
      <c r="P16" s="689"/>
    </row>
    <row r="17" spans="1:20" ht="15.75" customHeight="1" x14ac:dyDescent="0.35">
      <c r="A17" s="677"/>
      <c r="C17" s="690"/>
      <c r="E17" s="691"/>
      <c r="F17" s="674"/>
      <c r="G17" s="687"/>
      <c r="I17" s="674"/>
      <c r="K17" s="685"/>
      <c r="M17" s="688"/>
    </row>
    <row r="18" spans="1:20" ht="15.75" customHeight="1" x14ac:dyDescent="0.35">
      <c r="G18" s="674" t="s">
        <v>1402</v>
      </c>
      <c r="H18" s="674"/>
      <c r="I18" s="674" t="s">
        <v>1403</v>
      </c>
      <c r="J18" s="674"/>
      <c r="K18" s="674" t="s">
        <v>1404</v>
      </c>
      <c r="L18" s="674"/>
      <c r="M18" s="674" t="s">
        <v>1405</v>
      </c>
      <c r="N18" s="692"/>
      <c r="O18" s="692"/>
      <c r="P18" s="692"/>
    </row>
    <row r="19" spans="1:20" ht="15.75" customHeight="1" x14ac:dyDescent="0.35">
      <c r="E19" s="674"/>
      <c r="G19" s="674"/>
      <c r="I19" s="674"/>
      <c r="K19" s="674"/>
      <c r="M19" s="674"/>
      <c r="N19" s="692"/>
      <c r="O19" s="692"/>
      <c r="P19" s="693"/>
    </row>
    <row r="20" spans="1:20" ht="78.650000000000006" customHeight="1" x14ac:dyDescent="0.35">
      <c r="G20" s="676" t="s">
        <v>1406</v>
      </c>
      <c r="I20" s="676" t="s">
        <v>1407</v>
      </c>
      <c r="J20" s="673" t="s">
        <v>1398</v>
      </c>
      <c r="K20" s="676" t="s">
        <v>1408</v>
      </c>
      <c r="L20" s="673" t="s">
        <v>1398</v>
      </c>
      <c r="M20" s="676" t="s">
        <v>1409</v>
      </c>
      <c r="N20" s="692"/>
      <c r="O20" s="692"/>
      <c r="P20" s="692"/>
      <c r="T20" s="688"/>
    </row>
    <row r="21" spans="1:20" x14ac:dyDescent="0.35">
      <c r="G21" s="673" t="s">
        <v>1398</v>
      </c>
      <c r="I21" s="674" t="s">
        <v>1399</v>
      </c>
      <c r="J21" s="673" t="s">
        <v>1398</v>
      </c>
      <c r="K21" s="674" t="s">
        <v>1399</v>
      </c>
      <c r="L21" s="673" t="s">
        <v>1398</v>
      </c>
      <c r="M21" s="673" t="s">
        <v>1398</v>
      </c>
      <c r="N21" s="692"/>
      <c r="O21" s="692"/>
      <c r="P21" s="692"/>
    </row>
    <row r="22" spans="1:20" x14ac:dyDescent="0.35">
      <c r="G22" s="673" t="s">
        <v>1398</v>
      </c>
      <c r="I22" s="673" t="s">
        <v>1398</v>
      </c>
      <c r="K22" s="673" t="s">
        <v>1398</v>
      </c>
      <c r="L22" s="673" t="s">
        <v>1398</v>
      </c>
      <c r="M22" s="673" t="s">
        <v>1398</v>
      </c>
      <c r="N22" s="692"/>
      <c r="O22" s="692"/>
      <c r="P22" s="692"/>
    </row>
    <row r="23" spans="1:20" x14ac:dyDescent="0.35">
      <c r="E23" s="694" t="s">
        <v>1410</v>
      </c>
      <c r="G23" s="674">
        <v>1</v>
      </c>
      <c r="I23" s="695">
        <v>31549.077000000001</v>
      </c>
      <c r="J23" s="695" t="s">
        <v>1398</v>
      </c>
      <c r="K23" s="695">
        <v>2203381.2859999998</v>
      </c>
      <c r="L23" s="673" t="s">
        <v>1398</v>
      </c>
      <c r="M23" s="696">
        <v>-2.5999999999999999E-3</v>
      </c>
      <c r="N23" s="692"/>
      <c r="O23" s="697"/>
      <c r="P23" s="698"/>
    </row>
    <row r="24" spans="1:20" x14ac:dyDescent="0.35">
      <c r="G24" s="674">
        <v>2</v>
      </c>
      <c r="I24" s="665">
        <v>12372.885</v>
      </c>
      <c r="J24" s="665" t="s">
        <v>1398</v>
      </c>
      <c r="K24" s="665">
        <v>31316.512999999999</v>
      </c>
      <c r="L24" s="673" t="s">
        <v>1398</v>
      </c>
      <c r="M24" s="696">
        <v>4.4999999999999997E-3</v>
      </c>
      <c r="N24" s="692"/>
      <c r="O24" s="697"/>
      <c r="P24" s="698"/>
    </row>
    <row r="25" spans="1:20" x14ac:dyDescent="0.35">
      <c r="G25" s="674">
        <v>3</v>
      </c>
      <c r="I25" s="665">
        <v>5918.9809999999998</v>
      </c>
      <c r="J25" s="665" t="s">
        <v>1398</v>
      </c>
      <c r="K25" s="665">
        <v>12323.853999999999</v>
      </c>
      <c r="L25" s="673" t="s">
        <v>1398</v>
      </c>
      <c r="M25" s="696">
        <v>5.7000000000000002E-3</v>
      </c>
      <c r="N25" s="692"/>
      <c r="O25" s="697"/>
      <c r="P25" s="698"/>
    </row>
    <row r="26" spans="1:20" x14ac:dyDescent="0.35">
      <c r="G26" s="674">
        <v>4</v>
      </c>
      <c r="I26" s="665">
        <v>3770.1759999999999</v>
      </c>
      <c r="J26" s="665" t="s">
        <v>1398</v>
      </c>
      <c r="K26" s="665">
        <v>5916.0169999999998</v>
      </c>
      <c r="L26" s="673" t="s">
        <v>1398</v>
      </c>
      <c r="M26" s="696">
        <v>5.7999999999999996E-3</v>
      </c>
      <c r="N26" s="692"/>
      <c r="O26" s="697"/>
      <c r="P26" s="698"/>
      <c r="Q26" s="699"/>
    </row>
    <row r="27" spans="1:20" x14ac:dyDescent="0.35">
      <c r="E27" s="694"/>
      <c r="G27" s="674">
        <v>5</v>
      </c>
      <c r="I27" s="665">
        <v>2365.4250000000002</v>
      </c>
      <c r="J27" s="665" t="s">
        <v>1398</v>
      </c>
      <c r="K27" s="665">
        <v>3769.877</v>
      </c>
      <c r="L27" s="673" t="s">
        <v>1398</v>
      </c>
      <c r="M27" s="696">
        <v>9.2999999999999992E-3</v>
      </c>
      <c r="N27" s="692"/>
      <c r="O27" s="697"/>
      <c r="P27" s="698"/>
      <c r="Q27" s="700"/>
    </row>
    <row r="28" spans="1:20" x14ac:dyDescent="0.35">
      <c r="E28" s="694"/>
      <c r="G28" s="674">
        <v>6</v>
      </c>
      <c r="I28" s="665">
        <v>1389.8510000000001</v>
      </c>
      <c r="J28" s="665" t="s">
        <v>1398</v>
      </c>
      <c r="K28" s="665">
        <v>2365.076</v>
      </c>
      <c r="L28" s="673" t="s">
        <v>1398</v>
      </c>
      <c r="M28" s="696">
        <v>1.1599999999999999E-2</v>
      </c>
      <c r="N28" s="692"/>
      <c r="O28" s="697"/>
      <c r="P28" s="698"/>
    </row>
    <row r="29" spans="1:20" x14ac:dyDescent="0.35">
      <c r="E29" s="694"/>
      <c r="G29" s="674">
        <v>7</v>
      </c>
      <c r="I29" s="665">
        <v>789.01900000000001</v>
      </c>
      <c r="J29" s="665" t="s">
        <v>1398</v>
      </c>
      <c r="K29" s="665">
        <v>1389.1179999999999</v>
      </c>
      <c r="L29" s="673" t="s">
        <v>1398</v>
      </c>
      <c r="M29" s="696">
        <v>1.37E-2</v>
      </c>
      <c r="N29" s="692"/>
      <c r="O29" s="697"/>
      <c r="P29" s="698"/>
    </row>
    <row r="30" spans="1:20" x14ac:dyDescent="0.35">
      <c r="E30" s="694"/>
      <c r="G30" s="674">
        <v>8</v>
      </c>
      <c r="I30" s="665">
        <v>377.07600000000002</v>
      </c>
      <c r="J30" s="665" t="s">
        <v>1398</v>
      </c>
      <c r="K30" s="665">
        <v>782.38300000000004</v>
      </c>
      <c r="L30" s="673" t="s">
        <v>1398</v>
      </c>
      <c r="M30" s="696">
        <v>1.18E-2</v>
      </c>
      <c r="N30" s="692"/>
      <c r="O30" s="697"/>
      <c r="P30" s="698"/>
      <c r="R30" s="701"/>
    </row>
    <row r="31" spans="1:20" x14ac:dyDescent="0.35">
      <c r="E31" s="694"/>
      <c r="G31" s="674">
        <v>9</v>
      </c>
      <c r="I31" s="665">
        <v>218.38900000000001</v>
      </c>
      <c r="J31" s="665" t="s">
        <v>1398</v>
      </c>
      <c r="K31" s="665">
        <v>373.87900000000002</v>
      </c>
      <c r="L31" s="673" t="s">
        <v>1398</v>
      </c>
      <c r="M31" s="696">
        <v>2.1499999999999998E-2</v>
      </c>
      <c r="N31" s="692"/>
      <c r="O31" s="697"/>
      <c r="P31" s="698"/>
      <c r="R31" s="701"/>
    </row>
    <row r="32" spans="1:20" x14ac:dyDescent="0.35">
      <c r="E32" s="694" t="s">
        <v>1411</v>
      </c>
      <c r="G32" s="674">
        <v>10</v>
      </c>
      <c r="I32" s="665">
        <v>2.0150000000000001</v>
      </c>
      <c r="J32" s="665" t="s">
        <v>1398</v>
      </c>
      <c r="K32" s="665">
        <v>218.227</v>
      </c>
      <c r="L32" s="673" t="s">
        <v>1398</v>
      </c>
      <c r="M32" s="696">
        <v>4.8300000000000003E-2</v>
      </c>
      <c r="N32" s="692"/>
      <c r="O32" s="692"/>
      <c r="P32" s="692"/>
    </row>
    <row r="33" spans="3:17" x14ac:dyDescent="0.35">
      <c r="E33" s="673" t="s">
        <v>1398</v>
      </c>
      <c r="F33" s="673" t="s">
        <v>1398</v>
      </c>
      <c r="H33" s="673" t="s">
        <v>1412</v>
      </c>
      <c r="I33" s="702"/>
      <c r="J33" s="702"/>
      <c r="K33" s="702"/>
      <c r="M33" s="696"/>
      <c r="P33" s="699"/>
      <c r="Q33" s="703"/>
    </row>
    <row r="34" spans="3:17" x14ac:dyDescent="0.35">
      <c r="C34" s="694" t="s">
        <v>1164</v>
      </c>
      <c r="E34" s="704"/>
      <c r="G34" s="704"/>
      <c r="K34" s="704"/>
      <c r="P34" s="699"/>
    </row>
    <row r="35" spans="3:17" x14ac:dyDescent="0.35">
      <c r="D35" s="705" t="s">
        <v>1165</v>
      </c>
      <c r="E35" s="706" t="s">
        <v>1413</v>
      </c>
      <c r="F35" s="706"/>
      <c r="G35" s="707"/>
      <c r="H35" s="708"/>
      <c r="I35" s="709"/>
      <c r="J35" s="708"/>
      <c r="K35" s="709"/>
      <c r="L35" s="708"/>
      <c r="M35" s="708"/>
      <c r="P35" s="699"/>
    </row>
    <row r="36" spans="3:17" ht="31.5" customHeight="1" x14ac:dyDescent="0.35">
      <c r="D36" s="705" t="s">
        <v>1161</v>
      </c>
      <c r="E36" s="940" t="s">
        <v>1414</v>
      </c>
      <c r="F36" s="941"/>
      <c r="G36" s="941"/>
      <c r="H36" s="941"/>
      <c r="I36" s="941"/>
      <c r="J36" s="941"/>
      <c r="K36" s="941"/>
      <c r="L36" s="941"/>
      <c r="M36" s="941"/>
    </row>
    <row r="37" spans="3:17" ht="15.75" customHeight="1" x14ac:dyDescent="0.35">
      <c r="D37" s="705" t="s">
        <v>1163</v>
      </c>
      <c r="E37" s="708" t="s">
        <v>1415</v>
      </c>
      <c r="F37" s="708"/>
      <c r="G37" s="708"/>
      <c r="H37" s="708"/>
      <c r="I37" s="708"/>
      <c r="J37" s="708"/>
      <c r="K37" s="708"/>
      <c r="L37" s="708"/>
      <c r="M37" s="708"/>
    </row>
    <row r="38" spans="3:17" ht="15.75" customHeight="1" x14ac:dyDescent="0.35">
      <c r="D38" s="705" t="s">
        <v>1193</v>
      </c>
      <c r="E38" s="942" t="str">
        <f>CONCATENATE("Line No. 1 Column [3] – Line No. 2 Column [3].  For example, the ",TEXT((M16*100),"#0.00"),"%  in Column [4], Line No. 2 is derived as follows ",TEXT((M16*100),"#0.00"),"% = ",K14*100,"% - ",TEXT((K16*100),"#0.00"),"%.")</f>
        <v>Line No. 1 Column [3] – Line No. 2 Column [3].  For example, the 4.26%  in Column [4], Line No. 2 is derived as follows 4.26% = 4.83% - 0.57%.</v>
      </c>
      <c r="F38" s="943"/>
      <c r="G38" s="943"/>
      <c r="H38" s="943"/>
      <c r="I38" s="943"/>
      <c r="J38" s="943"/>
      <c r="K38" s="943"/>
      <c r="L38" s="943"/>
      <c r="M38" s="943"/>
    </row>
    <row r="39" spans="3:17" ht="15.75" customHeight="1" x14ac:dyDescent="0.35">
      <c r="E39" s="944"/>
      <c r="F39" s="944"/>
      <c r="G39" s="944"/>
      <c r="H39" s="944"/>
      <c r="I39" s="944"/>
      <c r="J39" s="944"/>
      <c r="K39" s="944"/>
      <c r="L39" s="944"/>
      <c r="M39" s="944"/>
    </row>
  </sheetData>
  <mergeCells count="10">
    <mergeCell ref="E36:M36"/>
    <mergeCell ref="E38:M39"/>
    <mergeCell ref="C1:M1"/>
    <mergeCell ref="C2:M2"/>
    <mergeCell ref="C3:M3"/>
    <mergeCell ref="E6:G6"/>
    <mergeCell ref="M7:M11"/>
    <mergeCell ref="E8:G11"/>
    <mergeCell ref="I8:I11"/>
    <mergeCell ref="K9:K11"/>
  </mergeCells>
  <printOptions horizontalCentered="1"/>
  <pageMargins left="0.7" right="0.7" top="0.75" bottom="0.75" header="0.3" footer="0.3"/>
  <pageSetup scale="72" orientation="landscape" horizontalDpi="4294967293" verticalDpi="36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37A48-813F-459F-B441-B672F6104DA4}">
  <sheetPr codeName="Sheet66">
    <pageSetUpPr fitToPage="1"/>
  </sheetPr>
  <dimension ref="A1:T37"/>
  <sheetViews>
    <sheetView view="pageBreakPreview" zoomScale="85" zoomScaleNormal="100" zoomScaleSheetLayoutView="85" workbookViewId="0"/>
  </sheetViews>
  <sheetFormatPr defaultColWidth="9.15234375" defaultRowHeight="15" x14ac:dyDescent="0.35"/>
  <cols>
    <col min="1" max="1" width="9.15234375" style="346"/>
    <col min="2" max="2" width="38.53515625" style="346" customWidth="1"/>
    <col min="3" max="3" width="3.84375" style="346" customWidth="1"/>
    <col min="4" max="4" width="12.53515625" style="346" customWidth="1"/>
    <col min="5" max="5" width="3.84375" style="346" customWidth="1"/>
    <col min="6" max="6" width="21.3046875" style="346" customWidth="1"/>
    <col min="7" max="7" width="3.84375" style="346" customWidth="1"/>
    <col min="8" max="8" width="16.3046875" style="346" customWidth="1"/>
    <col min="9" max="9" width="4.53515625" style="346" customWidth="1"/>
    <col min="10" max="10" width="21.53515625" style="346" customWidth="1"/>
    <col min="11" max="11" width="4.15234375" style="346" customWidth="1"/>
    <col min="12" max="12" width="15.53515625" style="346" customWidth="1"/>
    <col min="13" max="13" width="2.3046875" style="346" customWidth="1"/>
    <col min="14" max="14" width="14.53515625" style="346" customWidth="1"/>
    <col min="15" max="15" width="5.3046875" style="346" customWidth="1"/>
    <col min="16" max="16" width="17" style="346" bestFit="1" customWidth="1"/>
    <col min="17" max="17" width="4" style="346" customWidth="1"/>
    <col min="18" max="18" width="9.15234375" style="346"/>
    <col min="19" max="19" width="9.15234375" style="346" customWidth="1"/>
    <col min="20" max="20" width="16.53515625" style="346" bestFit="1" customWidth="1"/>
    <col min="21" max="16384" width="9.15234375" style="346"/>
  </cols>
  <sheetData>
    <row r="1" spans="1:20" x14ac:dyDescent="0.35">
      <c r="B1" s="647" t="str">
        <f>Input!G29</f>
        <v>City of Ansonia</v>
      </c>
      <c r="C1" s="648"/>
      <c r="D1" s="648"/>
      <c r="E1" s="648"/>
      <c r="F1" s="648"/>
      <c r="G1" s="648"/>
      <c r="H1" s="648"/>
      <c r="I1" s="648"/>
      <c r="J1" s="648"/>
      <c r="K1" s="648"/>
      <c r="L1" s="648"/>
      <c r="M1" s="648"/>
      <c r="N1" s="648"/>
      <c r="O1" s="648"/>
      <c r="P1" s="648"/>
      <c r="Q1" s="648"/>
    </row>
    <row r="2" spans="1:20" x14ac:dyDescent="0.35">
      <c r="B2" s="648" t="str">
        <f>CONCATENATE("Market Capitalization of ",B1," and the")</f>
        <v>Market Capitalization of City of Ansonia and the</v>
      </c>
      <c r="C2" s="648"/>
      <c r="D2" s="648"/>
      <c r="E2" s="648"/>
      <c r="F2" s="648"/>
      <c r="G2" s="648"/>
      <c r="H2" s="648"/>
      <c r="I2" s="648"/>
      <c r="J2" s="648"/>
      <c r="K2" s="648"/>
      <c r="L2" s="648"/>
      <c r="M2" s="648"/>
      <c r="N2" s="648"/>
      <c r="O2" s="648"/>
      <c r="P2" s="648"/>
      <c r="Q2" s="648"/>
    </row>
    <row r="3" spans="1:20" x14ac:dyDescent="0.35">
      <c r="B3" s="647" t="str">
        <f>Input!I32</f>
        <v>Proxy Group of Six Water Companies</v>
      </c>
      <c r="C3" s="648"/>
      <c r="D3" s="648"/>
      <c r="E3" s="648"/>
      <c r="F3" s="648"/>
      <c r="G3" s="648"/>
      <c r="H3" s="648"/>
      <c r="I3" s="648"/>
      <c r="J3" s="648"/>
      <c r="K3" s="648"/>
      <c r="L3" s="648"/>
      <c r="M3" s="648"/>
      <c r="N3" s="648"/>
      <c r="O3" s="648"/>
      <c r="P3" s="648"/>
      <c r="Q3" s="648"/>
    </row>
    <row r="6" spans="1:20" x14ac:dyDescent="0.35">
      <c r="F6" s="649" t="s">
        <v>15</v>
      </c>
      <c r="G6" s="649"/>
      <c r="H6" s="649" t="s">
        <v>16</v>
      </c>
      <c r="I6" s="649"/>
      <c r="J6" s="649" t="s">
        <v>17</v>
      </c>
      <c r="K6" s="649"/>
      <c r="L6" s="649" t="s">
        <v>1117</v>
      </c>
      <c r="M6" s="649"/>
      <c r="N6" s="649" t="s">
        <v>1204</v>
      </c>
      <c r="O6" s="649"/>
      <c r="P6" s="649" t="s">
        <v>1205</v>
      </c>
    </row>
    <row r="8" spans="1:20" ht="60" x14ac:dyDescent="0.35">
      <c r="B8" s="650" t="s">
        <v>1416</v>
      </c>
      <c r="D8" s="650" t="s">
        <v>1417</v>
      </c>
      <c r="F8" s="650" t="s">
        <v>1418</v>
      </c>
      <c r="H8" s="650" t="s">
        <v>1419</v>
      </c>
      <c r="J8" s="650" t="s">
        <v>1420</v>
      </c>
      <c r="L8" s="650" t="s">
        <v>3209</v>
      </c>
      <c r="N8" s="650" t="s">
        <v>3210</v>
      </c>
      <c r="P8" s="650" t="s">
        <v>3211</v>
      </c>
    </row>
    <row r="9" spans="1:20" x14ac:dyDescent="0.35">
      <c r="B9" s="649"/>
      <c r="C9" s="649"/>
      <c r="D9" s="649"/>
      <c r="E9" s="649"/>
      <c r="F9" s="651" t="s">
        <v>1399</v>
      </c>
      <c r="G9" s="649"/>
      <c r="H9" s="649"/>
      <c r="I9" s="649"/>
      <c r="J9" s="651" t="s">
        <v>1399</v>
      </c>
      <c r="K9" s="649"/>
      <c r="L9" s="649"/>
      <c r="M9" s="649"/>
      <c r="N9" s="649"/>
      <c r="O9" s="649"/>
      <c r="P9" s="651" t="s">
        <v>1399</v>
      </c>
    </row>
    <row r="11" spans="1:20" ht="31.5" customHeight="1" thickBot="1" x14ac:dyDescent="0.4">
      <c r="B11" s="652" t="str">
        <f>Input!G29</f>
        <v>City of Ansonia</v>
      </c>
      <c r="F11" s="653" t="s">
        <v>1421</v>
      </c>
      <c r="G11" s="654"/>
      <c r="H11" s="653" t="s">
        <v>1421</v>
      </c>
      <c r="J11" s="655">
        <f>Input!G44*(Input!F14/1000000)</f>
        <v>19.358113405233347</v>
      </c>
      <c r="K11" s="654" t="s">
        <v>1193</v>
      </c>
      <c r="L11" s="653" t="s">
        <v>1421</v>
      </c>
    </row>
    <row r="12" spans="1:20" ht="15.45" thickTop="1" x14ac:dyDescent="0.35"/>
    <row r="13" spans="1:20" ht="31.5" customHeight="1" thickBot="1" x14ac:dyDescent="0.4">
      <c r="B13" s="652" t="str">
        <f>CONCATENATE("Based upon ",B15)</f>
        <v>Based upon Proxy Group of Six Water Companies</v>
      </c>
      <c r="N13" s="656">
        <f>N23</f>
        <v>295.89999999999998</v>
      </c>
      <c r="O13" s="657" t="s">
        <v>1222</v>
      </c>
      <c r="P13" s="658">
        <f>IFERROR(N13*J11/100,"NA")</f>
        <v>57.280657566085466</v>
      </c>
      <c r="Q13" s="654" t="s">
        <v>1224</v>
      </c>
    </row>
    <row r="14" spans="1:20" ht="15.45" thickTop="1" x14ac:dyDescent="0.35">
      <c r="B14" s="659"/>
      <c r="N14" s="660"/>
      <c r="O14" s="657"/>
      <c r="P14" s="661"/>
      <c r="Q14" s="654"/>
    </row>
    <row r="15" spans="1:20" x14ac:dyDescent="0.35">
      <c r="B15" s="652" t="str">
        <f>Input!I32</f>
        <v>Proxy Group of Six Water Companies</v>
      </c>
    </row>
    <row r="16" spans="1:20" x14ac:dyDescent="0.35">
      <c r="A16" s="346" t="str">
        <f>Input!A2</f>
        <v>AWR</v>
      </c>
      <c r="B16" s="346" t="str">
        <f>'Proxy Data Lookup'!B3</f>
        <v>American States Water Company</v>
      </c>
      <c r="D16" s="346" t="str">
        <f>VLOOKUP(A16,Input!$A$2:$B$13,2,FALSE)</f>
        <v>NYSE</v>
      </c>
      <c r="F16" s="662">
        <f>'3. AWR'!C15/1000000</f>
        <v>36.962240999999999</v>
      </c>
      <c r="H16" s="663">
        <f>IFERROR(ROUND(J16/F16,3),"NA")</f>
        <v>19.196999999999999</v>
      </c>
      <c r="J16" s="663">
        <f>'3. AWR'!C16/1000000</f>
        <v>709.54899999999998</v>
      </c>
      <c r="L16" s="663">
        <f>'Proxy Prices'!B$6</f>
        <v>86.73</v>
      </c>
      <c r="N16" s="664">
        <f>IFERROR(ROUND(L16/H16*100,1),"NA")</f>
        <v>451.8</v>
      </c>
      <c r="O16" s="654" t="s">
        <v>1197</v>
      </c>
      <c r="P16" s="663">
        <f>IFERROR(ROUND(F16*L16,3),"NA")</f>
        <v>3205.7350000000001</v>
      </c>
      <c r="T16" s="663"/>
    </row>
    <row r="17" spans="1:20" x14ac:dyDescent="0.35">
      <c r="A17" s="346" t="str">
        <f>Input!A3</f>
        <v>AWK</v>
      </c>
      <c r="B17" s="346" t="str">
        <f>'Proxy Data Lookup'!B4</f>
        <v>American Water Works Company, Inc.</v>
      </c>
      <c r="D17" s="346" t="str">
        <f>VLOOKUP(A17,Input!$A$2:$B$13,2,FALSE)</f>
        <v>NYSE</v>
      </c>
      <c r="F17" s="662">
        <f>'3. AWK'!C15/1000000</f>
        <v>187.20053899999999</v>
      </c>
      <c r="H17" s="665">
        <f t="shared" ref="H17:H21" si="0">IFERROR(ROUND(J17/F17,3),"NA")</f>
        <v>41.094999999999999</v>
      </c>
      <c r="I17" s="665"/>
      <c r="J17" s="662">
        <f>'3. AWK'!C16/1000000</f>
        <v>7693</v>
      </c>
      <c r="L17" s="665">
        <f>'Proxy Prices'!C$6</f>
        <v>146.21</v>
      </c>
      <c r="N17" s="664">
        <f t="shared" ref="N17:N21" si="1">IFERROR(ROUND(L17/H17*100,1),"NA")</f>
        <v>355.8</v>
      </c>
      <c r="O17" s="654"/>
      <c r="P17" s="665">
        <f t="shared" ref="P17:P21" si="2">IFERROR(ROUND(F17*L17,3),"NA")</f>
        <v>27370.591</v>
      </c>
    </row>
    <row r="18" spans="1:20" x14ac:dyDescent="0.35">
      <c r="A18" s="346" t="str">
        <f>Input!A4</f>
        <v>CWT</v>
      </c>
      <c r="B18" s="346" t="str">
        <f>'Proxy Data Lookup'!B5</f>
        <v>California Water Service Group</v>
      </c>
      <c r="D18" s="346" t="str">
        <f>VLOOKUP(A18,Input!$A$2:$B$13,2,FALSE)</f>
        <v>NYSE</v>
      </c>
      <c r="F18" s="662">
        <f>'3. CWT'!C15/1000000</f>
        <v>55.597999999999999</v>
      </c>
      <c r="H18" s="665">
        <f t="shared" si="0"/>
        <v>23.785</v>
      </c>
      <c r="I18" s="665"/>
      <c r="J18" s="662">
        <f>'3. CWT'!C16/1000000</f>
        <v>1322.394</v>
      </c>
      <c r="L18" s="665">
        <f>'Proxy Prices'!D$6</f>
        <v>51.24</v>
      </c>
      <c r="N18" s="664">
        <f t="shared" si="1"/>
        <v>215.4</v>
      </c>
      <c r="O18" s="654"/>
      <c r="P18" s="665">
        <f t="shared" si="2"/>
        <v>2848.8420000000001</v>
      </c>
    </row>
    <row r="19" spans="1:20" x14ac:dyDescent="0.35">
      <c r="A19" s="346" t="str">
        <f>Input!A5</f>
        <v>WTRG</v>
      </c>
      <c r="B19" s="346" t="str">
        <f>'Proxy Data Lookup'!B6</f>
        <v>Essential Utilities Inc.</v>
      </c>
      <c r="D19" s="346" t="str">
        <f>VLOOKUP(A19,Input!$A$2:$B$13,2,FALSE)</f>
        <v>NYSE</v>
      </c>
      <c r="F19" s="662">
        <f>'3. WTRG'!C15/1000000</f>
        <v>263.73708399999998</v>
      </c>
      <c r="H19" s="665">
        <f t="shared" si="0"/>
        <v>20.388999999999999</v>
      </c>
      <c r="I19" s="665"/>
      <c r="J19" s="662">
        <f>'3. WTRG'!C16/1000000</f>
        <v>5377.3860000000004</v>
      </c>
      <c r="L19" s="665">
        <f>'Proxy Prices'!E$6</f>
        <v>41.18</v>
      </c>
      <c r="N19" s="664">
        <f t="shared" si="1"/>
        <v>202</v>
      </c>
      <c r="O19" s="654"/>
      <c r="P19" s="665">
        <f t="shared" si="2"/>
        <v>10860.692999999999</v>
      </c>
    </row>
    <row r="20" spans="1:20" x14ac:dyDescent="0.35">
      <c r="A20" s="346" t="str">
        <f>Input!A6</f>
        <v>MSEX</v>
      </c>
      <c r="B20" s="346" t="str">
        <f>'Proxy Data Lookup'!B7</f>
        <v>Middlesex Water Company</v>
      </c>
      <c r="D20" s="346" t="str">
        <f>VLOOKUP(A20,Input!$A$2:$B$13,2,FALSE)</f>
        <v>NASDAQ</v>
      </c>
      <c r="F20" s="662">
        <f>'3. MSEX'!C15/1000000</f>
        <v>17.641999999999999</v>
      </c>
      <c r="H20" s="665">
        <f t="shared" si="0"/>
        <v>22.692</v>
      </c>
      <c r="I20" s="665"/>
      <c r="J20" s="662">
        <f>'3. MSEX'!C16/1000000</f>
        <v>400.32799999999997</v>
      </c>
      <c r="L20" s="665">
        <f>'Proxy Prices'!F$6</f>
        <v>80.89</v>
      </c>
      <c r="N20" s="664">
        <f t="shared" si="1"/>
        <v>356.5</v>
      </c>
      <c r="O20" s="654"/>
      <c r="P20" s="665">
        <f t="shared" si="2"/>
        <v>1427.0609999999999</v>
      </c>
    </row>
    <row r="21" spans="1:20" x14ac:dyDescent="0.35">
      <c r="A21" s="346" t="str">
        <f>Input!A7</f>
        <v>SJW</v>
      </c>
      <c r="B21" s="346" t="str">
        <f>'Proxy Data Lookup'!B8</f>
        <v>SJW Group</v>
      </c>
      <c r="D21" s="346" t="str">
        <f>VLOOKUP(A21,Input!$A$2:$B$13,2,FALSE)</f>
        <v>NYSE</v>
      </c>
      <c r="F21" s="662">
        <f>'3. SJW'!C15/1000000</f>
        <v>30.801912000000002</v>
      </c>
      <c r="H21" s="665">
        <f t="shared" si="0"/>
        <v>36.064999999999998</v>
      </c>
      <c r="I21" s="665"/>
      <c r="J21" s="662">
        <f>'3. SJW'!C16/1000000</f>
        <v>1110.8679999999999</v>
      </c>
      <c r="L21" s="665">
        <f>'Proxy Prices'!G$6</f>
        <v>69.989999999999995</v>
      </c>
      <c r="N21" s="664">
        <f t="shared" si="1"/>
        <v>194.1</v>
      </c>
      <c r="O21" s="654"/>
      <c r="P21" s="665">
        <f t="shared" si="2"/>
        <v>2155.826</v>
      </c>
    </row>
    <row r="22" spans="1:20" ht="18.75" customHeight="1" x14ac:dyDescent="0.35">
      <c r="F22" s="666"/>
      <c r="H22" s="666"/>
      <c r="J22" s="666"/>
      <c r="L22" s="666"/>
      <c r="N22" s="666"/>
      <c r="P22" s="666"/>
    </row>
    <row r="23" spans="1:20" ht="15.45" thickBot="1" x14ac:dyDescent="0.4">
      <c r="B23" s="346" t="s">
        <v>721</v>
      </c>
      <c r="F23" s="667">
        <f>ROUND(AVERAGE(F16:F21),3)</f>
        <v>98.656999999999996</v>
      </c>
      <c r="H23" s="668">
        <f>ROUND(AVERAGE(H16:H21),3)</f>
        <v>27.204000000000001</v>
      </c>
      <c r="J23" s="668">
        <f>ROUND(AVERAGE(J16:J21),3)</f>
        <v>2768.9209999999998</v>
      </c>
      <c r="L23" s="668">
        <f>ROUND(AVERAGE(L16:L21),3)</f>
        <v>79.373000000000005</v>
      </c>
      <c r="N23" s="669">
        <f>ROUND(AVERAGE(N16:N21),1)</f>
        <v>295.89999999999998</v>
      </c>
      <c r="O23" s="654" t="s">
        <v>1197</v>
      </c>
      <c r="P23" s="668">
        <f>ROUND(AVERAGE(P15:P22),3)</f>
        <v>7978.125</v>
      </c>
      <c r="T23" s="663"/>
    </row>
    <row r="24" spans="1:20" ht="15.45" thickTop="1" x14ac:dyDescent="0.35">
      <c r="F24" s="662"/>
      <c r="H24" s="663"/>
      <c r="J24" s="663"/>
      <c r="L24" s="663"/>
      <c r="N24" s="664"/>
      <c r="O24" s="654"/>
      <c r="P24" s="663"/>
    </row>
    <row r="25" spans="1:20" x14ac:dyDescent="0.35">
      <c r="C25" s="346" t="s">
        <v>1219</v>
      </c>
    </row>
    <row r="27" spans="1:20" x14ac:dyDescent="0.35">
      <c r="D27" s="670" t="s">
        <v>1164</v>
      </c>
      <c r="E27" s="654" t="s">
        <v>1165</v>
      </c>
      <c r="F27" s="346" t="s">
        <v>1422</v>
      </c>
    </row>
    <row r="28" spans="1:20" x14ac:dyDescent="0.35">
      <c r="E28" s="654" t="s">
        <v>1161</v>
      </c>
      <c r="F28" s="346" t="s">
        <v>1423</v>
      </c>
    </row>
    <row r="29" spans="1:20" x14ac:dyDescent="0.35">
      <c r="E29" s="654" t="s">
        <v>1163</v>
      </c>
      <c r="F29" s="346" t="s">
        <v>1424</v>
      </c>
    </row>
    <row r="30" spans="1:20" x14ac:dyDescent="0.35">
      <c r="E30" s="654" t="s">
        <v>1193</v>
      </c>
      <c r="F30" s="346" t="s">
        <v>1425</v>
      </c>
    </row>
    <row r="31" spans="1:20" ht="31.5" customHeight="1" x14ac:dyDescent="0.35">
      <c r="E31" s="671" t="s">
        <v>1222</v>
      </c>
      <c r="F31" s="921" t="str">
        <f>CONCATENATE("The market-to-book ratio of ",Input!G29," on ",TEXT(Input!E2,"mmmm dd, yyyy")," is assumed to be equal to the market-to-book ratio of ",B3," on ",TEXT(Input!E2,"mmmm dd, yyyy")," as appropriate.")</f>
        <v>The market-to-book ratio of City of Ansonia on July 14, 2023 is assumed to be equal to the market-to-book ratio of Proxy Group of Six Water Companies on July 14, 2023 as appropriate.</v>
      </c>
      <c r="G31" s="921"/>
      <c r="H31" s="921"/>
      <c r="I31" s="921"/>
      <c r="J31" s="921"/>
      <c r="K31" s="921"/>
      <c r="L31" s="921"/>
      <c r="M31" s="921"/>
      <c r="N31" s="921"/>
      <c r="O31" s="921"/>
      <c r="P31" s="921"/>
    </row>
    <row r="32" spans="1:20" ht="15.75" customHeight="1" x14ac:dyDescent="0.35">
      <c r="E32" s="671" t="s">
        <v>1224</v>
      </c>
      <c r="F32" s="921" t="s">
        <v>1426</v>
      </c>
      <c r="G32" s="921"/>
      <c r="H32" s="921"/>
      <c r="I32" s="921"/>
      <c r="J32" s="921"/>
      <c r="K32" s="921"/>
      <c r="L32" s="921"/>
      <c r="M32" s="921"/>
      <c r="N32" s="921"/>
      <c r="O32" s="921"/>
      <c r="P32" s="921"/>
    </row>
    <row r="33" spans="2:16" ht="15.75" customHeight="1" x14ac:dyDescent="0.35">
      <c r="E33" s="654"/>
      <c r="F33" s="672"/>
      <c r="G33" s="672"/>
      <c r="H33" s="672"/>
      <c r="I33" s="672"/>
      <c r="J33" s="672"/>
      <c r="K33" s="672"/>
      <c r="L33" s="672"/>
      <c r="M33" s="672"/>
      <c r="N33" s="672"/>
      <c r="O33" s="672"/>
      <c r="P33" s="672"/>
    </row>
    <row r="34" spans="2:16" ht="15.75" customHeight="1" x14ac:dyDescent="0.35"/>
    <row r="35" spans="2:16" ht="15.75" customHeight="1" x14ac:dyDescent="0.35">
      <c r="B35" s="670" t="s">
        <v>1174</v>
      </c>
      <c r="C35" s="346" t="s">
        <v>1427</v>
      </c>
    </row>
    <row r="36" spans="2:16" ht="15.75" customHeight="1" x14ac:dyDescent="0.35">
      <c r="C36" s="346" t="s">
        <v>1428</v>
      </c>
    </row>
    <row r="37" spans="2:16" ht="15.75" customHeight="1" x14ac:dyDescent="0.35">
      <c r="C37" s="346" t="s">
        <v>1429</v>
      </c>
    </row>
  </sheetData>
  <mergeCells count="2">
    <mergeCell ref="F31:P31"/>
    <mergeCell ref="F32:P32"/>
  </mergeCells>
  <printOptions horizontalCentered="1"/>
  <pageMargins left="0.7" right="0.7" top="0.75" bottom="0.75" header="0.3" footer="0.3"/>
  <pageSetup scale="66" orientation="landscape" horizontalDpi="4294967294"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7F5E1-6D37-4149-A0C1-1C17091F054B}">
  <dimension ref="A1:U63"/>
  <sheetViews>
    <sheetView zoomScale="70" zoomScaleNormal="70" workbookViewId="0"/>
  </sheetViews>
  <sheetFormatPr defaultColWidth="8.84375" defaultRowHeight="14.6" x14ac:dyDescent="0.4"/>
  <cols>
    <col min="1" max="1" width="12" style="563" bestFit="1" customWidth="1"/>
    <col min="2" max="2" width="16" style="563" bestFit="1" customWidth="1"/>
    <col min="3" max="3" width="10.3828125" style="563" bestFit="1" customWidth="1"/>
    <col min="4" max="4" width="2.15234375" style="563" customWidth="1"/>
    <col min="5" max="5" width="38.3828125" style="563" bestFit="1" customWidth="1"/>
    <col min="6" max="6" width="8.84375" style="563"/>
    <col min="7" max="7" width="39.15234375" style="563" customWidth="1"/>
    <col min="8" max="8" width="8.84375" style="563"/>
    <col min="9" max="9" width="40.3828125" style="563" bestFit="1" customWidth="1"/>
    <col min="10" max="10" width="34.3828125" style="563" bestFit="1" customWidth="1"/>
    <col min="11" max="16384" width="8.84375" style="563"/>
  </cols>
  <sheetData>
    <row r="1" spans="1:21" ht="45.75" customHeight="1" thickBot="1" x14ac:dyDescent="0.45">
      <c r="A1" s="597" t="s">
        <v>1430</v>
      </c>
      <c r="B1" s="597" t="s">
        <v>1431</v>
      </c>
      <c r="C1" s="597"/>
      <c r="E1" s="567" t="s">
        <v>1432</v>
      </c>
      <c r="G1" s="567"/>
    </row>
    <row r="2" spans="1:21" ht="15" thickBot="1" x14ac:dyDescent="0.45">
      <c r="A2" s="598" t="s">
        <v>1433</v>
      </c>
      <c r="B2" s="598" t="s">
        <v>1434</v>
      </c>
      <c r="C2" s="376"/>
      <c r="D2" s="376"/>
      <c r="E2" s="599">
        <v>45121</v>
      </c>
      <c r="G2" s="600"/>
      <c r="J2" s="376"/>
      <c r="K2" s="376"/>
    </row>
    <row r="3" spans="1:21" x14ac:dyDescent="0.4">
      <c r="A3" s="601" t="s">
        <v>1435</v>
      </c>
      <c r="B3" s="601" t="s">
        <v>1434</v>
      </c>
      <c r="C3" s="376"/>
      <c r="D3" s="376"/>
      <c r="J3" s="376"/>
      <c r="K3" s="376"/>
    </row>
    <row r="4" spans="1:21" ht="15" thickBot="1" x14ac:dyDescent="0.45">
      <c r="A4" s="601" t="s">
        <v>1436</v>
      </c>
      <c r="B4" s="601" t="s">
        <v>1434</v>
      </c>
      <c r="C4" s="376"/>
      <c r="D4" s="376"/>
      <c r="E4" s="567" t="s">
        <v>1437</v>
      </c>
      <c r="J4" s="376"/>
      <c r="K4" s="376"/>
    </row>
    <row r="5" spans="1:21" ht="15" thickBot="1" x14ac:dyDescent="0.45">
      <c r="A5" s="601" t="s">
        <v>1438</v>
      </c>
      <c r="B5" s="601" t="s">
        <v>1434</v>
      </c>
      <c r="C5" s="376"/>
      <c r="D5" s="376"/>
      <c r="E5" s="602"/>
      <c r="J5" s="376"/>
      <c r="K5" s="376"/>
    </row>
    <row r="6" spans="1:21" x14ac:dyDescent="0.4">
      <c r="A6" s="601" t="s">
        <v>1439</v>
      </c>
      <c r="B6" s="601" t="s">
        <v>1440</v>
      </c>
      <c r="C6" s="376"/>
      <c r="D6" s="376"/>
      <c r="J6" s="376"/>
      <c r="K6" s="376"/>
    </row>
    <row r="7" spans="1:21" ht="15" thickBot="1" x14ac:dyDescent="0.45">
      <c r="A7" s="601" t="s">
        <v>1441</v>
      </c>
      <c r="B7" s="601" t="s">
        <v>1434</v>
      </c>
      <c r="C7" s="376"/>
      <c r="D7" s="376"/>
      <c r="E7" s="567" t="s">
        <v>1442</v>
      </c>
      <c r="J7" s="376"/>
      <c r="K7" s="376"/>
    </row>
    <row r="8" spans="1:21" ht="15" thickBot="1" x14ac:dyDescent="0.45">
      <c r="A8" s="601"/>
      <c r="B8" s="601"/>
      <c r="C8" s="376"/>
      <c r="D8" s="376"/>
      <c r="E8" s="603"/>
      <c r="J8" s="376"/>
      <c r="K8" s="376"/>
    </row>
    <row r="9" spans="1:21" x14ac:dyDescent="0.4">
      <c r="A9" s="601"/>
      <c r="B9" s="601"/>
      <c r="C9" s="376"/>
      <c r="D9" s="376"/>
      <c r="J9" s="376"/>
      <c r="K9" s="376"/>
      <c r="L9" s="604"/>
    </row>
    <row r="10" spans="1:21" ht="15.9" x14ac:dyDescent="0.45">
      <c r="A10" s="601"/>
      <c r="B10" s="605"/>
      <c r="C10" s="376"/>
      <c r="D10" s="376"/>
      <c r="E10" s="606" t="s">
        <v>1443</v>
      </c>
      <c r="F10" s="376"/>
      <c r="G10" s="376"/>
      <c r="H10" s="376"/>
      <c r="J10" s="376"/>
      <c r="K10" s="376"/>
      <c r="L10" s="604"/>
      <c r="O10" s="376"/>
      <c r="P10" s="376"/>
      <c r="Q10" s="376"/>
      <c r="R10" s="376"/>
      <c r="S10" s="376"/>
      <c r="T10" s="376"/>
      <c r="U10" s="376"/>
    </row>
    <row r="11" spans="1:21" x14ac:dyDescent="0.4">
      <c r="A11" s="601"/>
      <c r="B11" s="601"/>
      <c r="C11" s="376"/>
      <c r="D11" s="376"/>
      <c r="E11" s="376"/>
      <c r="F11" s="376"/>
      <c r="G11" s="376"/>
      <c r="H11" s="376"/>
      <c r="J11" s="376"/>
      <c r="K11" s="376"/>
      <c r="L11" s="604"/>
      <c r="O11" s="376"/>
      <c r="P11" s="376"/>
      <c r="Q11" s="376"/>
      <c r="R11" s="376"/>
      <c r="S11" s="376"/>
      <c r="T11" s="376"/>
      <c r="U11" s="376"/>
    </row>
    <row r="12" spans="1:21" ht="16.3" thickBot="1" x14ac:dyDescent="0.5">
      <c r="A12" s="601"/>
      <c r="B12" s="601"/>
      <c r="C12" s="376"/>
      <c r="D12" s="376"/>
      <c r="E12" s="607" t="s">
        <v>1444</v>
      </c>
      <c r="F12" s="377"/>
      <c r="G12" s="608" t="s">
        <v>1445</v>
      </c>
      <c r="H12" s="376"/>
      <c r="J12" s="376"/>
      <c r="K12" s="376"/>
      <c r="Q12" s="376"/>
      <c r="R12" s="376"/>
      <c r="S12" s="376"/>
      <c r="T12" s="376"/>
      <c r="U12" s="376"/>
    </row>
    <row r="13" spans="1:21" x14ac:dyDescent="0.4">
      <c r="A13" s="601"/>
      <c r="B13" s="609"/>
      <c r="C13" s="376"/>
      <c r="D13" s="376"/>
      <c r="E13" s="376" t="s">
        <v>1446</v>
      </c>
      <c r="F13" s="610">
        <v>0.5</v>
      </c>
      <c r="G13" s="611" t="s">
        <v>1447</v>
      </c>
      <c r="H13" s="612"/>
      <c r="J13" s="376"/>
      <c r="K13" s="376"/>
      <c r="Q13" s="376"/>
      <c r="R13" s="376"/>
      <c r="S13" s="376"/>
      <c r="T13" s="376"/>
      <c r="U13" s="376"/>
    </row>
    <row r="14" spans="1:21" x14ac:dyDescent="0.4">
      <c r="A14" s="601"/>
      <c r="B14" s="601"/>
      <c r="C14" s="376"/>
      <c r="D14" s="376"/>
      <c r="E14" s="376" t="s">
        <v>1448</v>
      </c>
      <c r="F14" s="613">
        <v>0.5</v>
      </c>
      <c r="G14" s="611" t="s">
        <v>1447</v>
      </c>
      <c r="H14" s="612"/>
      <c r="J14" s="376"/>
      <c r="K14" s="376"/>
      <c r="Q14" s="376"/>
      <c r="R14" s="376"/>
      <c r="S14" s="376"/>
      <c r="T14" s="376"/>
      <c r="U14" s="376"/>
    </row>
    <row r="15" spans="1:21" x14ac:dyDescent="0.4">
      <c r="A15" s="601"/>
      <c r="B15" s="605"/>
      <c r="C15" s="376"/>
      <c r="D15" s="376"/>
      <c r="E15" s="376" t="s">
        <v>1449</v>
      </c>
      <c r="F15" s="613" t="s">
        <v>1421</v>
      </c>
      <c r="G15" s="611" t="s">
        <v>1421</v>
      </c>
      <c r="H15" s="612"/>
      <c r="J15" s="376"/>
      <c r="K15" s="376"/>
      <c r="O15" s="376"/>
      <c r="P15" s="376"/>
      <c r="Q15" s="376"/>
      <c r="R15" s="376"/>
      <c r="S15" s="376"/>
      <c r="T15" s="376"/>
      <c r="U15" s="376"/>
    </row>
    <row r="16" spans="1:21" x14ac:dyDescent="0.4">
      <c r="A16" s="601"/>
      <c r="B16" s="601"/>
      <c r="C16" s="376"/>
      <c r="D16" s="376"/>
      <c r="E16" s="376" t="s">
        <v>1450</v>
      </c>
      <c r="F16" s="613">
        <f>'1.2 LTD Cost'!C39</f>
        <v>5.4023333333333354E-2</v>
      </c>
      <c r="G16" s="611" t="s">
        <v>1451</v>
      </c>
      <c r="H16" s="612"/>
      <c r="J16" s="376"/>
      <c r="K16" s="376"/>
      <c r="O16" s="376"/>
      <c r="P16" s="376"/>
      <c r="Q16" s="376"/>
      <c r="R16" s="376"/>
      <c r="S16" s="376"/>
      <c r="T16" s="376"/>
      <c r="U16" s="376"/>
    </row>
    <row r="17" spans="1:21" x14ac:dyDescent="0.4">
      <c r="A17" s="601"/>
      <c r="B17" s="601"/>
      <c r="C17" s="376"/>
      <c r="D17" s="376"/>
      <c r="E17" s="376" t="s">
        <v>1452</v>
      </c>
      <c r="F17" s="613" t="s">
        <v>1421</v>
      </c>
      <c r="G17" s="611" t="s">
        <v>1421</v>
      </c>
      <c r="H17" s="376"/>
      <c r="J17" s="376"/>
      <c r="K17" s="376"/>
      <c r="O17" s="376"/>
      <c r="P17" s="376"/>
      <c r="Q17" s="376"/>
      <c r="R17" s="376"/>
      <c r="S17" s="376"/>
      <c r="T17" s="376"/>
      <c r="U17" s="376"/>
    </row>
    <row r="18" spans="1:21" x14ac:dyDescent="0.4">
      <c r="A18" s="601"/>
      <c r="B18" s="601"/>
      <c r="C18" s="376"/>
      <c r="D18" s="376"/>
      <c r="E18" s="376"/>
      <c r="F18" s="614"/>
      <c r="G18" s="611"/>
      <c r="H18" s="376"/>
      <c r="J18" s="376"/>
      <c r="K18" s="376"/>
      <c r="M18" s="376"/>
      <c r="O18" s="376"/>
      <c r="P18" s="376"/>
      <c r="Q18" s="376"/>
      <c r="R18" s="376"/>
      <c r="S18" s="376"/>
      <c r="T18" s="376"/>
      <c r="U18" s="376"/>
    </row>
    <row r="19" spans="1:21" x14ac:dyDescent="0.4">
      <c r="A19" s="601"/>
      <c r="B19" s="601"/>
      <c r="C19" s="376"/>
      <c r="D19" s="376"/>
      <c r="H19" s="376"/>
      <c r="J19" s="376"/>
      <c r="K19" s="376"/>
      <c r="M19" s="376"/>
      <c r="O19" s="376"/>
      <c r="P19" s="376"/>
      <c r="Q19" s="376"/>
      <c r="R19" s="376"/>
      <c r="S19" s="376"/>
      <c r="T19" s="376"/>
      <c r="U19" s="376"/>
    </row>
    <row r="20" spans="1:21" x14ac:dyDescent="0.4">
      <c r="A20" s="601"/>
      <c r="B20" s="601"/>
      <c r="C20" s="376"/>
      <c r="D20" s="376"/>
      <c r="J20" s="376"/>
      <c r="K20" s="376"/>
      <c r="M20" s="376"/>
      <c r="O20" s="376"/>
      <c r="P20" s="376"/>
      <c r="Q20" s="376"/>
      <c r="R20" s="376"/>
      <c r="S20" s="376"/>
      <c r="T20" s="376"/>
      <c r="U20" s="376"/>
    </row>
    <row r="21" spans="1:21" ht="16.3" thickBot="1" x14ac:dyDescent="0.5">
      <c r="A21" s="609"/>
      <c r="B21" s="609"/>
      <c r="C21" s="376"/>
      <c r="D21" s="376"/>
      <c r="E21" s="607" t="s">
        <v>1453</v>
      </c>
      <c r="F21" s="376"/>
      <c r="G21" s="615" t="s">
        <v>1164</v>
      </c>
      <c r="H21" s="376"/>
      <c r="J21" s="376"/>
      <c r="K21" s="376"/>
      <c r="M21" s="376"/>
      <c r="O21" s="376"/>
      <c r="P21" s="376"/>
      <c r="Q21" s="376"/>
      <c r="R21" s="376"/>
      <c r="S21" s="376"/>
      <c r="T21" s="376"/>
      <c r="U21" s="376"/>
    </row>
    <row r="22" spans="1:21" ht="15" thickBot="1" x14ac:dyDescent="0.45">
      <c r="A22" s="601"/>
      <c r="B22" s="601"/>
      <c r="C22" s="376"/>
      <c r="D22" s="376"/>
      <c r="E22" s="376" t="s">
        <v>1454</v>
      </c>
      <c r="F22" s="616">
        <v>12.03</v>
      </c>
      <c r="G22" s="376" t="s">
        <v>1455</v>
      </c>
      <c r="H22" s="376"/>
      <c r="J22" s="376"/>
      <c r="K22" s="376"/>
      <c r="M22" s="376"/>
      <c r="O22" s="376"/>
      <c r="P22" s="376"/>
      <c r="Q22" s="376"/>
      <c r="R22" s="376"/>
      <c r="S22" s="376"/>
      <c r="T22" s="376"/>
      <c r="U22" s="376"/>
    </row>
    <row r="23" spans="1:21" x14ac:dyDescent="0.4">
      <c r="A23" s="601"/>
      <c r="B23" s="601"/>
      <c r="C23" s="376"/>
      <c r="D23" s="376"/>
      <c r="E23" s="376" t="s">
        <v>1456</v>
      </c>
      <c r="F23" s="616">
        <v>5</v>
      </c>
      <c r="G23" s="376" t="s">
        <v>1455</v>
      </c>
      <c r="H23" s="376"/>
      <c r="J23" s="376"/>
      <c r="K23" s="376"/>
      <c r="M23" s="376"/>
      <c r="O23" s="376"/>
      <c r="P23" s="376"/>
      <c r="Q23" s="376"/>
      <c r="R23" s="376"/>
      <c r="S23" s="376"/>
      <c r="T23" s="376"/>
      <c r="U23" s="376"/>
    </row>
    <row r="24" spans="1:21" x14ac:dyDescent="0.4">
      <c r="A24" s="601"/>
      <c r="B24" s="601"/>
      <c r="C24" s="376"/>
      <c r="D24" s="376"/>
      <c r="E24" s="376"/>
      <c r="F24" s="376"/>
      <c r="G24" s="376"/>
      <c r="J24" s="376"/>
      <c r="K24" s="376"/>
      <c r="M24" s="376"/>
      <c r="O24" s="376"/>
      <c r="P24" s="376"/>
      <c r="Q24" s="376"/>
      <c r="R24" s="376"/>
      <c r="S24" s="376"/>
      <c r="T24" s="376"/>
      <c r="U24" s="376"/>
    </row>
    <row r="25" spans="1:21" ht="15" thickBot="1" x14ac:dyDescent="0.45">
      <c r="A25" s="601"/>
      <c r="B25" s="601"/>
      <c r="C25" s="376"/>
      <c r="D25" s="376"/>
      <c r="E25" s="617" t="s">
        <v>1457</v>
      </c>
      <c r="F25" s="376"/>
      <c r="G25" s="376"/>
      <c r="I25" s="618" t="s">
        <v>1458</v>
      </c>
      <c r="J25" s="376"/>
      <c r="K25" s="376"/>
      <c r="M25" s="376"/>
      <c r="O25" s="376"/>
      <c r="P25" s="376"/>
      <c r="Q25" s="376"/>
      <c r="R25" s="376"/>
      <c r="S25" s="376"/>
      <c r="T25" s="376"/>
      <c r="U25" s="376"/>
    </row>
    <row r="26" spans="1:21" ht="15" thickBot="1" x14ac:dyDescent="0.45">
      <c r="A26" s="601"/>
      <c r="B26" s="601"/>
      <c r="C26" s="376"/>
      <c r="D26" s="376"/>
      <c r="E26" s="619">
        <v>45121</v>
      </c>
      <c r="F26" s="376"/>
      <c r="G26" s="376"/>
      <c r="I26" s="620" t="s">
        <v>1459</v>
      </c>
      <c r="J26" s="376"/>
      <c r="K26" s="376"/>
    </row>
    <row r="27" spans="1:21" x14ac:dyDescent="0.4">
      <c r="A27" s="601"/>
      <c r="B27" s="601"/>
      <c r="C27" s="376"/>
      <c r="D27" s="376"/>
      <c r="I27" s="621"/>
      <c r="J27" s="376"/>
      <c r="K27" s="376"/>
    </row>
    <row r="28" spans="1:21" ht="15" thickBot="1" x14ac:dyDescent="0.45">
      <c r="A28" s="601"/>
      <c r="B28" s="601"/>
      <c r="C28" s="376"/>
      <c r="D28" s="376"/>
      <c r="E28" s="567" t="s">
        <v>1460</v>
      </c>
      <c r="G28" s="567" t="s">
        <v>712</v>
      </c>
      <c r="I28" s="618" t="s">
        <v>1461</v>
      </c>
      <c r="J28" s="376"/>
      <c r="K28" s="376"/>
    </row>
    <row r="29" spans="1:21" ht="15" thickBot="1" x14ac:dyDescent="0.45">
      <c r="A29" s="601"/>
      <c r="B29" s="601"/>
      <c r="C29" s="376"/>
      <c r="D29" s="376"/>
      <c r="E29" s="622" t="s">
        <v>1462</v>
      </c>
      <c r="F29" s="348"/>
      <c r="G29" s="623" t="s">
        <v>1116</v>
      </c>
      <c r="I29" s="624"/>
      <c r="J29" s="376"/>
      <c r="K29" s="376"/>
    </row>
    <row r="30" spans="1:21" x14ac:dyDescent="0.4">
      <c r="A30" s="601"/>
      <c r="B30" s="601"/>
      <c r="C30" s="376"/>
      <c r="D30" s="376"/>
      <c r="E30" s="601" t="s">
        <v>1463</v>
      </c>
      <c r="F30" s="348"/>
      <c r="I30" s="621"/>
      <c r="J30" s="376"/>
      <c r="K30" s="376"/>
    </row>
    <row r="31" spans="1:21" ht="15" thickBot="1" x14ac:dyDescent="0.45">
      <c r="A31" s="601"/>
      <c r="B31" s="601"/>
      <c r="C31" s="376"/>
      <c r="D31" s="376"/>
      <c r="E31" s="625" t="s">
        <v>1464</v>
      </c>
      <c r="F31" s="348"/>
      <c r="G31" s="567" t="s">
        <v>1465</v>
      </c>
      <c r="I31" s="621"/>
      <c r="J31" s="376"/>
      <c r="K31" s="376"/>
    </row>
    <row r="32" spans="1:21" ht="15" thickBot="1" x14ac:dyDescent="0.45">
      <c r="A32" s="601"/>
      <c r="B32" s="601"/>
      <c r="C32" s="376"/>
      <c r="D32" s="376"/>
      <c r="E32" s="601" t="s">
        <v>1466</v>
      </c>
      <c r="F32" s="348"/>
      <c r="G32" s="623" t="s">
        <v>1421</v>
      </c>
      <c r="I32" s="626" t="s">
        <v>1467</v>
      </c>
      <c r="J32" s="376"/>
      <c r="K32" s="376"/>
    </row>
    <row r="33" spans="1:11" x14ac:dyDescent="0.4">
      <c r="A33" s="601"/>
      <c r="B33" s="601"/>
      <c r="C33" s="376"/>
      <c r="D33" s="376"/>
      <c r="E33" s="601" t="s">
        <v>1435</v>
      </c>
      <c r="F33" s="348"/>
      <c r="I33" s="626"/>
      <c r="J33" s="376"/>
      <c r="K33" s="376"/>
    </row>
    <row r="34" spans="1:11" ht="15" thickBot="1" x14ac:dyDescent="0.45">
      <c r="A34" s="601"/>
      <c r="B34" s="601"/>
      <c r="C34" s="376"/>
      <c r="D34" s="376"/>
      <c r="E34" s="601" t="s">
        <v>1468</v>
      </c>
      <c r="F34" s="348"/>
      <c r="G34" s="567" t="s">
        <v>1469</v>
      </c>
      <c r="J34" s="376"/>
      <c r="K34" s="376"/>
    </row>
    <row r="35" spans="1:11" ht="15" thickBot="1" x14ac:dyDescent="0.45">
      <c r="A35" s="601"/>
      <c r="B35" s="601"/>
      <c r="C35" s="376"/>
      <c r="D35" s="376"/>
      <c r="E35" s="601" t="s">
        <v>1470</v>
      </c>
      <c r="F35" s="348"/>
      <c r="G35" s="623" t="s">
        <v>1471</v>
      </c>
      <c r="J35" s="376"/>
      <c r="K35" s="376"/>
    </row>
    <row r="36" spans="1:11" x14ac:dyDescent="0.4">
      <c r="A36" s="601"/>
      <c r="B36" s="601"/>
      <c r="C36" s="376"/>
      <c r="D36" s="376"/>
      <c r="E36" s="601" t="s">
        <v>1472</v>
      </c>
      <c r="F36" s="348"/>
      <c r="H36" s="627" t="s">
        <v>1473</v>
      </c>
      <c r="J36" s="376"/>
      <c r="K36" s="376"/>
    </row>
    <row r="37" spans="1:11" ht="15" thickBot="1" x14ac:dyDescent="0.45">
      <c r="A37" s="601"/>
      <c r="B37" s="601"/>
      <c r="C37" s="376"/>
      <c r="D37" s="376"/>
      <c r="E37" s="601" t="s">
        <v>1474</v>
      </c>
      <c r="F37" s="348"/>
      <c r="G37" s="567" t="s">
        <v>1475</v>
      </c>
      <c r="J37" s="376"/>
      <c r="K37" s="376"/>
    </row>
    <row r="38" spans="1:11" ht="15" thickBot="1" x14ac:dyDescent="0.45">
      <c r="A38" s="601"/>
      <c r="B38" s="601"/>
      <c r="C38" s="376"/>
      <c r="D38" s="376"/>
      <c r="E38" s="601" t="s">
        <v>1476</v>
      </c>
      <c r="F38" s="348"/>
      <c r="G38" s="623" t="s">
        <v>1421</v>
      </c>
      <c r="J38" s="376"/>
      <c r="K38" s="376"/>
    </row>
    <row r="39" spans="1:11" x14ac:dyDescent="0.4">
      <c r="A39" s="601"/>
      <c r="B39" s="601"/>
      <c r="C39" s="376"/>
      <c r="D39" s="376"/>
      <c r="E39" s="601" t="s">
        <v>1477</v>
      </c>
      <c r="F39" s="348"/>
      <c r="J39" s="376"/>
      <c r="K39" s="376"/>
    </row>
    <row r="40" spans="1:11" ht="15" thickBot="1" x14ac:dyDescent="0.45">
      <c r="A40" s="601"/>
      <c r="B40" s="601"/>
      <c r="C40" s="376"/>
      <c r="D40" s="376"/>
      <c r="E40" s="601" t="s">
        <v>1478</v>
      </c>
      <c r="F40" s="348"/>
      <c r="G40" s="567" t="s">
        <v>1479</v>
      </c>
      <c r="J40" s="376"/>
      <c r="K40" s="376"/>
    </row>
    <row r="41" spans="1:11" ht="15" thickBot="1" x14ac:dyDescent="0.45">
      <c r="A41" s="601"/>
      <c r="B41" s="601"/>
      <c r="C41" s="376"/>
      <c r="D41" s="376"/>
      <c r="E41" s="601" t="s">
        <v>1480</v>
      </c>
      <c r="F41" s="348"/>
      <c r="G41" s="623" t="s">
        <v>1421</v>
      </c>
      <c r="I41" s="349"/>
      <c r="J41" s="376"/>
      <c r="K41" s="376"/>
    </row>
    <row r="42" spans="1:11" x14ac:dyDescent="0.4">
      <c r="A42" s="601"/>
      <c r="B42" s="601"/>
      <c r="C42" s="376"/>
      <c r="E42" s="601" t="s">
        <v>1481</v>
      </c>
      <c r="F42" s="348"/>
      <c r="I42" s="349"/>
      <c r="J42" s="376"/>
      <c r="K42" s="376"/>
    </row>
    <row r="43" spans="1:11" ht="15" thickBot="1" x14ac:dyDescent="0.45">
      <c r="A43" s="601"/>
      <c r="B43" s="601"/>
      <c r="C43" s="376"/>
      <c r="E43" s="601" t="s">
        <v>1482</v>
      </c>
      <c r="F43" s="348"/>
      <c r="G43" s="567" t="s">
        <v>1483</v>
      </c>
      <c r="I43" s="349"/>
      <c r="J43" s="376"/>
      <c r="K43" s="376"/>
    </row>
    <row r="44" spans="1:11" ht="15" thickBot="1" x14ac:dyDescent="0.45">
      <c r="A44" s="601"/>
      <c r="B44" s="601"/>
      <c r="C44" s="376"/>
      <c r="E44" s="601" t="s">
        <v>1484</v>
      </c>
      <c r="F44" s="348"/>
      <c r="G44" s="845">
        <f>'1.1 Cost Approach Summary'!C17</f>
        <v>38716226.810466692</v>
      </c>
      <c r="H44" s="580" t="s">
        <v>1485</v>
      </c>
      <c r="K44" s="376"/>
    </row>
    <row r="45" spans="1:11" x14ac:dyDescent="0.4">
      <c r="A45" s="601"/>
      <c r="B45" s="601"/>
      <c r="C45" s="376"/>
      <c r="E45" s="601" t="s">
        <v>1486</v>
      </c>
      <c r="F45" s="348"/>
      <c r="K45" s="376"/>
    </row>
    <row r="46" spans="1:11" ht="15" thickBot="1" x14ac:dyDescent="0.45">
      <c r="A46" s="601"/>
      <c r="B46" s="601"/>
      <c r="C46" s="376"/>
      <c r="E46" s="601" t="s">
        <v>1487</v>
      </c>
      <c r="F46" s="348"/>
      <c r="G46" s="567" t="s">
        <v>1488</v>
      </c>
      <c r="K46" s="376"/>
    </row>
    <row r="47" spans="1:11" ht="15" thickBot="1" x14ac:dyDescent="0.45">
      <c r="A47" s="601"/>
      <c r="B47" s="601"/>
      <c r="C47" s="376"/>
      <c r="E47" s="601" t="s">
        <v>1489</v>
      </c>
      <c r="F47" s="348"/>
      <c r="G47" s="623" t="s">
        <v>1421</v>
      </c>
      <c r="K47" s="376"/>
    </row>
    <row r="48" spans="1:11" x14ac:dyDescent="0.4">
      <c r="A48" s="601"/>
      <c r="B48" s="601"/>
      <c r="C48" s="376"/>
      <c r="E48" s="601" t="s">
        <v>1490</v>
      </c>
      <c r="F48" s="348"/>
      <c r="K48" s="376"/>
    </row>
    <row r="49" spans="1:7" ht="15" thickBot="1" x14ac:dyDescent="0.45">
      <c r="A49" s="601"/>
      <c r="B49" s="601"/>
      <c r="C49" s="376"/>
      <c r="E49" s="601" t="s">
        <v>1491</v>
      </c>
      <c r="F49" s="348"/>
      <c r="G49" s="567" t="s">
        <v>1492</v>
      </c>
    </row>
    <row r="50" spans="1:7" ht="15" thickBot="1" x14ac:dyDescent="0.45">
      <c r="A50" s="601"/>
      <c r="B50" s="601"/>
      <c r="C50" s="376"/>
      <c r="E50" s="609" t="s">
        <v>1493</v>
      </c>
      <c r="F50" s="348"/>
      <c r="G50" s="628" t="s">
        <v>1494</v>
      </c>
    </row>
    <row r="51" spans="1:7" x14ac:dyDescent="0.4">
      <c r="A51" s="601"/>
      <c r="B51" s="601"/>
      <c r="C51" s="376"/>
      <c r="E51" s="601" t="s">
        <v>1495</v>
      </c>
      <c r="F51" s="348"/>
    </row>
    <row r="52" spans="1:7" ht="15" thickBot="1" x14ac:dyDescent="0.45">
      <c r="A52" s="601"/>
      <c r="B52" s="601"/>
      <c r="C52" s="376"/>
      <c r="E52" s="601" t="s">
        <v>1496</v>
      </c>
      <c r="F52" s="348"/>
      <c r="G52" s="567" t="s">
        <v>1497</v>
      </c>
    </row>
    <row r="53" spans="1:7" ht="15" thickBot="1" x14ac:dyDescent="0.45">
      <c r="A53" s="601"/>
      <c r="B53" s="601"/>
      <c r="C53" s="376"/>
      <c r="E53" s="601" t="s">
        <v>1498</v>
      </c>
      <c r="F53" s="348"/>
      <c r="G53" s="603" t="s">
        <v>1421</v>
      </c>
    </row>
    <row r="54" spans="1:7" x14ac:dyDescent="0.4">
      <c r="A54" s="601"/>
      <c r="B54" s="601"/>
      <c r="C54" s="376"/>
      <c r="E54" s="601" t="s">
        <v>1499</v>
      </c>
      <c r="F54" s="348"/>
    </row>
    <row r="55" spans="1:7" ht="15" thickBot="1" x14ac:dyDescent="0.45">
      <c r="A55" s="629"/>
      <c r="B55" s="629"/>
      <c r="C55" s="376"/>
      <c r="E55" s="601" t="s">
        <v>1500</v>
      </c>
      <c r="F55" s="348"/>
    </row>
    <row r="56" spans="1:7" x14ac:dyDescent="0.4">
      <c r="E56" s="609" t="s">
        <v>1501</v>
      </c>
      <c r="F56" s="348"/>
    </row>
    <row r="57" spans="1:7" x14ac:dyDescent="0.4">
      <c r="A57" s="563">
        <f>COUNTA(A2:A26)</f>
        <v>6</v>
      </c>
      <c r="E57" s="601" t="s">
        <v>1502</v>
      </c>
      <c r="F57" s="466" t="s">
        <v>1398</v>
      </c>
    </row>
    <row r="58" spans="1:7" x14ac:dyDescent="0.4">
      <c r="E58" s="601" t="s">
        <v>1503</v>
      </c>
    </row>
    <row r="59" spans="1:7" x14ac:dyDescent="0.4">
      <c r="E59" s="601"/>
    </row>
    <row r="60" spans="1:7" x14ac:dyDescent="0.4">
      <c r="E60" s="601"/>
    </row>
    <row r="61" spans="1:7" x14ac:dyDescent="0.4">
      <c r="E61" s="601"/>
    </row>
    <row r="62" spans="1:7" x14ac:dyDescent="0.4">
      <c r="E62" s="601"/>
    </row>
    <row r="63" spans="1:7" ht="15" thickBot="1" x14ac:dyDescent="0.45">
      <c r="E63" s="629"/>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0D5F0-3F5E-4A6F-AFA9-948FF876090E}">
  <dimension ref="A1:I13"/>
  <sheetViews>
    <sheetView zoomScale="70" zoomScaleNormal="70" workbookViewId="0"/>
  </sheetViews>
  <sheetFormatPr defaultColWidth="8.84375" defaultRowHeight="14.6" x14ac:dyDescent="0.4"/>
  <cols>
    <col min="1" max="1" width="27" style="563" customWidth="1"/>
    <col min="2" max="2" width="11.15234375" style="563" customWidth="1"/>
    <col min="3" max="16384" width="8.84375" style="563"/>
  </cols>
  <sheetData>
    <row r="1" spans="1:9" ht="33" customHeight="1" x14ac:dyDescent="0.4">
      <c r="A1" s="567" t="s">
        <v>1504</v>
      </c>
      <c r="B1" s="588">
        <v>45107</v>
      </c>
      <c r="C1" s="588">
        <v>45077</v>
      </c>
      <c r="D1" s="588">
        <v>45046</v>
      </c>
      <c r="E1" s="589"/>
    </row>
    <row r="2" spans="1:9" x14ac:dyDescent="0.4">
      <c r="A2" s="567" t="s">
        <v>1505</v>
      </c>
      <c r="B2" s="590">
        <v>5.38</v>
      </c>
      <c r="C2" s="591">
        <v>5.36</v>
      </c>
      <c r="D2" s="376">
        <v>5.13</v>
      </c>
      <c r="E2" s="592"/>
      <c r="F2" s="592"/>
      <c r="G2" s="592"/>
      <c r="H2" s="592"/>
      <c r="I2" s="593"/>
    </row>
    <row r="3" spans="1:9" x14ac:dyDescent="0.4">
      <c r="A3" s="567" t="s">
        <v>1506</v>
      </c>
      <c r="B3" s="590">
        <v>5.73</v>
      </c>
      <c r="C3" s="591">
        <v>5.71</v>
      </c>
      <c r="D3" s="376">
        <v>5.47</v>
      </c>
      <c r="F3" s="592"/>
      <c r="G3" s="592"/>
      <c r="H3" s="592"/>
      <c r="I3" s="593"/>
    </row>
    <row r="4" spans="1:9" x14ac:dyDescent="0.4">
      <c r="A4" s="567" t="s">
        <v>1507</v>
      </c>
      <c r="B4" s="590">
        <v>4.6500000000000004</v>
      </c>
      <c r="C4" s="563">
        <v>4.67</v>
      </c>
      <c r="D4" s="376">
        <v>4.47</v>
      </c>
      <c r="F4" s="592"/>
      <c r="G4" s="592"/>
      <c r="H4" s="592"/>
    </row>
    <row r="5" spans="1:9" x14ac:dyDescent="0.4">
      <c r="A5" s="567" t="s">
        <v>1508</v>
      </c>
      <c r="B5" s="590">
        <v>5.0599999999999996</v>
      </c>
      <c r="C5" s="563">
        <v>5.0599999999999996</v>
      </c>
      <c r="D5" s="376">
        <v>4.82</v>
      </c>
      <c r="F5" s="592"/>
      <c r="G5" s="592"/>
      <c r="H5" s="592"/>
    </row>
    <row r="6" spans="1:9" x14ac:dyDescent="0.4">
      <c r="A6" s="567" t="s">
        <v>1509</v>
      </c>
      <c r="B6" s="590">
        <v>5.24</v>
      </c>
      <c r="C6" s="591">
        <v>5.24</v>
      </c>
      <c r="D6" s="376">
        <v>5.0199999999999996</v>
      </c>
      <c r="F6" s="592"/>
      <c r="G6" s="592"/>
      <c r="H6" s="592"/>
    </row>
    <row r="7" spans="1:9" x14ac:dyDescent="0.4">
      <c r="A7" s="567" t="s">
        <v>1510</v>
      </c>
      <c r="B7" s="590">
        <v>5.75</v>
      </c>
      <c r="C7" s="563">
        <v>5.77</v>
      </c>
      <c r="D7" s="376">
        <v>5.53</v>
      </c>
      <c r="F7" s="592"/>
      <c r="G7" s="592"/>
      <c r="H7" s="592"/>
    </row>
    <row r="9" spans="1:9" x14ac:dyDescent="0.4">
      <c r="A9" s="567" t="s">
        <v>1511</v>
      </c>
    </row>
    <row r="10" spans="1:9" ht="78" customHeight="1" x14ac:dyDescent="0.4">
      <c r="A10" s="594" t="s">
        <v>1512</v>
      </c>
      <c r="B10" s="595">
        <v>0.11776996662957684</v>
      </c>
      <c r="D10" s="595"/>
    </row>
    <row r="11" spans="1:9" ht="65.25" customHeight="1" x14ac:dyDescent="0.4">
      <c r="A11" s="596" t="s">
        <v>1513</v>
      </c>
      <c r="B11" s="595">
        <v>5.9613376225968073E-2</v>
      </c>
      <c r="D11" s="595"/>
    </row>
    <row r="12" spans="1:9" ht="61.5" customHeight="1" x14ac:dyDescent="0.4">
      <c r="A12" s="596" t="s">
        <v>1514</v>
      </c>
      <c r="B12" s="595">
        <v>0.10634918381812053</v>
      </c>
      <c r="D12" s="595"/>
    </row>
    <row r="13" spans="1:9" ht="43.75" x14ac:dyDescent="0.4">
      <c r="A13" s="596" t="s">
        <v>1515</v>
      </c>
      <c r="B13" s="595">
        <v>6.4383909735975742E-2</v>
      </c>
      <c r="D13" s="595"/>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968C-D437-46A5-B64E-6819DE13A6A6}">
  <dimension ref="A1:AC99"/>
  <sheetViews>
    <sheetView zoomScale="70" zoomScaleNormal="70" workbookViewId="0">
      <pane xSplit="1" topLeftCell="B1" activePane="topRight" state="frozen"/>
      <selection sqref="A1:H1"/>
      <selection pane="topRight" activeCell="B1" sqref="B1"/>
    </sheetView>
  </sheetViews>
  <sheetFormatPr defaultColWidth="8.84375" defaultRowHeight="15.9" x14ac:dyDescent="0.45"/>
  <cols>
    <col min="1" max="1" width="7.84375" style="563" bestFit="1" customWidth="1"/>
    <col min="2" max="2" width="29.3046875" style="563" customWidth="1"/>
    <col min="3" max="7" width="11.69140625" style="563" customWidth="1"/>
    <col min="8" max="9" width="10.69140625" style="563" customWidth="1"/>
    <col min="10" max="10" width="8.84375" style="563"/>
    <col min="11" max="11" width="6.3046875" style="566" bestFit="1" customWidth="1"/>
    <col min="12" max="12" width="9.69140625" style="566" bestFit="1" customWidth="1"/>
    <col min="13" max="13" width="37.3046875" style="566" bestFit="1" customWidth="1"/>
    <col min="14" max="14" width="5.53515625" style="566" bestFit="1" customWidth="1"/>
    <col min="15" max="15" width="8.69140625" style="566" customWidth="1"/>
    <col min="16" max="16" width="9.69140625" style="566" bestFit="1" customWidth="1"/>
    <col min="17" max="16384" width="8.84375" style="563"/>
  </cols>
  <sheetData>
    <row r="1" spans="1:29" ht="32.25" customHeight="1" x14ac:dyDescent="0.45">
      <c r="C1" s="564" t="s">
        <v>1516</v>
      </c>
      <c r="D1" s="564"/>
      <c r="E1" s="564"/>
      <c r="F1" s="342" t="s">
        <v>1517</v>
      </c>
      <c r="G1" s="565" t="s">
        <v>1518</v>
      </c>
      <c r="H1" s="564" t="s">
        <v>1519</v>
      </c>
      <c r="I1" s="564"/>
    </row>
    <row r="2" spans="1:29" x14ac:dyDescent="0.45">
      <c r="A2" s="567" t="s">
        <v>1520</v>
      </c>
      <c r="B2" s="567" t="s">
        <v>712</v>
      </c>
      <c r="C2" s="342" t="s">
        <v>1521</v>
      </c>
      <c r="D2" s="342" t="s">
        <v>1522</v>
      </c>
      <c r="E2" s="342" t="s">
        <v>1523</v>
      </c>
      <c r="F2" s="342" t="s">
        <v>1524</v>
      </c>
      <c r="G2" s="568"/>
      <c r="H2" s="342" t="s">
        <v>1525</v>
      </c>
      <c r="I2" s="342" t="s">
        <v>1171</v>
      </c>
      <c r="K2" s="569"/>
      <c r="L2" s="569"/>
      <c r="M2" s="570"/>
      <c r="N2" s="570"/>
      <c r="O2" s="569"/>
      <c r="P2" s="569"/>
      <c r="W2" s="950"/>
      <c r="X2" s="950"/>
      <c r="Y2" s="950"/>
      <c r="AA2" s="950"/>
      <c r="AB2" s="950"/>
      <c r="AC2" s="950"/>
    </row>
    <row r="3" spans="1:29" x14ac:dyDescent="0.45">
      <c r="A3" s="563" t="s">
        <v>1433</v>
      </c>
      <c r="B3" s="563" t="s">
        <v>715</v>
      </c>
      <c r="C3" s="571">
        <v>6.3E-2</v>
      </c>
      <c r="D3" s="571">
        <v>4.3999999999999997E-2</v>
      </c>
      <c r="E3" s="571">
        <v>6.5000000000000002E-2</v>
      </c>
      <c r="F3" s="572">
        <v>0.72750353813171387</v>
      </c>
      <c r="G3" s="573">
        <f>0.3975*4</f>
        <v>1.59</v>
      </c>
      <c r="H3" s="574" t="s">
        <v>1291</v>
      </c>
      <c r="I3" s="574" t="s">
        <v>1292</v>
      </c>
      <c r="K3" s="563" t="s">
        <v>1526</v>
      </c>
      <c r="L3" s="570"/>
      <c r="M3" s="570"/>
      <c r="N3" s="570"/>
      <c r="O3" s="575"/>
      <c r="P3" s="575"/>
      <c r="T3" s="576"/>
      <c r="U3" s="576"/>
      <c r="W3" s="577"/>
      <c r="X3" s="376"/>
      <c r="Y3" s="577"/>
      <c r="Z3" s="376"/>
      <c r="AA3" s="577"/>
      <c r="AB3" s="377"/>
      <c r="AC3" s="577"/>
    </row>
    <row r="4" spans="1:29" x14ac:dyDescent="0.45">
      <c r="A4" s="348" t="s">
        <v>1435</v>
      </c>
      <c r="B4" s="348" t="s">
        <v>716</v>
      </c>
      <c r="C4" s="571">
        <v>8.2000000000000003E-2</v>
      </c>
      <c r="D4" s="571">
        <v>8.2799999999999999E-2</v>
      </c>
      <c r="E4" s="571">
        <v>0.03</v>
      </c>
      <c r="F4" s="572">
        <v>0.93016797304153442</v>
      </c>
      <c r="G4" s="573">
        <f>0.7075*4</f>
        <v>2.83</v>
      </c>
      <c r="H4" s="574" t="s">
        <v>1271</v>
      </c>
      <c r="I4" s="574" t="s">
        <v>1270</v>
      </c>
      <c r="K4" s="563" t="s">
        <v>1527</v>
      </c>
      <c r="L4" s="570"/>
      <c r="M4" s="570"/>
      <c r="N4" s="570"/>
      <c r="O4" s="578"/>
      <c r="P4" s="578"/>
      <c r="T4" s="576"/>
      <c r="U4" s="576"/>
      <c r="W4" s="577"/>
      <c r="X4" s="376"/>
      <c r="Y4" s="577"/>
      <c r="Z4" s="376"/>
      <c r="AA4" s="577"/>
      <c r="AB4" s="377"/>
      <c r="AC4" s="577"/>
    </row>
    <row r="5" spans="1:29" x14ac:dyDescent="0.45">
      <c r="A5" s="348" t="s">
        <v>1436</v>
      </c>
      <c r="B5" s="348" t="s">
        <v>717</v>
      </c>
      <c r="C5" s="571" t="s">
        <v>1421</v>
      </c>
      <c r="D5" s="571">
        <v>7.4999999999999997E-2</v>
      </c>
      <c r="E5" s="571">
        <v>6.5000000000000002E-2</v>
      </c>
      <c r="F5" s="572">
        <v>0.7457432746887207</v>
      </c>
      <c r="G5" s="573">
        <f>0.26*4</f>
        <v>1.04</v>
      </c>
      <c r="H5" s="574" t="s">
        <v>1291</v>
      </c>
      <c r="I5" s="574" t="s">
        <v>1528</v>
      </c>
      <c r="K5" s="563"/>
      <c r="L5" s="579"/>
      <c r="M5" s="570"/>
      <c r="N5" s="570"/>
      <c r="O5" s="575"/>
      <c r="P5" s="575"/>
      <c r="R5" s="576"/>
      <c r="S5" s="576"/>
      <c r="T5" s="576"/>
      <c r="U5" s="576"/>
      <c r="W5" s="577"/>
      <c r="X5" s="376"/>
      <c r="Y5" s="577"/>
      <c r="Z5" s="376"/>
      <c r="AA5" s="577"/>
      <c r="AB5" s="377"/>
      <c r="AC5" s="577"/>
    </row>
    <row r="6" spans="1:29" x14ac:dyDescent="0.45">
      <c r="A6" s="348" t="s">
        <v>1438</v>
      </c>
      <c r="B6" s="348" t="s">
        <v>1529</v>
      </c>
      <c r="C6" s="571">
        <v>5.6000000000000001E-2</v>
      </c>
      <c r="D6" s="571">
        <v>5.3999999999999999E-2</v>
      </c>
      <c r="E6" s="571">
        <v>7.4999999999999997E-2</v>
      </c>
      <c r="F6" s="572">
        <v>0.7960960865020752</v>
      </c>
      <c r="G6" s="573">
        <f>0.287*4</f>
        <v>1.1479999999999999</v>
      </c>
      <c r="H6" s="574" t="s">
        <v>1271</v>
      </c>
      <c r="I6" s="574" t="s">
        <v>1294</v>
      </c>
      <c r="K6" s="563" t="s">
        <v>1530</v>
      </c>
      <c r="L6" s="579"/>
      <c r="M6" s="570"/>
      <c r="N6" s="570"/>
      <c r="O6" s="575"/>
      <c r="P6" s="575"/>
      <c r="R6" s="576"/>
      <c r="S6" s="576"/>
      <c r="T6" s="576"/>
      <c r="U6" s="576"/>
      <c r="W6" s="577"/>
      <c r="X6" s="376"/>
      <c r="Y6" s="577"/>
      <c r="Z6" s="376"/>
      <c r="AA6" s="577"/>
      <c r="AB6" s="377"/>
      <c r="AC6" s="577"/>
    </row>
    <row r="7" spans="1:29" x14ac:dyDescent="0.45">
      <c r="A7" s="348" t="s">
        <v>1439</v>
      </c>
      <c r="B7" s="348" t="s">
        <v>719</v>
      </c>
      <c r="C7" s="571" t="s">
        <v>1421</v>
      </c>
      <c r="D7" s="571">
        <v>2.7E-2</v>
      </c>
      <c r="E7" s="571">
        <v>0.05</v>
      </c>
      <c r="F7" s="572">
        <v>0.73345017433166504</v>
      </c>
      <c r="G7" s="573">
        <f>0.3125*4</f>
        <v>1.25</v>
      </c>
      <c r="H7" s="574" t="s">
        <v>1271</v>
      </c>
      <c r="I7" s="574" t="s">
        <v>1528</v>
      </c>
      <c r="K7" s="563"/>
      <c r="L7" s="570"/>
      <c r="M7" s="570"/>
      <c r="N7" s="570"/>
      <c r="O7" s="578"/>
      <c r="P7" s="578"/>
      <c r="R7" s="576"/>
      <c r="S7" s="576"/>
      <c r="T7" s="576"/>
      <c r="U7" s="576"/>
      <c r="W7" s="577"/>
      <c r="X7" s="376"/>
      <c r="Y7" s="577"/>
      <c r="Z7" s="376"/>
      <c r="AA7" s="577"/>
      <c r="AB7" s="377"/>
      <c r="AC7" s="577"/>
    </row>
    <row r="8" spans="1:29" x14ac:dyDescent="0.45">
      <c r="A8" s="348" t="s">
        <v>1441</v>
      </c>
      <c r="B8" s="348" t="s">
        <v>817</v>
      </c>
      <c r="C8" s="571" t="s">
        <v>1421</v>
      </c>
      <c r="D8" s="571">
        <v>6.0999999999999999E-2</v>
      </c>
      <c r="E8" s="571">
        <v>6.5000000000000002E-2</v>
      </c>
      <c r="F8" s="572">
        <v>0.63665139675140381</v>
      </c>
      <c r="G8" s="573">
        <f>0.38*4</f>
        <v>1.52</v>
      </c>
      <c r="H8" s="574" t="s">
        <v>1293</v>
      </c>
      <c r="I8" s="574" t="s">
        <v>1528</v>
      </c>
      <c r="K8" s="580" t="s">
        <v>1531</v>
      </c>
      <c r="L8" s="570"/>
      <c r="M8" s="570"/>
      <c r="N8" s="570"/>
      <c r="O8" s="578"/>
      <c r="P8" s="578"/>
      <c r="R8" s="576"/>
      <c r="S8" s="576"/>
      <c r="T8" s="576"/>
      <c r="U8" s="576"/>
      <c r="W8" s="577"/>
      <c r="X8" s="376"/>
      <c r="Y8" s="577"/>
      <c r="Z8" s="376"/>
      <c r="AA8" s="577"/>
      <c r="AB8" s="377"/>
      <c r="AC8" s="577"/>
    </row>
    <row r="9" spans="1:29" x14ac:dyDescent="0.45">
      <c r="A9" s="566"/>
      <c r="B9" s="566"/>
      <c r="C9" s="581"/>
      <c r="D9" s="581"/>
      <c r="E9" s="581"/>
      <c r="F9" s="582"/>
      <c r="G9" s="573"/>
      <c r="K9" s="570"/>
      <c r="L9" s="570"/>
      <c r="M9" s="570"/>
      <c r="N9" s="570"/>
      <c r="O9" s="578"/>
      <c r="P9" s="578"/>
      <c r="R9" s="576"/>
      <c r="S9" s="576"/>
      <c r="T9" s="576"/>
      <c r="U9" s="576"/>
      <c r="W9" s="577"/>
      <c r="X9" s="376"/>
      <c r="Y9" s="577"/>
      <c r="Z9" s="376"/>
      <c r="AA9" s="577"/>
      <c r="AB9" s="377"/>
      <c r="AC9" s="577"/>
    </row>
    <row r="10" spans="1:29" x14ac:dyDescent="0.45">
      <c r="C10" s="581"/>
      <c r="D10" s="581"/>
      <c r="F10" s="376"/>
      <c r="G10" s="573"/>
      <c r="K10" s="570"/>
      <c r="L10" s="570"/>
      <c r="M10" s="570"/>
      <c r="N10" s="570"/>
      <c r="O10" s="578"/>
      <c r="P10" s="578"/>
      <c r="Q10" s="576"/>
      <c r="R10" s="576"/>
      <c r="S10" s="576"/>
      <c r="T10" s="576"/>
      <c r="U10" s="576"/>
      <c r="W10" s="577"/>
      <c r="X10" s="376"/>
      <c r="Y10" s="577"/>
      <c r="Z10" s="376"/>
      <c r="AA10" s="577"/>
      <c r="AB10" s="377"/>
      <c r="AC10" s="577"/>
    </row>
    <row r="11" spans="1:29" x14ac:dyDescent="0.45">
      <c r="C11" s="581"/>
      <c r="D11" s="581"/>
      <c r="E11" s="581"/>
      <c r="F11" s="376"/>
      <c r="G11" s="573"/>
      <c r="K11" s="570"/>
      <c r="L11" s="570"/>
      <c r="M11" s="570"/>
      <c r="N11" s="570"/>
      <c r="O11" s="578"/>
      <c r="P11" s="578"/>
      <c r="R11" s="576"/>
      <c r="S11" s="576"/>
      <c r="T11" s="576"/>
      <c r="U11" s="576"/>
      <c r="W11" s="577"/>
      <c r="X11" s="376"/>
      <c r="Y11" s="577"/>
      <c r="Z11" s="376"/>
      <c r="AA11" s="577"/>
      <c r="AB11" s="377"/>
      <c r="AC11" s="577"/>
    </row>
    <row r="12" spans="1:29" x14ac:dyDescent="0.45">
      <c r="C12" s="581"/>
      <c r="D12" s="581"/>
      <c r="E12" s="376"/>
      <c r="F12" s="376"/>
      <c r="G12" s="573"/>
      <c r="K12" s="570"/>
      <c r="L12" s="570"/>
      <c r="M12" s="570"/>
      <c r="N12" s="570"/>
      <c r="O12" s="578"/>
      <c r="P12" s="578"/>
      <c r="R12" s="576"/>
      <c r="S12" s="576"/>
      <c r="T12" s="576"/>
      <c r="U12" s="576"/>
      <c r="W12" s="577"/>
      <c r="X12" s="376"/>
      <c r="Y12" s="577"/>
      <c r="Z12" s="376"/>
      <c r="AA12" s="577"/>
      <c r="AB12" s="377"/>
      <c r="AC12" s="577"/>
    </row>
    <row r="13" spans="1:29" x14ac:dyDescent="0.45">
      <c r="C13" s="583"/>
      <c r="D13" s="583"/>
      <c r="E13" s="376"/>
      <c r="F13" s="376"/>
      <c r="G13" s="573"/>
      <c r="K13" s="570"/>
      <c r="L13" s="570"/>
      <c r="M13" s="570"/>
      <c r="N13" s="570"/>
      <c r="O13" s="578"/>
      <c r="P13" s="578"/>
      <c r="T13" s="576"/>
      <c r="U13" s="576"/>
      <c r="W13" s="577"/>
      <c r="X13" s="376"/>
      <c r="Y13" s="577"/>
      <c r="Z13" s="376"/>
      <c r="AA13" s="577"/>
      <c r="AB13" s="377"/>
      <c r="AC13" s="577"/>
    </row>
    <row r="14" spans="1:29" x14ac:dyDescent="0.45">
      <c r="C14" s="583"/>
      <c r="D14" s="583"/>
      <c r="E14" s="376"/>
      <c r="F14" s="376"/>
      <c r="G14" s="573"/>
      <c r="K14" s="570"/>
      <c r="L14" s="570"/>
      <c r="M14" s="570"/>
      <c r="N14" s="570"/>
      <c r="O14" s="578"/>
      <c r="P14" s="578"/>
      <c r="T14" s="576"/>
      <c r="U14" s="576"/>
      <c r="W14" s="577"/>
      <c r="X14" s="376"/>
      <c r="Y14" s="577"/>
      <c r="Z14" s="376"/>
      <c r="AA14" s="577"/>
      <c r="AB14" s="377"/>
      <c r="AC14" s="577"/>
    </row>
    <row r="15" spans="1:29" x14ac:dyDescent="0.45">
      <c r="B15" s="376"/>
      <c r="C15" s="376"/>
      <c r="D15" s="583"/>
      <c r="E15" s="376"/>
      <c r="F15" s="376"/>
      <c r="G15" s="573"/>
      <c r="K15" s="570"/>
      <c r="L15" s="570"/>
      <c r="M15" s="570"/>
      <c r="N15" s="570"/>
      <c r="O15" s="578"/>
      <c r="P15" s="578"/>
      <c r="R15" s="576"/>
      <c r="S15" s="576"/>
      <c r="T15" s="576"/>
      <c r="U15" s="576"/>
    </row>
    <row r="16" spans="1:29" x14ac:dyDescent="0.45">
      <c r="B16" s="376"/>
      <c r="C16" s="376"/>
      <c r="D16" s="583"/>
      <c r="E16" s="376"/>
      <c r="F16" s="376"/>
      <c r="G16" s="573"/>
      <c r="K16" s="570"/>
      <c r="L16" s="570"/>
      <c r="M16" s="570"/>
      <c r="N16" s="570"/>
      <c r="O16" s="578"/>
      <c r="P16" s="578"/>
      <c r="R16" s="576"/>
      <c r="S16" s="576"/>
      <c r="T16" s="576"/>
      <c r="U16" s="576"/>
    </row>
    <row r="17" spans="2:21" x14ac:dyDescent="0.45">
      <c r="B17" s="376"/>
      <c r="C17" s="376"/>
      <c r="D17" s="583"/>
      <c r="E17" s="376"/>
      <c r="F17" s="376"/>
      <c r="G17" s="573"/>
      <c r="K17" s="570"/>
      <c r="L17" s="570"/>
      <c r="M17" s="570"/>
      <c r="N17" s="570"/>
      <c r="O17" s="578"/>
      <c r="P17" s="578"/>
      <c r="R17" s="576"/>
      <c r="S17" s="576"/>
      <c r="T17" s="576"/>
      <c r="U17" s="576"/>
    </row>
    <row r="18" spans="2:21" x14ac:dyDescent="0.45">
      <c r="B18" s="376"/>
      <c r="C18" s="376"/>
      <c r="D18" s="583"/>
      <c r="E18" s="376"/>
      <c r="F18" s="376"/>
      <c r="G18" s="573"/>
      <c r="O18" s="576"/>
      <c r="P18" s="576"/>
      <c r="R18" s="576"/>
      <c r="S18" s="576"/>
      <c r="T18" s="576"/>
      <c r="U18" s="576"/>
    </row>
    <row r="19" spans="2:21" x14ac:dyDescent="0.45">
      <c r="B19" s="376"/>
      <c r="C19" s="376"/>
      <c r="D19" s="583"/>
      <c r="E19" s="376"/>
      <c r="F19" s="376"/>
      <c r="G19" s="573"/>
      <c r="R19" s="576"/>
      <c r="S19" s="576"/>
      <c r="T19" s="576"/>
      <c r="U19" s="576"/>
    </row>
    <row r="20" spans="2:21" x14ac:dyDescent="0.45">
      <c r="B20" s="376"/>
      <c r="C20" s="376"/>
      <c r="D20" s="583"/>
      <c r="E20" s="376"/>
      <c r="F20" s="376"/>
      <c r="G20" s="376"/>
      <c r="O20" s="576"/>
      <c r="P20" s="576"/>
      <c r="R20" s="576"/>
      <c r="S20" s="576"/>
      <c r="T20" s="576"/>
      <c r="U20" s="576"/>
    </row>
    <row r="21" spans="2:21" x14ac:dyDescent="0.45">
      <c r="B21" s="376"/>
      <c r="C21" s="376"/>
      <c r="D21" s="583"/>
      <c r="E21" s="376"/>
      <c r="F21" s="376"/>
      <c r="G21" s="376"/>
      <c r="O21" s="576"/>
      <c r="P21" s="576"/>
      <c r="R21" s="576"/>
      <c r="S21" s="576"/>
      <c r="T21" s="576"/>
      <c r="U21" s="576"/>
    </row>
    <row r="22" spans="2:21" x14ac:dyDescent="0.45">
      <c r="B22" s="376"/>
      <c r="C22" s="376"/>
      <c r="D22" s="583"/>
      <c r="E22" s="376"/>
      <c r="F22" s="376"/>
      <c r="G22" s="376"/>
      <c r="O22" s="576"/>
      <c r="P22" s="576"/>
      <c r="R22" s="576"/>
      <c r="S22" s="576"/>
      <c r="T22" s="576"/>
      <c r="U22" s="576"/>
    </row>
    <row r="23" spans="2:21" x14ac:dyDescent="0.45">
      <c r="B23" s="376"/>
      <c r="C23" s="376"/>
      <c r="D23" s="583"/>
      <c r="E23" s="376"/>
      <c r="F23" s="376"/>
      <c r="G23" s="376"/>
      <c r="O23" s="576"/>
      <c r="P23" s="576"/>
      <c r="R23" s="576"/>
      <c r="S23" s="576"/>
      <c r="T23" s="576"/>
      <c r="U23" s="576"/>
    </row>
    <row r="24" spans="2:21" x14ac:dyDescent="0.45">
      <c r="B24" s="376"/>
      <c r="C24" s="376"/>
      <c r="D24" s="583"/>
      <c r="E24" s="583"/>
      <c r="F24" s="376"/>
      <c r="G24" s="376"/>
      <c r="O24" s="576"/>
      <c r="P24" s="576"/>
      <c r="R24" s="576"/>
      <c r="S24" s="576"/>
      <c r="T24" s="576"/>
      <c r="U24" s="576"/>
    </row>
    <row r="25" spans="2:21" x14ac:dyDescent="0.45">
      <c r="B25" s="376"/>
      <c r="C25" s="376"/>
      <c r="D25" s="583"/>
      <c r="E25" s="583"/>
      <c r="F25" s="376"/>
      <c r="G25" s="376"/>
      <c r="O25" s="576"/>
      <c r="P25" s="576"/>
      <c r="R25" s="576"/>
      <c r="S25" s="576"/>
      <c r="T25" s="576"/>
      <c r="U25" s="576"/>
    </row>
    <row r="26" spans="2:21" x14ac:dyDescent="0.45">
      <c r="B26" s="376"/>
      <c r="C26" s="376"/>
      <c r="D26" s="583"/>
      <c r="E26" s="583"/>
      <c r="F26" s="376"/>
      <c r="G26" s="376"/>
      <c r="O26" s="576"/>
      <c r="P26" s="576"/>
      <c r="R26" s="576"/>
      <c r="S26" s="576"/>
      <c r="T26" s="576"/>
      <c r="U26" s="576"/>
    </row>
    <row r="27" spans="2:21" x14ac:dyDescent="0.45">
      <c r="B27" s="376"/>
      <c r="C27" s="376"/>
      <c r="D27" s="583"/>
      <c r="E27" s="583"/>
      <c r="F27" s="584"/>
      <c r="G27" s="585"/>
      <c r="O27" s="576"/>
      <c r="P27" s="576"/>
      <c r="R27" s="576"/>
      <c r="S27" s="576"/>
      <c r="T27" s="576"/>
      <c r="U27" s="576"/>
    </row>
    <row r="28" spans="2:21" x14ac:dyDescent="0.45">
      <c r="B28" s="376"/>
      <c r="C28" s="376"/>
      <c r="D28" s="583"/>
      <c r="E28" s="583"/>
      <c r="F28" s="584"/>
      <c r="G28" s="585"/>
      <c r="O28" s="576"/>
      <c r="P28" s="576"/>
      <c r="T28" s="576"/>
      <c r="U28" s="576"/>
    </row>
    <row r="29" spans="2:21" x14ac:dyDescent="0.45">
      <c r="B29" s="376"/>
      <c r="C29" s="376"/>
      <c r="D29" s="583"/>
      <c r="E29" s="583"/>
      <c r="F29" s="584"/>
      <c r="G29" s="585"/>
      <c r="O29" s="576"/>
      <c r="P29" s="576"/>
      <c r="T29" s="576"/>
      <c r="U29" s="576"/>
    </row>
    <row r="30" spans="2:21" x14ac:dyDescent="0.45">
      <c r="B30" s="376"/>
      <c r="C30" s="376"/>
      <c r="D30" s="583"/>
      <c r="E30" s="583"/>
      <c r="F30" s="584"/>
      <c r="G30" s="585"/>
      <c r="O30" s="576"/>
      <c r="P30" s="576"/>
      <c r="R30" s="576"/>
      <c r="S30" s="576"/>
      <c r="T30" s="576"/>
      <c r="U30" s="576"/>
    </row>
    <row r="31" spans="2:21" x14ac:dyDescent="0.45">
      <c r="B31" s="376"/>
      <c r="C31" s="376"/>
      <c r="D31" s="583"/>
      <c r="E31" s="583"/>
      <c r="F31" s="584"/>
      <c r="G31" s="585"/>
      <c r="O31" s="576"/>
      <c r="P31" s="576"/>
      <c r="R31" s="576"/>
      <c r="S31" s="576"/>
      <c r="T31" s="576"/>
      <c r="U31" s="576"/>
    </row>
    <row r="32" spans="2:21" x14ac:dyDescent="0.45">
      <c r="B32" s="376"/>
      <c r="C32" s="376"/>
      <c r="D32" s="583"/>
      <c r="E32" s="583"/>
      <c r="F32" s="584"/>
      <c r="G32" s="585"/>
      <c r="O32" s="576"/>
      <c r="P32" s="576"/>
      <c r="R32" s="576"/>
      <c r="S32" s="576"/>
      <c r="T32" s="576"/>
      <c r="U32" s="576"/>
    </row>
    <row r="33" spans="2:21" x14ac:dyDescent="0.45">
      <c r="B33" s="376"/>
      <c r="C33" s="376"/>
      <c r="D33" s="583"/>
      <c r="E33" s="583"/>
      <c r="F33" s="584"/>
      <c r="G33" s="585"/>
      <c r="O33" s="576"/>
      <c r="P33" s="576"/>
      <c r="R33" s="576"/>
      <c r="S33" s="576"/>
      <c r="T33" s="576"/>
      <c r="U33" s="576"/>
    </row>
    <row r="34" spans="2:21" x14ac:dyDescent="0.45">
      <c r="B34" s="376"/>
      <c r="C34" s="376"/>
      <c r="D34" s="583"/>
      <c r="E34" s="583"/>
      <c r="F34" s="584"/>
      <c r="G34" s="585"/>
      <c r="O34" s="576"/>
      <c r="P34" s="576"/>
      <c r="R34" s="576"/>
      <c r="S34" s="576"/>
      <c r="T34" s="576"/>
      <c r="U34" s="576"/>
    </row>
    <row r="35" spans="2:21" x14ac:dyDescent="0.45">
      <c r="B35" s="376"/>
      <c r="C35" s="376"/>
      <c r="D35" s="583"/>
      <c r="E35" s="586"/>
      <c r="F35" s="584"/>
      <c r="G35" s="585"/>
      <c r="O35" s="576"/>
      <c r="P35" s="576"/>
      <c r="R35" s="576"/>
      <c r="S35" s="576"/>
      <c r="T35" s="576"/>
      <c r="U35" s="576"/>
    </row>
    <row r="36" spans="2:21" x14ac:dyDescent="0.45">
      <c r="B36" s="376"/>
      <c r="C36" s="376"/>
      <c r="D36" s="583"/>
      <c r="E36" s="583"/>
      <c r="F36" s="584"/>
      <c r="G36" s="585"/>
      <c r="O36" s="576"/>
      <c r="P36" s="576"/>
      <c r="R36" s="576"/>
      <c r="S36" s="576"/>
      <c r="T36" s="576"/>
      <c r="U36" s="576"/>
    </row>
    <row r="37" spans="2:21" x14ac:dyDescent="0.45">
      <c r="B37" s="376"/>
      <c r="C37" s="376"/>
      <c r="D37" s="583"/>
      <c r="E37" s="583"/>
      <c r="F37" s="574"/>
      <c r="G37" s="585"/>
      <c r="O37" s="576"/>
      <c r="P37" s="576"/>
      <c r="R37" s="576"/>
      <c r="S37" s="576"/>
      <c r="T37" s="576"/>
      <c r="U37" s="576"/>
    </row>
    <row r="38" spans="2:21" x14ac:dyDescent="0.45">
      <c r="B38" s="376"/>
      <c r="C38" s="376"/>
      <c r="D38" s="583"/>
      <c r="E38" s="583"/>
      <c r="F38" s="574"/>
      <c r="G38" s="574"/>
      <c r="O38" s="576"/>
      <c r="P38" s="576"/>
      <c r="T38" s="576"/>
      <c r="U38" s="576"/>
    </row>
    <row r="39" spans="2:21" x14ac:dyDescent="0.45">
      <c r="B39" s="376"/>
      <c r="C39" s="376"/>
      <c r="D39" s="583"/>
      <c r="E39" s="583"/>
      <c r="F39" s="574"/>
      <c r="G39" s="574"/>
      <c r="O39" s="576"/>
      <c r="P39" s="576"/>
      <c r="T39" s="576"/>
      <c r="U39" s="576"/>
    </row>
    <row r="40" spans="2:21" x14ac:dyDescent="0.45">
      <c r="B40" s="376"/>
      <c r="C40" s="376"/>
      <c r="D40" s="583"/>
      <c r="E40" s="583"/>
      <c r="F40" s="574"/>
      <c r="G40" s="574"/>
      <c r="O40" s="576"/>
      <c r="P40" s="576"/>
      <c r="R40" s="576"/>
      <c r="S40" s="576"/>
      <c r="T40" s="576"/>
      <c r="U40" s="576"/>
    </row>
    <row r="41" spans="2:21" x14ac:dyDescent="0.45">
      <c r="B41" s="376"/>
      <c r="C41" s="376"/>
      <c r="D41" s="583"/>
      <c r="E41" s="583"/>
      <c r="F41" s="574"/>
      <c r="G41" s="574"/>
      <c r="O41" s="576"/>
      <c r="P41" s="576"/>
      <c r="R41" s="576"/>
      <c r="S41" s="576"/>
      <c r="T41" s="576"/>
      <c r="U41" s="576"/>
    </row>
    <row r="42" spans="2:21" x14ac:dyDescent="0.45">
      <c r="B42" s="376"/>
      <c r="C42" s="376"/>
      <c r="D42" s="583"/>
      <c r="E42" s="583"/>
      <c r="F42" s="574"/>
      <c r="G42" s="574"/>
      <c r="O42" s="576"/>
      <c r="P42" s="576"/>
      <c r="R42" s="576"/>
      <c r="S42" s="576"/>
      <c r="T42" s="576"/>
      <c r="U42" s="576"/>
    </row>
    <row r="43" spans="2:21" x14ac:dyDescent="0.45">
      <c r="B43" s="376"/>
      <c r="C43" s="376"/>
      <c r="D43" s="583"/>
      <c r="E43" s="583"/>
      <c r="F43" s="574"/>
      <c r="G43" s="574"/>
      <c r="O43" s="576"/>
      <c r="P43" s="576"/>
      <c r="R43" s="576"/>
      <c r="S43" s="576"/>
      <c r="T43" s="576"/>
      <c r="U43" s="576"/>
    </row>
    <row r="44" spans="2:21" x14ac:dyDescent="0.45">
      <c r="B44" s="376"/>
      <c r="C44" s="376"/>
      <c r="D44" s="583"/>
      <c r="E44" s="583"/>
      <c r="F44" s="574"/>
      <c r="G44" s="574"/>
      <c r="O44" s="576"/>
      <c r="P44" s="576"/>
      <c r="R44" s="576"/>
      <c r="S44" s="576"/>
      <c r="T44" s="576"/>
      <c r="U44" s="576"/>
    </row>
    <row r="45" spans="2:21" x14ac:dyDescent="0.45">
      <c r="B45" s="376"/>
      <c r="C45" s="376"/>
      <c r="D45" s="583"/>
      <c r="E45" s="583"/>
      <c r="F45" s="574"/>
      <c r="G45" s="574"/>
      <c r="R45" s="576"/>
      <c r="S45" s="576"/>
      <c r="T45" s="576"/>
      <c r="U45" s="576"/>
    </row>
    <row r="46" spans="2:21" x14ac:dyDescent="0.45">
      <c r="B46" s="376"/>
      <c r="C46" s="376"/>
      <c r="D46" s="583"/>
      <c r="E46" s="583"/>
      <c r="F46" s="574"/>
      <c r="G46" s="574"/>
      <c r="R46" s="576"/>
      <c r="S46" s="576"/>
      <c r="T46" s="576"/>
      <c r="U46" s="576"/>
    </row>
    <row r="47" spans="2:21" x14ac:dyDescent="0.45">
      <c r="B47" s="376"/>
      <c r="C47" s="376"/>
      <c r="D47" s="587"/>
      <c r="E47" s="587"/>
      <c r="R47" s="576"/>
      <c r="S47" s="576"/>
      <c r="T47" s="576"/>
      <c r="U47" s="576"/>
    </row>
    <row r="48" spans="2:21" x14ac:dyDescent="0.45">
      <c r="B48" s="376"/>
      <c r="C48" s="376"/>
      <c r="D48" s="587"/>
      <c r="E48" s="587"/>
      <c r="R48" s="576"/>
      <c r="S48" s="576"/>
      <c r="T48" s="576"/>
      <c r="U48" s="576"/>
    </row>
    <row r="49" spans="2:21" x14ac:dyDescent="0.45">
      <c r="B49" s="376"/>
      <c r="C49" s="376"/>
      <c r="D49" s="587"/>
      <c r="E49" s="587"/>
      <c r="R49" s="576"/>
      <c r="S49" s="576"/>
      <c r="T49" s="576"/>
      <c r="U49" s="576"/>
    </row>
    <row r="50" spans="2:21" x14ac:dyDescent="0.45">
      <c r="B50" s="376"/>
      <c r="C50" s="376"/>
      <c r="D50" s="587"/>
      <c r="E50" s="587"/>
      <c r="T50" s="576"/>
      <c r="U50" s="576"/>
    </row>
    <row r="51" spans="2:21" x14ac:dyDescent="0.45">
      <c r="B51" s="376"/>
      <c r="C51" s="376"/>
      <c r="T51" s="576"/>
      <c r="U51" s="576"/>
    </row>
    <row r="52" spans="2:21" x14ac:dyDescent="0.45">
      <c r="B52" s="376"/>
      <c r="C52" s="376"/>
      <c r="R52" s="576"/>
      <c r="S52" s="576"/>
      <c r="T52" s="576"/>
      <c r="U52" s="576"/>
    </row>
    <row r="53" spans="2:21" x14ac:dyDescent="0.45">
      <c r="B53" s="376"/>
      <c r="C53" s="376"/>
      <c r="T53" s="576"/>
      <c r="U53" s="576"/>
    </row>
    <row r="54" spans="2:21" x14ac:dyDescent="0.45">
      <c r="B54" s="376"/>
      <c r="C54" s="376"/>
      <c r="T54" s="576"/>
      <c r="U54" s="576"/>
    </row>
    <row r="55" spans="2:21" x14ac:dyDescent="0.45">
      <c r="B55" s="376"/>
      <c r="C55" s="376"/>
      <c r="T55" s="576"/>
      <c r="U55" s="576"/>
    </row>
    <row r="56" spans="2:21" x14ac:dyDescent="0.45">
      <c r="B56" s="376"/>
      <c r="C56" s="376"/>
    </row>
    <row r="57" spans="2:21" x14ac:dyDescent="0.45">
      <c r="B57" s="376"/>
      <c r="C57" s="376"/>
    </row>
    <row r="58" spans="2:21" x14ac:dyDescent="0.45">
      <c r="B58" s="376"/>
      <c r="C58" s="376"/>
    </row>
    <row r="59" spans="2:21" x14ac:dyDescent="0.45">
      <c r="B59" s="376"/>
      <c r="C59" s="376"/>
    </row>
    <row r="60" spans="2:21" x14ac:dyDescent="0.45">
      <c r="B60" s="376"/>
      <c r="C60" s="376"/>
      <c r="R60" s="576"/>
      <c r="S60" s="576"/>
    </row>
    <row r="61" spans="2:21" x14ac:dyDescent="0.45">
      <c r="B61" s="376"/>
      <c r="C61" s="376"/>
      <c r="R61" s="576"/>
      <c r="S61" s="576"/>
    </row>
    <row r="62" spans="2:21" x14ac:dyDescent="0.45">
      <c r="B62" s="376"/>
      <c r="C62" s="376"/>
    </row>
    <row r="63" spans="2:21" x14ac:dyDescent="0.45">
      <c r="B63" s="376"/>
      <c r="C63" s="376"/>
    </row>
    <row r="64" spans="2:21" x14ac:dyDescent="0.45">
      <c r="B64" s="376"/>
      <c r="C64" s="376"/>
    </row>
    <row r="65" spans="2:19" x14ac:dyDescent="0.45">
      <c r="B65" s="376"/>
      <c r="C65" s="376"/>
    </row>
    <row r="66" spans="2:19" x14ac:dyDescent="0.45">
      <c r="B66" s="376"/>
      <c r="C66" s="376"/>
      <c r="R66" s="576"/>
      <c r="S66" s="576"/>
    </row>
    <row r="67" spans="2:19" x14ac:dyDescent="0.45">
      <c r="B67" s="376"/>
      <c r="C67" s="376"/>
      <c r="R67" s="576"/>
      <c r="S67" s="576"/>
    </row>
    <row r="68" spans="2:19" x14ac:dyDescent="0.45">
      <c r="B68" s="376"/>
      <c r="C68" s="376"/>
      <c r="R68" s="576"/>
      <c r="S68" s="576"/>
    </row>
    <row r="69" spans="2:19" x14ac:dyDescent="0.45">
      <c r="B69" s="376"/>
      <c r="C69" s="376"/>
      <c r="R69" s="576"/>
      <c r="S69" s="576"/>
    </row>
    <row r="70" spans="2:19" x14ac:dyDescent="0.45">
      <c r="B70" s="376"/>
      <c r="C70" s="376"/>
    </row>
    <row r="71" spans="2:19" x14ac:dyDescent="0.45">
      <c r="B71" s="376"/>
      <c r="C71" s="376"/>
    </row>
    <row r="72" spans="2:19" x14ac:dyDescent="0.45">
      <c r="B72" s="376"/>
      <c r="C72" s="376"/>
    </row>
    <row r="73" spans="2:19" x14ac:dyDescent="0.45">
      <c r="B73" s="376"/>
      <c r="C73" s="376"/>
    </row>
    <row r="74" spans="2:19" x14ac:dyDescent="0.45">
      <c r="B74" s="376"/>
      <c r="C74" s="376"/>
    </row>
    <row r="75" spans="2:19" x14ac:dyDescent="0.45">
      <c r="B75" s="376"/>
      <c r="C75" s="376"/>
    </row>
    <row r="76" spans="2:19" x14ac:dyDescent="0.45">
      <c r="B76" s="376"/>
      <c r="C76" s="376"/>
    </row>
    <row r="77" spans="2:19" x14ac:dyDescent="0.45">
      <c r="B77" s="376"/>
      <c r="C77" s="376"/>
    </row>
    <row r="78" spans="2:19" x14ac:dyDescent="0.45">
      <c r="B78" s="376"/>
      <c r="C78" s="376"/>
    </row>
    <row r="79" spans="2:19" x14ac:dyDescent="0.45">
      <c r="B79" s="376"/>
      <c r="C79" s="376"/>
    </row>
    <row r="80" spans="2:19" x14ac:dyDescent="0.45">
      <c r="B80" s="376"/>
      <c r="C80" s="376"/>
    </row>
    <row r="81" spans="2:3" x14ac:dyDescent="0.45">
      <c r="B81" s="376"/>
      <c r="C81" s="376"/>
    </row>
    <row r="82" spans="2:3" x14ac:dyDescent="0.45">
      <c r="B82" s="376"/>
      <c r="C82" s="376"/>
    </row>
    <row r="83" spans="2:3" x14ac:dyDescent="0.45">
      <c r="B83" s="376"/>
      <c r="C83" s="376"/>
    </row>
    <row r="84" spans="2:3" x14ac:dyDescent="0.45">
      <c r="B84" s="376"/>
      <c r="C84" s="376"/>
    </row>
    <row r="85" spans="2:3" x14ac:dyDescent="0.45">
      <c r="B85" s="376"/>
      <c r="C85" s="376"/>
    </row>
    <row r="86" spans="2:3" x14ac:dyDescent="0.45">
      <c r="B86" s="376"/>
      <c r="C86" s="376"/>
    </row>
    <row r="87" spans="2:3" x14ac:dyDescent="0.45">
      <c r="B87" s="376"/>
      <c r="C87" s="376"/>
    </row>
    <row r="88" spans="2:3" x14ac:dyDescent="0.45">
      <c r="B88" s="376"/>
      <c r="C88" s="376"/>
    </row>
    <row r="89" spans="2:3" x14ac:dyDescent="0.45">
      <c r="B89" s="376"/>
      <c r="C89" s="376"/>
    </row>
    <row r="90" spans="2:3" x14ac:dyDescent="0.45">
      <c r="B90" s="376"/>
      <c r="C90" s="376"/>
    </row>
    <row r="91" spans="2:3" x14ac:dyDescent="0.45">
      <c r="B91" s="376"/>
      <c r="C91" s="376"/>
    </row>
    <row r="92" spans="2:3" x14ac:dyDescent="0.45">
      <c r="B92" s="376"/>
      <c r="C92" s="376"/>
    </row>
    <row r="93" spans="2:3" x14ac:dyDescent="0.45">
      <c r="B93" s="376"/>
      <c r="C93" s="376"/>
    </row>
    <row r="94" spans="2:3" x14ac:dyDescent="0.45">
      <c r="B94" s="376"/>
      <c r="C94" s="376"/>
    </row>
    <row r="95" spans="2:3" x14ac:dyDescent="0.45">
      <c r="B95" s="376"/>
      <c r="C95" s="376"/>
    </row>
    <row r="96" spans="2:3" x14ac:dyDescent="0.45">
      <c r="B96" s="376"/>
      <c r="C96" s="376"/>
    </row>
    <row r="97" spans="2:3" x14ac:dyDescent="0.45">
      <c r="B97" s="376"/>
      <c r="C97" s="376"/>
    </row>
    <row r="98" spans="2:3" x14ac:dyDescent="0.45">
      <c r="B98" s="376"/>
      <c r="C98" s="376"/>
    </row>
    <row r="99" spans="2:3" x14ac:dyDescent="0.45">
      <c r="B99" s="376"/>
      <c r="C99" s="376"/>
    </row>
  </sheetData>
  <mergeCells count="2">
    <mergeCell ref="W2:Y2"/>
    <mergeCell ref="AA2:AC2"/>
  </mergeCells>
  <pageMargins left="0.7" right="0.7" top="0.75" bottom="0.75" header="0.3" footer="0.3"/>
  <pageSetup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E51F-C23F-49CA-AAD8-657690C82A4F}">
  <dimension ref="A1:Y520"/>
  <sheetViews>
    <sheetView zoomScale="70" zoomScaleNormal="70" workbookViewId="0">
      <selection sqref="A1:H1"/>
    </sheetView>
  </sheetViews>
  <sheetFormatPr defaultColWidth="8.84375" defaultRowHeight="12.9" x14ac:dyDescent="0.35"/>
  <cols>
    <col min="1" max="2" width="17.3828125" style="558" customWidth="1"/>
    <col min="3" max="3" width="11.53515625" style="562" bestFit="1" customWidth="1"/>
    <col min="4" max="4" width="10.53515625" style="562" customWidth="1"/>
    <col min="5" max="14" width="9.3828125" style="558" customWidth="1"/>
    <col min="15" max="21" width="8.84375" style="558"/>
    <col min="22" max="22" width="9.84375" style="558" bestFit="1" customWidth="1"/>
    <col min="23" max="16384" width="8.84375" style="558"/>
  </cols>
  <sheetData>
    <row r="1" spans="1:25" x14ac:dyDescent="0.35">
      <c r="A1" s="556"/>
      <c r="B1" s="557" t="s">
        <v>1532</v>
      </c>
      <c r="C1" s="558" t="s">
        <v>1433</v>
      </c>
      <c r="D1" s="558" t="s">
        <v>1435</v>
      </c>
      <c r="E1" s="558" t="s">
        <v>1436</v>
      </c>
      <c r="F1" s="558" t="s">
        <v>1438</v>
      </c>
      <c r="G1" s="558" t="s">
        <v>1439</v>
      </c>
      <c r="H1" s="558" t="s">
        <v>1441</v>
      </c>
    </row>
    <row r="2" spans="1:25" x14ac:dyDescent="0.35">
      <c r="A2" s="556"/>
      <c r="B2" s="376" t="s">
        <v>1533</v>
      </c>
      <c r="C2" s="376" t="str">
        <f>C1&amp;" US Equity"</f>
        <v>AWR US Equity</v>
      </c>
      <c r="D2" s="376" t="str">
        <f t="shared" ref="D2:H2" si="0">D1&amp;" US Equity"</f>
        <v>AWK US Equity</v>
      </c>
      <c r="E2" s="376" t="str">
        <f t="shared" si="0"/>
        <v>CWT US Equity</v>
      </c>
      <c r="F2" s="376" t="str">
        <f t="shared" si="0"/>
        <v>WTRG US Equity</v>
      </c>
      <c r="G2" s="376" t="str">
        <f t="shared" si="0"/>
        <v>MSEX US Equity</v>
      </c>
      <c r="H2" s="376" t="str">
        <f t="shared" si="0"/>
        <v>SJW US Equity</v>
      </c>
      <c r="K2" s="376"/>
      <c r="L2" s="376"/>
      <c r="M2" s="376"/>
      <c r="N2" s="376"/>
      <c r="O2" s="376"/>
      <c r="P2" s="376"/>
      <c r="V2" s="376"/>
      <c r="W2" s="376"/>
      <c r="X2" s="376"/>
      <c r="Y2" s="376"/>
    </row>
    <row r="3" spans="1:25" x14ac:dyDescent="0.35">
      <c r="A3" s="557">
        <v>1</v>
      </c>
      <c r="B3" s="559">
        <v>45121</v>
      </c>
      <c r="C3" s="560">
        <v>86.73</v>
      </c>
      <c r="D3" s="560">
        <v>146.21</v>
      </c>
      <c r="E3" s="560">
        <v>51.24</v>
      </c>
      <c r="F3" s="560">
        <v>41.18</v>
      </c>
      <c r="G3" s="560">
        <v>80.89</v>
      </c>
      <c r="H3" s="560">
        <v>69.989999999999995</v>
      </c>
      <c r="I3" s="561"/>
      <c r="J3" s="561"/>
      <c r="K3" s="561"/>
      <c r="L3" s="561"/>
      <c r="M3" s="561"/>
      <c r="N3" s="561"/>
      <c r="O3" s="561"/>
      <c r="P3" s="561"/>
    </row>
    <row r="4" spans="1:25" x14ac:dyDescent="0.35">
      <c r="A4" s="557">
        <f>A3+1</f>
        <v>2</v>
      </c>
      <c r="B4" s="559">
        <v>45120</v>
      </c>
      <c r="C4" s="560">
        <v>87.31</v>
      </c>
      <c r="D4" s="560">
        <v>145.44999999999999</v>
      </c>
      <c r="E4" s="560">
        <v>51.41</v>
      </c>
      <c r="F4" s="560">
        <v>41.44</v>
      </c>
      <c r="G4" s="560">
        <v>80.75</v>
      </c>
      <c r="H4" s="560">
        <v>70.58</v>
      </c>
      <c r="I4" s="561"/>
      <c r="J4" s="561"/>
      <c r="K4" s="561"/>
      <c r="L4" s="561"/>
      <c r="M4" s="561"/>
      <c r="N4" s="561"/>
      <c r="O4" s="561"/>
      <c r="P4" s="561"/>
    </row>
    <row r="5" spans="1:25" x14ac:dyDescent="0.35">
      <c r="A5" s="557">
        <f t="shared" ref="A5:A62" si="1">A4+1</f>
        <v>3</v>
      </c>
      <c r="B5" s="559">
        <v>45119</v>
      </c>
      <c r="C5" s="560">
        <v>86.53</v>
      </c>
      <c r="D5" s="560">
        <v>145.44</v>
      </c>
      <c r="E5" s="560">
        <v>50.8</v>
      </c>
      <c r="F5" s="560">
        <v>40.58</v>
      </c>
      <c r="G5" s="560">
        <v>80.25</v>
      </c>
      <c r="H5" s="560">
        <v>69.44</v>
      </c>
      <c r="I5" s="561"/>
      <c r="J5" s="561"/>
      <c r="K5" s="561"/>
      <c r="L5" s="561"/>
      <c r="M5" s="561"/>
      <c r="N5" s="561"/>
      <c r="O5" s="561"/>
      <c r="P5" s="561"/>
    </row>
    <row r="6" spans="1:25" x14ac:dyDescent="0.35">
      <c r="A6" s="557">
        <f t="shared" si="1"/>
        <v>4</v>
      </c>
      <c r="B6" s="559">
        <v>45118</v>
      </c>
      <c r="C6" s="560">
        <v>85.78</v>
      </c>
      <c r="D6" s="560">
        <v>142.53</v>
      </c>
      <c r="E6" s="560">
        <v>50.07</v>
      </c>
      <c r="F6" s="560">
        <v>39.57</v>
      </c>
      <c r="G6" s="560">
        <v>78.52</v>
      </c>
      <c r="H6" s="560">
        <v>68.11</v>
      </c>
      <c r="I6" s="561"/>
      <c r="J6" s="561"/>
      <c r="K6" s="561"/>
      <c r="L6" s="561"/>
      <c r="M6" s="561"/>
      <c r="N6" s="561"/>
      <c r="O6" s="561"/>
      <c r="P6" s="561"/>
    </row>
    <row r="7" spans="1:25" x14ac:dyDescent="0.35">
      <c r="A7" s="557">
        <f t="shared" si="1"/>
        <v>5</v>
      </c>
      <c r="B7" s="559">
        <v>45117</v>
      </c>
      <c r="C7" s="560">
        <v>84.29</v>
      </c>
      <c r="D7" s="560">
        <v>140.6</v>
      </c>
      <c r="E7" s="560">
        <v>49.3</v>
      </c>
      <c r="F7" s="560">
        <v>39.19</v>
      </c>
      <c r="G7" s="560">
        <v>77.55</v>
      </c>
      <c r="H7" s="560">
        <v>66.599999999999994</v>
      </c>
      <c r="I7" s="561"/>
      <c r="J7" s="561"/>
      <c r="K7" s="561"/>
      <c r="L7" s="561"/>
      <c r="M7" s="561"/>
      <c r="N7" s="561"/>
      <c r="O7" s="561"/>
      <c r="P7" s="561"/>
    </row>
    <row r="8" spans="1:25" x14ac:dyDescent="0.35">
      <c r="A8" s="557">
        <f t="shared" si="1"/>
        <v>6</v>
      </c>
      <c r="B8" s="559">
        <v>45114</v>
      </c>
      <c r="C8" s="560">
        <v>83.84</v>
      </c>
      <c r="D8" s="560">
        <v>141.06</v>
      </c>
      <c r="E8" s="560">
        <v>49.59</v>
      </c>
      <c r="F8" s="560">
        <v>39.15</v>
      </c>
      <c r="G8" s="560">
        <v>77.569999999999993</v>
      </c>
      <c r="H8" s="560">
        <v>66.760000000000005</v>
      </c>
      <c r="I8" s="561"/>
      <c r="J8" s="561"/>
      <c r="K8" s="561"/>
      <c r="L8" s="561"/>
      <c r="M8" s="561"/>
      <c r="N8" s="561"/>
      <c r="O8" s="561"/>
      <c r="P8" s="561"/>
    </row>
    <row r="9" spans="1:25" x14ac:dyDescent="0.35">
      <c r="A9" s="557">
        <f t="shared" si="1"/>
        <v>7</v>
      </c>
      <c r="B9" s="559">
        <v>45113</v>
      </c>
      <c r="C9" s="560">
        <v>87.34</v>
      </c>
      <c r="D9" s="560">
        <v>142.41999999999999</v>
      </c>
      <c r="E9" s="560">
        <v>50.48</v>
      </c>
      <c r="F9" s="560">
        <v>39.590000000000003</v>
      </c>
      <c r="G9" s="560">
        <v>78.650000000000006</v>
      </c>
      <c r="H9" s="560">
        <v>68.98</v>
      </c>
      <c r="I9" s="561"/>
      <c r="J9" s="561"/>
      <c r="K9" s="561"/>
      <c r="L9" s="561"/>
      <c r="M9" s="561"/>
      <c r="N9" s="561"/>
      <c r="O9" s="561"/>
      <c r="P9" s="561"/>
    </row>
    <row r="10" spans="1:25" x14ac:dyDescent="0.35">
      <c r="A10" s="557">
        <f t="shared" si="1"/>
        <v>8</v>
      </c>
      <c r="B10" s="559">
        <v>45112</v>
      </c>
      <c r="C10" s="560">
        <v>87</v>
      </c>
      <c r="D10" s="560">
        <v>144.80000000000001</v>
      </c>
      <c r="E10" s="560">
        <v>51.02</v>
      </c>
      <c r="F10" s="560">
        <v>40.21</v>
      </c>
      <c r="G10" s="560">
        <v>79.37</v>
      </c>
      <c r="H10" s="560">
        <v>69.930000000000007</v>
      </c>
      <c r="I10" s="561"/>
      <c r="J10" s="561"/>
      <c r="K10" s="561"/>
      <c r="L10" s="561"/>
      <c r="M10" s="561"/>
      <c r="N10" s="561"/>
      <c r="O10" s="561"/>
      <c r="P10" s="561"/>
    </row>
    <row r="11" spans="1:25" x14ac:dyDescent="0.35">
      <c r="A11" s="557">
        <f t="shared" si="1"/>
        <v>9</v>
      </c>
      <c r="B11" s="559">
        <v>45110</v>
      </c>
      <c r="C11" s="560">
        <v>87.58</v>
      </c>
      <c r="D11" s="560">
        <v>143.97</v>
      </c>
      <c r="E11" s="560">
        <v>51.88</v>
      </c>
      <c r="F11" s="560">
        <v>40.32</v>
      </c>
      <c r="G11" s="560">
        <v>80.62</v>
      </c>
      <c r="H11" s="560">
        <v>70.37</v>
      </c>
      <c r="I11" s="561"/>
      <c r="J11" s="561"/>
      <c r="K11" s="561"/>
      <c r="L11" s="561"/>
      <c r="M11" s="561"/>
      <c r="N11" s="561"/>
      <c r="O11" s="561"/>
      <c r="P11" s="561"/>
    </row>
    <row r="12" spans="1:25" x14ac:dyDescent="0.35">
      <c r="A12" s="557">
        <f t="shared" si="1"/>
        <v>10</v>
      </c>
      <c r="B12" s="559">
        <v>45107</v>
      </c>
      <c r="C12" s="560">
        <v>87</v>
      </c>
      <c r="D12" s="560">
        <v>142.75</v>
      </c>
      <c r="E12" s="560">
        <v>51.63</v>
      </c>
      <c r="F12" s="560">
        <v>39.909999999999997</v>
      </c>
      <c r="G12" s="560">
        <v>80.66</v>
      </c>
      <c r="H12" s="560">
        <v>70.11</v>
      </c>
      <c r="I12" s="561"/>
      <c r="J12" s="561"/>
      <c r="K12" s="561"/>
      <c r="L12" s="561"/>
      <c r="M12" s="561"/>
      <c r="N12" s="561"/>
      <c r="O12" s="561"/>
      <c r="P12" s="561"/>
    </row>
    <row r="13" spans="1:25" x14ac:dyDescent="0.35">
      <c r="A13" s="557">
        <f t="shared" si="1"/>
        <v>11</v>
      </c>
      <c r="B13" s="559">
        <v>45106</v>
      </c>
      <c r="C13" s="560">
        <v>86.89</v>
      </c>
      <c r="D13" s="560">
        <v>140.47</v>
      </c>
      <c r="E13" s="560">
        <v>51.74</v>
      </c>
      <c r="F13" s="560">
        <v>39.47</v>
      </c>
      <c r="G13" s="560">
        <v>80.319999999999993</v>
      </c>
      <c r="H13" s="560">
        <v>70.010000000000005</v>
      </c>
      <c r="I13" s="561"/>
      <c r="J13" s="561"/>
      <c r="K13" s="561"/>
      <c r="L13" s="561"/>
      <c r="M13" s="561"/>
      <c r="N13" s="561"/>
      <c r="O13" s="561"/>
      <c r="P13" s="561"/>
    </row>
    <row r="14" spans="1:25" x14ac:dyDescent="0.35">
      <c r="A14" s="557">
        <f t="shared" si="1"/>
        <v>12</v>
      </c>
      <c r="B14" s="559">
        <v>45105</v>
      </c>
      <c r="C14" s="560">
        <v>85.46</v>
      </c>
      <c r="D14" s="560">
        <v>140.97999999999999</v>
      </c>
      <c r="E14" s="560">
        <v>51.82</v>
      </c>
      <c r="F14" s="560">
        <v>39.56</v>
      </c>
      <c r="G14" s="560">
        <v>79.2</v>
      </c>
      <c r="H14" s="560">
        <v>69.400000000000006</v>
      </c>
      <c r="I14" s="561"/>
      <c r="J14" s="561"/>
      <c r="K14" s="561"/>
      <c r="L14" s="561"/>
      <c r="M14" s="561"/>
      <c r="N14" s="561"/>
      <c r="O14" s="561"/>
      <c r="P14" s="561"/>
    </row>
    <row r="15" spans="1:25" x14ac:dyDescent="0.35">
      <c r="A15" s="557">
        <f t="shared" si="1"/>
        <v>13</v>
      </c>
      <c r="B15" s="559">
        <v>45104</v>
      </c>
      <c r="C15" s="560">
        <v>86.14</v>
      </c>
      <c r="D15" s="560">
        <v>142.88</v>
      </c>
      <c r="E15" s="560">
        <v>51.04</v>
      </c>
      <c r="F15" s="560">
        <v>40.17</v>
      </c>
      <c r="G15" s="560">
        <v>80.06</v>
      </c>
      <c r="H15" s="560">
        <v>70.3</v>
      </c>
      <c r="I15" s="561"/>
      <c r="J15" s="561"/>
      <c r="K15" s="561"/>
      <c r="L15" s="561"/>
      <c r="M15" s="561"/>
      <c r="N15" s="561"/>
      <c r="O15" s="561"/>
      <c r="P15" s="561"/>
    </row>
    <row r="16" spans="1:25" x14ac:dyDescent="0.35">
      <c r="A16" s="557">
        <f t="shared" si="1"/>
        <v>14</v>
      </c>
      <c r="B16" s="559">
        <v>45103</v>
      </c>
      <c r="C16" s="560">
        <v>84.86</v>
      </c>
      <c r="D16" s="560">
        <v>140.22999999999999</v>
      </c>
      <c r="E16" s="560">
        <v>49.9</v>
      </c>
      <c r="F16" s="560">
        <v>39.840000000000003</v>
      </c>
      <c r="G16" s="560">
        <v>79.3</v>
      </c>
      <c r="H16" s="560">
        <v>69.37</v>
      </c>
      <c r="I16" s="561"/>
      <c r="J16" s="561"/>
      <c r="K16" s="561"/>
      <c r="L16" s="561"/>
      <c r="M16" s="561"/>
      <c r="N16" s="561"/>
      <c r="O16" s="561"/>
      <c r="P16" s="561"/>
    </row>
    <row r="17" spans="1:16" x14ac:dyDescent="0.35">
      <c r="A17" s="557">
        <f t="shared" si="1"/>
        <v>15</v>
      </c>
      <c r="B17" s="559">
        <v>45100</v>
      </c>
      <c r="C17" s="560">
        <v>84.64</v>
      </c>
      <c r="D17" s="560">
        <v>145.76</v>
      </c>
      <c r="E17" s="560">
        <v>50.28</v>
      </c>
      <c r="F17" s="560">
        <v>40.01</v>
      </c>
      <c r="G17" s="560">
        <v>78.260000000000005</v>
      </c>
      <c r="H17" s="560">
        <v>68.77</v>
      </c>
      <c r="I17" s="561"/>
      <c r="J17" s="561"/>
      <c r="K17" s="561"/>
      <c r="L17" s="561"/>
      <c r="M17" s="561"/>
      <c r="N17" s="561"/>
      <c r="O17" s="561"/>
      <c r="P17" s="561"/>
    </row>
    <row r="18" spans="1:16" x14ac:dyDescent="0.35">
      <c r="A18" s="557">
        <f t="shared" si="1"/>
        <v>16</v>
      </c>
      <c r="B18" s="559">
        <v>45099</v>
      </c>
      <c r="C18" s="560">
        <v>87.19</v>
      </c>
      <c r="D18" s="560">
        <v>148.5</v>
      </c>
      <c r="E18" s="560">
        <v>52.27</v>
      </c>
      <c r="F18" s="560">
        <v>40.89</v>
      </c>
      <c r="G18" s="560">
        <v>81.91</v>
      </c>
      <c r="H18" s="560">
        <v>71.599999999999994</v>
      </c>
      <c r="I18" s="561"/>
      <c r="J18" s="561"/>
      <c r="K18" s="561"/>
      <c r="L18" s="561"/>
      <c r="M18" s="561"/>
      <c r="N18" s="561"/>
      <c r="O18" s="561"/>
      <c r="P18" s="561"/>
    </row>
    <row r="19" spans="1:16" x14ac:dyDescent="0.35">
      <c r="A19" s="557">
        <f t="shared" si="1"/>
        <v>17</v>
      </c>
      <c r="B19" s="559">
        <v>45098</v>
      </c>
      <c r="C19" s="560">
        <v>87.53</v>
      </c>
      <c r="D19" s="560">
        <v>148.63999999999999</v>
      </c>
      <c r="E19" s="560">
        <v>52.17</v>
      </c>
      <c r="F19" s="560">
        <v>40.94</v>
      </c>
      <c r="G19" s="560">
        <v>81.69</v>
      </c>
      <c r="H19" s="560">
        <v>71.760000000000005</v>
      </c>
      <c r="I19" s="561"/>
      <c r="J19" s="561"/>
      <c r="K19" s="561"/>
      <c r="L19" s="561"/>
      <c r="M19" s="561"/>
      <c r="N19" s="561"/>
      <c r="O19" s="561"/>
      <c r="P19" s="561"/>
    </row>
    <row r="20" spans="1:16" x14ac:dyDescent="0.35">
      <c r="A20" s="557">
        <f t="shared" si="1"/>
        <v>18</v>
      </c>
      <c r="B20" s="559">
        <v>45097</v>
      </c>
      <c r="C20" s="560">
        <v>87.44</v>
      </c>
      <c r="D20" s="560">
        <v>148.11000000000001</v>
      </c>
      <c r="E20" s="560">
        <v>51.89</v>
      </c>
      <c r="F20" s="560">
        <v>41.13</v>
      </c>
      <c r="G20" s="560">
        <v>82.85</v>
      </c>
      <c r="H20" s="560">
        <v>71.52</v>
      </c>
      <c r="I20" s="561"/>
      <c r="J20" s="561"/>
      <c r="K20" s="561"/>
      <c r="L20" s="561"/>
      <c r="M20" s="561"/>
      <c r="N20" s="561"/>
      <c r="O20" s="561"/>
      <c r="P20" s="561"/>
    </row>
    <row r="21" spans="1:16" x14ac:dyDescent="0.35">
      <c r="A21" s="557">
        <f t="shared" si="1"/>
        <v>19</v>
      </c>
      <c r="B21" s="559">
        <v>45093</v>
      </c>
      <c r="C21" s="560">
        <v>87.67</v>
      </c>
      <c r="D21" s="560">
        <v>148.97999999999999</v>
      </c>
      <c r="E21" s="560">
        <v>52.47</v>
      </c>
      <c r="F21" s="560">
        <v>41.43</v>
      </c>
      <c r="G21" s="560">
        <v>82.51</v>
      </c>
      <c r="H21" s="560">
        <v>71.87</v>
      </c>
      <c r="I21" s="561"/>
      <c r="J21" s="561"/>
      <c r="K21" s="561"/>
      <c r="L21" s="561"/>
      <c r="M21" s="561"/>
      <c r="N21" s="561"/>
      <c r="O21" s="561"/>
      <c r="P21" s="561"/>
    </row>
    <row r="22" spans="1:16" x14ac:dyDescent="0.35">
      <c r="A22" s="557">
        <f t="shared" si="1"/>
        <v>20</v>
      </c>
      <c r="B22" s="559">
        <v>45092</v>
      </c>
      <c r="C22" s="560">
        <v>87.71</v>
      </c>
      <c r="D22" s="560">
        <v>148.09</v>
      </c>
      <c r="E22" s="560">
        <v>52.26</v>
      </c>
      <c r="F22" s="560">
        <v>41.64</v>
      </c>
      <c r="G22" s="560">
        <v>82.25</v>
      </c>
      <c r="H22" s="560">
        <v>72.599999999999994</v>
      </c>
      <c r="I22" s="561"/>
      <c r="J22" s="561"/>
      <c r="K22" s="561"/>
      <c r="L22" s="561"/>
      <c r="M22" s="561"/>
      <c r="N22" s="561"/>
      <c r="O22" s="561"/>
      <c r="P22" s="561"/>
    </row>
    <row r="23" spans="1:16" x14ac:dyDescent="0.35">
      <c r="A23" s="557">
        <f t="shared" si="1"/>
        <v>21</v>
      </c>
      <c r="B23" s="559">
        <v>45091</v>
      </c>
      <c r="C23" s="560">
        <v>86.3</v>
      </c>
      <c r="D23" s="560">
        <v>146.11000000000001</v>
      </c>
      <c r="E23" s="560">
        <v>51.59</v>
      </c>
      <c r="F23" s="560">
        <v>41.21</v>
      </c>
      <c r="G23" s="560">
        <v>80.95</v>
      </c>
      <c r="H23" s="560">
        <v>72.38</v>
      </c>
      <c r="I23" s="561"/>
      <c r="J23" s="561"/>
      <c r="K23" s="561"/>
      <c r="L23" s="561"/>
      <c r="M23" s="561"/>
      <c r="N23" s="561"/>
      <c r="O23" s="561"/>
      <c r="P23" s="561"/>
    </row>
    <row r="24" spans="1:16" x14ac:dyDescent="0.35">
      <c r="A24" s="557">
        <f t="shared" si="1"/>
        <v>22</v>
      </c>
      <c r="B24" s="559">
        <v>45090</v>
      </c>
      <c r="C24" s="560">
        <v>87.37</v>
      </c>
      <c r="D24" s="560">
        <v>146.36000000000001</v>
      </c>
      <c r="E24" s="560">
        <v>53.87</v>
      </c>
      <c r="F24" s="560">
        <v>41.4</v>
      </c>
      <c r="G24" s="560">
        <v>81.680000000000007</v>
      </c>
      <c r="H24" s="560">
        <v>72.42</v>
      </c>
      <c r="I24" s="561"/>
      <c r="J24" s="561"/>
      <c r="K24" s="561"/>
      <c r="L24" s="561"/>
      <c r="M24" s="561"/>
      <c r="N24" s="561"/>
      <c r="O24" s="561"/>
      <c r="P24" s="561"/>
    </row>
    <row r="25" spans="1:16" x14ac:dyDescent="0.35">
      <c r="A25" s="557">
        <f t="shared" si="1"/>
        <v>23</v>
      </c>
      <c r="B25" s="559">
        <v>45089</v>
      </c>
      <c r="C25" s="560">
        <v>87.41</v>
      </c>
      <c r="D25" s="560">
        <v>146.03</v>
      </c>
      <c r="E25" s="560">
        <v>53.83</v>
      </c>
      <c r="F25" s="560">
        <v>41.36</v>
      </c>
      <c r="G25" s="560">
        <v>82.07</v>
      </c>
      <c r="H25" s="560">
        <v>71.61</v>
      </c>
      <c r="I25" s="561"/>
      <c r="J25" s="561"/>
      <c r="K25" s="561"/>
      <c r="L25" s="561"/>
      <c r="M25" s="561"/>
      <c r="N25" s="561"/>
      <c r="O25" s="561"/>
      <c r="P25" s="561"/>
    </row>
    <row r="26" spans="1:16" x14ac:dyDescent="0.35">
      <c r="A26" s="557">
        <f t="shared" si="1"/>
        <v>24</v>
      </c>
      <c r="B26" s="559">
        <v>45086</v>
      </c>
      <c r="C26" s="560">
        <v>90.62</v>
      </c>
      <c r="D26" s="560">
        <v>146.66</v>
      </c>
      <c r="E26" s="560">
        <v>56.34</v>
      </c>
      <c r="F26" s="560">
        <v>41.61</v>
      </c>
      <c r="G26" s="560">
        <v>83.78</v>
      </c>
      <c r="H26" s="560">
        <v>75.430000000000007</v>
      </c>
      <c r="I26" s="561"/>
      <c r="J26" s="561"/>
      <c r="K26" s="561"/>
      <c r="L26" s="561"/>
      <c r="M26" s="561"/>
      <c r="N26" s="561"/>
      <c r="O26" s="561"/>
      <c r="P26" s="561"/>
    </row>
    <row r="27" spans="1:16" x14ac:dyDescent="0.35">
      <c r="A27" s="557">
        <f t="shared" si="1"/>
        <v>25</v>
      </c>
      <c r="B27" s="559">
        <v>45085</v>
      </c>
      <c r="C27" s="560">
        <v>91.12</v>
      </c>
      <c r="D27" s="560">
        <v>147.12</v>
      </c>
      <c r="E27" s="560">
        <v>57.06</v>
      </c>
      <c r="F27" s="560">
        <v>41.92</v>
      </c>
      <c r="G27" s="560">
        <v>83.78</v>
      </c>
      <c r="H27" s="560">
        <v>75.88</v>
      </c>
      <c r="I27" s="561"/>
      <c r="J27" s="561"/>
      <c r="K27" s="561"/>
      <c r="L27" s="561"/>
      <c r="M27" s="561"/>
      <c r="N27" s="561"/>
      <c r="O27" s="561"/>
      <c r="P27" s="561"/>
    </row>
    <row r="28" spans="1:16" x14ac:dyDescent="0.35">
      <c r="A28" s="557">
        <f t="shared" si="1"/>
        <v>26</v>
      </c>
      <c r="B28" s="559">
        <v>45084</v>
      </c>
      <c r="C28" s="560">
        <v>92.32</v>
      </c>
      <c r="D28" s="560">
        <v>147.08000000000001</v>
      </c>
      <c r="E28" s="560">
        <v>57.75</v>
      </c>
      <c r="F28" s="560">
        <v>41.71</v>
      </c>
      <c r="G28" s="560">
        <v>83.62</v>
      </c>
      <c r="H28" s="560">
        <v>76.099999999999994</v>
      </c>
      <c r="I28" s="561"/>
      <c r="J28" s="561"/>
      <c r="K28" s="561"/>
      <c r="L28" s="561"/>
      <c r="M28" s="561"/>
      <c r="N28" s="561"/>
      <c r="O28" s="561"/>
      <c r="P28" s="561"/>
    </row>
    <row r="29" spans="1:16" x14ac:dyDescent="0.35">
      <c r="A29" s="557">
        <f t="shared" si="1"/>
        <v>27</v>
      </c>
      <c r="B29" s="559">
        <v>45083</v>
      </c>
      <c r="C29" s="560">
        <v>90.57</v>
      </c>
      <c r="D29" s="560">
        <v>144.79</v>
      </c>
      <c r="E29" s="560">
        <v>57.12</v>
      </c>
      <c r="F29" s="560">
        <v>40.94</v>
      </c>
      <c r="G29" s="560">
        <v>82.67</v>
      </c>
      <c r="H29" s="560">
        <v>74.67</v>
      </c>
      <c r="I29" s="561"/>
      <c r="J29" s="561"/>
      <c r="K29" s="561"/>
      <c r="L29" s="561"/>
      <c r="M29" s="561"/>
      <c r="N29" s="561"/>
      <c r="O29" s="561"/>
      <c r="P29" s="561"/>
    </row>
    <row r="30" spans="1:16" x14ac:dyDescent="0.35">
      <c r="A30" s="557">
        <f t="shared" si="1"/>
        <v>28</v>
      </c>
      <c r="B30" s="559">
        <v>45082</v>
      </c>
      <c r="C30" s="560">
        <v>89.56</v>
      </c>
      <c r="D30" s="560">
        <v>145.91</v>
      </c>
      <c r="E30" s="560">
        <v>56.87</v>
      </c>
      <c r="F30" s="560">
        <v>40.89</v>
      </c>
      <c r="G30" s="560">
        <v>81.7</v>
      </c>
      <c r="H30" s="560">
        <v>75.209999999999994</v>
      </c>
      <c r="I30" s="561"/>
      <c r="J30" s="561"/>
      <c r="K30" s="561"/>
      <c r="L30" s="561"/>
      <c r="M30" s="561"/>
      <c r="N30" s="561"/>
      <c r="O30" s="561"/>
      <c r="P30" s="561"/>
    </row>
    <row r="31" spans="1:16" x14ac:dyDescent="0.35">
      <c r="A31" s="557">
        <f t="shared" si="1"/>
        <v>29</v>
      </c>
      <c r="B31" s="559">
        <v>45079</v>
      </c>
      <c r="C31" s="560">
        <v>91.61</v>
      </c>
      <c r="D31" s="560">
        <v>145.79</v>
      </c>
      <c r="E31" s="560">
        <v>57.89</v>
      </c>
      <c r="F31" s="560">
        <v>40.94</v>
      </c>
      <c r="G31" s="560">
        <v>82.52</v>
      </c>
      <c r="H31" s="560">
        <v>76.53</v>
      </c>
      <c r="I31" s="561"/>
      <c r="J31" s="561"/>
      <c r="K31" s="561"/>
      <c r="L31" s="561"/>
      <c r="M31" s="561"/>
      <c r="N31" s="561"/>
      <c r="O31" s="561"/>
      <c r="P31" s="561"/>
    </row>
    <row r="32" spans="1:16" x14ac:dyDescent="0.35">
      <c r="A32" s="557">
        <f t="shared" si="1"/>
        <v>30</v>
      </c>
      <c r="B32" s="559">
        <v>45078</v>
      </c>
      <c r="C32" s="560">
        <v>88.79</v>
      </c>
      <c r="D32" s="560">
        <v>143.57</v>
      </c>
      <c r="E32" s="560">
        <v>56.12</v>
      </c>
      <c r="F32" s="560">
        <v>39.96</v>
      </c>
      <c r="G32" s="560">
        <v>79.709999999999994</v>
      </c>
      <c r="H32" s="560">
        <v>74.569999999999993</v>
      </c>
      <c r="I32" s="561"/>
      <c r="J32" s="561"/>
      <c r="K32" s="561"/>
      <c r="L32" s="561"/>
      <c r="M32" s="561"/>
      <c r="N32" s="561"/>
      <c r="O32" s="561"/>
      <c r="P32" s="561"/>
    </row>
    <row r="33" spans="1:16" x14ac:dyDescent="0.35">
      <c r="A33" s="557">
        <f t="shared" si="1"/>
        <v>31</v>
      </c>
      <c r="B33" s="559">
        <v>45077</v>
      </c>
      <c r="C33" s="560">
        <v>88.82</v>
      </c>
      <c r="D33" s="560">
        <v>144.44999999999999</v>
      </c>
      <c r="E33" s="560">
        <v>56.91</v>
      </c>
      <c r="F33" s="560">
        <v>40.74</v>
      </c>
      <c r="G33" s="560">
        <v>81.36</v>
      </c>
      <c r="H33" s="560">
        <v>76.53</v>
      </c>
      <c r="I33" s="561"/>
      <c r="J33" s="561"/>
      <c r="K33" s="561"/>
      <c r="L33" s="561"/>
      <c r="M33" s="561"/>
      <c r="N33" s="561"/>
      <c r="O33" s="561"/>
      <c r="P33" s="561"/>
    </row>
    <row r="34" spans="1:16" x14ac:dyDescent="0.35">
      <c r="A34" s="557">
        <f t="shared" si="1"/>
        <v>32</v>
      </c>
      <c r="B34" s="559">
        <v>45076</v>
      </c>
      <c r="C34" s="560">
        <v>88.18</v>
      </c>
      <c r="D34" s="560">
        <v>143.19999999999999</v>
      </c>
      <c r="E34" s="560">
        <v>56.34</v>
      </c>
      <c r="F34" s="560">
        <v>40.270000000000003</v>
      </c>
      <c r="G34" s="560">
        <v>80.12</v>
      </c>
      <c r="H34" s="560">
        <v>76.28</v>
      </c>
      <c r="I34" s="561"/>
      <c r="J34" s="561"/>
      <c r="K34" s="561"/>
      <c r="L34" s="561"/>
      <c r="M34" s="561"/>
      <c r="N34" s="561"/>
      <c r="O34" s="561"/>
      <c r="P34" s="561"/>
    </row>
    <row r="35" spans="1:16" x14ac:dyDescent="0.35">
      <c r="A35" s="557">
        <f t="shared" si="1"/>
        <v>33</v>
      </c>
      <c r="B35" s="559">
        <v>45072</v>
      </c>
      <c r="C35" s="560">
        <v>89.99</v>
      </c>
      <c r="D35" s="560">
        <v>143.46</v>
      </c>
      <c r="E35" s="560">
        <v>57.13</v>
      </c>
      <c r="F35" s="560">
        <v>40.61</v>
      </c>
      <c r="G35" s="560">
        <v>79.09</v>
      </c>
      <c r="H35" s="560">
        <v>76.14</v>
      </c>
      <c r="I35" s="561"/>
      <c r="J35" s="561"/>
      <c r="K35" s="561"/>
      <c r="L35" s="561"/>
      <c r="M35" s="561"/>
      <c r="N35" s="561"/>
      <c r="O35" s="561"/>
      <c r="P35" s="561"/>
    </row>
    <row r="36" spans="1:16" x14ac:dyDescent="0.35">
      <c r="A36" s="557">
        <f t="shared" si="1"/>
        <v>34</v>
      </c>
      <c r="B36" s="559">
        <v>45071</v>
      </c>
      <c r="C36" s="560">
        <v>87.73</v>
      </c>
      <c r="D36" s="560">
        <v>142.44999999999999</v>
      </c>
      <c r="E36" s="560">
        <v>55.74</v>
      </c>
      <c r="F36" s="560">
        <v>40.159999999999997</v>
      </c>
      <c r="G36" s="560">
        <v>77.37</v>
      </c>
      <c r="H36" s="560">
        <v>74.790000000000006</v>
      </c>
      <c r="I36" s="561"/>
      <c r="J36" s="561"/>
      <c r="K36" s="561"/>
      <c r="L36" s="561"/>
      <c r="M36" s="561"/>
      <c r="N36" s="561"/>
      <c r="O36" s="561"/>
      <c r="P36" s="561"/>
    </row>
    <row r="37" spans="1:16" x14ac:dyDescent="0.35">
      <c r="A37" s="557">
        <f t="shared" si="1"/>
        <v>35</v>
      </c>
      <c r="B37" s="559">
        <v>45070</v>
      </c>
      <c r="C37" s="560">
        <v>88.32</v>
      </c>
      <c r="D37" s="560">
        <v>143.16999999999999</v>
      </c>
      <c r="E37" s="560">
        <v>56.13</v>
      </c>
      <c r="F37" s="560">
        <v>40.770000000000003</v>
      </c>
      <c r="G37" s="560">
        <v>78.099999999999994</v>
      </c>
      <c r="H37" s="560">
        <v>75.260000000000005</v>
      </c>
      <c r="I37" s="561"/>
      <c r="J37" s="561"/>
      <c r="K37" s="561"/>
      <c r="L37" s="561"/>
      <c r="M37" s="561"/>
      <c r="N37" s="561"/>
      <c r="O37" s="561"/>
      <c r="P37" s="561"/>
    </row>
    <row r="38" spans="1:16" x14ac:dyDescent="0.35">
      <c r="A38" s="557">
        <f t="shared" si="1"/>
        <v>36</v>
      </c>
      <c r="B38" s="559">
        <v>45069</v>
      </c>
      <c r="C38" s="560">
        <v>89.26</v>
      </c>
      <c r="D38" s="560">
        <v>143.5</v>
      </c>
      <c r="E38" s="560">
        <v>56.23</v>
      </c>
      <c r="F38" s="560">
        <v>40.72</v>
      </c>
      <c r="G38" s="560">
        <v>77.42</v>
      </c>
      <c r="H38" s="560">
        <v>75.59</v>
      </c>
      <c r="I38" s="561"/>
      <c r="J38" s="561"/>
      <c r="K38" s="561"/>
      <c r="L38" s="561"/>
      <c r="M38" s="561"/>
      <c r="N38" s="561"/>
      <c r="O38" s="561"/>
      <c r="P38" s="561"/>
    </row>
    <row r="39" spans="1:16" x14ac:dyDescent="0.35">
      <c r="A39" s="557">
        <f t="shared" si="1"/>
        <v>37</v>
      </c>
      <c r="B39" s="559">
        <v>45068</v>
      </c>
      <c r="C39" s="560">
        <v>89.25</v>
      </c>
      <c r="D39" s="560">
        <v>143.57</v>
      </c>
      <c r="E39" s="560">
        <v>55.45</v>
      </c>
      <c r="F39" s="560">
        <v>40.520000000000003</v>
      </c>
      <c r="G39" s="560">
        <v>76.930000000000007</v>
      </c>
      <c r="H39" s="560">
        <v>75.510000000000005</v>
      </c>
      <c r="I39" s="561"/>
      <c r="J39" s="561"/>
      <c r="K39" s="561"/>
      <c r="L39" s="561"/>
      <c r="M39" s="561"/>
      <c r="N39" s="561"/>
      <c r="O39" s="561"/>
      <c r="P39" s="561"/>
    </row>
    <row r="40" spans="1:16" x14ac:dyDescent="0.35">
      <c r="A40" s="557">
        <f t="shared" si="1"/>
        <v>38</v>
      </c>
      <c r="B40" s="559">
        <v>45065</v>
      </c>
      <c r="C40" s="560">
        <v>86.88</v>
      </c>
      <c r="D40" s="560">
        <v>141.44999999999999</v>
      </c>
      <c r="E40" s="560">
        <v>54.62</v>
      </c>
      <c r="F40" s="560">
        <v>40.25</v>
      </c>
      <c r="G40" s="560">
        <v>75.290000000000006</v>
      </c>
      <c r="H40" s="560">
        <v>74.22</v>
      </c>
      <c r="I40" s="561"/>
      <c r="J40" s="561"/>
      <c r="K40" s="561"/>
      <c r="L40" s="561"/>
      <c r="M40" s="561"/>
      <c r="N40" s="561"/>
      <c r="O40" s="561"/>
      <c r="P40" s="561"/>
    </row>
    <row r="41" spans="1:16" x14ac:dyDescent="0.35">
      <c r="A41" s="557">
        <f t="shared" si="1"/>
        <v>39</v>
      </c>
      <c r="B41" s="559">
        <v>45064</v>
      </c>
      <c r="C41" s="560">
        <v>89.71</v>
      </c>
      <c r="D41" s="560">
        <v>141.72999999999999</v>
      </c>
      <c r="E41" s="560">
        <v>55.46</v>
      </c>
      <c r="F41" s="560">
        <v>40.47</v>
      </c>
      <c r="G41" s="560">
        <v>76.400000000000006</v>
      </c>
      <c r="H41" s="560">
        <v>75.23</v>
      </c>
      <c r="I41" s="561"/>
      <c r="J41" s="561"/>
      <c r="K41" s="561"/>
      <c r="L41" s="561"/>
      <c r="M41" s="561"/>
      <c r="N41" s="561"/>
      <c r="O41" s="561"/>
      <c r="P41" s="561"/>
    </row>
    <row r="42" spans="1:16" x14ac:dyDescent="0.35">
      <c r="A42" s="557">
        <f t="shared" si="1"/>
        <v>40</v>
      </c>
      <c r="B42" s="559">
        <v>45063</v>
      </c>
      <c r="C42" s="560">
        <v>91.15</v>
      </c>
      <c r="D42" s="560">
        <v>143.61000000000001</v>
      </c>
      <c r="E42" s="560">
        <v>56.09</v>
      </c>
      <c r="F42" s="560">
        <v>41.06</v>
      </c>
      <c r="G42" s="560">
        <v>74.959999999999994</v>
      </c>
      <c r="H42" s="560">
        <v>75.72</v>
      </c>
      <c r="I42" s="561"/>
      <c r="J42" s="561"/>
      <c r="K42" s="561"/>
      <c r="L42" s="561"/>
      <c r="M42" s="561"/>
      <c r="N42" s="561"/>
      <c r="O42" s="561"/>
      <c r="P42" s="561"/>
    </row>
    <row r="43" spans="1:16" x14ac:dyDescent="0.35">
      <c r="A43" s="557">
        <f t="shared" si="1"/>
        <v>41</v>
      </c>
      <c r="B43" s="559">
        <v>45062</v>
      </c>
      <c r="C43" s="560">
        <v>89.76</v>
      </c>
      <c r="D43" s="560">
        <v>144.69999999999999</v>
      </c>
      <c r="E43" s="560">
        <v>55.7</v>
      </c>
      <c r="F43" s="560">
        <v>41.13</v>
      </c>
      <c r="G43" s="560">
        <v>73.02</v>
      </c>
      <c r="H43" s="560">
        <v>75.17</v>
      </c>
      <c r="I43" s="561"/>
      <c r="J43" s="561"/>
      <c r="K43" s="561"/>
      <c r="L43" s="561"/>
      <c r="M43" s="561"/>
      <c r="N43" s="561"/>
      <c r="O43" s="561"/>
      <c r="P43" s="561"/>
    </row>
    <row r="44" spans="1:16" x14ac:dyDescent="0.35">
      <c r="A44" s="557">
        <f t="shared" si="1"/>
        <v>42</v>
      </c>
      <c r="B44" s="559">
        <v>45061</v>
      </c>
      <c r="C44" s="560">
        <v>90.6</v>
      </c>
      <c r="D44" s="560">
        <v>147.56</v>
      </c>
      <c r="E44" s="560">
        <v>56.6</v>
      </c>
      <c r="F44" s="560">
        <v>42.01</v>
      </c>
      <c r="G44" s="560">
        <v>74.14</v>
      </c>
      <c r="H44" s="560">
        <v>76.64</v>
      </c>
      <c r="I44" s="561"/>
      <c r="J44" s="561"/>
      <c r="K44" s="561"/>
      <c r="L44" s="561"/>
      <c r="M44" s="561"/>
      <c r="N44" s="561"/>
      <c r="O44" s="561"/>
      <c r="P44" s="561"/>
    </row>
    <row r="45" spans="1:16" x14ac:dyDescent="0.35">
      <c r="A45" s="557">
        <f t="shared" si="1"/>
        <v>43</v>
      </c>
      <c r="B45" s="559">
        <v>45058</v>
      </c>
      <c r="C45" s="560">
        <v>91.77</v>
      </c>
      <c r="D45" s="560">
        <v>149.77000000000001</v>
      </c>
      <c r="E45" s="560">
        <v>57.12</v>
      </c>
      <c r="F45" s="560">
        <v>42.53</v>
      </c>
      <c r="G45" s="560">
        <v>73.430000000000007</v>
      </c>
      <c r="H45" s="560">
        <v>75.78</v>
      </c>
      <c r="I45" s="561"/>
      <c r="J45" s="561"/>
      <c r="K45" s="561"/>
      <c r="L45" s="561"/>
      <c r="M45" s="561"/>
      <c r="N45" s="561"/>
      <c r="O45" s="561"/>
      <c r="P45" s="561"/>
    </row>
    <row r="46" spans="1:16" x14ac:dyDescent="0.35">
      <c r="A46" s="557">
        <f t="shared" si="1"/>
        <v>44</v>
      </c>
      <c r="B46" s="559">
        <v>45057</v>
      </c>
      <c r="C46" s="560">
        <v>89.46</v>
      </c>
      <c r="D46" s="560">
        <v>149.41999999999999</v>
      </c>
      <c r="E46" s="560">
        <v>56.76</v>
      </c>
      <c r="F46" s="560">
        <v>42.19</v>
      </c>
      <c r="G46" s="560">
        <v>72.73</v>
      </c>
      <c r="H46" s="560">
        <v>76.180000000000007</v>
      </c>
      <c r="I46" s="561"/>
      <c r="J46" s="561"/>
      <c r="K46" s="561"/>
      <c r="L46" s="561"/>
      <c r="M46" s="561"/>
      <c r="N46" s="561"/>
      <c r="O46" s="561"/>
      <c r="P46" s="561"/>
    </row>
    <row r="47" spans="1:16" x14ac:dyDescent="0.35">
      <c r="A47" s="557">
        <f t="shared" si="1"/>
        <v>45</v>
      </c>
      <c r="B47" s="559">
        <v>45056</v>
      </c>
      <c r="C47" s="560">
        <v>92.13</v>
      </c>
      <c r="D47" s="560">
        <v>149.74</v>
      </c>
      <c r="E47" s="560">
        <v>57.3</v>
      </c>
      <c r="F47" s="560">
        <v>42.97</v>
      </c>
      <c r="G47" s="560">
        <v>74.33</v>
      </c>
      <c r="H47" s="560">
        <v>77.66</v>
      </c>
      <c r="I47" s="561"/>
      <c r="J47" s="561"/>
      <c r="K47" s="561"/>
      <c r="L47" s="561"/>
      <c r="M47" s="561"/>
      <c r="N47" s="561"/>
      <c r="O47" s="561"/>
      <c r="P47" s="561"/>
    </row>
    <row r="48" spans="1:16" x14ac:dyDescent="0.35">
      <c r="A48" s="557">
        <f t="shared" si="1"/>
        <v>46</v>
      </c>
      <c r="B48" s="559">
        <v>45055</v>
      </c>
      <c r="C48" s="560">
        <v>90.3</v>
      </c>
      <c r="D48" s="560">
        <v>147.88</v>
      </c>
      <c r="E48" s="560">
        <v>56.46</v>
      </c>
      <c r="F48" s="560">
        <v>42.41</v>
      </c>
      <c r="G48" s="560">
        <v>74.209999999999994</v>
      </c>
      <c r="H48" s="560">
        <v>76.34</v>
      </c>
      <c r="I48" s="561"/>
      <c r="J48" s="561"/>
      <c r="K48" s="561"/>
      <c r="L48" s="561"/>
      <c r="M48" s="561"/>
      <c r="N48" s="561"/>
      <c r="O48" s="561"/>
      <c r="P48" s="561"/>
    </row>
    <row r="49" spans="1:16" x14ac:dyDescent="0.35">
      <c r="A49" s="557">
        <f t="shared" si="1"/>
        <v>47</v>
      </c>
      <c r="B49" s="559">
        <v>45054</v>
      </c>
      <c r="C49" s="560">
        <v>90.46</v>
      </c>
      <c r="D49" s="560">
        <v>147.47</v>
      </c>
      <c r="E49" s="560">
        <v>56.6</v>
      </c>
      <c r="F49" s="560">
        <v>42.84</v>
      </c>
      <c r="G49" s="560">
        <v>74.05</v>
      </c>
      <c r="H49" s="560">
        <v>76.400000000000006</v>
      </c>
      <c r="I49" s="561"/>
      <c r="J49" s="561"/>
      <c r="K49" s="561"/>
      <c r="L49" s="561"/>
      <c r="M49" s="561"/>
      <c r="N49" s="561"/>
      <c r="O49" s="561"/>
      <c r="P49" s="561"/>
    </row>
    <row r="50" spans="1:16" x14ac:dyDescent="0.35">
      <c r="A50" s="557">
        <f t="shared" si="1"/>
        <v>48</v>
      </c>
      <c r="B50" s="559">
        <v>45051</v>
      </c>
      <c r="C50" s="560">
        <v>90.88</v>
      </c>
      <c r="D50" s="560">
        <v>148.43</v>
      </c>
      <c r="E50" s="560">
        <v>57.03</v>
      </c>
      <c r="F50" s="560">
        <v>43.07</v>
      </c>
      <c r="G50" s="560">
        <v>73.89</v>
      </c>
      <c r="H50" s="560">
        <v>76.650000000000006</v>
      </c>
      <c r="I50" s="561"/>
      <c r="J50" s="561"/>
      <c r="K50" s="561"/>
      <c r="L50" s="561"/>
      <c r="M50" s="561"/>
      <c r="N50" s="561"/>
      <c r="O50" s="561"/>
      <c r="P50" s="561"/>
    </row>
    <row r="51" spans="1:16" x14ac:dyDescent="0.35">
      <c r="A51" s="557">
        <f t="shared" si="1"/>
        <v>49</v>
      </c>
      <c r="B51" s="559">
        <v>45050</v>
      </c>
      <c r="C51" s="560">
        <v>90.71</v>
      </c>
      <c r="D51" s="560">
        <v>147.82</v>
      </c>
      <c r="E51" s="560">
        <v>56.92</v>
      </c>
      <c r="F51" s="560">
        <v>42.74</v>
      </c>
      <c r="G51" s="560">
        <v>72.45</v>
      </c>
      <c r="H51" s="560">
        <v>76.260000000000005</v>
      </c>
      <c r="I51" s="561"/>
      <c r="J51" s="561"/>
      <c r="K51" s="561"/>
      <c r="L51" s="561"/>
      <c r="M51" s="561"/>
      <c r="N51" s="561"/>
      <c r="O51" s="561"/>
      <c r="P51" s="561"/>
    </row>
    <row r="52" spans="1:16" x14ac:dyDescent="0.35">
      <c r="A52" s="557">
        <f t="shared" si="1"/>
        <v>50</v>
      </c>
      <c r="B52" s="559">
        <v>45049</v>
      </c>
      <c r="C52" s="560">
        <v>89.16</v>
      </c>
      <c r="D52" s="560">
        <v>146.49</v>
      </c>
      <c r="E52" s="560">
        <v>55.99</v>
      </c>
      <c r="F52" s="560">
        <v>42.28</v>
      </c>
      <c r="G52" s="560">
        <v>71.58</v>
      </c>
      <c r="H52" s="560">
        <v>75.53</v>
      </c>
      <c r="I52" s="561"/>
      <c r="J52" s="561"/>
      <c r="K52" s="561"/>
      <c r="L52" s="561"/>
      <c r="M52" s="561"/>
      <c r="N52" s="561"/>
      <c r="O52" s="561"/>
      <c r="P52" s="561"/>
    </row>
    <row r="53" spans="1:16" x14ac:dyDescent="0.35">
      <c r="A53" s="557">
        <f t="shared" si="1"/>
        <v>51</v>
      </c>
      <c r="B53" s="559">
        <v>45048</v>
      </c>
      <c r="C53" s="560">
        <v>88.42</v>
      </c>
      <c r="D53" s="560">
        <v>146.74</v>
      </c>
      <c r="E53" s="560">
        <v>55.81</v>
      </c>
      <c r="F53" s="560">
        <v>42.28</v>
      </c>
      <c r="G53" s="560">
        <v>69.37</v>
      </c>
      <c r="H53" s="560">
        <v>75.709999999999994</v>
      </c>
      <c r="I53" s="561"/>
      <c r="J53" s="561"/>
      <c r="K53" s="561"/>
      <c r="L53" s="561"/>
      <c r="M53" s="561"/>
      <c r="N53" s="561"/>
      <c r="O53" s="561"/>
      <c r="P53" s="561"/>
    </row>
    <row r="54" spans="1:16" x14ac:dyDescent="0.35">
      <c r="A54" s="557">
        <f t="shared" si="1"/>
        <v>52</v>
      </c>
      <c r="B54" s="559">
        <v>45047</v>
      </c>
      <c r="C54" s="560">
        <v>88.01</v>
      </c>
      <c r="D54" s="560">
        <v>146.59</v>
      </c>
      <c r="E54" s="560">
        <v>55.46</v>
      </c>
      <c r="F54" s="560">
        <v>42.71</v>
      </c>
      <c r="G54" s="560">
        <v>72.59</v>
      </c>
      <c r="H54" s="560">
        <v>75.819999999999993</v>
      </c>
      <c r="I54" s="561"/>
      <c r="J54" s="561"/>
      <c r="K54" s="561"/>
      <c r="L54" s="561"/>
      <c r="M54" s="561"/>
      <c r="N54" s="561"/>
      <c r="O54" s="561"/>
      <c r="P54" s="561"/>
    </row>
    <row r="55" spans="1:16" x14ac:dyDescent="0.35">
      <c r="A55" s="557">
        <f t="shared" si="1"/>
        <v>53</v>
      </c>
      <c r="B55" s="559">
        <v>45044</v>
      </c>
      <c r="C55" s="560">
        <v>88.75</v>
      </c>
      <c r="D55" s="560">
        <v>148.25</v>
      </c>
      <c r="E55" s="560">
        <v>56.08</v>
      </c>
      <c r="F55" s="560">
        <v>42.7</v>
      </c>
      <c r="G55" s="560">
        <v>72.98</v>
      </c>
      <c r="H55" s="560">
        <v>75.92</v>
      </c>
      <c r="I55" s="561"/>
      <c r="J55" s="561"/>
      <c r="K55" s="561"/>
      <c r="L55" s="561"/>
      <c r="M55" s="561"/>
      <c r="N55" s="561"/>
      <c r="O55" s="561"/>
      <c r="P55" s="561"/>
    </row>
    <row r="56" spans="1:16" x14ac:dyDescent="0.35">
      <c r="A56" s="557">
        <f t="shared" si="1"/>
        <v>54</v>
      </c>
      <c r="B56" s="559">
        <v>45043</v>
      </c>
      <c r="C56" s="560">
        <v>89.92</v>
      </c>
      <c r="D56" s="560">
        <v>148.46</v>
      </c>
      <c r="E56" s="560">
        <v>56.77</v>
      </c>
      <c r="F56" s="560">
        <v>42.84</v>
      </c>
      <c r="G56" s="560">
        <v>74.069999999999993</v>
      </c>
      <c r="H56" s="560">
        <v>76.989999999999995</v>
      </c>
      <c r="I56" s="561"/>
      <c r="J56" s="561"/>
      <c r="K56" s="561"/>
      <c r="L56" s="561"/>
      <c r="M56" s="561"/>
      <c r="N56" s="561"/>
      <c r="O56" s="561"/>
      <c r="P56" s="561"/>
    </row>
    <row r="57" spans="1:16" x14ac:dyDescent="0.35">
      <c r="A57" s="557">
        <f t="shared" si="1"/>
        <v>55</v>
      </c>
      <c r="B57" s="559">
        <v>45042</v>
      </c>
      <c r="C57" s="560">
        <v>89.83</v>
      </c>
      <c r="D57" s="560">
        <v>149.05000000000001</v>
      </c>
      <c r="E57" s="560">
        <v>57</v>
      </c>
      <c r="F57" s="560">
        <v>43.01</v>
      </c>
      <c r="G57" s="560">
        <v>75.08</v>
      </c>
      <c r="H57" s="560">
        <v>77.150000000000006</v>
      </c>
      <c r="I57" s="561"/>
      <c r="J57" s="561"/>
      <c r="K57" s="561"/>
      <c r="L57" s="561"/>
      <c r="M57" s="561"/>
      <c r="N57" s="561"/>
      <c r="O57" s="561"/>
      <c r="P57" s="561"/>
    </row>
    <row r="58" spans="1:16" x14ac:dyDescent="0.35">
      <c r="A58" s="557">
        <f t="shared" si="1"/>
        <v>56</v>
      </c>
      <c r="B58" s="559">
        <v>45041</v>
      </c>
      <c r="C58" s="560">
        <v>91.47</v>
      </c>
      <c r="D58" s="560">
        <v>152.41999999999999</v>
      </c>
      <c r="E58" s="560">
        <v>58.17</v>
      </c>
      <c r="F58" s="560">
        <v>43.87</v>
      </c>
      <c r="G58" s="560">
        <v>77.39</v>
      </c>
      <c r="H58" s="560">
        <v>79.06</v>
      </c>
      <c r="I58" s="561"/>
      <c r="J58" s="561"/>
      <c r="K58" s="561"/>
      <c r="L58" s="561"/>
      <c r="M58" s="561"/>
      <c r="N58" s="561"/>
      <c r="O58" s="561"/>
      <c r="P58" s="561"/>
    </row>
    <row r="59" spans="1:16" x14ac:dyDescent="0.35">
      <c r="A59" s="557">
        <f t="shared" si="1"/>
        <v>57</v>
      </c>
      <c r="B59" s="559">
        <v>45040</v>
      </c>
      <c r="C59" s="560">
        <v>90.9</v>
      </c>
      <c r="D59" s="560">
        <v>151.51</v>
      </c>
      <c r="E59" s="560">
        <v>58.02</v>
      </c>
      <c r="F59" s="560">
        <v>43.28</v>
      </c>
      <c r="G59" s="560">
        <v>78.37</v>
      </c>
      <c r="H59" s="560">
        <v>78.92</v>
      </c>
      <c r="I59" s="561"/>
      <c r="J59" s="561"/>
      <c r="K59" s="561"/>
      <c r="L59" s="561"/>
      <c r="M59" s="561"/>
      <c r="N59" s="561"/>
      <c r="O59" s="561"/>
      <c r="P59" s="561"/>
    </row>
    <row r="60" spans="1:16" x14ac:dyDescent="0.35">
      <c r="A60" s="557">
        <f t="shared" si="1"/>
        <v>58</v>
      </c>
      <c r="B60" s="559">
        <v>45037</v>
      </c>
      <c r="C60" s="560">
        <v>91.19</v>
      </c>
      <c r="D60" s="560">
        <v>150.93</v>
      </c>
      <c r="E60" s="560">
        <v>58.41</v>
      </c>
      <c r="F60" s="560">
        <v>43.69</v>
      </c>
      <c r="G60" s="560">
        <v>78.88</v>
      </c>
      <c r="H60" s="560">
        <v>78.89</v>
      </c>
      <c r="I60" s="561"/>
      <c r="J60" s="561"/>
      <c r="K60" s="561"/>
      <c r="L60" s="561"/>
      <c r="M60" s="561"/>
      <c r="N60" s="561"/>
      <c r="O60" s="561"/>
      <c r="P60" s="561"/>
    </row>
    <row r="61" spans="1:16" x14ac:dyDescent="0.35">
      <c r="A61" s="557">
        <f t="shared" si="1"/>
        <v>59</v>
      </c>
      <c r="B61" s="559">
        <v>45036</v>
      </c>
      <c r="C61" s="560">
        <v>91.2</v>
      </c>
      <c r="D61" s="560">
        <v>149.62</v>
      </c>
      <c r="E61" s="560">
        <v>58.51</v>
      </c>
      <c r="F61" s="560">
        <v>43.26</v>
      </c>
      <c r="G61" s="560">
        <v>78.290000000000006</v>
      </c>
      <c r="H61" s="560">
        <v>79.010000000000005</v>
      </c>
      <c r="I61" s="561"/>
      <c r="J61" s="561"/>
      <c r="K61" s="561"/>
      <c r="L61" s="561"/>
      <c r="M61" s="561"/>
      <c r="N61" s="561"/>
      <c r="O61" s="561"/>
      <c r="P61" s="561"/>
    </row>
    <row r="62" spans="1:16" x14ac:dyDescent="0.35">
      <c r="A62" s="557">
        <f t="shared" si="1"/>
        <v>60</v>
      </c>
      <c r="B62" s="559">
        <v>45035</v>
      </c>
      <c r="C62" s="560">
        <v>89.8</v>
      </c>
      <c r="D62" s="560">
        <v>149.01</v>
      </c>
      <c r="E62" s="560">
        <v>58.14</v>
      </c>
      <c r="F62" s="560">
        <v>43.37</v>
      </c>
      <c r="G62" s="560">
        <v>78.36</v>
      </c>
      <c r="H62" s="560">
        <v>78.25</v>
      </c>
      <c r="I62" s="561"/>
      <c r="J62" s="561"/>
      <c r="K62" s="561"/>
      <c r="L62" s="561"/>
      <c r="M62" s="561"/>
      <c r="N62" s="561"/>
      <c r="O62" s="561"/>
      <c r="P62" s="561"/>
    </row>
    <row r="63" spans="1:16" x14ac:dyDescent="0.35">
      <c r="A63" s="557"/>
      <c r="B63" s="559"/>
      <c r="C63" s="559"/>
      <c r="D63" s="560"/>
      <c r="E63" s="560"/>
      <c r="F63" s="560"/>
      <c r="G63" s="560"/>
      <c r="H63" s="560"/>
      <c r="I63" s="376"/>
      <c r="J63" s="376"/>
      <c r="K63" s="561"/>
      <c r="L63" s="376"/>
      <c r="M63" s="376"/>
    </row>
    <row r="64" spans="1:16" x14ac:dyDescent="0.35">
      <c r="A64" s="557"/>
      <c r="B64" s="559"/>
      <c r="C64" s="559"/>
      <c r="D64" s="376"/>
      <c r="E64" s="376"/>
      <c r="F64" s="376"/>
      <c r="G64" s="376"/>
      <c r="H64" s="376"/>
      <c r="I64" s="376"/>
      <c r="J64" s="376"/>
      <c r="K64" s="561"/>
      <c r="L64" s="376"/>
      <c r="M64" s="376"/>
    </row>
    <row r="65" spans="1:11" x14ac:dyDescent="0.35">
      <c r="A65" s="557"/>
      <c r="B65" s="559"/>
      <c r="C65" s="559"/>
      <c r="D65" s="376"/>
      <c r="E65" s="376"/>
      <c r="F65" s="376"/>
      <c r="K65" s="561"/>
    </row>
    <row r="66" spans="1:11" x14ac:dyDescent="0.35">
      <c r="A66" s="557"/>
      <c r="B66" s="559"/>
      <c r="C66" s="559"/>
      <c r="D66" s="376"/>
      <c r="E66" s="376"/>
      <c r="F66" s="376"/>
      <c r="K66" s="561"/>
    </row>
    <row r="67" spans="1:11" x14ac:dyDescent="0.35">
      <c r="A67" s="557"/>
      <c r="B67" s="559"/>
      <c r="C67" s="559"/>
      <c r="D67" s="376"/>
      <c r="E67" s="376"/>
      <c r="F67" s="376"/>
      <c r="K67" s="561"/>
    </row>
    <row r="68" spans="1:11" x14ac:dyDescent="0.35">
      <c r="A68" s="557"/>
      <c r="B68" s="559"/>
      <c r="C68" s="559"/>
      <c r="D68" s="376"/>
      <c r="E68" s="376"/>
      <c r="F68" s="376"/>
      <c r="K68" s="561"/>
    </row>
    <row r="69" spans="1:11" x14ac:dyDescent="0.35">
      <c r="A69" s="557"/>
      <c r="B69" s="559"/>
      <c r="C69" s="559"/>
      <c r="D69" s="376"/>
      <c r="E69" s="376"/>
      <c r="F69" s="376"/>
      <c r="K69" s="561"/>
    </row>
    <row r="70" spans="1:11" x14ac:dyDescent="0.35">
      <c r="A70" s="557"/>
      <c r="B70" s="559"/>
      <c r="C70" s="559"/>
      <c r="D70" s="376"/>
      <c r="E70" s="376"/>
      <c r="F70" s="376"/>
      <c r="K70" s="561"/>
    </row>
    <row r="71" spans="1:11" x14ac:dyDescent="0.35">
      <c r="A71" s="557"/>
      <c r="B71" s="559"/>
      <c r="C71" s="559"/>
      <c r="D71" s="376"/>
      <c r="E71" s="376"/>
      <c r="F71" s="376"/>
      <c r="K71" s="561"/>
    </row>
    <row r="72" spans="1:11" x14ac:dyDescent="0.35">
      <c r="A72" s="557"/>
      <c r="B72" s="559"/>
      <c r="C72" s="559"/>
      <c r="D72" s="376"/>
      <c r="E72" s="376"/>
      <c r="F72" s="376"/>
      <c r="K72" s="561"/>
    </row>
    <row r="73" spans="1:11" x14ac:dyDescent="0.35">
      <c r="A73" s="557"/>
      <c r="B73" s="559"/>
      <c r="C73" s="559"/>
      <c r="D73" s="376"/>
      <c r="E73" s="376"/>
      <c r="F73" s="376"/>
      <c r="K73" s="561"/>
    </row>
    <row r="74" spans="1:11" x14ac:dyDescent="0.35">
      <c r="A74" s="557"/>
      <c r="B74" s="559"/>
      <c r="C74" s="559"/>
      <c r="D74" s="376"/>
      <c r="E74" s="376"/>
      <c r="F74" s="376"/>
      <c r="K74" s="561"/>
    </row>
    <row r="75" spans="1:11" x14ac:dyDescent="0.35">
      <c r="A75" s="557"/>
      <c r="B75" s="559"/>
      <c r="C75" s="559"/>
      <c r="D75" s="376"/>
      <c r="E75" s="376"/>
      <c r="F75" s="376"/>
      <c r="K75" s="561"/>
    </row>
    <row r="76" spans="1:11" x14ac:dyDescent="0.35">
      <c r="A76" s="557"/>
      <c r="B76" s="559"/>
      <c r="C76" s="559"/>
      <c r="D76" s="376"/>
      <c r="E76" s="376"/>
      <c r="F76" s="376"/>
      <c r="K76" s="561"/>
    </row>
    <row r="77" spans="1:11" x14ac:dyDescent="0.35">
      <c r="A77" s="557"/>
      <c r="B77" s="559"/>
      <c r="C77" s="559"/>
      <c r="D77" s="376"/>
      <c r="E77" s="376"/>
      <c r="F77" s="376"/>
      <c r="K77" s="561"/>
    </row>
    <row r="78" spans="1:11" x14ac:dyDescent="0.35">
      <c r="A78" s="557"/>
      <c r="B78" s="559"/>
      <c r="C78" s="559"/>
      <c r="D78" s="376"/>
      <c r="E78" s="376"/>
      <c r="F78" s="376"/>
      <c r="K78" s="561"/>
    </row>
    <row r="79" spans="1:11" x14ac:dyDescent="0.35">
      <c r="A79" s="557"/>
      <c r="B79" s="559"/>
      <c r="C79" s="559"/>
      <c r="D79" s="376"/>
      <c r="E79" s="376"/>
      <c r="F79" s="376"/>
      <c r="K79" s="561"/>
    </row>
    <row r="80" spans="1:11" x14ac:dyDescent="0.35">
      <c r="A80" s="557"/>
      <c r="B80" s="559"/>
      <c r="C80" s="559"/>
      <c r="D80" s="376"/>
      <c r="E80" s="376"/>
      <c r="F80" s="376"/>
      <c r="K80" s="561"/>
    </row>
    <row r="81" spans="1:11" x14ac:dyDescent="0.35">
      <c r="A81" s="557"/>
      <c r="B81" s="559"/>
      <c r="C81" s="559"/>
      <c r="D81" s="376"/>
      <c r="E81" s="376"/>
      <c r="F81" s="376"/>
      <c r="K81" s="561"/>
    </row>
    <row r="82" spans="1:11" x14ac:dyDescent="0.35">
      <c r="A82" s="557"/>
      <c r="B82" s="559"/>
      <c r="C82" s="559"/>
      <c r="D82" s="376"/>
      <c r="E82" s="376"/>
      <c r="F82" s="376"/>
      <c r="K82" s="561"/>
    </row>
    <row r="83" spans="1:11" x14ac:dyDescent="0.35">
      <c r="A83" s="557"/>
      <c r="B83" s="559"/>
      <c r="C83" s="559"/>
      <c r="D83" s="376"/>
      <c r="E83" s="376"/>
      <c r="F83" s="376"/>
      <c r="K83" s="561"/>
    </row>
    <row r="84" spans="1:11" x14ac:dyDescent="0.35">
      <c r="A84" s="557"/>
      <c r="B84" s="559"/>
      <c r="C84" s="559"/>
      <c r="D84" s="376"/>
      <c r="E84" s="376"/>
      <c r="F84" s="376"/>
      <c r="K84" s="561"/>
    </row>
    <row r="85" spans="1:11" x14ac:dyDescent="0.35">
      <c r="A85" s="557"/>
      <c r="B85" s="559"/>
      <c r="C85" s="559"/>
      <c r="D85" s="376"/>
      <c r="E85" s="376"/>
      <c r="F85" s="376"/>
      <c r="K85" s="561"/>
    </row>
    <row r="86" spans="1:11" x14ac:dyDescent="0.35">
      <c r="A86" s="557"/>
      <c r="B86" s="559"/>
      <c r="C86" s="559"/>
      <c r="D86" s="376"/>
      <c r="E86" s="376"/>
      <c r="F86" s="376"/>
      <c r="K86" s="561"/>
    </row>
    <row r="87" spans="1:11" x14ac:dyDescent="0.35">
      <c r="A87" s="557"/>
      <c r="B87" s="559"/>
      <c r="C87" s="559"/>
      <c r="D87" s="376"/>
      <c r="E87" s="376"/>
      <c r="F87" s="376"/>
      <c r="K87" s="561"/>
    </row>
    <row r="88" spans="1:11" x14ac:dyDescent="0.35">
      <c r="A88" s="557"/>
      <c r="B88" s="559"/>
      <c r="C88" s="559"/>
      <c r="D88" s="376"/>
      <c r="E88" s="376"/>
      <c r="F88" s="376"/>
      <c r="K88" s="561"/>
    </row>
    <row r="89" spans="1:11" x14ac:dyDescent="0.35">
      <c r="A89" s="557"/>
      <c r="B89" s="559"/>
      <c r="C89" s="559"/>
      <c r="D89" s="376"/>
      <c r="E89" s="376"/>
      <c r="F89" s="376"/>
      <c r="K89" s="561"/>
    </row>
    <row r="90" spans="1:11" x14ac:dyDescent="0.35">
      <c r="A90" s="557"/>
      <c r="B90" s="559"/>
      <c r="C90" s="559"/>
      <c r="D90" s="376"/>
      <c r="E90" s="376"/>
      <c r="F90" s="376"/>
      <c r="K90" s="561"/>
    </row>
    <row r="91" spans="1:11" x14ac:dyDescent="0.35">
      <c r="A91" s="557"/>
      <c r="B91" s="559"/>
      <c r="C91" s="559"/>
      <c r="D91" s="376"/>
      <c r="E91" s="376"/>
      <c r="F91" s="376"/>
      <c r="K91" s="561"/>
    </row>
    <row r="92" spans="1:11" x14ac:dyDescent="0.35">
      <c r="A92" s="557"/>
      <c r="B92" s="559"/>
      <c r="C92" s="559"/>
      <c r="D92" s="376"/>
      <c r="E92" s="376"/>
      <c r="F92" s="376"/>
      <c r="K92" s="561"/>
    </row>
    <row r="93" spans="1:11" x14ac:dyDescent="0.35">
      <c r="B93" s="559"/>
      <c r="C93" s="559"/>
      <c r="D93" s="376"/>
      <c r="E93" s="376"/>
      <c r="F93" s="376"/>
      <c r="K93" s="561"/>
    </row>
    <row r="94" spans="1:11" x14ac:dyDescent="0.35">
      <c r="B94" s="559"/>
      <c r="C94" s="559"/>
      <c r="D94" s="376"/>
      <c r="E94" s="376"/>
      <c r="F94" s="376"/>
      <c r="K94" s="561"/>
    </row>
    <row r="95" spans="1:11" x14ac:dyDescent="0.35">
      <c r="B95" s="559"/>
      <c r="C95" s="559"/>
      <c r="D95" s="376"/>
      <c r="E95" s="376"/>
      <c r="F95" s="376"/>
      <c r="K95" s="561"/>
    </row>
    <row r="96" spans="1:11" x14ac:dyDescent="0.35">
      <c r="B96" s="559"/>
      <c r="C96" s="559"/>
      <c r="D96" s="376"/>
      <c r="E96" s="376"/>
      <c r="F96" s="376"/>
      <c r="K96" s="561"/>
    </row>
    <row r="97" spans="2:11" x14ac:dyDescent="0.35">
      <c r="B97" s="559"/>
      <c r="C97" s="559"/>
      <c r="D97" s="376"/>
      <c r="E97" s="376"/>
      <c r="F97" s="376"/>
      <c r="K97" s="561"/>
    </row>
    <row r="98" spans="2:11" x14ac:dyDescent="0.35">
      <c r="B98" s="559"/>
      <c r="C98" s="559"/>
      <c r="D98" s="376"/>
      <c r="E98" s="376"/>
      <c r="F98" s="376"/>
      <c r="K98" s="561"/>
    </row>
    <row r="99" spans="2:11" x14ac:dyDescent="0.35">
      <c r="B99" s="559"/>
      <c r="C99" s="559"/>
      <c r="D99" s="376"/>
      <c r="E99" s="376"/>
      <c r="F99" s="376"/>
      <c r="K99" s="561"/>
    </row>
    <row r="100" spans="2:11" x14ac:dyDescent="0.35">
      <c r="B100" s="559"/>
      <c r="C100" s="559"/>
      <c r="D100" s="376"/>
      <c r="E100" s="376"/>
      <c r="F100" s="376"/>
      <c r="K100" s="561"/>
    </row>
    <row r="101" spans="2:11" x14ac:dyDescent="0.35">
      <c r="B101" s="559"/>
      <c r="C101" s="559"/>
      <c r="D101" s="376"/>
      <c r="E101" s="376"/>
      <c r="F101" s="376"/>
      <c r="K101" s="561"/>
    </row>
    <row r="102" spans="2:11" x14ac:dyDescent="0.35">
      <c r="B102" s="559"/>
      <c r="C102" s="559"/>
      <c r="D102" s="376"/>
      <c r="E102" s="376"/>
      <c r="F102" s="376"/>
      <c r="K102" s="561"/>
    </row>
    <row r="103" spans="2:11" x14ac:dyDescent="0.35">
      <c r="B103" s="559"/>
      <c r="C103" s="559"/>
      <c r="D103" s="376"/>
      <c r="E103" s="376"/>
      <c r="F103" s="376"/>
      <c r="K103" s="561"/>
    </row>
    <row r="104" spans="2:11" x14ac:dyDescent="0.35">
      <c r="B104" s="559"/>
      <c r="C104" s="559"/>
      <c r="D104" s="376"/>
      <c r="E104" s="376"/>
      <c r="F104" s="376"/>
      <c r="K104" s="561"/>
    </row>
    <row r="105" spans="2:11" x14ac:dyDescent="0.35">
      <c r="B105" s="559"/>
      <c r="C105" s="559"/>
      <c r="D105" s="376"/>
      <c r="E105" s="376"/>
      <c r="F105" s="376"/>
      <c r="K105" s="561"/>
    </row>
    <row r="106" spans="2:11" x14ac:dyDescent="0.35">
      <c r="B106" s="559"/>
      <c r="C106" s="559"/>
      <c r="D106" s="376"/>
      <c r="E106" s="376"/>
      <c r="F106" s="376"/>
      <c r="K106" s="561"/>
    </row>
    <row r="107" spans="2:11" x14ac:dyDescent="0.35">
      <c r="B107" s="559"/>
      <c r="C107" s="559"/>
      <c r="D107" s="376"/>
      <c r="E107" s="376"/>
      <c r="F107" s="376"/>
      <c r="K107" s="561"/>
    </row>
    <row r="108" spans="2:11" x14ac:dyDescent="0.35">
      <c r="B108" s="559"/>
      <c r="C108" s="559"/>
      <c r="D108" s="376"/>
      <c r="E108" s="376"/>
      <c r="F108" s="376"/>
      <c r="K108" s="561"/>
    </row>
    <row r="109" spans="2:11" x14ac:dyDescent="0.35">
      <c r="B109" s="559"/>
      <c r="C109" s="559"/>
      <c r="D109" s="376"/>
      <c r="E109" s="376"/>
      <c r="F109" s="376"/>
      <c r="K109" s="561"/>
    </row>
    <row r="110" spans="2:11" x14ac:dyDescent="0.35">
      <c r="B110" s="559"/>
      <c r="C110" s="559"/>
      <c r="D110" s="376"/>
      <c r="E110" s="376"/>
      <c r="F110" s="376"/>
      <c r="K110" s="561"/>
    </row>
    <row r="111" spans="2:11" x14ac:dyDescent="0.35">
      <c r="B111" s="559"/>
      <c r="C111" s="559"/>
      <c r="D111" s="376"/>
      <c r="E111" s="376"/>
      <c r="F111" s="376"/>
      <c r="K111" s="561"/>
    </row>
    <row r="112" spans="2:11" x14ac:dyDescent="0.35">
      <c r="B112" s="559"/>
      <c r="C112" s="559"/>
      <c r="D112" s="376"/>
      <c r="E112" s="376"/>
      <c r="F112" s="376"/>
      <c r="K112" s="561"/>
    </row>
    <row r="113" spans="2:11" x14ac:dyDescent="0.35">
      <c r="B113" s="559"/>
      <c r="C113" s="559"/>
      <c r="D113" s="376"/>
      <c r="E113" s="376"/>
      <c r="F113" s="376"/>
      <c r="K113" s="561"/>
    </row>
    <row r="114" spans="2:11" x14ac:dyDescent="0.35">
      <c r="B114" s="559"/>
      <c r="C114" s="559"/>
      <c r="D114" s="376"/>
      <c r="E114" s="376"/>
      <c r="F114" s="376"/>
      <c r="K114" s="561"/>
    </row>
    <row r="115" spans="2:11" x14ac:dyDescent="0.35">
      <c r="B115" s="559"/>
      <c r="C115" s="559"/>
      <c r="D115" s="376"/>
      <c r="E115" s="376"/>
      <c r="F115" s="376"/>
      <c r="K115" s="561"/>
    </row>
    <row r="116" spans="2:11" x14ac:dyDescent="0.35">
      <c r="B116" s="559"/>
      <c r="C116" s="559"/>
      <c r="D116" s="376"/>
      <c r="E116" s="376"/>
      <c r="F116" s="376"/>
      <c r="K116" s="561"/>
    </row>
    <row r="117" spans="2:11" x14ac:dyDescent="0.35">
      <c r="B117" s="559"/>
      <c r="C117" s="559"/>
      <c r="D117" s="376"/>
      <c r="E117" s="376"/>
      <c r="F117" s="376"/>
      <c r="K117" s="561"/>
    </row>
    <row r="118" spans="2:11" x14ac:dyDescent="0.35">
      <c r="B118" s="559"/>
      <c r="C118" s="559"/>
      <c r="D118" s="376"/>
      <c r="E118" s="376"/>
      <c r="F118" s="376"/>
      <c r="K118" s="561"/>
    </row>
    <row r="119" spans="2:11" x14ac:dyDescent="0.35">
      <c r="B119" s="559"/>
      <c r="C119" s="559"/>
      <c r="D119" s="376"/>
      <c r="E119" s="376"/>
      <c r="F119" s="376"/>
      <c r="K119" s="561"/>
    </row>
    <row r="120" spans="2:11" x14ac:dyDescent="0.35">
      <c r="B120" s="559"/>
      <c r="C120" s="559"/>
      <c r="D120" s="376"/>
      <c r="E120" s="376"/>
      <c r="F120" s="376"/>
      <c r="K120" s="561"/>
    </row>
    <row r="121" spans="2:11" x14ac:dyDescent="0.35">
      <c r="B121" s="559"/>
      <c r="C121" s="559"/>
      <c r="D121" s="376"/>
      <c r="E121" s="376"/>
      <c r="F121" s="376"/>
      <c r="K121" s="561"/>
    </row>
    <row r="122" spans="2:11" x14ac:dyDescent="0.35">
      <c r="B122" s="559"/>
      <c r="C122" s="559"/>
      <c r="D122" s="376"/>
      <c r="E122" s="376"/>
      <c r="F122" s="376"/>
      <c r="K122" s="561"/>
    </row>
    <row r="123" spans="2:11" x14ac:dyDescent="0.35">
      <c r="B123" s="559"/>
      <c r="C123" s="559"/>
      <c r="D123" s="376"/>
      <c r="E123" s="376"/>
      <c r="F123" s="376"/>
      <c r="K123" s="561"/>
    </row>
    <row r="124" spans="2:11" x14ac:dyDescent="0.35">
      <c r="B124" s="559"/>
      <c r="C124" s="559"/>
      <c r="D124" s="376"/>
      <c r="E124" s="376"/>
      <c r="F124" s="376"/>
      <c r="K124" s="561"/>
    </row>
    <row r="125" spans="2:11" x14ac:dyDescent="0.35">
      <c r="B125" s="559"/>
      <c r="C125" s="559"/>
      <c r="D125" s="376"/>
      <c r="E125" s="376"/>
      <c r="F125" s="376"/>
      <c r="K125" s="561"/>
    </row>
    <row r="126" spans="2:11" x14ac:dyDescent="0.35">
      <c r="B126" s="559"/>
      <c r="C126" s="559"/>
      <c r="D126" s="376"/>
      <c r="E126" s="376"/>
      <c r="F126" s="376"/>
      <c r="K126" s="561"/>
    </row>
    <row r="127" spans="2:11" x14ac:dyDescent="0.35">
      <c r="B127" s="559"/>
      <c r="C127" s="559"/>
      <c r="D127" s="376"/>
      <c r="E127" s="376"/>
      <c r="F127" s="376"/>
      <c r="K127" s="561"/>
    </row>
    <row r="128" spans="2:11" x14ac:dyDescent="0.35">
      <c r="B128" s="559"/>
      <c r="C128" s="559"/>
      <c r="D128" s="376"/>
      <c r="E128" s="376"/>
      <c r="F128" s="376"/>
      <c r="K128" s="561"/>
    </row>
    <row r="129" spans="2:11" x14ac:dyDescent="0.35">
      <c r="B129" s="559"/>
      <c r="C129" s="559"/>
      <c r="D129" s="376"/>
      <c r="E129" s="376"/>
      <c r="F129" s="376"/>
      <c r="K129" s="561"/>
    </row>
    <row r="130" spans="2:11" x14ac:dyDescent="0.35">
      <c r="B130" s="559"/>
      <c r="C130" s="559"/>
      <c r="D130" s="376"/>
      <c r="E130" s="376"/>
      <c r="F130" s="376"/>
      <c r="K130" s="561"/>
    </row>
    <row r="131" spans="2:11" x14ac:dyDescent="0.35">
      <c r="B131" s="559"/>
      <c r="C131" s="559"/>
      <c r="D131" s="376"/>
      <c r="E131" s="376"/>
      <c r="F131" s="376"/>
      <c r="K131" s="561"/>
    </row>
    <row r="132" spans="2:11" x14ac:dyDescent="0.35">
      <c r="B132" s="559"/>
      <c r="C132" s="559"/>
      <c r="D132" s="376"/>
      <c r="E132" s="376"/>
      <c r="F132" s="376"/>
      <c r="K132" s="561"/>
    </row>
    <row r="133" spans="2:11" x14ac:dyDescent="0.35">
      <c r="B133" s="559"/>
      <c r="C133" s="559"/>
      <c r="D133" s="376"/>
      <c r="E133" s="376"/>
      <c r="F133" s="376"/>
      <c r="K133" s="561"/>
    </row>
    <row r="134" spans="2:11" x14ac:dyDescent="0.35">
      <c r="B134" s="559"/>
      <c r="C134" s="559"/>
      <c r="D134" s="376"/>
      <c r="E134" s="376"/>
      <c r="F134" s="376"/>
      <c r="K134" s="561"/>
    </row>
    <row r="135" spans="2:11" x14ac:dyDescent="0.35">
      <c r="B135" s="559"/>
      <c r="C135" s="559"/>
      <c r="D135" s="376"/>
      <c r="E135" s="376"/>
      <c r="F135" s="376"/>
      <c r="K135" s="561"/>
    </row>
    <row r="136" spans="2:11" x14ac:dyDescent="0.35">
      <c r="B136" s="559"/>
      <c r="C136" s="559"/>
      <c r="D136" s="376"/>
      <c r="E136" s="376"/>
      <c r="F136" s="376"/>
      <c r="K136" s="561"/>
    </row>
    <row r="137" spans="2:11" x14ac:dyDescent="0.35">
      <c r="B137" s="559"/>
      <c r="C137" s="559"/>
      <c r="D137" s="376"/>
      <c r="E137" s="376"/>
      <c r="F137" s="376"/>
      <c r="K137" s="561"/>
    </row>
    <row r="138" spans="2:11" x14ac:dyDescent="0.35">
      <c r="B138" s="559"/>
      <c r="C138" s="559"/>
      <c r="D138" s="376"/>
      <c r="E138" s="376"/>
      <c r="F138" s="376"/>
      <c r="K138" s="561"/>
    </row>
    <row r="139" spans="2:11" x14ac:dyDescent="0.35">
      <c r="B139" s="559"/>
      <c r="C139" s="559"/>
      <c r="D139" s="376"/>
      <c r="E139" s="376"/>
      <c r="F139" s="376"/>
      <c r="K139" s="561"/>
    </row>
    <row r="140" spans="2:11" x14ac:dyDescent="0.35">
      <c r="B140" s="559"/>
      <c r="C140" s="559"/>
      <c r="D140" s="376"/>
      <c r="E140" s="376"/>
      <c r="F140" s="376"/>
      <c r="K140" s="561"/>
    </row>
    <row r="141" spans="2:11" x14ac:dyDescent="0.35">
      <c r="B141" s="559"/>
      <c r="C141" s="559"/>
      <c r="D141" s="376"/>
      <c r="E141" s="376"/>
      <c r="F141" s="376"/>
      <c r="K141" s="561"/>
    </row>
    <row r="142" spans="2:11" x14ac:dyDescent="0.35">
      <c r="B142" s="559"/>
      <c r="C142" s="559"/>
      <c r="D142" s="376"/>
      <c r="E142" s="376"/>
      <c r="F142" s="376"/>
      <c r="K142" s="561"/>
    </row>
    <row r="143" spans="2:11" x14ac:dyDescent="0.35">
      <c r="B143" s="559"/>
      <c r="C143" s="559"/>
      <c r="D143" s="376"/>
      <c r="E143" s="376"/>
      <c r="F143" s="376"/>
      <c r="K143" s="561"/>
    </row>
    <row r="144" spans="2:11" x14ac:dyDescent="0.35">
      <c r="B144" s="559"/>
      <c r="C144" s="559"/>
      <c r="D144" s="376"/>
      <c r="E144" s="376"/>
      <c r="F144" s="376"/>
      <c r="K144" s="561"/>
    </row>
    <row r="145" spans="2:11" x14ac:dyDescent="0.35">
      <c r="B145" s="559"/>
      <c r="C145" s="559"/>
      <c r="D145" s="376"/>
      <c r="E145" s="376"/>
      <c r="F145" s="376"/>
      <c r="K145" s="561"/>
    </row>
    <row r="146" spans="2:11" x14ac:dyDescent="0.35">
      <c r="B146" s="559"/>
      <c r="C146" s="559"/>
      <c r="D146" s="376"/>
      <c r="E146" s="376"/>
      <c r="F146" s="376"/>
      <c r="K146" s="561"/>
    </row>
    <row r="147" spans="2:11" x14ac:dyDescent="0.35">
      <c r="B147" s="559"/>
      <c r="C147" s="559"/>
      <c r="D147" s="376"/>
      <c r="E147" s="376"/>
      <c r="F147" s="376"/>
      <c r="K147" s="561"/>
    </row>
    <row r="148" spans="2:11" x14ac:dyDescent="0.35">
      <c r="B148" s="559"/>
      <c r="C148" s="559"/>
      <c r="D148" s="376"/>
      <c r="E148" s="376"/>
      <c r="F148" s="376"/>
      <c r="K148" s="561"/>
    </row>
    <row r="149" spans="2:11" x14ac:dyDescent="0.35">
      <c r="B149" s="559"/>
      <c r="C149" s="559"/>
      <c r="D149" s="376"/>
      <c r="E149" s="376"/>
      <c r="F149" s="376"/>
      <c r="K149" s="561"/>
    </row>
    <row r="150" spans="2:11" x14ac:dyDescent="0.35">
      <c r="B150" s="559"/>
      <c r="C150" s="559"/>
      <c r="D150" s="376"/>
      <c r="E150" s="376"/>
      <c r="F150" s="376"/>
      <c r="K150" s="561"/>
    </row>
    <row r="151" spans="2:11" x14ac:dyDescent="0.35">
      <c r="B151" s="559"/>
      <c r="C151" s="559"/>
      <c r="D151" s="376"/>
      <c r="E151" s="376"/>
      <c r="F151" s="376"/>
      <c r="K151" s="561"/>
    </row>
    <row r="152" spans="2:11" x14ac:dyDescent="0.35">
      <c r="B152" s="559"/>
      <c r="C152" s="559"/>
      <c r="D152" s="376"/>
      <c r="E152" s="376"/>
      <c r="F152" s="376"/>
      <c r="K152" s="561"/>
    </row>
    <row r="153" spans="2:11" x14ac:dyDescent="0.35">
      <c r="B153" s="559"/>
      <c r="C153" s="559"/>
      <c r="D153" s="376"/>
      <c r="E153" s="376"/>
      <c r="F153" s="376"/>
      <c r="K153" s="561"/>
    </row>
    <row r="154" spans="2:11" x14ac:dyDescent="0.35">
      <c r="B154" s="559"/>
      <c r="C154" s="559"/>
      <c r="D154" s="376"/>
      <c r="E154" s="376"/>
      <c r="F154" s="376"/>
      <c r="K154" s="561"/>
    </row>
    <row r="155" spans="2:11" x14ac:dyDescent="0.35">
      <c r="B155" s="559"/>
      <c r="C155" s="559"/>
      <c r="D155" s="376"/>
      <c r="E155" s="376"/>
      <c r="F155" s="376"/>
      <c r="K155" s="561"/>
    </row>
    <row r="156" spans="2:11" x14ac:dyDescent="0.35">
      <c r="B156" s="559"/>
      <c r="C156" s="559"/>
      <c r="D156" s="376"/>
      <c r="E156" s="376"/>
      <c r="F156" s="376"/>
      <c r="K156" s="561"/>
    </row>
    <row r="157" spans="2:11" x14ac:dyDescent="0.35">
      <c r="B157" s="559"/>
      <c r="C157" s="559"/>
      <c r="D157" s="376"/>
      <c r="E157" s="376"/>
      <c r="F157" s="376"/>
      <c r="K157" s="561"/>
    </row>
    <row r="158" spans="2:11" x14ac:dyDescent="0.35">
      <c r="B158" s="559"/>
      <c r="C158" s="559"/>
      <c r="D158" s="376"/>
      <c r="E158" s="376"/>
      <c r="F158" s="376"/>
      <c r="K158" s="561"/>
    </row>
    <row r="159" spans="2:11" x14ac:dyDescent="0.35">
      <c r="B159" s="559"/>
      <c r="C159" s="559"/>
      <c r="D159" s="376"/>
      <c r="E159" s="376"/>
      <c r="F159" s="376"/>
      <c r="K159" s="561"/>
    </row>
    <row r="160" spans="2:11" x14ac:dyDescent="0.35">
      <c r="B160" s="559"/>
      <c r="C160" s="559"/>
      <c r="D160" s="376"/>
      <c r="E160" s="376"/>
      <c r="F160" s="376"/>
      <c r="K160" s="561"/>
    </row>
    <row r="161" spans="2:11" x14ac:dyDescent="0.35">
      <c r="B161" s="559"/>
      <c r="C161" s="559"/>
      <c r="D161" s="376"/>
      <c r="E161" s="376"/>
      <c r="F161" s="376"/>
      <c r="K161" s="561"/>
    </row>
    <row r="162" spans="2:11" x14ac:dyDescent="0.35">
      <c r="B162" s="559"/>
      <c r="C162" s="559"/>
      <c r="D162" s="376"/>
      <c r="E162" s="376"/>
      <c r="F162" s="376"/>
      <c r="K162" s="561"/>
    </row>
    <row r="163" spans="2:11" x14ac:dyDescent="0.35">
      <c r="B163" s="559"/>
      <c r="C163" s="559"/>
      <c r="D163" s="376"/>
      <c r="E163" s="376"/>
      <c r="F163" s="376"/>
      <c r="K163" s="561"/>
    </row>
    <row r="164" spans="2:11" x14ac:dyDescent="0.35">
      <c r="B164" s="559"/>
      <c r="C164" s="559"/>
      <c r="D164" s="376"/>
      <c r="E164" s="376"/>
      <c r="F164" s="376"/>
      <c r="K164" s="561"/>
    </row>
    <row r="165" spans="2:11" x14ac:dyDescent="0.35">
      <c r="B165" s="559"/>
      <c r="C165" s="559"/>
      <c r="D165" s="376"/>
      <c r="E165" s="376"/>
      <c r="F165" s="376"/>
      <c r="K165" s="561"/>
    </row>
    <row r="166" spans="2:11" x14ac:dyDescent="0.35">
      <c r="B166" s="559"/>
      <c r="C166" s="559"/>
      <c r="D166" s="376"/>
      <c r="E166" s="376"/>
      <c r="F166" s="376"/>
      <c r="K166" s="561"/>
    </row>
    <row r="167" spans="2:11" x14ac:dyDescent="0.35">
      <c r="B167" s="559"/>
      <c r="C167" s="559"/>
      <c r="D167" s="376"/>
      <c r="E167" s="376"/>
      <c r="F167" s="376"/>
      <c r="K167" s="561"/>
    </row>
    <row r="168" spans="2:11" x14ac:dyDescent="0.35">
      <c r="B168" s="559"/>
      <c r="C168" s="559"/>
      <c r="D168" s="376"/>
      <c r="E168" s="376"/>
      <c r="F168" s="376"/>
      <c r="K168" s="561"/>
    </row>
    <row r="169" spans="2:11" x14ac:dyDescent="0.35">
      <c r="B169" s="559"/>
      <c r="C169" s="559"/>
      <c r="D169" s="376"/>
      <c r="E169" s="376"/>
      <c r="F169" s="376"/>
      <c r="K169" s="561"/>
    </row>
    <row r="170" spans="2:11" x14ac:dyDescent="0.35">
      <c r="B170" s="559"/>
      <c r="C170" s="559"/>
      <c r="D170" s="376"/>
      <c r="E170" s="376"/>
      <c r="F170" s="376"/>
      <c r="K170" s="561"/>
    </row>
    <row r="171" spans="2:11" x14ac:dyDescent="0.35">
      <c r="B171" s="559"/>
      <c r="C171" s="559"/>
      <c r="D171" s="376"/>
      <c r="E171" s="376"/>
      <c r="F171" s="376"/>
      <c r="K171" s="561"/>
    </row>
    <row r="172" spans="2:11" x14ac:dyDescent="0.35">
      <c r="B172" s="559"/>
      <c r="C172" s="559"/>
      <c r="D172" s="376"/>
      <c r="E172" s="376"/>
      <c r="F172" s="376"/>
      <c r="K172" s="561"/>
    </row>
    <row r="173" spans="2:11" x14ac:dyDescent="0.35">
      <c r="B173" s="559"/>
      <c r="C173" s="559"/>
      <c r="D173" s="376"/>
      <c r="E173" s="376"/>
      <c r="F173" s="376"/>
      <c r="K173" s="561"/>
    </row>
    <row r="174" spans="2:11" x14ac:dyDescent="0.35">
      <c r="B174" s="559"/>
      <c r="C174" s="559"/>
      <c r="D174" s="376"/>
      <c r="E174" s="376"/>
      <c r="F174" s="376"/>
      <c r="K174" s="561"/>
    </row>
    <row r="175" spans="2:11" x14ac:dyDescent="0.35">
      <c r="B175" s="559"/>
      <c r="C175" s="559"/>
      <c r="D175" s="376"/>
      <c r="E175" s="376"/>
      <c r="F175" s="376"/>
      <c r="K175" s="561"/>
    </row>
    <row r="176" spans="2:11" x14ac:dyDescent="0.35">
      <c r="B176" s="559"/>
      <c r="C176" s="559"/>
      <c r="D176" s="376"/>
      <c r="E176" s="376"/>
      <c r="F176" s="376"/>
      <c r="K176" s="561"/>
    </row>
    <row r="177" spans="2:11" x14ac:dyDescent="0.35">
      <c r="B177" s="559"/>
      <c r="C177" s="559"/>
      <c r="D177" s="376"/>
      <c r="E177" s="376"/>
      <c r="F177" s="376"/>
      <c r="K177" s="561"/>
    </row>
    <row r="178" spans="2:11" x14ac:dyDescent="0.35">
      <c r="B178" s="559"/>
      <c r="C178" s="559"/>
      <c r="D178" s="376"/>
      <c r="E178" s="376"/>
      <c r="F178" s="376"/>
      <c r="K178" s="561"/>
    </row>
    <row r="179" spans="2:11" x14ac:dyDescent="0.35">
      <c r="B179" s="559"/>
      <c r="C179" s="559"/>
      <c r="D179" s="376"/>
      <c r="E179" s="376"/>
      <c r="F179" s="376"/>
      <c r="K179" s="561"/>
    </row>
    <row r="180" spans="2:11" x14ac:dyDescent="0.35">
      <c r="B180" s="559"/>
      <c r="C180" s="559"/>
      <c r="D180" s="376"/>
      <c r="E180" s="376"/>
      <c r="F180" s="376"/>
      <c r="K180" s="561"/>
    </row>
    <row r="181" spans="2:11" x14ac:dyDescent="0.35">
      <c r="B181" s="559"/>
      <c r="C181" s="559"/>
      <c r="D181" s="376"/>
      <c r="E181" s="376"/>
      <c r="F181" s="376"/>
      <c r="K181" s="561"/>
    </row>
    <row r="182" spans="2:11" x14ac:dyDescent="0.35">
      <c r="B182" s="559"/>
      <c r="C182" s="559"/>
      <c r="D182" s="376"/>
      <c r="E182" s="376"/>
      <c r="F182" s="376"/>
      <c r="K182" s="561"/>
    </row>
    <row r="183" spans="2:11" x14ac:dyDescent="0.35">
      <c r="B183" s="559"/>
      <c r="C183" s="559"/>
      <c r="D183" s="376"/>
      <c r="E183" s="376"/>
      <c r="F183" s="376"/>
      <c r="K183" s="561"/>
    </row>
    <row r="184" spans="2:11" x14ac:dyDescent="0.35">
      <c r="B184" s="559"/>
      <c r="C184" s="559"/>
      <c r="D184" s="376"/>
      <c r="E184" s="376"/>
      <c r="F184" s="376"/>
      <c r="K184" s="561"/>
    </row>
    <row r="185" spans="2:11" x14ac:dyDescent="0.35">
      <c r="B185" s="559"/>
      <c r="C185" s="559"/>
      <c r="D185" s="376"/>
      <c r="E185" s="376"/>
      <c r="F185" s="376"/>
      <c r="K185" s="561"/>
    </row>
    <row r="186" spans="2:11" x14ac:dyDescent="0.35">
      <c r="B186" s="559"/>
      <c r="C186" s="559"/>
      <c r="D186" s="376"/>
      <c r="E186" s="376"/>
      <c r="F186" s="376"/>
      <c r="K186" s="561"/>
    </row>
    <row r="187" spans="2:11" x14ac:dyDescent="0.35">
      <c r="B187" s="559"/>
      <c r="C187" s="559"/>
      <c r="D187" s="376"/>
      <c r="E187" s="376"/>
      <c r="F187" s="376"/>
      <c r="K187" s="561"/>
    </row>
    <row r="188" spans="2:11" x14ac:dyDescent="0.35">
      <c r="B188" s="559"/>
      <c r="C188" s="559"/>
      <c r="D188" s="376"/>
      <c r="E188" s="376"/>
      <c r="F188" s="376"/>
      <c r="K188" s="561"/>
    </row>
    <row r="189" spans="2:11" x14ac:dyDescent="0.35">
      <c r="B189" s="559"/>
      <c r="C189" s="559"/>
      <c r="D189" s="376"/>
      <c r="E189" s="376"/>
      <c r="F189" s="376"/>
      <c r="K189" s="561"/>
    </row>
    <row r="190" spans="2:11" x14ac:dyDescent="0.35">
      <c r="B190" s="559"/>
      <c r="C190" s="559"/>
      <c r="D190" s="376"/>
      <c r="E190" s="376"/>
      <c r="F190" s="376"/>
      <c r="K190" s="561"/>
    </row>
    <row r="191" spans="2:11" x14ac:dyDescent="0.35">
      <c r="B191" s="559"/>
      <c r="C191" s="559"/>
      <c r="D191" s="376"/>
      <c r="E191" s="376"/>
      <c r="F191" s="376"/>
      <c r="K191" s="561"/>
    </row>
    <row r="192" spans="2:11" x14ac:dyDescent="0.35">
      <c r="B192" s="559"/>
      <c r="C192" s="559"/>
      <c r="D192" s="376"/>
      <c r="E192" s="376"/>
      <c r="F192" s="376"/>
      <c r="K192" s="561"/>
    </row>
    <row r="193" spans="2:11" x14ac:dyDescent="0.35">
      <c r="B193" s="559"/>
      <c r="C193" s="559"/>
      <c r="D193" s="376"/>
      <c r="E193" s="376"/>
      <c r="F193" s="376"/>
      <c r="K193" s="561"/>
    </row>
    <row r="194" spans="2:11" x14ac:dyDescent="0.35">
      <c r="B194" s="559"/>
      <c r="C194" s="559"/>
      <c r="D194" s="376"/>
      <c r="E194" s="376"/>
      <c r="F194" s="376"/>
      <c r="K194" s="561"/>
    </row>
    <row r="195" spans="2:11" x14ac:dyDescent="0.35">
      <c r="B195" s="559"/>
      <c r="C195" s="559"/>
      <c r="D195" s="376"/>
      <c r="E195" s="376"/>
      <c r="F195" s="376"/>
      <c r="K195" s="561"/>
    </row>
    <row r="196" spans="2:11" x14ac:dyDescent="0.35">
      <c r="B196" s="559"/>
      <c r="C196" s="559"/>
      <c r="D196" s="376"/>
      <c r="E196" s="376"/>
      <c r="F196" s="376"/>
      <c r="K196" s="561"/>
    </row>
    <row r="197" spans="2:11" x14ac:dyDescent="0.35">
      <c r="B197" s="559"/>
      <c r="C197" s="559"/>
      <c r="D197" s="376"/>
      <c r="E197" s="376"/>
      <c r="F197" s="376"/>
      <c r="K197" s="561"/>
    </row>
    <row r="198" spans="2:11" x14ac:dyDescent="0.35">
      <c r="B198" s="559"/>
      <c r="C198" s="559"/>
      <c r="D198" s="376"/>
      <c r="E198" s="376"/>
      <c r="F198" s="376"/>
      <c r="K198" s="561"/>
    </row>
    <row r="199" spans="2:11" x14ac:dyDescent="0.35">
      <c r="B199" s="559"/>
      <c r="C199" s="559"/>
      <c r="D199" s="376"/>
      <c r="E199" s="376"/>
      <c r="F199" s="376"/>
      <c r="K199" s="561"/>
    </row>
    <row r="200" spans="2:11" x14ac:dyDescent="0.35">
      <c r="B200" s="559"/>
      <c r="C200" s="559"/>
      <c r="D200" s="376"/>
      <c r="E200" s="376"/>
      <c r="F200" s="376"/>
      <c r="K200" s="561"/>
    </row>
    <row r="201" spans="2:11" x14ac:dyDescent="0.35">
      <c r="B201" s="559"/>
      <c r="C201" s="559"/>
      <c r="D201" s="376"/>
      <c r="E201" s="376"/>
      <c r="F201" s="376"/>
      <c r="K201" s="561"/>
    </row>
    <row r="202" spans="2:11" x14ac:dyDescent="0.35">
      <c r="B202" s="559"/>
      <c r="C202" s="559"/>
      <c r="D202" s="376"/>
      <c r="E202" s="376"/>
      <c r="F202" s="376"/>
      <c r="K202" s="561"/>
    </row>
    <row r="203" spans="2:11" x14ac:dyDescent="0.35">
      <c r="B203" s="559"/>
      <c r="C203" s="559"/>
      <c r="D203" s="376"/>
      <c r="E203" s="376"/>
      <c r="F203" s="376"/>
      <c r="K203" s="561"/>
    </row>
    <row r="204" spans="2:11" x14ac:dyDescent="0.35">
      <c r="B204" s="559"/>
      <c r="C204" s="559"/>
      <c r="D204" s="376"/>
      <c r="E204" s="376"/>
      <c r="F204" s="376"/>
      <c r="K204" s="561"/>
    </row>
    <row r="205" spans="2:11" x14ac:dyDescent="0.35">
      <c r="B205" s="559"/>
      <c r="C205" s="559"/>
      <c r="D205" s="376"/>
      <c r="E205" s="376"/>
      <c r="F205" s="376"/>
      <c r="K205" s="561"/>
    </row>
    <row r="206" spans="2:11" x14ac:dyDescent="0.35">
      <c r="B206" s="559"/>
      <c r="C206" s="559"/>
      <c r="D206" s="376"/>
      <c r="E206" s="376"/>
      <c r="F206" s="376"/>
      <c r="K206" s="561"/>
    </row>
    <row r="207" spans="2:11" x14ac:dyDescent="0.35">
      <c r="B207" s="559"/>
      <c r="C207" s="559"/>
      <c r="D207" s="376"/>
      <c r="E207" s="376"/>
      <c r="F207" s="376"/>
      <c r="K207" s="561"/>
    </row>
    <row r="208" spans="2:11" x14ac:dyDescent="0.35">
      <c r="B208" s="559"/>
      <c r="C208" s="559"/>
      <c r="D208" s="376"/>
      <c r="E208" s="376"/>
      <c r="F208" s="376"/>
      <c r="K208" s="561"/>
    </row>
    <row r="209" spans="2:11" x14ac:dyDescent="0.35">
      <c r="B209" s="559"/>
      <c r="C209" s="559"/>
      <c r="D209" s="376"/>
      <c r="E209" s="376"/>
      <c r="F209" s="376"/>
      <c r="K209" s="561"/>
    </row>
    <row r="210" spans="2:11" x14ac:dyDescent="0.35">
      <c r="B210" s="559"/>
      <c r="C210" s="559"/>
      <c r="D210" s="376"/>
      <c r="E210" s="376"/>
      <c r="F210" s="376"/>
      <c r="K210" s="561"/>
    </row>
    <row r="211" spans="2:11" x14ac:dyDescent="0.35">
      <c r="B211" s="559"/>
      <c r="C211" s="559"/>
      <c r="D211" s="376"/>
      <c r="E211" s="376"/>
      <c r="F211" s="376"/>
      <c r="K211" s="561"/>
    </row>
    <row r="212" spans="2:11" x14ac:dyDescent="0.35">
      <c r="B212" s="559"/>
      <c r="C212" s="559"/>
      <c r="D212" s="376"/>
      <c r="E212" s="376"/>
      <c r="F212" s="376"/>
      <c r="K212" s="561"/>
    </row>
    <row r="213" spans="2:11" x14ac:dyDescent="0.35">
      <c r="B213" s="559"/>
      <c r="C213" s="559"/>
      <c r="D213" s="376"/>
      <c r="E213" s="376"/>
      <c r="F213" s="376"/>
      <c r="K213" s="561"/>
    </row>
    <row r="214" spans="2:11" x14ac:dyDescent="0.35">
      <c r="B214" s="559"/>
      <c r="C214" s="559"/>
      <c r="D214" s="376"/>
      <c r="E214" s="376"/>
      <c r="F214" s="376"/>
      <c r="K214" s="561"/>
    </row>
    <row r="215" spans="2:11" x14ac:dyDescent="0.35">
      <c r="B215" s="559"/>
      <c r="C215" s="559"/>
      <c r="D215" s="376"/>
      <c r="E215" s="376"/>
      <c r="F215" s="376"/>
      <c r="K215" s="561"/>
    </row>
    <row r="216" spans="2:11" x14ac:dyDescent="0.35">
      <c r="B216" s="559"/>
      <c r="C216" s="559"/>
      <c r="D216" s="376"/>
      <c r="E216" s="376"/>
      <c r="F216" s="376"/>
      <c r="K216" s="561"/>
    </row>
    <row r="217" spans="2:11" x14ac:dyDescent="0.35">
      <c r="B217" s="559"/>
      <c r="C217" s="559"/>
      <c r="D217" s="376"/>
      <c r="E217" s="376"/>
      <c r="F217" s="376"/>
      <c r="K217" s="561"/>
    </row>
    <row r="218" spans="2:11" x14ac:dyDescent="0.35">
      <c r="B218" s="559"/>
      <c r="C218" s="559"/>
      <c r="D218" s="376"/>
      <c r="E218" s="376"/>
      <c r="F218" s="376"/>
      <c r="K218" s="561"/>
    </row>
    <row r="219" spans="2:11" x14ac:dyDescent="0.35">
      <c r="B219" s="559"/>
      <c r="C219" s="559"/>
      <c r="D219" s="376"/>
      <c r="E219" s="376"/>
      <c r="F219" s="376"/>
      <c r="K219" s="561"/>
    </row>
    <row r="220" spans="2:11" x14ac:dyDescent="0.35">
      <c r="B220" s="559"/>
      <c r="C220" s="559"/>
      <c r="D220" s="376"/>
      <c r="E220" s="376"/>
      <c r="F220" s="376"/>
      <c r="K220" s="561"/>
    </row>
    <row r="221" spans="2:11" x14ac:dyDescent="0.35">
      <c r="B221" s="559"/>
      <c r="C221" s="559"/>
      <c r="D221" s="376"/>
      <c r="E221" s="376"/>
      <c r="F221" s="376"/>
      <c r="K221" s="561"/>
    </row>
    <row r="222" spans="2:11" x14ac:dyDescent="0.35">
      <c r="B222" s="559"/>
      <c r="C222" s="559"/>
      <c r="D222" s="376"/>
      <c r="E222" s="376"/>
      <c r="F222" s="376"/>
      <c r="K222" s="561"/>
    </row>
    <row r="223" spans="2:11" x14ac:dyDescent="0.35">
      <c r="B223" s="559"/>
      <c r="C223" s="559"/>
      <c r="D223" s="376"/>
      <c r="E223" s="376"/>
      <c r="F223" s="376"/>
      <c r="K223" s="561"/>
    </row>
    <row r="224" spans="2:11" x14ac:dyDescent="0.35">
      <c r="B224" s="559"/>
      <c r="C224" s="559"/>
      <c r="D224" s="376"/>
      <c r="E224" s="376"/>
      <c r="F224" s="376"/>
      <c r="K224" s="561"/>
    </row>
    <row r="225" spans="2:11" x14ac:dyDescent="0.35">
      <c r="B225" s="559"/>
      <c r="C225" s="559"/>
      <c r="D225" s="376"/>
      <c r="E225" s="376"/>
      <c r="F225" s="376"/>
      <c r="K225" s="561"/>
    </row>
    <row r="226" spans="2:11" x14ac:dyDescent="0.35">
      <c r="B226" s="559"/>
      <c r="C226" s="559"/>
      <c r="D226" s="376"/>
      <c r="E226" s="376"/>
      <c r="F226" s="376"/>
      <c r="K226" s="561"/>
    </row>
    <row r="227" spans="2:11" x14ac:dyDescent="0.35">
      <c r="B227" s="559"/>
      <c r="C227" s="559"/>
      <c r="D227" s="376"/>
      <c r="E227" s="376"/>
      <c r="F227" s="376"/>
      <c r="K227" s="561"/>
    </row>
    <row r="228" spans="2:11" x14ac:dyDescent="0.35">
      <c r="B228" s="559"/>
      <c r="C228" s="559"/>
      <c r="D228" s="376"/>
      <c r="E228" s="376"/>
      <c r="F228" s="376"/>
      <c r="K228" s="561"/>
    </row>
    <row r="229" spans="2:11" x14ac:dyDescent="0.35">
      <c r="B229" s="559"/>
      <c r="C229" s="559"/>
      <c r="D229" s="376"/>
      <c r="E229" s="376"/>
      <c r="F229" s="376"/>
      <c r="K229" s="561"/>
    </row>
    <row r="230" spans="2:11" x14ac:dyDescent="0.35">
      <c r="B230" s="559"/>
      <c r="C230" s="559"/>
      <c r="D230" s="376"/>
      <c r="E230" s="376"/>
      <c r="F230" s="376"/>
      <c r="K230" s="561"/>
    </row>
    <row r="231" spans="2:11" x14ac:dyDescent="0.35">
      <c r="B231" s="559"/>
      <c r="C231" s="559"/>
      <c r="D231" s="376"/>
      <c r="E231" s="376"/>
      <c r="F231" s="376"/>
      <c r="K231" s="561"/>
    </row>
    <row r="232" spans="2:11" x14ac:dyDescent="0.35">
      <c r="B232" s="559"/>
      <c r="C232" s="559"/>
      <c r="D232" s="376"/>
      <c r="E232" s="376"/>
      <c r="F232" s="376"/>
      <c r="K232" s="561"/>
    </row>
    <row r="233" spans="2:11" x14ac:dyDescent="0.35">
      <c r="B233" s="559"/>
      <c r="C233" s="559"/>
      <c r="D233" s="376"/>
      <c r="E233" s="376"/>
      <c r="F233" s="376"/>
      <c r="K233" s="561"/>
    </row>
    <row r="234" spans="2:11" x14ac:dyDescent="0.35">
      <c r="B234" s="559"/>
      <c r="C234" s="559"/>
      <c r="D234" s="376"/>
      <c r="E234" s="376"/>
      <c r="F234" s="376"/>
      <c r="K234" s="561"/>
    </row>
    <row r="235" spans="2:11" x14ac:dyDescent="0.35">
      <c r="B235" s="559"/>
      <c r="C235" s="559"/>
      <c r="D235" s="376"/>
      <c r="E235" s="376"/>
      <c r="F235" s="376"/>
      <c r="K235" s="561"/>
    </row>
    <row r="236" spans="2:11" x14ac:dyDescent="0.35">
      <c r="B236" s="559"/>
      <c r="C236" s="559"/>
      <c r="D236" s="376"/>
      <c r="E236" s="376"/>
      <c r="F236" s="376"/>
      <c r="K236" s="561"/>
    </row>
    <row r="237" spans="2:11" x14ac:dyDescent="0.35">
      <c r="B237" s="559"/>
      <c r="C237" s="559"/>
      <c r="D237" s="376"/>
      <c r="E237" s="376"/>
      <c r="F237" s="376"/>
      <c r="K237" s="561"/>
    </row>
    <row r="238" spans="2:11" x14ac:dyDescent="0.35">
      <c r="B238" s="559"/>
      <c r="C238" s="559"/>
      <c r="D238" s="376"/>
      <c r="E238" s="376"/>
      <c r="F238" s="376"/>
      <c r="K238" s="561"/>
    </row>
    <row r="239" spans="2:11" x14ac:dyDescent="0.35">
      <c r="B239" s="559"/>
      <c r="C239" s="559"/>
      <c r="D239" s="376"/>
      <c r="E239" s="376"/>
      <c r="F239" s="376"/>
      <c r="K239" s="561"/>
    </row>
    <row r="240" spans="2:11" x14ac:dyDescent="0.35">
      <c r="B240" s="559"/>
      <c r="C240" s="559"/>
      <c r="D240" s="376"/>
      <c r="E240" s="376"/>
      <c r="F240" s="376"/>
      <c r="K240" s="561"/>
    </row>
    <row r="241" spans="2:11" x14ac:dyDescent="0.35">
      <c r="B241" s="559"/>
      <c r="C241" s="559"/>
      <c r="D241" s="376"/>
      <c r="E241" s="376"/>
      <c r="F241" s="376"/>
      <c r="K241" s="561"/>
    </row>
    <row r="242" spans="2:11" x14ac:dyDescent="0.35">
      <c r="B242" s="559"/>
      <c r="C242" s="559"/>
      <c r="D242" s="376"/>
      <c r="E242" s="376"/>
      <c r="F242" s="376"/>
      <c r="K242" s="561"/>
    </row>
    <row r="243" spans="2:11" x14ac:dyDescent="0.35">
      <c r="B243" s="559"/>
      <c r="C243" s="559"/>
      <c r="D243" s="376"/>
      <c r="E243" s="376"/>
      <c r="F243" s="376"/>
      <c r="K243" s="561"/>
    </row>
    <row r="244" spans="2:11" x14ac:dyDescent="0.35">
      <c r="B244" s="559"/>
      <c r="C244" s="559"/>
      <c r="D244" s="376"/>
      <c r="E244" s="376"/>
      <c r="F244" s="376"/>
      <c r="K244" s="561"/>
    </row>
    <row r="245" spans="2:11" x14ac:dyDescent="0.35">
      <c r="B245" s="559"/>
      <c r="C245" s="559"/>
      <c r="D245" s="376"/>
      <c r="E245" s="376"/>
      <c r="F245" s="376"/>
      <c r="K245" s="561"/>
    </row>
    <row r="246" spans="2:11" x14ac:dyDescent="0.35">
      <c r="B246" s="559"/>
      <c r="C246" s="559"/>
      <c r="D246" s="376"/>
      <c r="E246" s="376"/>
      <c r="F246" s="376"/>
      <c r="K246" s="561"/>
    </row>
    <row r="247" spans="2:11" x14ac:dyDescent="0.35">
      <c r="B247" s="559"/>
      <c r="C247" s="559"/>
      <c r="D247" s="376"/>
      <c r="E247" s="376"/>
      <c r="F247" s="376"/>
      <c r="K247" s="561"/>
    </row>
    <row r="248" spans="2:11" x14ac:dyDescent="0.35">
      <c r="B248" s="559"/>
      <c r="C248" s="559"/>
      <c r="D248" s="376"/>
      <c r="E248" s="376"/>
      <c r="F248" s="376"/>
      <c r="K248" s="561"/>
    </row>
    <row r="249" spans="2:11" x14ac:dyDescent="0.35">
      <c r="B249" s="559"/>
      <c r="C249" s="559"/>
      <c r="D249" s="376"/>
      <c r="E249" s="376"/>
      <c r="F249" s="376"/>
      <c r="K249" s="561"/>
    </row>
    <row r="250" spans="2:11" x14ac:dyDescent="0.35">
      <c r="B250" s="559"/>
      <c r="C250" s="559"/>
      <c r="D250" s="376"/>
      <c r="E250" s="376"/>
      <c r="F250" s="376"/>
      <c r="K250" s="561"/>
    </row>
    <row r="251" spans="2:11" x14ac:dyDescent="0.35">
      <c r="B251" s="559"/>
      <c r="C251" s="559"/>
      <c r="D251" s="376"/>
      <c r="E251" s="376"/>
      <c r="F251" s="376"/>
      <c r="K251" s="561"/>
    </row>
    <row r="252" spans="2:11" x14ac:dyDescent="0.35">
      <c r="B252" s="559"/>
      <c r="C252" s="559"/>
      <c r="D252" s="376"/>
      <c r="E252" s="376"/>
      <c r="F252" s="376"/>
      <c r="K252" s="561"/>
    </row>
    <row r="253" spans="2:11" x14ac:dyDescent="0.35">
      <c r="B253" s="559"/>
      <c r="C253" s="559"/>
      <c r="D253" s="376"/>
      <c r="E253" s="376"/>
      <c r="F253" s="376"/>
      <c r="K253" s="561"/>
    </row>
    <row r="254" spans="2:11" x14ac:dyDescent="0.35">
      <c r="B254" s="559"/>
      <c r="C254" s="559"/>
      <c r="D254" s="376"/>
      <c r="E254" s="376"/>
      <c r="F254" s="376"/>
      <c r="K254" s="561"/>
    </row>
    <row r="255" spans="2:11" x14ac:dyDescent="0.35">
      <c r="B255" s="559"/>
      <c r="C255" s="559"/>
      <c r="D255" s="376"/>
      <c r="E255" s="376"/>
      <c r="F255" s="376"/>
      <c r="K255" s="561"/>
    </row>
    <row r="256" spans="2:11" x14ac:dyDescent="0.35">
      <c r="B256" s="559"/>
      <c r="C256" s="559"/>
      <c r="D256" s="376"/>
      <c r="E256" s="376"/>
      <c r="F256" s="376"/>
      <c r="K256" s="561"/>
    </row>
    <row r="257" spans="2:11" x14ac:dyDescent="0.35">
      <c r="B257" s="559"/>
      <c r="C257" s="559"/>
      <c r="D257" s="376"/>
      <c r="E257" s="376"/>
      <c r="F257" s="376"/>
      <c r="K257" s="561"/>
    </row>
    <row r="258" spans="2:11" x14ac:dyDescent="0.35">
      <c r="B258" s="559"/>
      <c r="C258" s="559"/>
      <c r="D258" s="376"/>
      <c r="E258" s="376"/>
      <c r="F258" s="376"/>
      <c r="K258" s="561"/>
    </row>
    <row r="259" spans="2:11" x14ac:dyDescent="0.35">
      <c r="B259" s="559"/>
      <c r="C259" s="559"/>
      <c r="D259" s="376"/>
      <c r="E259" s="376"/>
      <c r="F259" s="376"/>
      <c r="K259" s="561"/>
    </row>
    <row r="260" spans="2:11" x14ac:dyDescent="0.35">
      <c r="B260" s="559"/>
      <c r="C260" s="559"/>
      <c r="D260" s="376"/>
      <c r="E260" s="376"/>
      <c r="F260" s="376"/>
      <c r="K260" s="561"/>
    </row>
    <row r="261" spans="2:11" x14ac:dyDescent="0.35">
      <c r="B261" s="559"/>
      <c r="C261" s="559"/>
      <c r="D261" s="376"/>
      <c r="E261" s="376"/>
      <c r="F261" s="376"/>
      <c r="K261" s="561"/>
    </row>
    <row r="262" spans="2:11" x14ac:dyDescent="0.35">
      <c r="B262" s="559"/>
      <c r="C262" s="559"/>
      <c r="D262" s="376"/>
      <c r="E262" s="376"/>
      <c r="F262" s="376"/>
      <c r="K262" s="561"/>
    </row>
    <row r="263" spans="2:11" x14ac:dyDescent="0.35">
      <c r="B263" s="559"/>
      <c r="C263" s="559"/>
      <c r="D263" s="376"/>
      <c r="E263" s="376"/>
      <c r="F263" s="376"/>
      <c r="K263" s="561"/>
    </row>
    <row r="264" spans="2:11" x14ac:dyDescent="0.35">
      <c r="B264" s="559"/>
      <c r="C264" s="559"/>
      <c r="D264" s="376"/>
      <c r="E264" s="376"/>
      <c r="F264" s="376"/>
      <c r="K264" s="561"/>
    </row>
    <row r="265" spans="2:11" x14ac:dyDescent="0.35">
      <c r="B265" s="559"/>
      <c r="C265" s="559"/>
      <c r="D265" s="376"/>
      <c r="E265" s="376"/>
      <c r="F265" s="376"/>
      <c r="K265" s="561"/>
    </row>
    <row r="266" spans="2:11" x14ac:dyDescent="0.35">
      <c r="B266" s="559"/>
      <c r="C266" s="559"/>
      <c r="D266" s="376"/>
      <c r="E266" s="376"/>
      <c r="F266" s="376"/>
      <c r="K266" s="561"/>
    </row>
    <row r="267" spans="2:11" x14ac:dyDescent="0.35">
      <c r="B267" s="559"/>
      <c r="C267" s="559"/>
      <c r="D267" s="376"/>
      <c r="E267" s="376"/>
      <c r="F267" s="376"/>
      <c r="K267" s="561"/>
    </row>
    <row r="268" spans="2:11" x14ac:dyDescent="0.35">
      <c r="B268" s="559"/>
      <c r="C268" s="559"/>
      <c r="D268" s="376"/>
      <c r="E268" s="376"/>
      <c r="F268" s="376"/>
      <c r="K268" s="561"/>
    </row>
    <row r="269" spans="2:11" x14ac:dyDescent="0.35">
      <c r="B269" s="559"/>
      <c r="C269" s="559"/>
      <c r="D269" s="376"/>
      <c r="E269" s="376"/>
      <c r="F269" s="376"/>
      <c r="K269" s="561"/>
    </row>
    <row r="270" spans="2:11" x14ac:dyDescent="0.35">
      <c r="B270" s="559"/>
      <c r="C270" s="559"/>
      <c r="D270" s="376"/>
      <c r="E270" s="376"/>
      <c r="F270" s="376"/>
      <c r="K270" s="561"/>
    </row>
    <row r="271" spans="2:11" x14ac:dyDescent="0.35">
      <c r="B271" s="559"/>
      <c r="C271" s="559"/>
      <c r="D271" s="376"/>
      <c r="E271" s="376"/>
      <c r="F271" s="376"/>
      <c r="K271" s="561"/>
    </row>
    <row r="272" spans="2:11" x14ac:dyDescent="0.35">
      <c r="B272" s="559"/>
      <c r="C272" s="559"/>
      <c r="D272" s="376"/>
      <c r="E272" s="376"/>
      <c r="F272" s="376"/>
      <c r="K272" s="561"/>
    </row>
    <row r="273" spans="2:11" x14ac:dyDescent="0.35">
      <c r="B273" s="559"/>
      <c r="C273" s="559"/>
      <c r="D273" s="376"/>
      <c r="E273" s="376"/>
      <c r="F273" s="376"/>
      <c r="K273" s="561"/>
    </row>
    <row r="274" spans="2:11" x14ac:dyDescent="0.35">
      <c r="B274" s="559"/>
      <c r="C274" s="559"/>
      <c r="D274" s="376"/>
      <c r="E274" s="376"/>
      <c r="F274" s="376"/>
      <c r="K274" s="561"/>
    </row>
    <row r="275" spans="2:11" x14ac:dyDescent="0.35">
      <c r="B275" s="559"/>
      <c r="C275" s="559"/>
      <c r="D275" s="376"/>
      <c r="E275" s="376"/>
      <c r="F275" s="376"/>
      <c r="K275" s="561"/>
    </row>
    <row r="276" spans="2:11" x14ac:dyDescent="0.35">
      <c r="B276" s="559"/>
      <c r="C276" s="559"/>
      <c r="D276" s="376"/>
      <c r="E276" s="376"/>
      <c r="F276" s="376"/>
      <c r="K276" s="561"/>
    </row>
    <row r="277" spans="2:11" x14ac:dyDescent="0.35">
      <c r="B277" s="559"/>
      <c r="C277" s="559"/>
      <c r="D277" s="376"/>
      <c r="E277" s="376"/>
      <c r="F277" s="376"/>
      <c r="K277" s="561"/>
    </row>
    <row r="278" spans="2:11" x14ac:dyDescent="0.35">
      <c r="B278" s="559"/>
      <c r="C278" s="559"/>
      <c r="D278" s="376"/>
      <c r="E278" s="376"/>
      <c r="F278" s="376"/>
      <c r="K278" s="561"/>
    </row>
    <row r="279" spans="2:11" x14ac:dyDescent="0.35">
      <c r="B279" s="559"/>
      <c r="C279" s="559"/>
      <c r="D279" s="376"/>
      <c r="E279" s="376"/>
      <c r="F279" s="376"/>
      <c r="K279" s="561"/>
    </row>
    <row r="280" spans="2:11" x14ac:dyDescent="0.35">
      <c r="B280" s="559"/>
      <c r="C280" s="559"/>
      <c r="D280" s="376"/>
      <c r="E280" s="376"/>
      <c r="F280" s="376"/>
      <c r="K280" s="561"/>
    </row>
    <row r="281" spans="2:11" x14ac:dyDescent="0.35">
      <c r="B281" s="559"/>
      <c r="C281" s="559"/>
      <c r="D281" s="376"/>
      <c r="E281" s="376"/>
      <c r="F281" s="376"/>
      <c r="K281" s="561"/>
    </row>
    <row r="282" spans="2:11" x14ac:dyDescent="0.35">
      <c r="B282" s="559"/>
      <c r="C282" s="559"/>
      <c r="D282" s="376"/>
      <c r="E282" s="376"/>
      <c r="F282" s="376"/>
      <c r="K282" s="561"/>
    </row>
    <row r="283" spans="2:11" x14ac:dyDescent="0.35">
      <c r="B283" s="559"/>
      <c r="C283" s="559"/>
      <c r="D283" s="376"/>
      <c r="E283" s="376"/>
      <c r="F283" s="376"/>
      <c r="K283" s="561"/>
    </row>
    <row r="284" spans="2:11" x14ac:dyDescent="0.35">
      <c r="B284" s="559"/>
      <c r="C284" s="559"/>
      <c r="D284" s="376"/>
      <c r="E284" s="376"/>
      <c r="F284" s="376"/>
      <c r="K284" s="561"/>
    </row>
    <row r="285" spans="2:11" x14ac:dyDescent="0.35">
      <c r="B285" s="559"/>
      <c r="C285" s="559"/>
      <c r="D285" s="376"/>
      <c r="E285" s="376"/>
      <c r="F285" s="376"/>
      <c r="K285" s="561"/>
    </row>
    <row r="286" spans="2:11" x14ac:dyDescent="0.35">
      <c r="B286" s="559"/>
      <c r="C286" s="559"/>
      <c r="D286" s="376"/>
      <c r="E286" s="376"/>
      <c r="F286" s="376"/>
      <c r="K286" s="561"/>
    </row>
    <row r="287" spans="2:11" x14ac:dyDescent="0.35">
      <c r="B287" s="559"/>
      <c r="C287" s="559"/>
      <c r="D287" s="376"/>
      <c r="E287" s="376"/>
      <c r="F287" s="376"/>
      <c r="K287" s="561"/>
    </row>
    <row r="288" spans="2:11" x14ac:dyDescent="0.35">
      <c r="B288" s="559"/>
      <c r="C288" s="559"/>
      <c r="D288" s="376"/>
      <c r="E288" s="376"/>
      <c r="F288" s="376"/>
      <c r="K288" s="561"/>
    </row>
    <row r="289" spans="2:11" x14ac:dyDescent="0.35">
      <c r="B289" s="559"/>
      <c r="C289" s="559"/>
      <c r="D289" s="376"/>
      <c r="E289" s="376"/>
      <c r="F289" s="376"/>
      <c r="K289" s="561"/>
    </row>
    <row r="290" spans="2:11" x14ac:dyDescent="0.35">
      <c r="B290" s="559"/>
      <c r="C290" s="559"/>
      <c r="D290" s="376"/>
      <c r="E290" s="376"/>
      <c r="F290" s="376"/>
      <c r="K290" s="561"/>
    </row>
    <row r="291" spans="2:11" x14ac:dyDescent="0.35">
      <c r="B291" s="559"/>
      <c r="C291" s="559"/>
      <c r="D291" s="376"/>
      <c r="E291" s="376"/>
      <c r="F291" s="376"/>
      <c r="K291" s="561"/>
    </row>
    <row r="292" spans="2:11" x14ac:dyDescent="0.35">
      <c r="B292" s="559"/>
      <c r="C292" s="559"/>
      <c r="D292" s="376"/>
      <c r="E292" s="376"/>
      <c r="F292" s="376"/>
      <c r="K292" s="561"/>
    </row>
    <row r="293" spans="2:11" x14ac:dyDescent="0.35">
      <c r="B293" s="559"/>
      <c r="C293" s="559"/>
      <c r="D293" s="376"/>
      <c r="E293" s="376"/>
      <c r="F293" s="376"/>
      <c r="K293" s="561"/>
    </row>
    <row r="294" spans="2:11" x14ac:dyDescent="0.35">
      <c r="B294" s="559"/>
      <c r="C294" s="559"/>
      <c r="D294" s="376"/>
      <c r="E294" s="376"/>
      <c r="F294" s="376"/>
      <c r="K294" s="561"/>
    </row>
    <row r="295" spans="2:11" x14ac:dyDescent="0.35">
      <c r="B295" s="559"/>
      <c r="C295" s="559"/>
      <c r="D295" s="376"/>
      <c r="E295" s="376"/>
      <c r="F295" s="376"/>
      <c r="K295" s="561"/>
    </row>
    <row r="296" spans="2:11" x14ac:dyDescent="0.35">
      <c r="B296" s="559"/>
      <c r="C296" s="559"/>
      <c r="D296" s="376"/>
      <c r="E296" s="376"/>
      <c r="F296" s="376"/>
      <c r="K296" s="561"/>
    </row>
    <row r="297" spans="2:11" x14ac:dyDescent="0.35">
      <c r="B297" s="559"/>
      <c r="C297" s="559"/>
      <c r="D297" s="376"/>
      <c r="E297" s="376"/>
      <c r="F297" s="376"/>
      <c r="K297" s="561"/>
    </row>
    <row r="298" spans="2:11" x14ac:dyDescent="0.35">
      <c r="B298" s="559"/>
      <c r="C298" s="559"/>
      <c r="D298" s="376"/>
      <c r="E298" s="376"/>
      <c r="F298" s="376"/>
      <c r="K298" s="561"/>
    </row>
    <row r="299" spans="2:11" x14ac:dyDescent="0.35">
      <c r="B299" s="559"/>
      <c r="C299" s="559"/>
      <c r="D299" s="376"/>
      <c r="E299" s="376"/>
      <c r="F299" s="376"/>
      <c r="K299" s="561"/>
    </row>
    <row r="300" spans="2:11" x14ac:dyDescent="0.35">
      <c r="B300" s="559"/>
      <c r="C300" s="559"/>
      <c r="D300" s="376"/>
      <c r="E300" s="376"/>
      <c r="F300" s="376"/>
      <c r="K300" s="561"/>
    </row>
    <row r="301" spans="2:11" x14ac:dyDescent="0.35">
      <c r="B301" s="559"/>
      <c r="C301" s="559"/>
      <c r="D301" s="376"/>
      <c r="E301" s="376"/>
      <c r="F301" s="376"/>
      <c r="K301" s="561"/>
    </row>
    <row r="302" spans="2:11" x14ac:dyDescent="0.35">
      <c r="B302" s="559"/>
      <c r="C302" s="559"/>
      <c r="D302" s="376"/>
      <c r="E302" s="376"/>
      <c r="F302" s="376"/>
      <c r="K302" s="561"/>
    </row>
    <row r="303" spans="2:11" x14ac:dyDescent="0.35">
      <c r="B303" s="559"/>
      <c r="C303" s="559"/>
      <c r="D303" s="376"/>
      <c r="E303" s="376"/>
      <c r="F303" s="376"/>
      <c r="K303" s="561"/>
    </row>
    <row r="304" spans="2:11" x14ac:dyDescent="0.35">
      <c r="B304" s="559"/>
      <c r="C304" s="559"/>
      <c r="D304" s="376"/>
      <c r="E304" s="376"/>
      <c r="F304" s="376"/>
      <c r="K304" s="561"/>
    </row>
    <row r="305" spans="2:11" x14ac:dyDescent="0.35">
      <c r="B305" s="559"/>
      <c r="C305" s="559"/>
      <c r="D305" s="376"/>
      <c r="E305" s="376"/>
      <c r="F305" s="376"/>
      <c r="K305" s="561"/>
    </row>
    <row r="306" spans="2:11" x14ac:dyDescent="0.35">
      <c r="B306" s="559"/>
      <c r="C306" s="559"/>
      <c r="D306" s="376"/>
      <c r="E306" s="376"/>
      <c r="F306" s="376"/>
      <c r="K306" s="561"/>
    </row>
    <row r="307" spans="2:11" x14ac:dyDescent="0.35">
      <c r="B307" s="559"/>
      <c r="C307" s="559"/>
      <c r="D307" s="376"/>
      <c r="E307" s="376"/>
      <c r="F307" s="376"/>
      <c r="K307" s="561"/>
    </row>
    <row r="308" spans="2:11" x14ac:dyDescent="0.35">
      <c r="B308" s="559"/>
      <c r="C308" s="559"/>
      <c r="D308" s="376"/>
      <c r="E308" s="376"/>
      <c r="F308" s="376"/>
      <c r="K308" s="561"/>
    </row>
    <row r="309" spans="2:11" x14ac:dyDescent="0.35">
      <c r="B309" s="559"/>
      <c r="C309" s="559"/>
      <c r="D309" s="376"/>
      <c r="E309" s="376"/>
      <c r="F309" s="376"/>
      <c r="K309" s="561"/>
    </row>
    <row r="310" spans="2:11" x14ac:dyDescent="0.35">
      <c r="B310" s="559"/>
      <c r="C310" s="559"/>
      <c r="D310" s="376"/>
      <c r="E310" s="376"/>
      <c r="F310" s="376"/>
      <c r="K310" s="561"/>
    </row>
    <row r="311" spans="2:11" x14ac:dyDescent="0.35">
      <c r="B311" s="559"/>
      <c r="C311" s="559"/>
      <c r="D311" s="376"/>
      <c r="E311" s="376"/>
      <c r="F311" s="376"/>
      <c r="K311" s="561"/>
    </row>
    <row r="312" spans="2:11" x14ac:dyDescent="0.35">
      <c r="B312" s="559"/>
      <c r="C312" s="559"/>
      <c r="D312" s="376"/>
      <c r="E312" s="376"/>
      <c r="F312" s="376"/>
      <c r="K312" s="561"/>
    </row>
    <row r="313" spans="2:11" x14ac:dyDescent="0.35">
      <c r="B313" s="559"/>
      <c r="C313" s="559"/>
      <c r="D313" s="376"/>
      <c r="E313" s="376"/>
      <c r="F313" s="376"/>
      <c r="K313" s="561"/>
    </row>
    <row r="314" spans="2:11" x14ac:dyDescent="0.35">
      <c r="B314" s="559"/>
      <c r="C314" s="559"/>
      <c r="D314" s="376"/>
      <c r="E314" s="376"/>
      <c r="F314" s="376"/>
      <c r="K314" s="561"/>
    </row>
    <row r="315" spans="2:11" x14ac:dyDescent="0.35">
      <c r="B315" s="559"/>
      <c r="C315" s="559"/>
      <c r="D315" s="376"/>
      <c r="E315" s="376"/>
      <c r="F315" s="376"/>
      <c r="K315" s="561"/>
    </row>
    <row r="316" spans="2:11" x14ac:dyDescent="0.35">
      <c r="B316" s="559"/>
      <c r="C316" s="559"/>
      <c r="D316" s="376"/>
      <c r="E316" s="376"/>
      <c r="F316" s="376"/>
      <c r="K316" s="561"/>
    </row>
    <row r="317" spans="2:11" x14ac:dyDescent="0.35">
      <c r="B317" s="559"/>
      <c r="C317" s="559"/>
      <c r="D317" s="376"/>
      <c r="E317" s="376"/>
      <c r="F317" s="376"/>
      <c r="K317" s="561"/>
    </row>
    <row r="318" spans="2:11" x14ac:dyDescent="0.35">
      <c r="B318" s="559"/>
      <c r="C318" s="559"/>
      <c r="D318" s="376"/>
      <c r="E318" s="376"/>
      <c r="F318" s="376"/>
      <c r="K318" s="561"/>
    </row>
    <row r="319" spans="2:11" x14ac:dyDescent="0.35">
      <c r="B319" s="559"/>
      <c r="C319" s="559"/>
      <c r="D319" s="376"/>
      <c r="E319" s="376"/>
      <c r="F319" s="376"/>
      <c r="K319" s="561"/>
    </row>
    <row r="320" spans="2:11" x14ac:dyDescent="0.35">
      <c r="B320" s="559"/>
      <c r="C320" s="559"/>
      <c r="D320" s="376"/>
      <c r="E320" s="376"/>
      <c r="F320" s="376"/>
      <c r="K320" s="561"/>
    </row>
    <row r="321" spans="2:11" x14ac:dyDescent="0.35">
      <c r="B321" s="559"/>
      <c r="C321" s="559"/>
      <c r="D321" s="376"/>
      <c r="E321" s="376"/>
      <c r="F321" s="376"/>
      <c r="K321" s="561"/>
    </row>
    <row r="322" spans="2:11" x14ac:dyDescent="0.35">
      <c r="B322" s="559"/>
      <c r="C322" s="559"/>
      <c r="D322" s="376"/>
      <c r="E322" s="376"/>
      <c r="F322" s="376"/>
      <c r="K322" s="561"/>
    </row>
    <row r="323" spans="2:11" x14ac:dyDescent="0.35">
      <c r="B323" s="559"/>
      <c r="C323" s="559"/>
      <c r="D323" s="376"/>
      <c r="E323" s="376"/>
      <c r="F323" s="376"/>
      <c r="K323" s="561"/>
    </row>
    <row r="324" spans="2:11" x14ac:dyDescent="0.35">
      <c r="B324" s="559"/>
      <c r="C324" s="559"/>
      <c r="D324" s="376"/>
      <c r="E324" s="376"/>
      <c r="F324" s="376"/>
      <c r="K324" s="561"/>
    </row>
    <row r="325" spans="2:11" x14ac:dyDescent="0.35">
      <c r="B325" s="559"/>
      <c r="C325" s="559"/>
      <c r="D325" s="376"/>
      <c r="E325" s="376"/>
      <c r="F325" s="376"/>
      <c r="K325" s="561"/>
    </row>
    <row r="326" spans="2:11" x14ac:dyDescent="0.35">
      <c r="B326" s="559"/>
      <c r="C326" s="559"/>
      <c r="D326" s="376"/>
      <c r="E326" s="376"/>
      <c r="F326" s="376"/>
      <c r="K326" s="561"/>
    </row>
    <row r="327" spans="2:11" x14ac:dyDescent="0.35">
      <c r="B327" s="559"/>
      <c r="C327" s="559"/>
      <c r="D327" s="376"/>
      <c r="E327" s="376"/>
      <c r="F327" s="376"/>
      <c r="K327" s="561"/>
    </row>
    <row r="328" spans="2:11" x14ac:dyDescent="0.35">
      <c r="B328" s="559"/>
      <c r="C328" s="559"/>
      <c r="D328" s="376"/>
      <c r="E328" s="376"/>
      <c r="F328" s="376"/>
      <c r="K328" s="561"/>
    </row>
    <row r="329" spans="2:11" x14ac:dyDescent="0.35">
      <c r="B329" s="559"/>
      <c r="C329" s="559"/>
      <c r="D329" s="376"/>
      <c r="E329" s="376"/>
      <c r="F329" s="376"/>
      <c r="K329" s="561"/>
    </row>
    <row r="330" spans="2:11" x14ac:dyDescent="0.35">
      <c r="B330" s="559"/>
      <c r="C330" s="559"/>
      <c r="D330" s="376"/>
      <c r="E330" s="376"/>
      <c r="F330" s="376"/>
      <c r="K330" s="561"/>
    </row>
    <row r="331" spans="2:11" x14ac:dyDescent="0.35">
      <c r="B331" s="559"/>
      <c r="C331" s="559"/>
      <c r="D331" s="376"/>
      <c r="E331" s="376"/>
      <c r="F331" s="376"/>
      <c r="K331" s="561"/>
    </row>
    <row r="332" spans="2:11" x14ac:dyDescent="0.35">
      <c r="B332" s="559"/>
      <c r="C332" s="559"/>
      <c r="D332" s="376"/>
      <c r="E332" s="376"/>
      <c r="F332" s="376"/>
      <c r="K332" s="561"/>
    </row>
    <row r="333" spans="2:11" x14ac:dyDescent="0.35">
      <c r="B333" s="559"/>
      <c r="C333" s="559"/>
      <c r="D333" s="376"/>
      <c r="E333" s="376"/>
      <c r="F333" s="376"/>
      <c r="K333" s="561"/>
    </row>
    <row r="334" spans="2:11" x14ac:dyDescent="0.35">
      <c r="B334" s="559"/>
      <c r="C334" s="559"/>
      <c r="D334" s="376"/>
      <c r="E334" s="376"/>
      <c r="F334" s="376"/>
      <c r="K334" s="561"/>
    </row>
    <row r="335" spans="2:11" x14ac:dyDescent="0.35">
      <c r="B335" s="559"/>
      <c r="C335" s="559"/>
      <c r="D335" s="376"/>
      <c r="E335" s="376"/>
      <c r="F335" s="376"/>
      <c r="K335" s="561"/>
    </row>
    <row r="336" spans="2:11" x14ac:dyDescent="0.35">
      <c r="B336" s="559"/>
      <c r="C336" s="559"/>
      <c r="D336" s="376"/>
      <c r="E336" s="376"/>
      <c r="F336" s="376"/>
      <c r="K336" s="561"/>
    </row>
    <row r="337" spans="2:11" x14ac:dyDescent="0.35">
      <c r="B337" s="559"/>
      <c r="C337" s="559"/>
      <c r="D337" s="376"/>
      <c r="E337" s="376"/>
      <c r="F337" s="376"/>
      <c r="K337" s="561"/>
    </row>
    <row r="338" spans="2:11" x14ac:dyDescent="0.35">
      <c r="B338" s="559"/>
      <c r="C338" s="559"/>
      <c r="D338" s="376"/>
      <c r="E338" s="376"/>
      <c r="F338" s="376"/>
      <c r="K338" s="561"/>
    </row>
    <row r="339" spans="2:11" x14ac:dyDescent="0.35">
      <c r="B339" s="559"/>
      <c r="C339" s="559"/>
      <c r="D339" s="376"/>
      <c r="E339" s="376"/>
      <c r="F339" s="376"/>
      <c r="K339" s="561"/>
    </row>
    <row r="340" spans="2:11" x14ac:dyDescent="0.35">
      <c r="B340" s="559"/>
      <c r="C340" s="559"/>
      <c r="D340" s="376"/>
      <c r="E340" s="376"/>
      <c r="F340" s="376"/>
      <c r="K340" s="561"/>
    </row>
    <row r="341" spans="2:11" x14ac:dyDescent="0.35">
      <c r="B341" s="559"/>
      <c r="C341" s="559"/>
      <c r="D341" s="376"/>
      <c r="E341" s="376"/>
      <c r="F341" s="376"/>
      <c r="K341" s="561"/>
    </row>
    <row r="342" spans="2:11" x14ac:dyDescent="0.35">
      <c r="B342" s="559"/>
      <c r="C342" s="559"/>
      <c r="D342" s="376"/>
      <c r="E342" s="376"/>
      <c r="F342" s="376"/>
      <c r="K342" s="561"/>
    </row>
    <row r="343" spans="2:11" x14ac:dyDescent="0.35">
      <c r="B343" s="559"/>
      <c r="C343" s="559"/>
      <c r="D343" s="376"/>
      <c r="E343" s="376"/>
      <c r="F343" s="376"/>
      <c r="K343" s="561"/>
    </row>
    <row r="344" spans="2:11" x14ac:dyDescent="0.35">
      <c r="B344" s="559"/>
      <c r="C344" s="559"/>
      <c r="D344" s="376"/>
      <c r="E344" s="376"/>
      <c r="F344" s="376"/>
      <c r="K344" s="561"/>
    </row>
    <row r="345" spans="2:11" x14ac:dyDescent="0.35">
      <c r="B345" s="559"/>
      <c r="C345" s="559"/>
      <c r="D345" s="376"/>
      <c r="E345" s="376"/>
      <c r="F345" s="376"/>
      <c r="K345" s="561"/>
    </row>
    <row r="346" spans="2:11" x14ac:dyDescent="0.35">
      <c r="B346" s="559"/>
      <c r="C346" s="559"/>
      <c r="D346" s="376"/>
      <c r="E346" s="376"/>
      <c r="F346" s="376"/>
      <c r="K346" s="561"/>
    </row>
    <row r="347" spans="2:11" x14ac:dyDescent="0.35">
      <c r="B347" s="559"/>
      <c r="C347" s="559"/>
      <c r="D347" s="376"/>
      <c r="E347" s="376"/>
      <c r="F347" s="376"/>
      <c r="K347" s="561"/>
    </row>
    <row r="348" spans="2:11" x14ac:dyDescent="0.35">
      <c r="B348" s="559"/>
      <c r="C348" s="559"/>
      <c r="D348" s="376"/>
      <c r="E348" s="376"/>
      <c r="F348" s="376"/>
      <c r="K348" s="561"/>
    </row>
    <row r="349" spans="2:11" x14ac:dyDescent="0.35">
      <c r="B349" s="559"/>
      <c r="C349" s="559"/>
      <c r="D349" s="376"/>
      <c r="E349" s="376"/>
      <c r="F349" s="376"/>
      <c r="K349" s="561"/>
    </row>
    <row r="350" spans="2:11" x14ac:dyDescent="0.35">
      <c r="B350" s="559"/>
      <c r="C350" s="559"/>
      <c r="D350" s="376"/>
      <c r="E350" s="376"/>
      <c r="F350" s="376"/>
      <c r="K350" s="561"/>
    </row>
    <row r="351" spans="2:11" x14ac:dyDescent="0.35">
      <c r="B351" s="559"/>
      <c r="C351" s="559"/>
      <c r="D351" s="376"/>
      <c r="E351" s="376"/>
      <c r="F351" s="376"/>
      <c r="K351" s="561"/>
    </row>
    <row r="352" spans="2:11" x14ac:dyDescent="0.35">
      <c r="B352" s="559"/>
      <c r="C352" s="559"/>
      <c r="D352" s="376"/>
      <c r="E352" s="376"/>
      <c r="F352" s="376"/>
      <c r="K352" s="561"/>
    </row>
    <row r="353" spans="2:11" x14ac:dyDescent="0.35">
      <c r="B353" s="559"/>
      <c r="C353" s="559"/>
      <c r="D353" s="376"/>
      <c r="E353" s="376"/>
      <c r="F353" s="376"/>
      <c r="K353" s="561"/>
    </row>
    <row r="354" spans="2:11" x14ac:dyDescent="0.35">
      <c r="B354" s="559"/>
      <c r="C354" s="559"/>
      <c r="D354" s="376"/>
      <c r="E354" s="376"/>
      <c r="F354" s="376"/>
      <c r="K354" s="561"/>
    </row>
    <row r="355" spans="2:11" x14ac:dyDescent="0.35">
      <c r="B355" s="559"/>
      <c r="C355" s="559"/>
      <c r="D355" s="376"/>
      <c r="E355" s="376"/>
      <c r="F355" s="376"/>
      <c r="K355" s="561"/>
    </row>
    <row r="356" spans="2:11" x14ac:dyDescent="0.35">
      <c r="B356" s="559"/>
      <c r="C356" s="559"/>
      <c r="D356" s="376"/>
      <c r="E356" s="376"/>
      <c r="F356" s="376"/>
      <c r="K356" s="561"/>
    </row>
    <row r="357" spans="2:11" x14ac:dyDescent="0.35">
      <c r="B357" s="559"/>
      <c r="C357" s="559"/>
      <c r="D357" s="376"/>
      <c r="E357" s="376"/>
      <c r="F357" s="376"/>
      <c r="K357" s="561"/>
    </row>
    <row r="358" spans="2:11" x14ac:dyDescent="0.35">
      <c r="B358" s="559"/>
      <c r="C358" s="559"/>
      <c r="D358" s="376"/>
      <c r="E358" s="376"/>
      <c r="F358" s="376"/>
      <c r="K358" s="561"/>
    </row>
    <row r="359" spans="2:11" x14ac:dyDescent="0.35">
      <c r="B359" s="559"/>
      <c r="C359" s="559"/>
      <c r="D359" s="376"/>
      <c r="E359" s="376"/>
      <c r="F359" s="376"/>
      <c r="K359" s="561"/>
    </row>
    <row r="360" spans="2:11" x14ac:dyDescent="0.35">
      <c r="B360" s="559"/>
      <c r="C360" s="559"/>
      <c r="D360" s="376"/>
      <c r="E360" s="376"/>
      <c r="F360" s="376"/>
      <c r="K360" s="561"/>
    </row>
    <row r="361" spans="2:11" x14ac:dyDescent="0.35">
      <c r="B361" s="559"/>
      <c r="C361" s="559"/>
      <c r="D361" s="376"/>
      <c r="E361" s="376"/>
      <c r="F361" s="376"/>
      <c r="K361" s="561"/>
    </row>
    <row r="362" spans="2:11" x14ac:dyDescent="0.35">
      <c r="B362" s="559"/>
      <c r="C362" s="559"/>
      <c r="D362" s="376"/>
      <c r="E362" s="376"/>
      <c r="F362" s="376"/>
      <c r="K362" s="561"/>
    </row>
    <row r="363" spans="2:11" x14ac:dyDescent="0.35">
      <c r="B363" s="559"/>
      <c r="C363" s="559"/>
      <c r="D363" s="376"/>
      <c r="E363" s="376"/>
      <c r="F363" s="376"/>
      <c r="K363" s="561"/>
    </row>
    <row r="364" spans="2:11" x14ac:dyDescent="0.35">
      <c r="B364" s="559"/>
      <c r="C364" s="559"/>
      <c r="D364" s="376"/>
      <c r="E364" s="376"/>
      <c r="F364" s="376"/>
      <c r="K364" s="561"/>
    </row>
    <row r="365" spans="2:11" x14ac:dyDescent="0.35">
      <c r="B365" s="559"/>
      <c r="C365" s="559"/>
      <c r="D365" s="376"/>
      <c r="E365" s="376"/>
      <c r="F365" s="376"/>
      <c r="K365" s="561"/>
    </row>
    <row r="366" spans="2:11" x14ac:dyDescent="0.35">
      <c r="B366" s="559"/>
      <c r="C366" s="559"/>
      <c r="D366" s="376"/>
      <c r="E366" s="376"/>
      <c r="F366" s="376"/>
      <c r="K366" s="561"/>
    </row>
    <row r="367" spans="2:11" x14ac:dyDescent="0.35">
      <c r="B367" s="559"/>
      <c r="C367" s="559"/>
      <c r="D367" s="376"/>
      <c r="E367" s="376"/>
      <c r="F367" s="376"/>
      <c r="K367" s="561"/>
    </row>
    <row r="368" spans="2:11" x14ac:dyDescent="0.35">
      <c r="B368" s="559"/>
      <c r="C368" s="559"/>
      <c r="D368" s="376"/>
      <c r="E368" s="376"/>
      <c r="F368" s="376"/>
      <c r="K368" s="561"/>
    </row>
    <row r="369" spans="2:11" x14ac:dyDescent="0.35">
      <c r="B369" s="559"/>
      <c r="C369" s="559"/>
      <c r="D369" s="376"/>
      <c r="E369" s="376"/>
      <c r="F369" s="376"/>
      <c r="K369" s="561"/>
    </row>
    <row r="370" spans="2:11" x14ac:dyDescent="0.35">
      <c r="B370" s="559"/>
      <c r="C370" s="559"/>
      <c r="D370" s="376"/>
      <c r="E370" s="376"/>
      <c r="F370" s="376"/>
      <c r="K370" s="561"/>
    </row>
    <row r="371" spans="2:11" x14ac:dyDescent="0.35">
      <c r="B371" s="559"/>
      <c r="C371" s="559"/>
      <c r="D371" s="376"/>
      <c r="E371" s="376"/>
      <c r="F371" s="376"/>
      <c r="K371" s="561"/>
    </row>
    <row r="372" spans="2:11" x14ac:dyDescent="0.35">
      <c r="B372" s="559"/>
      <c r="C372" s="559"/>
      <c r="D372" s="376"/>
      <c r="E372" s="376"/>
      <c r="F372" s="376"/>
      <c r="K372" s="561"/>
    </row>
    <row r="373" spans="2:11" x14ac:dyDescent="0.35">
      <c r="B373" s="559"/>
      <c r="C373" s="559"/>
      <c r="D373" s="376"/>
      <c r="E373" s="376"/>
      <c r="F373" s="376"/>
      <c r="K373" s="561"/>
    </row>
    <row r="374" spans="2:11" x14ac:dyDescent="0.35">
      <c r="B374" s="559"/>
      <c r="C374" s="559"/>
      <c r="D374" s="376"/>
      <c r="E374" s="376"/>
      <c r="F374" s="376"/>
      <c r="K374" s="561"/>
    </row>
    <row r="375" spans="2:11" x14ac:dyDescent="0.35">
      <c r="B375" s="559"/>
      <c r="C375" s="559"/>
      <c r="D375" s="376"/>
      <c r="E375" s="376"/>
      <c r="F375" s="376"/>
      <c r="K375" s="561"/>
    </row>
    <row r="376" spans="2:11" x14ac:dyDescent="0.35">
      <c r="B376" s="559"/>
      <c r="C376" s="559"/>
      <c r="D376" s="376"/>
      <c r="E376" s="376"/>
      <c r="F376" s="376"/>
      <c r="K376" s="561"/>
    </row>
    <row r="377" spans="2:11" x14ac:dyDescent="0.35">
      <c r="B377" s="559"/>
      <c r="C377" s="559"/>
      <c r="D377" s="376"/>
      <c r="E377" s="376"/>
      <c r="F377" s="376"/>
      <c r="K377" s="561"/>
    </row>
    <row r="378" spans="2:11" x14ac:dyDescent="0.35">
      <c r="B378" s="559"/>
      <c r="C378" s="559"/>
      <c r="D378" s="376"/>
      <c r="E378" s="376"/>
      <c r="F378" s="376"/>
      <c r="K378" s="561"/>
    </row>
    <row r="379" spans="2:11" x14ac:dyDescent="0.35">
      <c r="B379" s="559"/>
      <c r="C379" s="559"/>
      <c r="D379" s="376"/>
      <c r="E379" s="376"/>
      <c r="F379" s="376"/>
      <c r="K379" s="561"/>
    </row>
    <row r="380" spans="2:11" x14ac:dyDescent="0.35">
      <c r="B380" s="559"/>
      <c r="C380" s="559"/>
      <c r="D380" s="376"/>
      <c r="E380" s="376"/>
      <c r="F380" s="376"/>
      <c r="K380" s="561"/>
    </row>
    <row r="381" spans="2:11" x14ac:dyDescent="0.35">
      <c r="B381" s="559"/>
      <c r="C381" s="559"/>
      <c r="D381" s="376"/>
      <c r="E381" s="376"/>
      <c r="F381" s="376"/>
      <c r="K381" s="561"/>
    </row>
    <row r="382" spans="2:11" x14ac:dyDescent="0.35">
      <c r="B382" s="559"/>
      <c r="C382" s="559"/>
      <c r="D382" s="376"/>
      <c r="E382" s="376"/>
      <c r="F382" s="376"/>
      <c r="K382" s="561"/>
    </row>
    <row r="383" spans="2:11" x14ac:dyDescent="0.35">
      <c r="B383" s="559"/>
      <c r="C383" s="559"/>
      <c r="D383" s="376"/>
      <c r="E383" s="376"/>
      <c r="F383" s="376"/>
      <c r="K383" s="561"/>
    </row>
    <row r="384" spans="2:11" x14ac:dyDescent="0.35">
      <c r="B384" s="559"/>
      <c r="C384" s="559"/>
      <c r="D384" s="376"/>
      <c r="E384" s="376"/>
      <c r="F384" s="376"/>
      <c r="K384" s="561"/>
    </row>
    <row r="385" spans="2:11" x14ac:dyDescent="0.35">
      <c r="B385" s="559"/>
      <c r="C385" s="559"/>
      <c r="D385" s="376"/>
      <c r="E385" s="376"/>
      <c r="F385" s="376"/>
      <c r="K385" s="561"/>
    </row>
    <row r="386" spans="2:11" x14ac:dyDescent="0.35">
      <c r="B386" s="559"/>
      <c r="C386" s="559"/>
      <c r="D386" s="376"/>
      <c r="E386" s="376"/>
      <c r="F386" s="376"/>
      <c r="K386" s="561"/>
    </row>
    <row r="387" spans="2:11" x14ac:dyDescent="0.35">
      <c r="B387" s="559"/>
      <c r="C387" s="559"/>
      <c r="D387" s="376"/>
      <c r="E387" s="376"/>
      <c r="F387" s="376"/>
      <c r="K387" s="561"/>
    </row>
    <row r="388" spans="2:11" x14ac:dyDescent="0.35">
      <c r="B388" s="559"/>
      <c r="C388" s="559"/>
      <c r="D388" s="376"/>
      <c r="E388" s="376"/>
      <c r="F388" s="376"/>
      <c r="K388" s="561"/>
    </row>
    <row r="389" spans="2:11" x14ac:dyDescent="0.35">
      <c r="B389" s="559"/>
      <c r="C389" s="559"/>
      <c r="D389" s="376"/>
      <c r="E389" s="376"/>
      <c r="F389" s="376"/>
      <c r="K389" s="561"/>
    </row>
    <row r="390" spans="2:11" x14ac:dyDescent="0.35">
      <c r="B390" s="559"/>
      <c r="C390" s="559"/>
      <c r="D390" s="376"/>
      <c r="E390" s="376"/>
      <c r="F390" s="376"/>
      <c r="K390" s="561"/>
    </row>
    <row r="391" spans="2:11" x14ac:dyDescent="0.35">
      <c r="B391" s="559"/>
      <c r="C391" s="559"/>
      <c r="D391" s="376"/>
      <c r="E391" s="376"/>
      <c r="F391" s="376"/>
      <c r="K391" s="561"/>
    </row>
    <row r="392" spans="2:11" x14ac:dyDescent="0.35">
      <c r="B392" s="559"/>
      <c r="C392" s="559"/>
      <c r="D392" s="376"/>
      <c r="E392" s="376"/>
      <c r="F392" s="376"/>
      <c r="K392" s="561"/>
    </row>
    <row r="393" spans="2:11" x14ac:dyDescent="0.35">
      <c r="B393" s="559"/>
      <c r="C393" s="559"/>
      <c r="D393" s="376"/>
      <c r="E393" s="376"/>
      <c r="F393" s="376"/>
      <c r="K393" s="561"/>
    </row>
    <row r="394" spans="2:11" x14ac:dyDescent="0.35">
      <c r="B394" s="559"/>
      <c r="C394" s="559"/>
      <c r="D394" s="376"/>
      <c r="E394" s="376"/>
      <c r="F394" s="376"/>
      <c r="K394" s="561"/>
    </row>
    <row r="395" spans="2:11" x14ac:dyDescent="0.35">
      <c r="B395" s="559"/>
      <c r="C395" s="559"/>
      <c r="D395" s="376"/>
      <c r="E395" s="376"/>
      <c r="F395" s="376"/>
      <c r="K395" s="561"/>
    </row>
    <row r="396" spans="2:11" x14ac:dyDescent="0.35">
      <c r="B396" s="559"/>
      <c r="C396" s="559"/>
      <c r="D396" s="376"/>
      <c r="E396" s="376"/>
      <c r="F396" s="376"/>
      <c r="K396" s="561"/>
    </row>
    <row r="397" spans="2:11" x14ac:dyDescent="0.35">
      <c r="B397" s="559"/>
      <c r="C397" s="559"/>
      <c r="D397" s="376"/>
      <c r="E397" s="376"/>
      <c r="F397" s="376"/>
      <c r="K397" s="561"/>
    </row>
    <row r="398" spans="2:11" x14ac:dyDescent="0.35">
      <c r="B398" s="559"/>
      <c r="C398" s="559"/>
      <c r="D398" s="376"/>
      <c r="E398" s="376"/>
      <c r="F398" s="376"/>
      <c r="K398" s="561"/>
    </row>
    <row r="399" spans="2:11" x14ac:dyDescent="0.35">
      <c r="B399" s="559"/>
      <c r="C399" s="559"/>
      <c r="D399" s="376"/>
      <c r="E399" s="376"/>
      <c r="F399" s="376"/>
      <c r="K399" s="561"/>
    </row>
    <row r="400" spans="2:11" x14ac:dyDescent="0.35">
      <c r="B400" s="559"/>
      <c r="C400" s="559"/>
      <c r="D400" s="376"/>
      <c r="E400" s="376"/>
      <c r="F400" s="376"/>
      <c r="K400" s="561"/>
    </row>
    <row r="401" spans="2:11" x14ac:dyDescent="0.35">
      <c r="B401" s="559"/>
      <c r="C401" s="559"/>
      <c r="D401" s="376"/>
      <c r="E401" s="376"/>
      <c r="F401" s="376"/>
      <c r="K401" s="561"/>
    </row>
    <row r="402" spans="2:11" x14ac:dyDescent="0.35">
      <c r="B402" s="559"/>
      <c r="C402" s="559"/>
      <c r="D402" s="376"/>
      <c r="E402" s="376"/>
      <c r="F402" s="376"/>
      <c r="K402" s="561"/>
    </row>
    <row r="403" spans="2:11" x14ac:dyDescent="0.35">
      <c r="B403" s="559"/>
      <c r="C403" s="559"/>
      <c r="D403" s="376"/>
      <c r="E403" s="376"/>
      <c r="F403" s="376"/>
      <c r="K403" s="561"/>
    </row>
    <row r="404" spans="2:11" x14ac:dyDescent="0.35">
      <c r="B404" s="559"/>
      <c r="C404" s="559"/>
      <c r="D404" s="376"/>
      <c r="E404" s="376"/>
      <c r="F404" s="376"/>
      <c r="K404" s="561"/>
    </row>
    <row r="405" spans="2:11" x14ac:dyDescent="0.35">
      <c r="B405" s="559"/>
      <c r="C405" s="559"/>
      <c r="D405" s="376"/>
      <c r="E405" s="376"/>
      <c r="F405" s="376"/>
      <c r="K405" s="561"/>
    </row>
    <row r="406" spans="2:11" x14ac:dyDescent="0.35">
      <c r="B406" s="559"/>
      <c r="C406" s="559"/>
      <c r="D406" s="376"/>
      <c r="E406" s="376"/>
      <c r="F406" s="376"/>
      <c r="K406" s="561"/>
    </row>
    <row r="407" spans="2:11" x14ac:dyDescent="0.35">
      <c r="B407" s="559"/>
      <c r="C407" s="559"/>
      <c r="D407" s="376"/>
      <c r="E407" s="376"/>
      <c r="F407" s="376"/>
      <c r="K407" s="561"/>
    </row>
    <row r="408" spans="2:11" x14ac:dyDescent="0.35">
      <c r="B408" s="559"/>
      <c r="C408" s="559"/>
      <c r="D408" s="376"/>
      <c r="E408" s="376"/>
      <c r="F408" s="376"/>
      <c r="K408" s="561"/>
    </row>
    <row r="409" spans="2:11" x14ac:dyDescent="0.35">
      <c r="B409" s="559"/>
      <c r="C409" s="559"/>
      <c r="D409" s="376"/>
      <c r="E409" s="376"/>
      <c r="F409" s="376"/>
      <c r="K409" s="561"/>
    </row>
    <row r="410" spans="2:11" x14ac:dyDescent="0.35">
      <c r="B410" s="559"/>
      <c r="C410" s="559"/>
      <c r="D410" s="376"/>
      <c r="E410" s="376"/>
      <c r="F410" s="376"/>
      <c r="K410" s="561"/>
    </row>
    <row r="411" spans="2:11" x14ac:dyDescent="0.35">
      <c r="B411" s="559"/>
      <c r="C411" s="559"/>
      <c r="D411" s="376"/>
      <c r="E411" s="376"/>
      <c r="F411" s="376"/>
      <c r="K411" s="561"/>
    </row>
    <row r="412" spans="2:11" x14ac:dyDescent="0.35">
      <c r="B412" s="559"/>
      <c r="C412" s="559"/>
      <c r="D412" s="376"/>
      <c r="E412" s="376"/>
      <c r="F412" s="376"/>
      <c r="K412" s="561"/>
    </row>
    <row r="413" spans="2:11" x14ac:dyDescent="0.35">
      <c r="B413" s="559"/>
      <c r="C413" s="559"/>
      <c r="D413" s="376"/>
      <c r="E413" s="376"/>
      <c r="F413" s="376"/>
      <c r="K413" s="561"/>
    </row>
    <row r="414" spans="2:11" x14ac:dyDescent="0.35">
      <c r="B414" s="559"/>
      <c r="C414" s="559"/>
      <c r="D414" s="376"/>
      <c r="E414" s="376"/>
      <c r="F414" s="376"/>
      <c r="K414" s="561"/>
    </row>
    <row r="415" spans="2:11" x14ac:dyDescent="0.35">
      <c r="B415" s="559"/>
      <c r="C415" s="559"/>
      <c r="D415" s="376"/>
      <c r="E415" s="376"/>
      <c r="F415" s="376"/>
      <c r="K415" s="561"/>
    </row>
    <row r="416" spans="2:11" x14ac:dyDescent="0.35">
      <c r="B416" s="559"/>
      <c r="C416" s="559"/>
      <c r="D416" s="376"/>
      <c r="E416" s="376"/>
      <c r="F416" s="376"/>
      <c r="K416" s="561"/>
    </row>
    <row r="417" spans="2:11" x14ac:dyDescent="0.35">
      <c r="B417" s="559"/>
      <c r="C417" s="559"/>
      <c r="D417" s="376"/>
      <c r="E417" s="376"/>
      <c r="F417" s="376"/>
      <c r="K417" s="561"/>
    </row>
    <row r="418" spans="2:11" x14ac:dyDescent="0.35">
      <c r="B418" s="559"/>
      <c r="C418" s="559"/>
      <c r="D418" s="376"/>
      <c r="E418" s="376"/>
      <c r="F418" s="376"/>
      <c r="K418" s="561"/>
    </row>
    <row r="419" spans="2:11" x14ac:dyDescent="0.35">
      <c r="B419" s="559"/>
      <c r="C419" s="559"/>
      <c r="D419" s="376"/>
      <c r="E419" s="376"/>
      <c r="F419" s="376"/>
      <c r="K419" s="561"/>
    </row>
    <row r="420" spans="2:11" x14ac:dyDescent="0.35">
      <c r="B420" s="559"/>
      <c r="C420" s="559"/>
      <c r="D420" s="376"/>
      <c r="E420" s="376"/>
      <c r="F420" s="376"/>
      <c r="K420" s="561"/>
    </row>
    <row r="421" spans="2:11" x14ac:dyDescent="0.35">
      <c r="B421" s="559"/>
      <c r="C421" s="559"/>
      <c r="D421" s="376"/>
      <c r="E421" s="376"/>
      <c r="F421" s="376"/>
      <c r="K421" s="561"/>
    </row>
    <row r="422" spans="2:11" x14ac:dyDescent="0.35">
      <c r="B422" s="559"/>
      <c r="C422" s="559"/>
      <c r="D422" s="376"/>
      <c r="E422" s="376"/>
      <c r="F422" s="376"/>
      <c r="K422" s="561"/>
    </row>
    <row r="423" spans="2:11" x14ac:dyDescent="0.35">
      <c r="B423" s="559"/>
      <c r="C423" s="559"/>
      <c r="D423" s="376"/>
      <c r="E423" s="376"/>
      <c r="F423" s="376"/>
      <c r="K423" s="561"/>
    </row>
    <row r="424" spans="2:11" x14ac:dyDescent="0.35">
      <c r="B424" s="559"/>
      <c r="C424" s="559"/>
      <c r="D424" s="376"/>
      <c r="E424" s="376"/>
      <c r="F424" s="376"/>
      <c r="K424" s="561"/>
    </row>
    <row r="425" spans="2:11" x14ac:dyDescent="0.35">
      <c r="B425" s="559"/>
      <c r="C425" s="559"/>
      <c r="D425" s="376"/>
      <c r="E425" s="376"/>
      <c r="F425" s="376"/>
      <c r="K425" s="561"/>
    </row>
    <row r="426" spans="2:11" x14ac:dyDescent="0.35">
      <c r="B426" s="559"/>
      <c r="C426" s="559"/>
      <c r="D426" s="376"/>
      <c r="E426" s="376"/>
      <c r="F426" s="376"/>
      <c r="K426" s="561"/>
    </row>
    <row r="427" spans="2:11" x14ac:dyDescent="0.35">
      <c r="B427" s="559"/>
      <c r="C427" s="559"/>
      <c r="D427" s="376"/>
      <c r="E427" s="376"/>
      <c r="F427" s="376"/>
      <c r="K427" s="561"/>
    </row>
    <row r="428" spans="2:11" x14ac:dyDescent="0.35">
      <c r="B428" s="559"/>
      <c r="C428" s="559"/>
      <c r="D428" s="376"/>
      <c r="E428" s="376"/>
      <c r="F428" s="376"/>
      <c r="K428" s="561"/>
    </row>
    <row r="429" spans="2:11" x14ac:dyDescent="0.35">
      <c r="B429" s="559"/>
      <c r="C429" s="559"/>
      <c r="D429" s="376"/>
      <c r="E429" s="376"/>
      <c r="F429" s="376"/>
      <c r="K429" s="561"/>
    </row>
    <row r="430" spans="2:11" x14ac:dyDescent="0.35">
      <c r="B430" s="559"/>
      <c r="C430" s="559"/>
      <c r="D430" s="376"/>
      <c r="E430" s="376"/>
      <c r="F430" s="376"/>
      <c r="K430" s="561"/>
    </row>
    <row r="431" spans="2:11" x14ac:dyDescent="0.35">
      <c r="B431" s="559"/>
      <c r="C431" s="559"/>
      <c r="D431" s="376"/>
      <c r="E431" s="376"/>
      <c r="F431" s="376"/>
      <c r="K431" s="561"/>
    </row>
    <row r="432" spans="2:11" x14ac:dyDescent="0.35">
      <c r="B432" s="559"/>
      <c r="C432" s="559"/>
      <c r="D432" s="376"/>
      <c r="E432" s="376"/>
      <c r="F432" s="376"/>
      <c r="K432" s="561"/>
    </row>
    <row r="433" spans="2:11" x14ac:dyDescent="0.35">
      <c r="B433" s="559"/>
      <c r="C433" s="559"/>
      <c r="D433" s="376"/>
      <c r="E433" s="376"/>
      <c r="F433" s="376"/>
      <c r="K433" s="561"/>
    </row>
    <row r="434" spans="2:11" x14ac:dyDescent="0.35">
      <c r="B434" s="559"/>
      <c r="C434" s="559"/>
      <c r="D434" s="376"/>
      <c r="E434" s="376"/>
      <c r="F434" s="376"/>
      <c r="K434" s="561"/>
    </row>
    <row r="435" spans="2:11" x14ac:dyDescent="0.35">
      <c r="B435" s="559"/>
      <c r="C435" s="559"/>
      <c r="D435" s="376"/>
      <c r="E435" s="376"/>
      <c r="F435" s="376"/>
      <c r="K435" s="561"/>
    </row>
    <row r="436" spans="2:11" x14ac:dyDescent="0.35">
      <c r="B436" s="559"/>
      <c r="C436" s="559"/>
      <c r="D436" s="376"/>
      <c r="E436" s="376"/>
      <c r="F436" s="376"/>
      <c r="K436" s="561"/>
    </row>
    <row r="437" spans="2:11" x14ac:dyDescent="0.35">
      <c r="B437" s="559"/>
      <c r="C437" s="559"/>
      <c r="D437" s="376"/>
      <c r="E437" s="376"/>
      <c r="F437" s="376"/>
      <c r="K437" s="561"/>
    </row>
    <row r="438" spans="2:11" x14ac:dyDescent="0.35">
      <c r="B438" s="559"/>
      <c r="C438" s="559"/>
      <c r="D438" s="376"/>
      <c r="E438" s="376"/>
      <c r="F438" s="376"/>
      <c r="K438" s="561"/>
    </row>
    <row r="439" spans="2:11" x14ac:dyDescent="0.35">
      <c r="B439" s="559"/>
      <c r="C439" s="559"/>
      <c r="D439" s="376"/>
      <c r="E439" s="376"/>
      <c r="F439" s="376"/>
      <c r="K439" s="561"/>
    </row>
    <row r="440" spans="2:11" x14ac:dyDescent="0.35">
      <c r="B440" s="559"/>
      <c r="C440" s="559"/>
      <c r="D440" s="376"/>
      <c r="E440" s="376"/>
      <c r="F440" s="376"/>
      <c r="K440" s="561"/>
    </row>
    <row r="441" spans="2:11" x14ac:dyDescent="0.35">
      <c r="B441" s="559"/>
      <c r="C441" s="559"/>
      <c r="D441" s="376"/>
      <c r="E441" s="376"/>
      <c r="F441" s="376"/>
      <c r="K441" s="561"/>
    </row>
    <row r="442" spans="2:11" x14ac:dyDescent="0.35">
      <c r="B442" s="559"/>
      <c r="C442" s="559"/>
      <c r="D442" s="376"/>
      <c r="E442" s="376"/>
      <c r="F442" s="376"/>
      <c r="K442" s="561"/>
    </row>
    <row r="443" spans="2:11" x14ac:dyDescent="0.35">
      <c r="B443" s="559"/>
      <c r="C443" s="559"/>
      <c r="D443" s="376"/>
      <c r="E443" s="376"/>
      <c r="F443" s="376"/>
      <c r="K443" s="561"/>
    </row>
    <row r="444" spans="2:11" x14ac:dyDescent="0.35">
      <c r="B444" s="559"/>
      <c r="C444" s="559"/>
      <c r="D444" s="376"/>
      <c r="E444" s="376"/>
      <c r="F444" s="376"/>
      <c r="K444" s="561"/>
    </row>
    <row r="445" spans="2:11" x14ac:dyDescent="0.35">
      <c r="B445" s="559"/>
      <c r="C445" s="559"/>
      <c r="D445" s="376"/>
      <c r="E445" s="376"/>
      <c r="F445" s="376"/>
      <c r="K445" s="561"/>
    </row>
    <row r="446" spans="2:11" x14ac:dyDescent="0.35">
      <c r="B446" s="559"/>
      <c r="C446" s="559"/>
      <c r="D446" s="376"/>
      <c r="E446" s="376"/>
      <c r="F446" s="376"/>
      <c r="K446" s="561"/>
    </row>
    <row r="447" spans="2:11" x14ac:dyDescent="0.35">
      <c r="B447" s="559"/>
      <c r="C447" s="559"/>
      <c r="D447" s="376"/>
      <c r="E447" s="376"/>
      <c r="F447" s="376"/>
      <c r="K447" s="561"/>
    </row>
    <row r="448" spans="2:11" x14ac:dyDescent="0.35">
      <c r="B448" s="559"/>
      <c r="C448" s="559"/>
      <c r="D448" s="376"/>
      <c r="E448" s="376"/>
      <c r="F448" s="376"/>
      <c r="K448" s="561"/>
    </row>
    <row r="449" spans="2:11" x14ac:dyDescent="0.35">
      <c r="B449" s="559"/>
      <c r="C449" s="559"/>
      <c r="D449" s="376"/>
      <c r="E449" s="376"/>
      <c r="F449" s="376"/>
      <c r="K449" s="561"/>
    </row>
    <row r="450" spans="2:11" x14ac:dyDescent="0.35">
      <c r="B450" s="559"/>
      <c r="C450" s="559"/>
      <c r="D450" s="376"/>
      <c r="E450" s="376"/>
      <c r="F450" s="376"/>
      <c r="K450" s="561"/>
    </row>
    <row r="451" spans="2:11" x14ac:dyDescent="0.35">
      <c r="B451" s="559"/>
      <c r="C451" s="559"/>
      <c r="D451" s="376"/>
      <c r="E451" s="376"/>
      <c r="F451" s="376"/>
      <c r="K451" s="561"/>
    </row>
    <row r="452" spans="2:11" x14ac:dyDescent="0.35">
      <c r="B452" s="559"/>
      <c r="C452" s="559"/>
      <c r="D452" s="376"/>
      <c r="E452" s="376"/>
      <c r="F452" s="376"/>
      <c r="K452" s="561"/>
    </row>
    <row r="453" spans="2:11" x14ac:dyDescent="0.35">
      <c r="B453" s="559"/>
      <c r="C453" s="559"/>
      <c r="D453" s="376"/>
      <c r="E453" s="376"/>
      <c r="F453" s="376"/>
      <c r="K453" s="561"/>
    </row>
    <row r="454" spans="2:11" x14ac:dyDescent="0.35">
      <c r="B454" s="559"/>
      <c r="C454" s="559"/>
      <c r="D454" s="376"/>
      <c r="E454" s="376"/>
      <c r="F454" s="376"/>
      <c r="K454" s="561"/>
    </row>
    <row r="455" spans="2:11" x14ac:dyDescent="0.35">
      <c r="B455" s="559"/>
      <c r="C455" s="559"/>
      <c r="D455" s="376"/>
      <c r="E455" s="376"/>
      <c r="F455" s="376"/>
      <c r="K455" s="561"/>
    </row>
    <row r="456" spans="2:11" x14ac:dyDescent="0.35">
      <c r="B456" s="559"/>
      <c r="C456" s="559"/>
      <c r="D456" s="376"/>
      <c r="E456" s="376"/>
      <c r="F456" s="376"/>
      <c r="K456" s="561"/>
    </row>
    <row r="457" spans="2:11" x14ac:dyDescent="0.35">
      <c r="B457" s="559"/>
      <c r="C457" s="559"/>
      <c r="D457" s="376"/>
      <c r="E457" s="376"/>
      <c r="F457" s="376"/>
      <c r="K457" s="561"/>
    </row>
    <row r="458" spans="2:11" x14ac:dyDescent="0.35">
      <c r="B458" s="559"/>
      <c r="C458" s="559"/>
      <c r="D458" s="376"/>
      <c r="E458" s="376"/>
      <c r="F458" s="376"/>
      <c r="K458" s="561"/>
    </row>
    <row r="459" spans="2:11" x14ac:dyDescent="0.35">
      <c r="B459" s="559"/>
      <c r="C459" s="559"/>
      <c r="D459" s="376"/>
      <c r="E459" s="376"/>
      <c r="F459" s="376"/>
      <c r="K459" s="561"/>
    </row>
    <row r="460" spans="2:11" x14ac:dyDescent="0.35">
      <c r="B460" s="559"/>
      <c r="C460" s="559"/>
      <c r="D460" s="376"/>
      <c r="E460" s="376"/>
      <c r="F460" s="376"/>
      <c r="K460" s="561"/>
    </row>
    <row r="461" spans="2:11" x14ac:dyDescent="0.35">
      <c r="B461" s="559"/>
      <c r="C461" s="559"/>
      <c r="D461" s="376"/>
      <c r="E461" s="376"/>
      <c r="F461" s="376"/>
      <c r="K461" s="561"/>
    </row>
    <row r="462" spans="2:11" x14ac:dyDescent="0.35">
      <c r="B462" s="559"/>
      <c r="C462" s="559"/>
      <c r="D462" s="376"/>
      <c r="E462" s="376"/>
      <c r="F462" s="376"/>
      <c r="K462" s="561"/>
    </row>
    <row r="463" spans="2:11" x14ac:dyDescent="0.35">
      <c r="B463" s="559"/>
      <c r="C463" s="559"/>
      <c r="D463" s="376"/>
      <c r="E463" s="376"/>
      <c r="F463" s="376"/>
      <c r="K463" s="561"/>
    </row>
    <row r="464" spans="2:11" x14ac:dyDescent="0.35">
      <c r="B464" s="559"/>
      <c r="C464" s="559"/>
      <c r="D464" s="376"/>
      <c r="E464" s="376"/>
      <c r="F464" s="376"/>
      <c r="K464" s="561"/>
    </row>
    <row r="465" spans="2:11" x14ac:dyDescent="0.35">
      <c r="B465" s="559"/>
      <c r="C465" s="559"/>
      <c r="D465" s="376"/>
      <c r="E465" s="376"/>
      <c r="F465" s="376"/>
      <c r="K465" s="561"/>
    </row>
    <row r="466" spans="2:11" x14ac:dyDescent="0.35">
      <c r="B466" s="559"/>
      <c r="C466" s="559"/>
      <c r="D466" s="376"/>
      <c r="E466" s="376"/>
      <c r="F466" s="376"/>
      <c r="K466" s="561"/>
    </row>
    <row r="467" spans="2:11" x14ac:dyDescent="0.35">
      <c r="B467" s="559"/>
      <c r="C467" s="559"/>
      <c r="D467" s="376"/>
      <c r="E467" s="376"/>
      <c r="F467" s="376"/>
      <c r="K467" s="561"/>
    </row>
    <row r="468" spans="2:11" x14ac:dyDescent="0.35">
      <c r="B468" s="559"/>
      <c r="C468" s="559"/>
      <c r="D468" s="376"/>
      <c r="E468" s="376"/>
      <c r="F468" s="376"/>
      <c r="K468" s="561"/>
    </row>
    <row r="469" spans="2:11" x14ac:dyDescent="0.35">
      <c r="B469" s="559"/>
      <c r="C469" s="559"/>
      <c r="D469" s="376"/>
      <c r="E469" s="376"/>
      <c r="F469" s="376"/>
      <c r="K469" s="561"/>
    </row>
    <row r="470" spans="2:11" x14ac:dyDescent="0.35">
      <c r="B470" s="559"/>
      <c r="C470" s="559"/>
      <c r="D470" s="376"/>
      <c r="E470" s="376"/>
      <c r="F470" s="376"/>
      <c r="K470" s="561"/>
    </row>
    <row r="471" spans="2:11" x14ac:dyDescent="0.35">
      <c r="B471" s="559"/>
      <c r="C471" s="559"/>
      <c r="D471" s="376"/>
      <c r="E471" s="376"/>
      <c r="F471" s="376"/>
      <c r="K471" s="561"/>
    </row>
    <row r="472" spans="2:11" x14ac:dyDescent="0.35">
      <c r="B472" s="559"/>
      <c r="C472" s="559"/>
      <c r="D472" s="376"/>
      <c r="E472" s="376"/>
      <c r="F472" s="376"/>
      <c r="K472" s="561"/>
    </row>
    <row r="473" spans="2:11" x14ac:dyDescent="0.35">
      <c r="B473" s="559"/>
      <c r="C473" s="559"/>
      <c r="D473" s="376"/>
      <c r="E473" s="376"/>
      <c r="F473" s="376"/>
      <c r="K473" s="561"/>
    </row>
    <row r="474" spans="2:11" x14ac:dyDescent="0.35">
      <c r="B474" s="559"/>
      <c r="C474" s="559"/>
      <c r="D474" s="376"/>
      <c r="E474" s="376"/>
      <c r="F474" s="376"/>
      <c r="K474" s="561"/>
    </row>
    <row r="475" spans="2:11" x14ac:dyDescent="0.35">
      <c r="B475" s="559"/>
      <c r="C475" s="559"/>
      <c r="D475" s="376"/>
      <c r="E475" s="376"/>
      <c r="F475" s="376"/>
      <c r="K475" s="561"/>
    </row>
    <row r="476" spans="2:11" x14ac:dyDescent="0.35">
      <c r="B476" s="559"/>
      <c r="C476" s="559"/>
      <c r="D476" s="376"/>
      <c r="E476" s="376"/>
      <c r="F476" s="376"/>
      <c r="K476" s="561"/>
    </row>
    <row r="477" spans="2:11" x14ac:dyDescent="0.35">
      <c r="B477" s="559"/>
      <c r="C477" s="559"/>
      <c r="D477" s="376"/>
      <c r="E477" s="376"/>
      <c r="F477" s="376"/>
      <c r="K477" s="561"/>
    </row>
    <row r="478" spans="2:11" x14ac:dyDescent="0.35">
      <c r="B478" s="559"/>
      <c r="C478" s="559"/>
      <c r="D478" s="376"/>
      <c r="E478" s="376"/>
      <c r="F478" s="376"/>
      <c r="K478" s="561"/>
    </row>
    <row r="479" spans="2:11" x14ac:dyDescent="0.35">
      <c r="B479" s="559"/>
      <c r="C479" s="559"/>
      <c r="D479" s="376"/>
      <c r="E479" s="376"/>
      <c r="F479" s="376"/>
      <c r="K479" s="561"/>
    </row>
    <row r="480" spans="2:11" x14ac:dyDescent="0.35">
      <c r="B480" s="559"/>
      <c r="C480" s="559"/>
      <c r="D480" s="376"/>
      <c r="E480" s="376"/>
      <c r="F480" s="376"/>
      <c r="K480" s="561"/>
    </row>
    <row r="481" spans="2:11" x14ac:dyDescent="0.35">
      <c r="B481" s="559"/>
      <c r="C481" s="559"/>
      <c r="D481" s="376"/>
      <c r="E481" s="376"/>
      <c r="F481" s="376"/>
      <c r="K481" s="561"/>
    </row>
    <row r="482" spans="2:11" x14ac:dyDescent="0.35">
      <c r="B482" s="559"/>
      <c r="C482" s="559"/>
      <c r="D482" s="376"/>
      <c r="E482" s="376"/>
      <c r="F482" s="376"/>
      <c r="K482" s="561"/>
    </row>
    <row r="483" spans="2:11" x14ac:dyDescent="0.35">
      <c r="B483" s="559"/>
      <c r="C483" s="559"/>
      <c r="D483" s="376"/>
      <c r="E483" s="376"/>
      <c r="F483" s="376"/>
      <c r="K483" s="561"/>
    </row>
    <row r="484" spans="2:11" x14ac:dyDescent="0.35">
      <c r="B484" s="559"/>
      <c r="C484" s="559"/>
      <c r="D484" s="376"/>
      <c r="E484" s="376"/>
      <c r="F484" s="376"/>
      <c r="K484" s="561"/>
    </row>
    <row r="485" spans="2:11" x14ac:dyDescent="0.35">
      <c r="B485" s="559"/>
      <c r="C485" s="559"/>
      <c r="D485" s="376"/>
      <c r="E485" s="376"/>
      <c r="F485" s="376"/>
      <c r="K485" s="561"/>
    </row>
    <row r="486" spans="2:11" x14ac:dyDescent="0.35">
      <c r="B486" s="559"/>
      <c r="C486" s="559"/>
      <c r="D486" s="376"/>
      <c r="E486" s="376"/>
      <c r="F486" s="376"/>
      <c r="K486" s="561"/>
    </row>
    <row r="487" spans="2:11" x14ac:dyDescent="0.35">
      <c r="B487" s="559"/>
      <c r="C487" s="559"/>
      <c r="D487" s="376"/>
      <c r="E487" s="376"/>
      <c r="F487" s="376"/>
      <c r="K487" s="561"/>
    </row>
    <row r="488" spans="2:11" x14ac:dyDescent="0.35">
      <c r="B488" s="559"/>
      <c r="C488" s="559"/>
      <c r="D488" s="376"/>
      <c r="E488" s="376"/>
      <c r="F488" s="376"/>
      <c r="K488" s="561"/>
    </row>
    <row r="489" spans="2:11" x14ac:dyDescent="0.35">
      <c r="B489" s="559"/>
      <c r="C489" s="559"/>
      <c r="D489" s="376"/>
      <c r="E489" s="376"/>
      <c r="F489" s="376"/>
      <c r="K489" s="561"/>
    </row>
    <row r="490" spans="2:11" x14ac:dyDescent="0.35">
      <c r="B490" s="559"/>
      <c r="C490" s="559"/>
      <c r="D490" s="376"/>
      <c r="E490" s="376"/>
      <c r="F490" s="376"/>
      <c r="K490" s="561"/>
    </row>
    <row r="491" spans="2:11" x14ac:dyDescent="0.35">
      <c r="B491" s="559"/>
      <c r="C491" s="559"/>
      <c r="D491" s="376"/>
      <c r="E491" s="376"/>
      <c r="F491" s="376"/>
      <c r="K491" s="561"/>
    </row>
    <row r="492" spans="2:11" x14ac:dyDescent="0.35">
      <c r="B492" s="559"/>
      <c r="C492" s="559"/>
      <c r="D492" s="376"/>
      <c r="E492" s="376"/>
      <c r="F492" s="376"/>
      <c r="K492" s="561"/>
    </row>
    <row r="493" spans="2:11" x14ac:dyDescent="0.35">
      <c r="B493" s="559"/>
      <c r="C493" s="559"/>
      <c r="D493" s="376"/>
      <c r="E493" s="376"/>
      <c r="F493" s="376"/>
      <c r="K493" s="561"/>
    </row>
    <row r="494" spans="2:11" x14ac:dyDescent="0.35">
      <c r="B494" s="559"/>
      <c r="C494" s="559"/>
      <c r="D494" s="376"/>
      <c r="E494" s="376"/>
      <c r="F494" s="376"/>
      <c r="K494" s="561"/>
    </row>
    <row r="495" spans="2:11" x14ac:dyDescent="0.35">
      <c r="B495" s="559"/>
      <c r="C495" s="559"/>
      <c r="D495" s="376"/>
      <c r="E495" s="376"/>
      <c r="F495" s="376"/>
      <c r="K495" s="561"/>
    </row>
    <row r="496" spans="2:11" x14ac:dyDescent="0.35">
      <c r="B496" s="559"/>
      <c r="C496" s="559"/>
      <c r="D496" s="376"/>
      <c r="E496" s="376"/>
      <c r="F496" s="376"/>
      <c r="K496" s="561"/>
    </row>
    <row r="497" spans="2:11" x14ac:dyDescent="0.35">
      <c r="B497" s="559"/>
      <c r="C497" s="559"/>
      <c r="D497" s="376"/>
      <c r="E497" s="376"/>
      <c r="F497" s="376"/>
      <c r="K497" s="561"/>
    </row>
    <row r="498" spans="2:11" x14ac:dyDescent="0.35">
      <c r="B498" s="559"/>
      <c r="C498" s="559"/>
      <c r="D498" s="376"/>
      <c r="E498" s="376"/>
      <c r="F498" s="376"/>
      <c r="K498" s="561"/>
    </row>
    <row r="499" spans="2:11" x14ac:dyDescent="0.35">
      <c r="B499" s="559"/>
      <c r="C499" s="559"/>
      <c r="D499" s="376"/>
      <c r="E499" s="376"/>
      <c r="F499" s="376"/>
      <c r="K499" s="561"/>
    </row>
    <row r="500" spans="2:11" x14ac:dyDescent="0.35">
      <c r="B500" s="559"/>
      <c r="C500" s="559"/>
      <c r="D500" s="376"/>
      <c r="E500" s="376"/>
      <c r="F500" s="376"/>
      <c r="K500" s="561"/>
    </row>
    <row r="501" spans="2:11" x14ac:dyDescent="0.35">
      <c r="B501" s="559"/>
      <c r="C501" s="559"/>
      <c r="D501" s="376"/>
      <c r="E501" s="376"/>
      <c r="F501" s="376"/>
      <c r="K501" s="561"/>
    </row>
    <row r="502" spans="2:11" x14ac:dyDescent="0.35">
      <c r="B502" s="559"/>
      <c r="C502" s="559"/>
      <c r="D502" s="376"/>
      <c r="E502" s="376"/>
      <c r="F502" s="376"/>
      <c r="K502" s="561"/>
    </row>
    <row r="503" spans="2:11" x14ac:dyDescent="0.35">
      <c r="B503" s="559"/>
      <c r="C503" s="559"/>
      <c r="D503" s="376"/>
      <c r="E503" s="376"/>
      <c r="F503" s="376"/>
      <c r="K503" s="561"/>
    </row>
    <row r="504" spans="2:11" x14ac:dyDescent="0.35">
      <c r="B504" s="559"/>
      <c r="C504" s="559"/>
      <c r="D504" s="376"/>
      <c r="E504" s="376"/>
      <c r="F504" s="376"/>
      <c r="K504" s="561"/>
    </row>
    <row r="505" spans="2:11" x14ac:dyDescent="0.35">
      <c r="B505" s="559"/>
      <c r="C505" s="559"/>
      <c r="D505" s="376"/>
      <c r="E505" s="376"/>
      <c r="F505" s="376"/>
      <c r="K505" s="561"/>
    </row>
    <row r="506" spans="2:11" x14ac:dyDescent="0.35">
      <c r="B506" s="559"/>
      <c r="C506" s="559"/>
      <c r="D506" s="376"/>
      <c r="E506" s="376"/>
      <c r="F506" s="376"/>
      <c r="K506" s="561"/>
    </row>
    <row r="507" spans="2:11" x14ac:dyDescent="0.35">
      <c r="B507" s="559"/>
      <c r="C507" s="559"/>
      <c r="D507" s="376"/>
      <c r="E507" s="376"/>
      <c r="F507" s="376"/>
      <c r="K507" s="561"/>
    </row>
    <row r="508" spans="2:11" x14ac:dyDescent="0.35">
      <c r="B508" s="562"/>
      <c r="D508" s="558"/>
      <c r="K508" s="561"/>
    </row>
    <row r="509" spans="2:11" x14ac:dyDescent="0.35">
      <c r="B509" s="562"/>
      <c r="D509" s="558"/>
      <c r="K509" s="561"/>
    </row>
    <row r="510" spans="2:11" x14ac:dyDescent="0.35">
      <c r="B510" s="562"/>
      <c r="D510" s="558"/>
      <c r="K510" s="561"/>
    </row>
    <row r="511" spans="2:11" x14ac:dyDescent="0.35">
      <c r="B511" s="562"/>
      <c r="D511" s="558"/>
      <c r="K511" s="561"/>
    </row>
    <row r="512" spans="2:11" x14ac:dyDescent="0.35">
      <c r="B512" s="562"/>
      <c r="D512" s="558"/>
      <c r="K512" s="561"/>
    </row>
    <row r="513" spans="2:11" x14ac:dyDescent="0.35">
      <c r="B513" s="562"/>
      <c r="D513" s="558"/>
      <c r="K513" s="561"/>
    </row>
    <row r="514" spans="2:11" x14ac:dyDescent="0.35">
      <c r="B514" s="562"/>
      <c r="D514" s="558"/>
      <c r="K514" s="561"/>
    </row>
    <row r="515" spans="2:11" x14ac:dyDescent="0.35">
      <c r="B515" s="562"/>
      <c r="D515" s="558"/>
      <c r="K515" s="561"/>
    </row>
    <row r="516" spans="2:11" x14ac:dyDescent="0.35">
      <c r="B516" s="562"/>
      <c r="D516" s="558"/>
      <c r="K516" s="561"/>
    </row>
    <row r="517" spans="2:11" x14ac:dyDescent="0.35">
      <c r="B517" s="562"/>
      <c r="D517" s="558"/>
      <c r="K517" s="561"/>
    </row>
    <row r="518" spans="2:11" x14ac:dyDescent="0.35">
      <c r="B518" s="562"/>
      <c r="D518" s="558"/>
      <c r="K518" s="561"/>
    </row>
    <row r="519" spans="2:11" x14ac:dyDescent="0.35">
      <c r="B519" s="562"/>
      <c r="D519" s="558"/>
      <c r="K519" s="561"/>
    </row>
    <row r="520" spans="2:11" x14ac:dyDescent="0.35">
      <c r="B520" s="562"/>
      <c r="D520" s="558"/>
      <c r="K520" s="561"/>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1FFAE-38AF-41C4-9001-A32711F14541}">
  <dimension ref="A4:BS524"/>
  <sheetViews>
    <sheetView topLeftCell="A4" zoomScale="70" zoomScaleNormal="70" workbookViewId="0">
      <pane ySplit="1" topLeftCell="A5" activePane="bottomLeft" state="frozen"/>
      <selection sqref="A1:H1"/>
      <selection pane="bottomLeft" activeCell="B6" sqref="B6"/>
    </sheetView>
  </sheetViews>
  <sheetFormatPr defaultColWidth="9.15234375" defaultRowHeight="15.9" x14ac:dyDescent="0.45"/>
  <cols>
    <col min="1" max="1" width="24.53515625" style="468" bestFit="1" customWidth="1"/>
    <col min="2" max="2" width="15.84375" style="468" bestFit="1" customWidth="1"/>
    <col min="3" max="14" width="14.84375" style="468" customWidth="1"/>
    <col min="15" max="16384" width="9.15234375" style="468"/>
  </cols>
  <sheetData>
    <row r="4" spans="1:16" x14ac:dyDescent="0.45">
      <c r="B4" s="468" t="str">
        <f>'Proxy Price Data'!C1</f>
        <v>AWR</v>
      </c>
      <c r="C4" s="468" t="str">
        <f>'Proxy Price Data'!D1</f>
        <v>AWK</v>
      </c>
      <c r="D4" s="468" t="str">
        <f>'Proxy Price Data'!E1</f>
        <v>CWT</v>
      </c>
      <c r="E4" s="468" t="str">
        <f>'Proxy Price Data'!F1</f>
        <v>WTRG</v>
      </c>
      <c r="F4" s="468" t="str">
        <f>'Proxy Price Data'!G1</f>
        <v>MSEX</v>
      </c>
      <c r="G4" s="468" t="str">
        <f>'Proxy Price Data'!H1</f>
        <v>SJW</v>
      </c>
    </row>
    <row r="5" spans="1:16" x14ac:dyDescent="0.45">
      <c r="A5" s="468" t="str">
        <f>IF('Proxy Price Data'!B2="","",'Proxy Price Data'!B2)</f>
        <v>PX_LAST</v>
      </c>
      <c r="B5" s="468" t="str">
        <f>IF('Proxy Price Data'!C2="","",'Proxy Price Data'!C2)</f>
        <v>AWR US Equity</v>
      </c>
      <c r="C5" s="468" t="str">
        <f>IF('Proxy Price Data'!D2="","",'Proxy Price Data'!D2)</f>
        <v>AWK US Equity</v>
      </c>
      <c r="D5" s="468" t="str">
        <f>IF('Proxy Price Data'!E2="","",'Proxy Price Data'!E2)</f>
        <v>CWT US Equity</v>
      </c>
      <c r="E5" s="468" t="str">
        <f>IF('Proxy Price Data'!F2="","",'Proxy Price Data'!F2)</f>
        <v>WTRG US Equity</v>
      </c>
      <c r="F5" s="468" t="str">
        <f>IF('Proxy Price Data'!G2="","",'Proxy Price Data'!G2)</f>
        <v>MSEX US Equity</v>
      </c>
      <c r="G5" s="468" t="str">
        <f>IF('Proxy Price Data'!H2="","",'Proxy Price Data'!H2)</f>
        <v>SJW US Equity</v>
      </c>
      <c r="H5" s="468" t="str">
        <f>IF('Proxy Price Data'!I2="","",'Proxy Price Data'!I2)</f>
        <v/>
      </c>
    </row>
    <row r="6" spans="1:16" x14ac:dyDescent="0.45">
      <c r="A6" s="549">
        <f>IF('Proxy Price Data'!B3="","",'Proxy Price Data'!B3)</f>
        <v>45121</v>
      </c>
      <c r="B6" s="550">
        <f>IF('Proxy Price Data'!C3="","",'Proxy Price Data'!C3)</f>
        <v>86.73</v>
      </c>
      <c r="C6" s="550">
        <f>IF('Proxy Price Data'!D3="","",'Proxy Price Data'!D3)</f>
        <v>146.21</v>
      </c>
      <c r="D6" s="550">
        <f>IF('Proxy Price Data'!E3="","",'Proxy Price Data'!E3)</f>
        <v>51.24</v>
      </c>
      <c r="E6" s="550">
        <f>IF('Proxy Price Data'!F3="","",'Proxy Price Data'!F3)</f>
        <v>41.18</v>
      </c>
      <c r="F6" s="550">
        <f>IF('Proxy Price Data'!G3="","",'Proxy Price Data'!G3)</f>
        <v>80.89</v>
      </c>
      <c r="G6" s="550">
        <f>IF('Proxy Price Data'!H3="","",'Proxy Price Data'!H3)</f>
        <v>69.989999999999995</v>
      </c>
      <c r="H6" s="550" t="str">
        <f>IF('Proxy Price Data'!I3="","",'Proxy Price Data'!I3)</f>
        <v/>
      </c>
      <c r="I6" s="550"/>
      <c r="J6" s="550"/>
      <c r="K6" s="550"/>
      <c r="L6" s="550"/>
      <c r="M6" s="550"/>
      <c r="N6" s="550"/>
    </row>
    <row r="7" spans="1:16" x14ac:dyDescent="0.45">
      <c r="A7" s="549">
        <f>IF('Proxy Price Data'!B4="","",'Proxy Price Data'!B4)</f>
        <v>45120</v>
      </c>
      <c r="B7" s="550">
        <f>IF('Proxy Price Data'!C4="","",'Proxy Price Data'!C4)</f>
        <v>87.31</v>
      </c>
      <c r="C7" s="550">
        <f>IF('Proxy Price Data'!D4="","",'Proxy Price Data'!D4)</f>
        <v>145.44999999999999</v>
      </c>
      <c r="D7" s="550">
        <f>IF('Proxy Price Data'!E4="","",'Proxy Price Data'!E4)</f>
        <v>51.41</v>
      </c>
      <c r="E7" s="550">
        <f>IF('Proxy Price Data'!F4="","",'Proxy Price Data'!F4)</f>
        <v>41.44</v>
      </c>
      <c r="F7" s="550">
        <f>IF('Proxy Price Data'!G4="","",'Proxy Price Data'!G4)</f>
        <v>80.75</v>
      </c>
      <c r="G7" s="550">
        <f>IF('Proxy Price Data'!H4="","",'Proxy Price Data'!H4)</f>
        <v>70.58</v>
      </c>
      <c r="H7" s="550" t="str">
        <f>IF('Proxy Price Data'!I4="","",'Proxy Price Data'!I4)</f>
        <v/>
      </c>
      <c r="I7" s="550"/>
      <c r="J7" s="550"/>
      <c r="K7" s="550"/>
      <c r="L7" s="550"/>
      <c r="M7" s="550"/>
      <c r="N7" s="550"/>
      <c r="O7" s="550"/>
      <c r="P7" s="550"/>
    </row>
    <row r="8" spans="1:16" x14ac:dyDescent="0.45">
      <c r="A8" s="549">
        <f>IF('Proxy Price Data'!B5="","",'Proxy Price Data'!B5)</f>
        <v>45119</v>
      </c>
      <c r="B8" s="550">
        <f>IF('Proxy Price Data'!C5="","",'Proxy Price Data'!C5)</f>
        <v>86.53</v>
      </c>
      <c r="C8" s="550">
        <f>IF('Proxy Price Data'!D5="","",'Proxy Price Data'!D5)</f>
        <v>145.44</v>
      </c>
      <c r="D8" s="550">
        <f>IF('Proxy Price Data'!E5="","",'Proxy Price Data'!E5)</f>
        <v>50.8</v>
      </c>
      <c r="E8" s="550">
        <f>IF('Proxy Price Data'!F5="","",'Proxy Price Data'!F5)</f>
        <v>40.58</v>
      </c>
      <c r="F8" s="550">
        <f>IF('Proxy Price Data'!G5="","",'Proxy Price Data'!G5)</f>
        <v>80.25</v>
      </c>
      <c r="G8" s="550">
        <f>IF('Proxy Price Data'!H5="","",'Proxy Price Data'!H5)</f>
        <v>69.44</v>
      </c>
      <c r="H8" s="550" t="str">
        <f>IF('Proxy Price Data'!I5="","",'Proxy Price Data'!I5)</f>
        <v/>
      </c>
      <c r="I8" s="550"/>
      <c r="J8" s="550"/>
      <c r="K8" s="550"/>
      <c r="L8" s="550"/>
      <c r="M8" s="550"/>
      <c r="N8" s="550"/>
      <c r="O8" s="550"/>
      <c r="P8" s="550"/>
    </row>
    <row r="9" spans="1:16" x14ac:dyDescent="0.45">
      <c r="A9" s="549">
        <f>IF('Proxy Price Data'!B6="","",'Proxy Price Data'!B6)</f>
        <v>45118</v>
      </c>
      <c r="B9" s="550">
        <f>IF('Proxy Price Data'!C6="","",'Proxy Price Data'!C6)</f>
        <v>85.78</v>
      </c>
      <c r="C9" s="550">
        <f>IF('Proxy Price Data'!D6="","",'Proxy Price Data'!D6)</f>
        <v>142.53</v>
      </c>
      <c r="D9" s="550">
        <f>IF('Proxy Price Data'!E6="","",'Proxy Price Data'!E6)</f>
        <v>50.07</v>
      </c>
      <c r="E9" s="550">
        <f>IF('Proxy Price Data'!F6="","",'Proxy Price Data'!F6)</f>
        <v>39.57</v>
      </c>
      <c r="F9" s="550">
        <f>IF('Proxy Price Data'!G6="","",'Proxy Price Data'!G6)</f>
        <v>78.52</v>
      </c>
      <c r="G9" s="550">
        <f>IF('Proxy Price Data'!H6="","",'Proxy Price Data'!H6)</f>
        <v>68.11</v>
      </c>
      <c r="H9" s="550" t="str">
        <f>IF('Proxy Price Data'!I6="","",'Proxy Price Data'!I6)</f>
        <v/>
      </c>
      <c r="I9" s="550"/>
      <c r="J9" s="550"/>
      <c r="K9" s="550"/>
      <c r="L9" s="550"/>
      <c r="M9" s="550"/>
      <c r="N9" s="550"/>
      <c r="O9" s="550"/>
      <c r="P9" s="550"/>
    </row>
    <row r="10" spans="1:16" x14ac:dyDescent="0.45">
      <c r="A10" s="549">
        <f>IF('Proxy Price Data'!B7="","",'Proxy Price Data'!B7)</f>
        <v>45117</v>
      </c>
      <c r="B10" s="550">
        <f>IF('Proxy Price Data'!C7="","",'Proxy Price Data'!C7)</f>
        <v>84.29</v>
      </c>
      <c r="C10" s="550">
        <f>IF('Proxy Price Data'!D7="","",'Proxy Price Data'!D7)</f>
        <v>140.6</v>
      </c>
      <c r="D10" s="550">
        <f>IF('Proxy Price Data'!E7="","",'Proxy Price Data'!E7)</f>
        <v>49.3</v>
      </c>
      <c r="E10" s="550">
        <f>IF('Proxy Price Data'!F7="","",'Proxy Price Data'!F7)</f>
        <v>39.19</v>
      </c>
      <c r="F10" s="550">
        <f>IF('Proxy Price Data'!G7="","",'Proxy Price Data'!G7)</f>
        <v>77.55</v>
      </c>
      <c r="G10" s="550">
        <f>IF('Proxy Price Data'!H7="","",'Proxy Price Data'!H7)</f>
        <v>66.599999999999994</v>
      </c>
      <c r="H10" s="550" t="str">
        <f>IF('Proxy Price Data'!I7="","",'Proxy Price Data'!I7)</f>
        <v/>
      </c>
      <c r="I10" s="550"/>
      <c r="J10" s="550"/>
      <c r="K10" s="550"/>
      <c r="L10" s="550"/>
      <c r="M10" s="550"/>
      <c r="N10" s="550"/>
      <c r="O10" s="550"/>
      <c r="P10" s="550"/>
    </row>
    <row r="11" spans="1:16" x14ac:dyDescent="0.45">
      <c r="A11" s="549">
        <f>IF('Proxy Price Data'!B8="","",'Proxy Price Data'!B8)</f>
        <v>45114</v>
      </c>
      <c r="B11" s="550">
        <f>IF('Proxy Price Data'!C8="","",'Proxy Price Data'!C8)</f>
        <v>83.84</v>
      </c>
      <c r="C11" s="550">
        <f>IF('Proxy Price Data'!D8="","",'Proxy Price Data'!D8)</f>
        <v>141.06</v>
      </c>
      <c r="D11" s="550">
        <f>IF('Proxy Price Data'!E8="","",'Proxy Price Data'!E8)</f>
        <v>49.59</v>
      </c>
      <c r="E11" s="550">
        <f>IF('Proxy Price Data'!F8="","",'Proxy Price Data'!F8)</f>
        <v>39.15</v>
      </c>
      <c r="F11" s="550">
        <f>IF('Proxy Price Data'!G8="","",'Proxy Price Data'!G8)</f>
        <v>77.569999999999993</v>
      </c>
      <c r="G11" s="550">
        <f>IF('Proxy Price Data'!H8="","",'Proxy Price Data'!H8)</f>
        <v>66.760000000000005</v>
      </c>
      <c r="H11" s="550" t="str">
        <f>IF('Proxy Price Data'!I8="","",'Proxy Price Data'!I8)</f>
        <v/>
      </c>
      <c r="I11" s="550"/>
      <c r="J11" s="550"/>
      <c r="K11" s="550"/>
      <c r="L11" s="550"/>
      <c r="M11" s="550"/>
      <c r="N11" s="550"/>
      <c r="O11" s="550"/>
      <c r="P11" s="550"/>
    </row>
    <row r="12" spans="1:16" x14ac:dyDescent="0.45">
      <c r="A12" s="549">
        <f>IF('Proxy Price Data'!B9="","",'Proxy Price Data'!B9)</f>
        <v>45113</v>
      </c>
      <c r="B12" s="550">
        <f>IF('Proxy Price Data'!C9="","",'Proxy Price Data'!C9)</f>
        <v>87.34</v>
      </c>
      <c r="C12" s="550">
        <f>IF('Proxy Price Data'!D9="","",'Proxy Price Data'!D9)</f>
        <v>142.41999999999999</v>
      </c>
      <c r="D12" s="550">
        <f>IF('Proxy Price Data'!E9="","",'Proxy Price Data'!E9)</f>
        <v>50.48</v>
      </c>
      <c r="E12" s="550">
        <f>IF('Proxy Price Data'!F9="","",'Proxy Price Data'!F9)</f>
        <v>39.590000000000003</v>
      </c>
      <c r="F12" s="550">
        <f>IF('Proxy Price Data'!G9="","",'Proxy Price Data'!G9)</f>
        <v>78.650000000000006</v>
      </c>
      <c r="G12" s="550">
        <f>IF('Proxy Price Data'!H9="","",'Proxy Price Data'!H9)</f>
        <v>68.98</v>
      </c>
      <c r="H12" s="550" t="str">
        <f>IF('Proxy Price Data'!I9="","",'Proxy Price Data'!I9)</f>
        <v/>
      </c>
      <c r="I12" s="550"/>
      <c r="J12" s="550"/>
      <c r="K12" s="550"/>
      <c r="L12" s="550"/>
      <c r="M12" s="550"/>
      <c r="N12" s="550"/>
      <c r="O12" s="550"/>
      <c r="P12" s="550"/>
    </row>
    <row r="13" spans="1:16" x14ac:dyDescent="0.45">
      <c r="A13" s="549">
        <f>IF('Proxy Price Data'!B10="","",'Proxy Price Data'!B10)</f>
        <v>45112</v>
      </c>
      <c r="B13" s="550">
        <f>IF('Proxy Price Data'!C10="","",'Proxy Price Data'!C10)</f>
        <v>87</v>
      </c>
      <c r="C13" s="550">
        <f>IF('Proxy Price Data'!D10="","",'Proxy Price Data'!D10)</f>
        <v>144.80000000000001</v>
      </c>
      <c r="D13" s="550">
        <f>IF('Proxy Price Data'!E10="","",'Proxy Price Data'!E10)</f>
        <v>51.02</v>
      </c>
      <c r="E13" s="550">
        <f>IF('Proxy Price Data'!F10="","",'Proxy Price Data'!F10)</f>
        <v>40.21</v>
      </c>
      <c r="F13" s="550">
        <f>IF('Proxy Price Data'!G10="","",'Proxy Price Data'!G10)</f>
        <v>79.37</v>
      </c>
      <c r="G13" s="550">
        <f>IF('Proxy Price Data'!H10="","",'Proxy Price Data'!H10)</f>
        <v>69.930000000000007</v>
      </c>
      <c r="H13" s="550" t="str">
        <f>IF('Proxy Price Data'!I10="","",'Proxy Price Data'!I10)</f>
        <v/>
      </c>
      <c r="I13" s="550"/>
      <c r="J13" s="550"/>
      <c r="K13" s="550"/>
      <c r="L13" s="550"/>
      <c r="M13" s="550"/>
      <c r="N13" s="550"/>
      <c r="O13" s="550"/>
      <c r="P13" s="550"/>
    </row>
    <row r="14" spans="1:16" x14ac:dyDescent="0.45">
      <c r="A14" s="549">
        <f>IF('Proxy Price Data'!B11="","",'Proxy Price Data'!B11)</f>
        <v>45110</v>
      </c>
      <c r="B14" s="550">
        <f>IF('Proxy Price Data'!C11="","",'Proxy Price Data'!C11)</f>
        <v>87.58</v>
      </c>
      <c r="C14" s="550">
        <f>IF('Proxy Price Data'!D11="","",'Proxy Price Data'!D11)</f>
        <v>143.97</v>
      </c>
      <c r="D14" s="550">
        <f>IF('Proxy Price Data'!E11="","",'Proxy Price Data'!E11)</f>
        <v>51.88</v>
      </c>
      <c r="E14" s="550">
        <f>IF('Proxy Price Data'!F11="","",'Proxy Price Data'!F11)</f>
        <v>40.32</v>
      </c>
      <c r="F14" s="550">
        <f>IF('Proxy Price Data'!G11="","",'Proxy Price Data'!G11)</f>
        <v>80.62</v>
      </c>
      <c r="G14" s="550">
        <f>IF('Proxy Price Data'!H11="","",'Proxy Price Data'!H11)</f>
        <v>70.37</v>
      </c>
      <c r="H14" s="550" t="str">
        <f>IF('Proxy Price Data'!I11="","",'Proxy Price Data'!I11)</f>
        <v/>
      </c>
      <c r="I14" s="550"/>
      <c r="J14" s="550"/>
      <c r="K14" s="550"/>
      <c r="L14" s="550"/>
      <c r="M14" s="550"/>
      <c r="N14" s="550"/>
      <c r="O14" s="550"/>
      <c r="P14" s="550"/>
    </row>
    <row r="15" spans="1:16" x14ac:dyDescent="0.45">
      <c r="A15" s="549">
        <f>IF('Proxy Price Data'!B12="","",'Proxy Price Data'!B12)</f>
        <v>45107</v>
      </c>
      <c r="B15" s="550">
        <f>IF('Proxy Price Data'!C12="","",'Proxy Price Data'!C12)</f>
        <v>87</v>
      </c>
      <c r="C15" s="550">
        <f>IF('Proxy Price Data'!D12="","",'Proxy Price Data'!D12)</f>
        <v>142.75</v>
      </c>
      <c r="D15" s="550">
        <f>IF('Proxy Price Data'!E12="","",'Proxy Price Data'!E12)</f>
        <v>51.63</v>
      </c>
      <c r="E15" s="550">
        <f>IF('Proxy Price Data'!F12="","",'Proxy Price Data'!F12)</f>
        <v>39.909999999999997</v>
      </c>
      <c r="F15" s="550">
        <f>IF('Proxy Price Data'!G12="","",'Proxy Price Data'!G12)</f>
        <v>80.66</v>
      </c>
      <c r="G15" s="550">
        <f>IF('Proxy Price Data'!H12="","",'Proxy Price Data'!H12)</f>
        <v>70.11</v>
      </c>
      <c r="H15" s="550" t="str">
        <f>IF('Proxy Price Data'!I12="","",'Proxy Price Data'!I12)</f>
        <v/>
      </c>
      <c r="I15" s="550"/>
      <c r="J15" s="550"/>
      <c r="K15" s="550"/>
      <c r="L15" s="550"/>
      <c r="M15" s="550"/>
      <c r="N15" s="550"/>
      <c r="O15" s="550"/>
      <c r="P15" s="550"/>
    </row>
    <row r="16" spans="1:16" x14ac:dyDescent="0.45">
      <c r="A16" s="549">
        <f>IF('Proxy Price Data'!B13="","",'Proxy Price Data'!B13)</f>
        <v>45106</v>
      </c>
      <c r="B16" s="550">
        <f>IF('Proxy Price Data'!C13="","",'Proxy Price Data'!C13)</f>
        <v>86.89</v>
      </c>
      <c r="C16" s="550">
        <f>IF('Proxy Price Data'!D13="","",'Proxy Price Data'!D13)</f>
        <v>140.47</v>
      </c>
      <c r="D16" s="550">
        <f>IF('Proxy Price Data'!E13="","",'Proxy Price Data'!E13)</f>
        <v>51.74</v>
      </c>
      <c r="E16" s="550">
        <f>IF('Proxy Price Data'!F13="","",'Proxy Price Data'!F13)</f>
        <v>39.47</v>
      </c>
      <c r="F16" s="550">
        <f>IF('Proxy Price Data'!G13="","",'Proxy Price Data'!G13)</f>
        <v>80.319999999999993</v>
      </c>
      <c r="G16" s="550">
        <f>IF('Proxy Price Data'!H13="","",'Proxy Price Data'!H13)</f>
        <v>70.010000000000005</v>
      </c>
      <c r="H16" s="550" t="str">
        <f>IF('Proxy Price Data'!I13="","",'Proxy Price Data'!I13)</f>
        <v/>
      </c>
      <c r="I16" s="550"/>
      <c r="J16" s="550"/>
      <c r="K16" s="550"/>
      <c r="L16" s="550"/>
      <c r="M16" s="550"/>
      <c r="N16" s="550"/>
      <c r="O16" s="550"/>
      <c r="P16" s="550"/>
    </row>
    <row r="17" spans="1:16" x14ac:dyDescent="0.45">
      <c r="A17" s="549">
        <f>IF('Proxy Price Data'!B14="","",'Proxy Price Data'!B14)</f>
        <v>45105</v>
      </c>
      <c r="B17" s="550">
        <f>IF('Proxy Price Data'!C14="","",'Proxy Price Data'!C14)</f>
        <v>85.46</v>
      </c>
      <c r="C17" s="550">
        <f>IF('Proxy Price Data'!D14="","",'Proxy Price Data'!D14)</f>
        <v>140.97999999999999</v>
      </c>
      <c r="D17" s="550">
        <f>IF('Proxy Price Data'!E14="","",'Proxy Price Data'!E14)</f>
        <v>51.82</v>
      </c>
      <c r="E17" s="550">
        <f>IF('Proxy Price Data'!F14="","",'Proxy Price Data'!F14)</f>
        <v>39.56</v>
      </c>
      <c r="F17" s="550">
        <f>IF('Proxy Price Data'!G14="","",'Proxy Price Data'!G14)</f>
        <v>79.2</v>
      </c>
      <c r="G17" s="550">
        <f>IF('Proxy Price Data'!H14="","",'Proxy Price Data'!H14)</f>
        <v>69.400000000000006</v>
      </c>
      <c r="H17" s="550" t="str">
        <f>IF('Proxy Price Data'!I14="","",'Proxy Price Data'!I14)</f>
        <v/>
      </c>
      <c r="I17" s="550"/>
      <c r="J17" s="550"/>
      <c r="K17" s="550"/>
      <c r="L17" s="550"/>
      <c r="M17" s="550"/>
      <c r="N17" s="550"/>
      <c r="O17" s="550"/>
      <c r="P17" s="550"/>
    </row>
    <row r="18" spans="1:16" x14ac:dyDescent="0.45">
      <c r="A18" s="549">
        <f>IF('Proxy Price Data'!B15="","",'Proxy Price Data'!B15)</f>
        <v>45104</v>
      </c>
      <c r="B18" s="550">
        <f>IF('Proxy Price Data'!C15="","",'Proxy Price Data'!C15)</f>
        <v>86.14</v>
      </c>
      <c r="C18" s="550">
        <f>IF('Proxy Price Data'!D15="","",'Proxy Price Data'!D15)</f>
        <v>142.88</v>
      </c>
      <c r="D18" s="550">
        <f>IF('Proxy Price Data'!E15="","",'Proxy Price Data'!E15)</f>
        <v>51.04</v>
      </c>
      <c r="E18" s="550">
        <f>IF('Proxy Price Data'!F15="","",'Proxy Price Data'!F15)</f>
        <v>40.17</v>
      </c>
      <c r="F18" s="550">
        <f>IF('Proxy Price Data'!G15="","",'Proxy Price Data'!G15)</f>
        <v>80.06</v>
      </c>
      <c r="G18" s="550">
        <f>IF('Proxy Price Data'!H15="","",'Proxy Price Data'!H15)</f>
        <v>70.3</v>
      </c>
      <c r="H18" s="550" t="str">
        <f>IF('Proxy Price Data'!I15="","",'Proxy Price Data'!I15)</f>
        <v/>
      </c>
      <c r="I18" s="550"/>
      <c r="J18" s="550"/>
      <c r="K18" s="550"/>
      <c r="L18" s="550"/>
      <c r="M18" s="550"/>
      <c r="N18" s="550"/>
      <c r="O18" s="550"/>
      <c r="P18" s="550"/>
    </row>
    <row r="19" spans="1:16" x14ac:dyDescent="0.45">
      <c r="A19" s="549">
        <f>IF('Proxy Price Data'!B16="","",'Proxy Price Data'!B16)</f>
        <v>45103</v>
      </c>
      <c r="B19" s="550">
        <f>IF('Proxy Price Data'!C16="","",'Proxy Price Data'!C16)</f>
        <v>84.86</v>
      </c>
      <c r="C19" s="550">
        <f>IF('Proxy Price Data'!D16="","",'Proxy Price Data'!D16)</f>
        <v>140.22999999999999</v>
      </c>
      <c r="D19" s="550">
        <f>IF('Proxy Price Data'!E16="","",'Proxy Price Data'!E16)</f>
        <v>49.9</v>
      </c>
      <c r="E19" s="550">
        <f>IF('Proxy Price Data'!F16="","",'Proxy Price Data'!F16)</f>
        <v>39.840000000000003</v>
      </c>
      <c r="F19" s="550">
        <f>IF('Proxy Price Data'!G16="","",'Proxy Price Data'!G16)</f>
        <v>79.3</v>
      </c>
      <c r="G19" s="550">
        <f>IF('Proxy Price Data'!H16="","",'Proxy Price Data'!H16)</f>
        <v>69.37</v>
      </c>
      <c r="H19" s="550" t="str">
        <f>IF('Proxy Price Data'!I16="","",'Proxy Price Data'!I16)</f>
        <v/>
      </c>
      <c r="I19" s="550"/>
      <c r="J19" s="550"/>
      <c r="K19" s="550"/>
      <c r="L19" s="550"/>
      <c r="M19" s="550"/>
      <c r="N19" s="550"/>
      <c r="O19" s="550"/>
      <c r="P19" s="550"/>
    </row>
    <row r="20" spans="1:16" x14ac:dyDescent="0.45">
      <c r="A20" s="549">
        <f>IF('Proxy Price Data'!B17="","",'Proxy Price Data'!B17)</f>
        <v>45100</v>
      </c>
      <c r="B20" s="550">
        <f>IF('Proxy Price Data'!C17="","",'Proxy Price Data'!C17)</f>
        <v>84.64</v>
      </c>
      <c r="C20" s="550">
        <f>IF('Proxy Price Data'!D17="","",'Proxy Price Data'!D17)</f>
        <v>145.76</v>
      </c>
      <c r="D20" s="550">
        <f>IF('Proxy Price Data'!E17="","",'Proxy Price Data'!E17)</f>
        <v>50.28</v>
      </c>
      <c r="E20" s="550">
        <f>IF('Proxy Price Data'!F17="","",'Proxy Price Data'!F17)</f>
        <v>40.01</v>
      </c>
      <c r="F20" s="550">
        <f>IF('Proxy Price Data'!G17="","",'Proxy Price Data'!G17)</f>
        <v>78.260000000000005</v>
      </c>
      <c r="G20" s="550">
        <f>IF('Proxy Price Data'!H17="","",'Proxy Price Data'!H17)</f>
        <v>68.77</v>
      </c>
      <c r="H20" s="550" t="str">
        <f>IF('Proxy Price Data'!I17="","",'Proxy Price Data'!I17)</f>
        <v/>
      </c>
      <c r="I20" s="550"/>
      <c r="J20" s="550"/>
      <c r="K20" s="550"/>
      <c r="L20" s="550"/>
      <c r="M20" s="550"/>
      <c r="N20" s="550"/>
      <c r="O20" s="550"/>
      <c r="P20" s="550"/>
    </row>
    <row r="21" spans="1:16" x14ac:dyDescent="0.45">
      <c r="A21" s="549">
        <f>IF('Proxy Price Data'!B18="","",'Proxy Price Data'!B18)</f>
        <v>45099</v>
      </c>
      <c r="B21" s="550">
        <f>IF('Proxy Price Data'!C18="","",'Proxy Price Data'!C18)</f>
        <v>87.19</v>
      </c>
      <c r="C21" s="550">
        <f>IF('Proxy Price Data'!D18="","",'Proxy Price Data'!D18)</f>
        <v>148.5</v>
      </c>
      <c r="D21" s="550">
        <f>IF('Proxy Price Data'!E18="","",'Proxy Price Data'!E18)</f>
        <v>52.27</v>
      </c>
      <c r="E21" s="550">
        <f>IF('Proxy Price Data'!F18="","",'Proxy Price Data'!F18)</f>
        <v>40.89</v>
      </c>
      <c r="F21" s="550">
        <f>IF('Proxy Price Data'!G18="","",'Proxy Price Data'!G18)</f>
        <v>81.91</v>
      </c>
      <c r="G21" s="550">
        <f>IF('Proxy Price Data'!H18="","",'Proxy Price Data'!H18)</f>
        <v>71.599999999999994</v>
      </c>
      <c r="H21" s="550" t="str">
        <f>IF('Proxy Price Data'!I18="","",'Proxy Price Data'!I18)</f>
        <v/>
      </c>
      <c r="I21" s="550"/>
      <c r="J21" s="550"/>
      <c r="K21" s="550"/>
      <c r="L21" s="550"/>
      <c r="M21" s="550"/>
      <c r="N21" s="550"/>
      <c r="O21" s="550"/>
      <c r="P21" s="550"/>
    </row>
    <row r="22" spans="1:16" x14ac:dyDescent="0.45">
      <c r="A22" s="549">
        <f>IF('Proxy Price Data'!B19="","",'Proxy Price Data'!B19)</f>
        <v>45098</v>
      </c>
      <c r="B22" s="550">
        <f>IF('Proxy Price Data'!C19="","",'Proxy Price Data'!C19)</f>
        <v>87.53</v>
      </c>
      <c r="C22" s="550">
        <f>IF('Proxy Price Data'!D19="","",'Proxy Price Data'!D19)</f>
        <v>148.63999999999999</v>
      </c>
      <c r="D22" s="550">
        <f>IF('Proxy Price Data'!E19="","",'Proxy Price Data'!E19)</f>
        <v>52.17</v>
      </c>
      <c r="E22" s="550">
        <f>IF('Proxy Price Data'!F19="","",'Proxy Price Data'!F19)</f>
        <v>40.94</v>
      </c>
      <c r="F22" s="550">
        <f>IF('Proxy Price Data'!G19="","",'Proxy Price Data'!G19)</f>
        <v>81.69</v>
      </c>
      <c r="G22" s="550">
        <f>IF('Proxy Price Data'!H19="","",'Proxy Price Data'!H19)</f>
        <v>71.760000000000005</v>
      </c>
      <c r="H22" s="550" t="str">
        <f>IF('Proxy Price Data'!I19="","",'Proxy Price Data'!I19)</f>
        <v/>
      </c>
      <c r="I22" s="550"/>
      <c r="J22" s="550"/>
      <c r="K22" s="550"/>
      <c r="L22" s="550"/>
      <c r="M22" s="550"/>
      <c r="N22" s="550"/>
      <c r="O22" s="550"/>
      <c r="P22" s="550"/>
    </row>
    <row r="23" spans="1:16" x14ac:dyDescent="0.45">
      <c r="A23" s="549">
        <f>IF('Proxy Price Data'!B20="","",'Proxy Price Data'!B20)</f>
        <v>45097</v>
      </c>
      <c r="B23" s="550">
        <f>IF('Proxy Price Data'!C20="","",'Proxy Price Data'!C20)</f>
        <v>87.44</v>
      </c>
      <c r="C23" s="550">
        <f>IF('Proxy Price Data'!D20="","",'Proxy Price Data'!D20)</f>
        <v>148.11000000000001</v>
      </c>
      <c r="D23" s="550">
        <f>IF('Proxy Price Data'!E20="","",'Proxy Price Data'!E20)</f>
        <v>51.89</v>
      </c>
      <c r="E23" s="550">
        <f>IF('Proxy Price Data'!F20="","",'Proxy Price Data'!F20)</f>
        <v>41.13</v>
      </c>
      <c r="F23" s="550">
        <f>IF('Proxy Price Data'!G20="","",'Proxy Price Data'!G20)</f>
        <v>82.85</v>
      </c>
      <c r="G23" s="550">
        <f>IF('Proxy Price Data'!H20="","",'Proxy Price Data'!H20)</f>
        <v>71.52</v>
      </c>
      <c r="H23" s="550" t="str">
        <f>IF('Proxy Price Data'!I20="","",'Proxy Price Data'!I20)</f>
        <v/>
      </c>
      <c r="I23" s="550"/>
      <c r="J23" s="550"/>
      <c r="K23" s="550"/>
      <c r="L23" s="550"/>
      <c r="M23" s="550"/>
      <c r="N23" s="550"/>
      <c r="O23" s="550"/>
      <c r="P23" s="550"/>
    </row>
    <row r="24" spans="1:16" x14ac:dyDescent="0.45">
      <c r="A24" s="549">
        <f>IF('Proxy Price Data'!B21="","",'Proxy Price Data'!B21)</f>
        <v>45093</v>
      </c>
      <c r="B24" s="550">
        <f>IF('Proxy Price Data'!C21="","",'Proxy Price Data'!C21)</f>
        <v>87.67</v>
      </c>
      <c r="C24" s="550">
        <f>IF('Proxy Price Data'!D21="","",'Proxy Price Data'!D21)</f>
        <v>148.97999999999999</v>
      </c>
      <c r="D24" s="550">
        <f>IF('Proxy Price Data'!E21="","",'Proxy Price Data'!E21)</f>
        <v>52.47</v>
      </c>
      <c r="E24" s="550">
        <f>IF('Proxy Price Data'!F21="","",'Proxy Price Data'!F21)</f>
        <v>41.43</v>
      </c>
      <c r="F24" s="550">
        <f>IF('Proxy Price Data'!G21="","",'Proxy Price Data'!G21)</f>
        <v>82.51</v>
      </c>
      <c r="G24" s="550">
        <f>IF('Proxy Price Data'!H21="","",'Proxy Price Data'!H21)</f>
        <v>71.87</v>
      </c>
      <c r="H24" s="550" t="str">
        <f>IF('Proxy Price Data'!I21="","",'Proxy Price Data'!I21)</f>
        <v/>
      </c>
      <c r="I24" s="550"/>
      <c r="J24" s="550"/>
      <c r="K24" s="550"/>
      <c r="L24" s="550"/>
      <c r="M24" s="550"/>
      <c r="N24" s="550"/>
      <c r="O24" s="550"/>
      <c r="P24" s="550"/>
    </row>
    <row r="25" spans="1:16" x14ac:dyDescent="0.45">
      <c r="A25" s="549">
        <f>IF('Proxy Price Data'!B22="","",'Proxy Price Data'!B22)</f>
        <v>45092</v>
      </c>
      <c r="B25" s="550">
        <f>IF('Proxy Price Data'!C22="","",'Proxy Price Data'!C22)</f>
        <v>87.71</v>
      </c>
      <c r="C25" s="550">
        <f>IF('Proxy Price Data'!D22="","",'Proxy Price Data'!D22)</f>
        <v>148.09</v>
      </c>
      <c r="D25" s="550">
        <f>IF('Proxy Price Data'!E22="","",'Proxy Price Data'!E22)</f>
        <v>52.26</v>
      </c>
      <c r="E25" s="550">
        <f>IF('Proxy Price Data'!F22="","",'Proxy Price Data'!F22)</f>
        <v>41.64</v>
      </c>
      <c r="F25" s="550">
        <f>IF('Proxy Price Data'!G22="","",'Proxy Price Data'!G22)</f>
        <v>82.25</v>
      </c>
      <c r="G25" s="550">
        <f>IF('Proxy Price Data'!H22="","",'Proxy Price Data'!H22)</f>
        <v>72.599999999999994</v>
      </c>
      <c r="H25" s="550" t="str">
        <f>IF('Proxy Price Data'!I22="","",'Proxy Price Data'!I22)</f>
        <v/>
      </c>
      <c r="I25" s="550"/>
      <c r="J25" s="550"/>
      <c r="K25" s="550"/>
      <c r="L25" s="550"/>
      <c r="M25" s="550"/>
      <c r="N25" s="550"/>
      <c r="O25" s="550"/>
      <c r="P25" s="550"/>
    </row>
    <row r="26" spans="1:16" x14ac:dyDescent="0.45">
      <c r="A26" s="549">
        <f>IF('Proxy Price Data'!B23="","",'Proxy Price Data'!B23)</f>
        <v>45091</v>
      </c>
      <c r="B26" s="550">
        <f>IF('Proxy Price Data'!C23="","",'Proxy Price Data'!C23)</f>
        <v>86.3</v>
      </c>
      <c r="C26" s="550">
        <f>IF('Proxy Price Data'!D23="","",'Proxy Price Data'!D23)</f>
        <v>146.11000000000001</v>
      </c>
      <c r="D26" s="550">
        <f>IF('Proxy Price Data'!E23="","",'Proxy Price Data'!E23)</f>
        <v>51.59</v>
      </c>
      <c r="E26" s="550">
        <f>IF('Proxy Price Data'!F23="","",'Proxy Price Data'!F23)</f>
        <v>41.21</v>
      </c>
      <c r="F26" s="550">
        <f>IF('Proxy Price Data'!G23="","",'Proxy Price Data'!G23)</f>
        <v>80.95</v>
      </c>
      <c r="G26" s="550">
        <f>IF('Proxy Price Data'!H23="","",'Proxy Price Data'!H23)</f>
        <v>72.38</v>
      </c>
      <c r="H26" s="550" t="str">
        <f>IF('Proxy Price Data'!I23="","",'Proxy Price Data'!I23)</f>
        <v/>
      </c>
      <c r="I26" s="550"/>
      <c r="J26" s="550"/>
      <c r="K26" s="550"/>
      <c r="L26" s="550"/>
      <c r="M26" s="550"/>
      <c r="N26" s="550"/>
      <c r="O26" s="550"/>
      <c r="P26" s="550"/>
    </row>
    <row r="27" spans="1:16" x14ac:dyDescent="0.45">
      <c r="A27" s="549">
        <f>IF('Proxy Price Data'!B24="","",'Proxy Price Data'!B24)</f>
        <v>45090</v>
      </c>
      <c r="B27" s="550">
        <f>IF('Proxy Price Data'!C24="","",'Proxy Price Data'!C24)</f>
        <v>87.37</v>
      </c>
      <c r="C27" s="550">
        <f>IF('Proxy Price Data'!D24="","",'Proxy Price Data'!D24)</f>
        <v>146.36000000000001</v>
      </c>
      <c r="D27" s="550">
        <f>IF('Proxy Price Data'!E24="","",'Proxy Price Data'!E24)</f>
        <v>53.87</v>
      </c>
      <c r="E27" s="550">
        <f>IF('Proxy Price Data'!F24="","",'Proxy Price Data'!F24)</f>
        <v>41.4</v>
      </c>
      <c r="F27" s="550">
        <f>IF('Proxy Price Data'!G24="","",'Proxy Price Data'!G24)</f>
        <v>81.680000000000007</v>
      </c>
      <c r="G27" s="550">
        <f>IF('Proxy Price Data'!H24="","",'Proxy Price Data'!H24)</f>
        <v>72.42</v>
      </c>
      <c r="H27" s="550" t="str">
        <f>IF('Proxy Price Data'!I24="","",'Proxy Price Data'!I24)</f>
        <v/>
      </c>
      <c r="I27" s="550"/>
      <c r="J27" s="550"/>
      <c r="K27" s="550"/>
      <c r="L27" s="550"/>
      <c r="M27" s="550"/>
      <c r="N27" s="550"/>
      <c r="O27" s="550"/>
      <c r="P27" s="550"/>
    </row>
    <row r="28" spans="1:16" x14ac:dyDescent="0.45">
      <c r="A28" s="549">
        <f>IF('Proxy Price Data'!B25="","",'Proxy Price Data'!B25)</f>
        <v>45089</v>
      </c>
      <c r="B28" s="550">
        <f>IF('Proxy Price Data'!C25="","",'Proxy Price Data'!C25)</f>
        <v>87.41</v>
      </c>
      <c r="C28" s="550">
        <f>IF('Proxy Price Data'!D25="","",'Proxy Price Data'!D25)</f>
        <v>146.03</v>
      </c>
      <c r="D28" s="550">
        <f>IF('Proxy Price Data'!E25="","",'Proxy Price Data'!E25)</f>
        <v>53.83</v>
      </c>
      <c r="E28" s="550">
        <f>IF('Proxy Price Data'!F25="","",'Proxy Price Data'!F25)</f>
        <v>41.36</v>
      </c>
      <c r="F28" s="550">
        <f>IF('Proxy Price Data'!G25="","",'Proxy Price Data'!G25)</f>
        <v>82.07</v>
      </c>
      <c r="G28" s="550">
        <f>IF('Proxy Price Data'!H25="","",'Proxy Price Data'!H25)</f>
        <v>71.61</v>
      </c>
      <c r="H28" s="550" t="str">
        <f>IF('Proxy Price Data'!I25="","",'Proxy Price Data'!I25)</f>
        <v/>
      </c>
      <c r="I28" s="550"/>
      <c r="J28" s="550"/>
      <c r="K28" s="550"/>
      <c r="L28" s="550"/>
      <c r="M28" s="550"/>
      <c r="N28" s="550"/>
      <c r="O28" s="550"/>
      <c r="P28" s="550"/>
    </row>
    <row r="29" spans="1:16" x14ac:dyDescent="0.45">
      <c r="A29" s="549">
        <f>IF('Proxy Price Data'!B26="","",'Proxy Price Data'!B26)</f>
        <v>45086</v>
      </c>
      <c r="B29" s="550">
        <f>IF('Proxy Price Data'!C26="","",'Proxy Price Data'!C26)</f>
        <v>90.62</v>
      </c>
      <c r="C29" s="550">
        <f>IF('Proxy Price Data'!D26="","",'Proxy Price Data'!D26)</f>
        <v>146.66</v>
      </c>
      <c r="D29" s="550">
        <f>IF('Proxy Price Data'!E26="","",'Proxy Price Data'!E26)</f>
        <v>56.34</v>
      </c>
      <c r="E29" s="550">
        <f>IF('Proxy Price Data'!F26="","",'Proxy Price Data'!F26)</f>
        <v>41.61</v>
      </c>
      <c r="F29" s="550">
        <f>IF('Proxy Price Data'!G26="","",'Proxy Price Data'!G26)</f>
        <v>83.78</v>
      </c>
      <c r="G29" s="550">
        <f>IF('Proxy Price Data'!H26="","",'Proxy Price Data'!H26)</f>
        <v>75.430000000000007</v>
      </c>
      <c r="H29" s="550" t="str">
        <f>IF('Proxy Price Data'!I26="","",'Proxy Price Data'!I26)</f>
        <v/>
      </c>
      <c r="I29" s="550"/>
      <c r="J29" s="550"/>
      <c r="K29" s="550"/>
      <c r="L29" s="550"/>
      <c r="M29" s="550"/>
      <c r="N29" s="550"/>
      <c r="O29" s="550"/>
      <c r="P29" s="550"/>
    </row>
    <row r="30" spans="1:16" x14ac:dyDescent="0.45">
      <c r="A30" s="549">
        <f>IF('Proxy Price Data'!B27="","",'Proxy Price Data'!B27)</f>
        <v>45085</v>
      </c>
      <c r="B30" s="550">
        <f>IF('Proxy Price Data'!C27="","",'Proxy Price Data'!C27)</f>
        <v>91.12</v>
      </c>
      <c r="C30" s="550">
        <f>IF('Proxy Price Data'!D27="","",'Proxy Price Data'!D27)</f>
        <v>147.12</v>
      </c>
      <c r="D30" s="550">
        <f>IF('Proxy Price Data'!E27="","",'Proxy Price Data'!E27)</f>
        <v>57.06</v>
      </c>
      <c r="E30" s="550">
        <f>IF('Proxy Price Data'!F27="","",'Proxy Price Data'!F27)</f>
        <v>41.92</v>
      </c>
      <c r="F30" s="550">
        <f>IF('Proxy Price Data'!G27="","",'Proxy Price Data'!G27)</f>
        <v>83.78</v>
      </c>
      <c r="G30" s="550">
        <f>IF('Proxy Price Data'!H27="","",'Proxy Price Data'!H27)</f>
        <v>75.88</v>
      </c>
      <c r="H30" s="550" t="str">
        <f>IF('Proxy Price Data'!I27="","",'Proxy Price Data'!I27)</f>
        <v/>
      </c>
      <c r="I30" s="550"/>
      <c r="J30" s="550"/>
      <c r="K30" s="550"/>
      <c r="L30" s="550"/>
      <c r="M30" s="550"/>
      <c r="N30" s="550"/>
      <c r="O30" s="550"/>
      <c r="P30" s="550"/>
    </row>
    <row r="31" spans="1:16" x14ac:dyDescent="0.45">
      <c r="A31" s="549">
        <f>IF('Proxy Price Data'!B28="","",'Proxy Price Data'!B28)</f>
        <v>45084</v>
      </c>
      <c r="B31" s="550">
        <f>IF('Proxy Price Data'!C28="","",'Proxy Price Data'!C28)</f>
        <v>92.32</v>
      </c>
      <c r="C31" s="550">
        <f>IF('Proxy Price Data'!D28="","",'Proxy Price Data'!D28)</f>
        <v>147.08000000000001</v>
      </c>
      <c r="D31" s="550">
        <f>IF('Proxy Price Data'!E28="","",'Proxy Price Data'!E28)</f>
        <v>57.75</v>
      </c>
      <c r="E31" s="550">
        <f>IF('Proxy Price Data'!F28="","",'Proxy Price Data'!F28)</f>
        <v>41.71</v>
      </c>
      <c r="F31" s="550">
        <f>IF('Proxy Price Data'!G28="","",'Proxy Price Data'!G28)</f>
        <v>83.62</v>
      </c>
      <c r="G31" s="550">
        <f>IF('Proxy Price Data'!H28="","",'Proxy Price Data'!H28)</f>
        <v>76.099999999999994</v>
      </c>
      <c r="H31" s="550" t="str">
        <f>IF('Proxy Price Data'!I28="","",'Proxy Price Data'!I28)</f>
        <v/>
      </c>
      <c r="I31" s="550"/>
      <c r="J31" s="550"/>
      <c r="K31" s="550"/>
      <c r="L31" s="550"/>
      <c r="M31" s="550"/>
      <c r="N31" s="550"/>
      <c r="O31" s="550"/>
      <c r="P31" s="550"/>
    </row>
    <row r="32" spans="1:16" x14ac:dyDescent="0.45">
      <c r="A32" s="549">
        <f>IF('Proxy Price Data'!B29="","",'Proxy Price Data'!B29)</f>
        <v>45083</v>
      </c>
      <c r="B32" s="550">
        <f>IF('Proxy Price Data'!C29="","",'Proxy Price Data'!C29)</f>
        <v>90.57</v>
      </c>
      <c r="C32" s="550">
        <f>IF('Proxy Price Data'!D29="","",'Proxy Price Data'!D29)</f>
        <v>144.79</v>
      </c>
      <c r="D32" s="550">
        <f>IF('Proxy Price Data'!E29="","",'Proxy Price Data'!E29)</f>
        <v>57.12</v>
      </c>
      <c r="E32" s="550">
        <f>IF('Proxy Price Data'!F29="","",'Proxy Price Data'!F29)</f>
        <v>40.94</v>
      </c>
      <c r="F32" s="550">
        <f>IF('Proxy Price Data'!G29="","",'Proxy Price Data'!G29)</f>
        <v>82.67</v>
      </c>
      <c r="G32" s="550">
        <f>IF('Proxy Price Data'!H29="","",'Proxy Price Data'!H29)</f>
        <v>74.67</v>
      </c>
      <c r="H32" s="550" t="str">
        <f>IF('Proxy Price Data'!I29="","",'Proxy Price Data'!I29)</f>
        <v/>
      </c>
      <c r="I32" s="550"/>
      <c r="J32" s="550"/>
      <c r="K32" s="550"/>
      <c r="L32" s="550"/>
      <c r="M32" s="550"/>
      <c r="N32" s="550"/>
      <c r="O32" s="550"/>
      <c r="P32" s="550"/>
    </row>
    <row r="33" spans="1:16" x14ac:dyDescent="0.45">
      <c r="A33" s="549">
        <f>IF('Proxy Price Data'!B30="","",'Proxy Price Data'!B30)</f>
        <v>45082</v>
      </c>
      <c r="B33" s="550">
        <f>IF('Proxy Price Data'!C30="","",'Proxy Price Data'!C30)</f>
        <v>89.56</v>
      </c>
      <c r="C33" s="550">
        <f>IF('Proxy Price Data'!D30="","",'Proxy Price Data'!D30)</f>
        <v>145.91</v>
      </c>
      <c r="D33" s="550">
        <f>IF('Proxy Price Data'!E30="","",'Proxy Price Data'!E30)</f>
        <v>56.87</v>
      </c>
      <c r="E33" s="550">
        <f>IF('Proxy Price Data'!F30="","",'Proxy Price Data'!F30)</f>
        <v>40.89</v>
      </c>
      <c r="F33" s="550">
        <f>IF('Proxy Price Data'!G30="","",'Proxy Price Data'!G30)</f>
        <v>81.7</v>
      </c>
      <c r="G33" s="550">
        <f>IF('Proxy Price Data'!H30="","",'Proxy Price Data'!H30)</f>
        <v>75.209999999999994</v>
      </c>
      <c r="H33" s="550" t="str">
        <f>IF('Proxy Price Data'!I30="","",'Proxy Price Data'!I30)</f>
        <v/>
      </c>
      <c r="I33" s="550"/>
      <c r="J33" s="550"/>
      <c r="K33" s="550"/>
      <c r="L33" s="550"/>
      <c r="M33" s="550"/>
      <c r="N33" s="550"/>
      <c r="O33" s="550"/>
      <c r="P33" s="550"/>
    </row>
    <row r="34" spans="1:16" x14ac:dyDescent="0.45">
      <c r="A34" s="549">
        <f>IF('Proxy Price Data'!B31="","",'Proxy Price Data'!B31)</f>
        <v>45079</v>
      </c>
      <c r="B34" s="550">
        <f>IF('Proxy Price Data'!C31="","",'Proxy Price Data'!C31)</f>
        <v>91.61</v>
      </c>
      <c r="C34" s="550">
        <f>IF('Proxy Price Data'!D31="","",'Proxy Price Data'!D31)</f>
        <v>145.79</v>
      </c>
      <c r="D34" s="550">
        <f>IF('Proxy Price Data'!E31="","",'Proxy Price Data'!E31)</f>
        <v>57.89</v>
      </c>
      <c r="E34" s="550">
        <f>IF('Proxy Price Data'!F31="","",'Proxy Price Data'!F31)</f>
        <v>40.94</v>
      </c>
      <c r="F34" s="550">
        <f>IF('Proxy Price Data'!G31="","",'Proxy Price Data'!G31)</f>
        <v>82.52</v>
      </c>
      <c r="G34" s="550">
        <f>IF('Proxy Price Data'!H31="","",'Proxy Price Data'!H31)</f>
        <v>76.53</v>
      </c>
      <c r="H34" s="550" t="str">
        <f>IF('Proxy Price Data'!I31="","",'Proxy Price Data'!I31)</f>
        <v/>
      </c>
      <c r="I34" s="550"/>
      <c r="J34" s="550"/>
      <c r="K34" s="550"/>
      <c r="L34" s="550"/>
      <c r="M34" s="550"/>
      <c r="N34" s="550"/>
      <c r="O34" s="550"/>
      <c r="P34" s="550"/>
    </row>
    <row r="35" spans="1:16" x14ac:dyDescent="0.45">
      <c r="A35" s="549">
        <f>IF('Proxy Price Data'!B32="","",'Proxy Price Data'!B32)</f>
        <v>45078</v>
      </c>
      <c r="B35" s="550">
        <f>IF('Proxy Price Data'!C32="","",'Proxy Price Data'!C32)</f>
        <v>88.79</v>
      </c>
      <c r="C35" s="550">
        <f>IF('Proxy Price Data'!D32="","",'Proxy Price Data'!D32)</f>
        <v>143.57</v>
      </c>
      <c r="D35" s="550">
        <f>IF('Proxy Price Data'!E32="","",'Proxy Price Data'!E32)</f>
        <v>56.12</v>
      </c>
      <c r="E35" s="550">
        <f>IF('Proxy Price Data'!F32="","",'Proxy Price Data'!F32)</f>
        <v>39.96</v>
      </c>
      <c r="F35" s="550">
        <f>IF('Proxy Price Data'!G32="","",'Proxy Price Data'!G32)</f>
        <v>79.709999999999994</v>
      </c>
      <c r="G35" s="550">
        <f>IF('Proxy Price Data'!H32="","",'Proxy Price Data'!H32)</f>
        <v>74.569999999999993</v>
      </c>
      <c r="H35" s="550" t="str">
        <f>IF('Proxy Price Data'!I32="","",'Proxy Price Data'!I32)</f>
        <v/>
      </c>
      <c r="I35" s="550"/>
      <c r="J35" s="550"/>
      <c r="K35" s="550"/>
      <c r="L35" s="550"/>
      <c r="M35" s="550"/>
      <c r="N35" s="550"/>
      <c r="O35" s="550"/>
      <c r="P35" s="550"/>
    </row>
    <row r="36" spans="1:16" x14ac:dyDescent="0.45">
      <c r="A36" s="549">
        <f>IF('Proxy Price Data'!B33="","",'Proxy Price Data'!B33)</f>
        <v>45077</v>
      </c>
      <c r="B36" s="550">
        <f>IF('Proxy Price Data'!C33="","",'Proxy Price Data'!C33)</f>
        <v>88.82</v>
      </c>
      <c r="C36" s="550">
        <f>IF('Proxy Price Data'!D33="","",'Proxy Price Data'!D33)</f>
        <v>144.44999999999999</v>
      </c>
      <c r="D36" s="550">
        <f>IF('Proxy Price Data'!E33="","",'Proxy Price Data'!E33)</f>
        <v>56.91</v>
      </c>
      <c r="E36" s="550">
        <f>IF('Proxy Price Data'!F33="","",'Proxy Price Data'!F33)</f>
        <v>40.74</v>
      </c>
      <c r="F36" s="550">
        <f>IF('Proxy Price Data'!G33="","",'Proxy Price Data'!G33)</f>
        <v>81.36</v>
      </c>
      <c r="G36" s="550">
        <f>IF('Proxy Price Data'!H33="","",'Proxy Price Data'!H33)</f>
        <v>76.53</v>
      </c>
      <c r="H36" s="550" t="str">
        <f>IF('Proxy Price Data'!I33="","",'Proxy Price Data'!I33)</f>
        <v/>
      </c>
      <c r="I36" s="550"/>
      <c r="J36" s="550"/>
      <c r="K36" s="550"/>
      <c r="L36" s="550"/>
      <c r="M36" s="550"/>
      <c r="N36" s="550"/>
      <c r="O36" s="550"/>
      <c r="P36" s="550"/>
    </row>
    <row r="37" spans="1:16" x14ac:dyDescent="0.45">
      <c r="A37" s="549">
        <f>IF('Proxy Price Data'!B34="","",'Proxy Price Data'!B34)</f>
        <v>45076</v>
      </c>
      <c r="B37" s="550">
        <f>IF('Proxy Price Data'!C34="","",'Proxy Price Data'!C34)</f>
        <v>88.18</v>
      </c>
      <c r="C37" s="550">
        <f>IF('Proxy Price Data'!D34="","",'Proxy Price Data'!D34)</f>
        <v>143.19999999999999</v>
      </c>
      <c r="D37" s="550">
        <f>IF('Proxy Price Data'!E34="","",'Proxy Price Data'!E34)</f>
        <v>56.34</v>
      </c>
      <c r="E37" s="550">
        <f>IF('Proxy Price Data'!F34="","",'Proxy Price Data'!F34)</f>
        <v>40.270000000000003</v>
      </c>
      <c r="F37" s="550">
        <f>IF('Proxy Price Data'!G34="","",'Proxy Price Data'!G34)</f>
        <v>80.12</v>
      </c>
      <c r="G37" s="550">
        <f>IF('Proxy Price Data'!H34="","",'Proxy Price Data'!H34)</f>
        <v>76.28</v>
      </c>
      <c r="H37" s="550" t="str">
        <f>IF('Proxy Price Data'!I34="","",'Proxy Price Data'!I34)</f>
        <v/>
      </c>
      <c r="I37" s="550"/>
      <c r="J37" s="550"/>
      <c r="K37" s="550"/>
      <c r="L37" s="550"/>
      <c r="M37" s="550"/>
      <c r="N37" s="550"/>
      <c r="O37" s="550"/>
      <c r="P37" s="550"/>
    </row>
    <row r="38" spans="1:16" x14ac:dyDescent="0.45">
      <c r="A38" s="549">
        <f>IF('Proxy Price Data'!B35="","",'Proxy Price Data'!B35)</f>
        <v>45072</v>
      </c>
      <c r="B38" s="550">
        <f>IF('Proxy Price Data'!C35="","",'Proxy Price Data'!C35)</f>
        <v>89.99</v>
      </c>
      <c r="C38" s="550">
        <f>IF('Proxy Price Data'!D35="","",'Proxy Price Data'!D35)</f>
        <v>143.46</v>
      </c>
      <c r="D38" s="550">
        <f>IF('Proxy Price Data'!E35="","",'Proxy Price Data'!E35)</f>
        <v>57.13</v>
      </c>
      <c r="E38" s="550">
        <f>IF('Proxy Price Data'!F35="","",'Proxy Price Data'!F35)</f>
        <v>40.61</v>
      </c>
      <c r="F38" s="550">
        <f>IF('Proxy Price Data'!G35="","",'Proxy Price Data'!G35)</f>
        <v>79.09</v>
      </c>
      <c r="G38" s="550">
        <f>IF('Proxy Price Data'!H35="","",'Proxy Price Data'!H35)</f>
        <v>76.14</v>
      </c>
      <c r="H38" s="550" t="str">
        <f>IF('Proxy Price Data'!I35="","",'Proxy Price Data'!I35)</f>
        <v/>
      </c>
      <c r="I38" s="550"/>
      <c r="J38" s="550"/>
      <c r="K38" s="550"/>
      <c r="L38" s="550"/>
      <c r="M38" s="550"/>
      <c r="N38" s="550"/>
      <c r="O38" s="550"/>
      <c r="P38" s="550"/>
    </row>
    <row r="39" spans="1:16" x14ac:dyDescent="0.45">
      <c r="A39" s="549">
        <f>IF('Proxy Price Data'!B36="","",'Proxy Price Data'!B36)</f>
        <v>45071</v>
      </c>
      <c r="B39" s="550">
        <f>IF('Proxy Price Data'!C36="","",'Proxy Price Data'!C36)</f>
        <v>87.73</v>
      </c>
      <c r="C39" s="550">
        <f>IF('Proxy Price Data'!D36="","",'Proxy Price Data'!D36)</f>
        <v>142.44999999999999</v>
      </c>
      <c r="D39" s="550">
        <f>IF('Proxy Price Data'!E36="","",'Proxy Price Data'!E36)</f>
        <v>55.74</v>
      </c>
      <c r="E39" s="550">
        <f>IF('Proxy Price Data'!F36="","",'Proxy Price Data'!F36)</f>
        <v>40.159999999999997</v>
      </c>
      <c r="F39" s="550">
        <f>IF('Proxy Price Data'!G36="","",'Proxy Price Data'!G36)</f>
        <v>77.37</v>
      </c>
      <c r="G39" s="550">
        <f>IF('Proxy Price Data'!H36="","",'Proxy Price Data'!H36)</f>
        <v>74.790000000000006</v>
      </c>
      <c r="H39" s="550" t="str">
        <f>IF('Proxy Price Data'!I36="","",'Proxy Price Data'!I36)</f>
        <v/>
      </c>
      <c r="I39" s="550"/>
      <c r="J39" s="550"/>
      <c r="K39" s="550"/>
      <c r="L39" s="550"/>
      <c r="M39" s="550"/>
      <c r="N39" s="550"/>
      <c r="O39" s="550"/>
      <c r="P39" s="550"/>
    </row>
    <row r="40" spans="1:16" x14ac:dyDescent="0.45">
      <c r="A40" s="549">
        <f>IF('Proxy Price Data'!B37="","",'Proxy Price Data'!B37)</f>
        <v>45070</v>
      </c>
      <c r="B40" s="550">
        <f>IF('Proxy Price Data'!C37="","",'Proxy Price Data'!C37)</f>
        <v>88.32</v>
      </c>
      <c r="C40" s="550">
        <f>IF('Proxy Price Data'!D37="","",'Proxy Price Data'!D37)</f>
        <v>143.16999999999999</v>
      </c>
      <c r="D40" s="550">
        <f>IF('Proxy Price Data'!E37="","",'Proxy Price Data'!E37)</f>
        <v>56.13</v>
      </c>
      <c r="E40" s="550">
        <f>IF('Proxy Price Data'!F37="","",'Proxy Price Data'!F37)</f>
        <v>40.770000000000003</v>
      </c>
      <c r="F40" s="550">
        <f>IF('Proxy Price Data'!G37="","",'Proxy Price Data'!G37)</f>
        <v>78.099999999999994</v>
      </c>
      <c r="G40" s="550">
        <f>IF('Proxy Price Data'!H37="","",'Proxy Price Data'!H37)</f>
        <v>75.260000000000005</v>
      </c>
      <c r="H40" s="550" t="str">
        <f>IF('Proxy Price Data'!I37="","",'Proxy Price Data'!I37)</f>
        <v/>
      </c>
      <c r="I40" s="550"/>
      <c r="J40" s="550"/>
      <c r="K40" s="550"/>
      <c r="L40" s="550"/>
      <c r="M40" s="550"/>
      <c r="N40" s="550"/>
      <c r="O40" s="550"/>
      <c r="P40" s="550"/>
    </row>
    <row r="41" spans="1:16" x14ac:dyDescent="0.45">
      <c r="A41" s="549">
        <f>IF('Proxy Price Data'!B38="","",'Proxy Price Data'!B38)</f>
        <v>45069</v>
      </c>
      <c r="B41" s="550">
        <f>IF('Proxy Price Data'!C38="","",'Proxy Price Data'!C38)</f>
        <v>89.26</v>
      </c>
      <c r="C41" s="550">
        <f>IF('Proxy Price Data'!D38="","",'Proxy Price Data'!D38)</f>
        <v>143.5</v>
      </c>
      <c r="D41" s="550">
        <f>IF('Proxy Price Data'!E38="","",'Proxy Price Data'!E38)</f>
        <v>56.23</v>
      </c>
      <c r="E41" s="550">
        <f>IF('Proxy Price Data'!F38="","",'Proxy Price Data'!F38)</f>
        <v>40.72</v>
      </c>
      <c r="F41" s="550">
        <f>IF('Proxy Price Data'!G38="","",'Proxy Price Data'!G38)</f>
        <v>77.42</v>
      </c>
      <c r="G41" s="550">
        <f>IF('Proxy Price Data'!H38="","",'Proxy Price Data'!H38)</f>
        <v>75.59</v>
      </c>
      <c r="H41" s="550" t="str">
        <f>IF('Proxy Price Data'!I38="","",'Proxy Price Data'!I38)</f>
        <v/>
      </c>
      <c r="I41" s="550"/>
      <c r="J41" s="550"/>
      <c r="K41" s="550"/>
      <c r="L41" s="550"/>
      <c r="M41" s="550"/>
      <c r="N41" s="550"/>
      <c r="O41" s="550"/>
      <c r="P41" s="550"/>
    </row>
    <row r="42" spans="1:16" x14ac:dyDescent="0.45">
      <c r="A42" s="549">
        <f>IF('Proxy Price Data'!B39="","",'Proxy Price Data'!B39)</f>
        <v>45068</v>
      </c>
      <c r="B42" s="550">
        <f>IF('Proxy Price Data'!C39="","",'Proxy Price Data'!C39)</f>
        <v>89.25</v>
      </c>
      <c r="C42" s="550">
        <f>IF('Proxy Price Data'!D39="","",'Proxy Price Data'!D39)</f>
        <v>143.57</v>
      </c>
      <c r="D42" s="550">
        <f>IF('Proxy Price Data'!E39="","",'Proxy Price Data'!E39)</f>
        <v>55.45</v>
      </c>
      <c r="E42" s="550">
        <f>IF('Proxy Price Data'!F39="","",'Proxy Price Data'!F39)</f>
        <v>40.520000000000003</v>
      </c>
      <c r="F42" s="550">
        <f>IF('Proxy Price Data'!G39="","",'Proxy Price Data'!G39)</f>
        <v>76.930000000000007</v>
      </c>
      <c r="G42" s="550">
        <f>IF('Proxy Price Data'!H39="","",'Proxy Price Data'!H39)</f>
        <v>75.510000000000005</v>
      </c>
      <c r="H42" s="550" t="str">
        <f>IF('Proxy Price Data'!I39="","",'Proxy Price Data'!I39)</f>
        <v/>
      </c>
      <c r="I42" s="550"/>
      <c r="J42" s="550"/>
      <c r="K42" s="550"/>
      <c r="L42" s="550"/>
      <c r="M42" s="550"/>
      <c r="N42" s="550"/>
      <c r="O42" s="550"/>
      <c r="P42" s="550"/>
    </row>
    <row r="43" spans="1:16" x14ac:dyDescent="0.45">
      <c r="A43" s="549">
        <f>IF('Proxy Price Data'!B40="","",'Proxy Price Data'!B40)</f>
        <v>45065</v>
      </c>
      <c r="B43" s="550">
        <f>IF('Proxy Price Data'!C40="","",'Proxy Price Data'!C40)</f>
        <v>86.88</v>
      </c>
      <c r="C43" s="550">
        <f>IF('Proxy Price Data'!D40="","",'Proxy Price Data'!D40)</f>
        <v>141.44999999999999</v>
      </c>
      <c r="D43" s="550">
        <f>IF('Proxy Price Data'!E40="","",'Proxy Price Data'!E40)</f>
        <v>54.62</v>
      </c>
      <c r="E43" s="550">
        <f>IF('Proxy Price Data'!F40="","",'Proxy Price Data'!F40)</f>
        <v>40.25</v>
      </c>
      <c r="F43" s="550">
        <f>IF('Proxy Price Data'!G40="","",'Proxy Price Data'!G40)</f>
        <v>75.290000000000006</v>
      </c>
      <c r="G43" s="550">
        <f>IF('Proxy Price Data'!H40="","",'Proxy Price Data'!H40)</f>
        <v>74.22</v>
      </c>
      <c r="H43" s="550" t="str">
        <f>IF('Proxy Price Data'!I40="","",'Proxy Price Data'!I40)</f>
        <v/>
      </c>
      <c r="I43" s="550"/>
      <c r="J43" s="550"/>
      <c r="K43" s="550"/>
      <c r="L43" s="550"/>
      <c r="M43" s="550"/>
      <c r="N43" s="550"/>
      <c r="O43" s="550"/>
      <c r="P43" s="550"/>
    </row>
    <row r="44" spans="1:16" x14ac:dyDescent="0.45">
      <c r="A44" s="549">
        <f>IF('Proxy Price Data'!B41="","",'Proxy Price Data'!B41)</f>
        <v>45064</v>
      </c>
      <c r="B44" s="550">
        <f>IF('Proxy Price Data'!C41="","",'Proxy Price Data'!C41)</f>
        <v>89.71</v>
      </c>
      <c r="C44" s="550">
        <f>IF('Proxy Price Data'!D41="","",'Proxy Price Data'!D41)</f>
        <v>141.72999999999999</v>
      </c>
      <c r="D44" s="550">
        <f>IF('Proxy Price Data'!E41="","",'Proxy Price Data'!E41)</f>
        <v>55.46</v>
      </c>
      <c r="E44" s="550">
        <f>IF('Proxy Price Data'!F41="","",'Proxy Price Data'!F41)</f>
        <v>40.47</v>
      </c>
      <c r="F44" s="550">
        <f>IF('Proxy Price Data'!G41="","",'Proxy Price Data'!G41)</f>
        <v>76.400000000000006</v>
      </c>
      <c r="G44" s="550">
        <f>IF('Proxy Price Data'!H41="","",'Proxy Price Data'!H41)</f>
        <v>75.23</v>
      </c>
      <c r="H44" s="550" t="str">
        <f>IF('Proxy Price Data'!I41="","",'Proxy Price Data'!I41)</f>
        <v/>
      </c>
      <c r="I44" s="550"/>
      <c r="J44" s="550"/>
      <c r="K44" s="550"/>
      <c r="L44" s="550"/>
      <c r="M44" s="550"/>
      <c r="N44" s="550"/>
      <c r="O44" s="550"/>
      <c r="P44" s="550"/>
    </row>
    <row r="45" spans="1:16" x14ac:dyDescent="0.45">
      <c r="A45" s="549">
        <f>IF('Proxy Price Data'!B42="","",'Proxy Price Data'!B42)</f>
        <v>45063</v>
      </c>
      <c r="B45" s="550">
        <f>IF('Proxy Price Data'!C42="","",'Proxy Price Data'!C42)</f>
        <v>91.15</v>
      </c>
      <c r="C45" s="550">
        <f>IF('Proxy Price Data'!D42="","",'Proxy Price Data'!D42)</f>
        <v>143.61000000000001</v>
      </c>
      <c r="D45" s="550">
        <f>IF('Proxy Price Data'!E42="","",'Proxy Price Data'!E42)</f>
        <v>56.09</v>
      </c>
      <c r="E45" s="550">
        <f>IF('Proxy Price Data'!F42="","",'Proxy Price Data'!F42)</f>
        <v>41.06</v>
      </c>
      <c r="F45" s="550">
        <f>IF('Proxy Price Data'!G42="","",'Proxy Price Data'!G42)</f>
        <v>74.959999999999994</v>
      </c>
      <c r="G45" s="550">
        <f>IF('Proxy Price Data'!H42="","",'Proxy Price Data'!H42)</f>
        <v>75.72</v>
      </c>
      <c r="H45" s="550" t="str">
        <f>IF('Proxy Price Data'!I42="","",'Proxy Price Data'!I42)</f>
        <v/>
      </c>
      <c r="I45" s="550"/>
      <c r="J45" s="550"/>
      <c r="K45" s="550"/>
      <c r="L45" s="550"/>
      <c r="M45" s="550"/>
      <c r="N45" s="550"/>
      <c r="O45" s="550"/>
      <c r="P45" s="550"/>
    </row>
    <row r="46" spans="1:16" x14ac:dyDescent="0.45">
      <c r="A46" s="549">
        <f>IF('Proxy Price Data'!B43="","",'Proxy Price Data'!B43)</f>
        <v>45062</v>
      </c>
      <c r="B46" s="550">
        <f>IF('Proxy Price Data'!C43="","",'Proxy Price Data'!C43)</f>
        <v>89.76</v>
      </c>
      <c r="C46" s="550">
        <f>IF('Proxy Price Data'!D43="","",'Proxy Price Data'!D43)</f>
        <v>144.69999999999999</v>
      </c>
      <c r="D46" s="550">
        <f>IF('Proxy Price Data'!E43="","",'Proxy Price Data'!E43)</f>
        <v>55.7</v>
      </c>
      <c r="E46" s="550">
        <f>IF('Proxy Price Data'!F43="","",'Proxy Price Data'!F43)</f>
        <v>41.13</v>
      </c>
      <c r="F46" s="550">
        <f>IF('Proxy Price Data'!G43="","",'Proxy Price Data'!G43)</f>
        <v>73.02</v>
      </c>
      <c r="G46" s="550">
        <f>IF('Proxy Price Data'!H43="","",'Proxy Price Data'!H43)</f>
        <v>75.17</v>
      </c>
      <c r="H46" s="550" t="str">
        <f>IF('Proxy Price Data'!I43="","",'Proxy Price Data'!I43)</f>
        <v/>
      </c>
      <c r="I46" s="550"/>
      <c r="J46" s="550"/>
      <c r="K46" s="550"/>
      <c r="L46" s="550"/>
      <c r="M46" s="550"/>
      <c r="N46" s="550"/>
      <c r="O46" s="550"/>
      <c r="P46" s="550"/>
    </row>
    <row r="47" spans="1:16" x14ac:dyDescent="0.45">
      <c r="A47" s="549">
        <f>IF('Proxy Price Data'!B44="","",'Proxy Price Data'!B44)</f>
        <v>45061</v>
      </c>
      <c r="B47" s="550">
        <f>IF('Proxy Price Data'!C44="","",'Proxy Price Data'!C44)</f>
        <v>90.6</v>
      </c>
      <c r="C47" s="550">
        <f>IF('Proxy Price Data'!D44="","",'Proxy Price Data'!D44)</f>
        <v>147.56</v>
      </c>
      <c r="D47" s="550">
        <f>IF('Proxy Price Data'!E44="","",'Proxy Price Data'!E44)</f>
        <v>56.6</v>
      </c>
      <c r="E47" s="550">
        <f>IF('Proxy Price Data'!F44="","",'Proxy Price Data'!F44)</f>
        <v>42.01</v>
      </c>
      <c r="F47" s="550">
        <f>IF('Proxy Price Data'!G44="","",'Proxy Price Data'!G44)</f>
        <v>74.14</v>
      </c>
      <c r="G47" s="550">
        <f>IF('Proxy Price Data'!H44="","",'Proxy Price Data'!H44)</f>
        <v>76.64</v>
      </c>
      <c r="H47" s="550" t="str">
        <f>IF('Proxy Price Data'!I44="","",'Proxy Price Data'!I44)</f>
        <v/>
      </c>
      <c r="I47" s="550"/>
      <c r="J47" s="550"/>
      <c r="K47" s="550"/>
      <c r="L47" s="550"/>
      <c r="M47" s="550"/>
      <c r="N47" s="550"/>
      <c r="O47" s="550"/>
      <c r="P47" s="550"/>
    </row>
    <row r="48" spans="1:16" x14ac:dyDescent="0.45">
      <c r="A48" s="549">
        <f>IF('Proxy Price Data'!B45="","",'Proxy Price Data'!B45)</f>
        <v>45058</v>
      </c>
      <c r="B48" s="550">
        <f>IF('Proxy Price Data'!C45="","",'Proxy Price Data'!C45)</f>
        <v>91.77</v>
      </c>
      <c r="C48" s="550">
        <f>IF('Proxy Price Data'!D45="","",'Proxy Price Data'!D45)</f>
        <v>149.77000000000001</v>
      </c>
      <c r="D48" s="550">
        <f>IF('Proxy Price Data'!E45="","",'Proxy Price Data'!E45)</f>
        <v>57.12</v>
      </c>
      <c r="E48" s="550">
        <f>IF('Proxy Price Data'!F45="","",'Proxy Price Data'!F45)</f>
        <v>42.53</v>
      </c>
      <c r="F48" s="550">
        <f>IF('Proxy Price Data'!G45="","",'Proxy Price Data'!G45)</f>
        <v>73.430000000000007</v>
      </c>
      <c r="G48" s="550">
        <f>IF('Proxy Price Data'!H45="","",'Proxy Price Data'!H45)</f>
        <v>75.78</v>
      </c>
      <c r="H48" s="550" t="str">
        <f>IF('Proxy Price Data'!I45="","",'Proxy Price Data'!I45)</f>
        <v/>
      </c>
      <c r="I48" s="550"/>
      <c r="J48" s="550"/>
      <c r="K48" s="550"/>
      <c r="L48" s="550"/>
      <c r="M48" s="550"/>
      <c r="N48" s="550"/>
      <c r="O48" s="550"/>
      <c r="P48" s="550"/>
    </row>
    <row r="49" spans="1:16" x14ac:dyDescent="0.45">
      <c r="A49" s="549">
        <f>IF('Proxy Price Data'!B46="","",'Proxy Price Data'!B46)</f>
        <v>45057</v>
      </c>
      <c r="B49" s="550">
        <f>IF('Proxy Price Data'!C46="","",'Proxy Price Data'!C46)</f>
        <v>89.46</v>
      </c>
      <c r="C49" s="550">
        <f>IF('Proxy Price Data'!D46="","",'Proxy Price Data'!D46)</f>
        <v>149.41999999999999</v>
      </c>
      <c r="D49" s="550">
        <f>IF('Proxy Price Data'!E46="","",'Proxy Price Data'!E46)</f>
        <v>56.76</v>
      </c>
      <c r="E49" s="550">
        <f>IF('Proxy Price Data'!F46="","",'Proxy Price Data'!F46)</f>
        <v>42.19</v>
      </c>
      <c r="F49" s="550">
        <f>IF('Proxy Price Data'!G46="","",'Proxy Price Data'!G46)</f>
        <v>72.73</v>
      </c>
      <c r="G49" s="550">
        <f>IF('Proxy Price Data'!H46="","",'Proxy Price Data'!H46)</f>
        <v>76.180000000000007</v>
      </c>
      <c r="H49" s="550" t="str">
        <f>IF('Proxy Price Data'!I46="","",'Proxy Price Data'!I46)</f>
        <v/>
      </c>
      <c r="I49" s="550"/>
      <c r="J49" s="550"/>
      <c r="K49" s="550"/>
      <c r="L49" s="550"/>
      <c r="M49" s="550"/>
      <c r="N49" s="550"/>
      <c r="O49" s="550"/>
      <c r="P49" s="550"/>
    </row>
    <row r="50" spans="1:16" x14ac:dyDescent="0.45">
      <c r="A50" s="549">
        <f>IF('Proxy Price Data'!B47="","",'Proxy Price Data'!B47)</f>
        <v>45056</v>
      </c>
      <c r="B50" s="550">
        <f>IF('Proxy Price Data'!C47="","",'Proxy Price Data'!C47)</f>
        <v>92.13</v>
      </c>
      <c r="C50" s="550">
        <f>IF('Proxy Price Data'!D47="","",'Proxy Price Data'!D47)</f>
        <v>149.74</v>
      </c>
      <c r="D50" s="550">
        <f>IF('Proxy Price Data'!E47="","",'Proxy Price Data'!E47)</f>
        <v>57.3</v>
      </c>
      <c r="E50" s="550">
        <f>IF('Proxy Price Data'!F47="","",'Proxy Price Data'!F47)</f>
        <v>42.97</v>
      </c>
      <c r="F50" s="550">
        <f>IF('Proxy Price Data'!G47="","",'Proxy Price Data'!G47)</f>
        <v>74.33</v>
      </c>
      <c r="G50" s="550">
        <f>IF('Proxy Price Data'!H47="","",'Proxy Price Data'!H47)</f>
        <v>77.66</v>
      </c>
      <c r="H50" s="550" t="str">
        <f>IF('Proxy Price Data'!I47="","",'Proxy Price Data'!I47)</f>
        <v/>
      </c>
      <c r="I50" s="550"/>
      <c r="J50" s="550"/>
      <c r="K50" s="550"/>
      <c r="L50" s="550"/>
      <c r="M50" s="550"/>
      <c r="N50" s="550"/>
      <c r="O50" s="550"/>
      <c r="P50" s="550"/>
    </row>
    <row r="51" spans="1:16" x14ac:dyDescent="0.45">
      <c r="A51" s="549">
        <f>IF('Proxy Price Data'!B48="","",'Proxy Price Data'!B48)</f>
        <v>45055</v>
      </c>
      <c r="B51" s="550">
        <f>IF('Proxy Price Data'!C48="","",'Proxy Price Data'!C48)</f>
        <v>90.3</v>
      </c>
      <c r="C51" s="550">
        <f>IF('Proxy Price Data'!D48="","",'Proxy Price Data'!D48)</f>
        <v>147.88</v>
      </c>
      <c r="D51" s="550">
        <f>IF('Proxy Price Data'!E48="","",'Proxy Price Data'!E48)</f>
        <v>56.46</v>
      </c>
      <c r="E51" s="550">
        <f>IF('Proxy Price Data'!F48="","",'Proxy Price Data'!F48)</f>
        <v>42.41</v>
      </c>
      <c r="F51" s="550">
        <f>IF('Proxy Price Data'!G48="","",'Proxy Price Data'!G48)</f>
        <v>74.209999999999994</v>
      </c>
      <c r="G51" s="550">
        <f>IF('Proxy Price Data'!H48="","",'Proxy Price Data'!H48)</f>
        <v>76.34</v>
      </c>
      <c r="H51" s="550" t="str">
        <f>IF('Proxy Price Data'!I48="","",'Proxy Price Data'!I48)</f>
        <v/>
      </c>
      <c r="I51" s="550"/>
      <c r="J51" s="550"/>
      <c r="K51" s="550"/>
      <c r="L51" s="550"/>
      <c r="M51" s="550"/>
      <c r="N51" s="550"/>
      <c r="O51" s="550"/>
      <c r="P51" s="550"/>
    </row>
    <row r="52" spans="1:16" x14ac:dyDescent="0.45">
      <c r="A52" s="549">
        <f>IF('Proxy Price Data'!B49="","",'Proxy Price Data'!B49)</f>
        <v>45054</v>
      </c>
      <c r="B52" s="550">
        <f>IF('Proxy Price Data'!C49="","",'Proxy Price Data'!C49)</f>
        <v>90.46</v>
      </c>
      <c r="C52" s="550">
        <f>IF('Proxy Price Data'!D49="","",'Proxy Price Data'!D49)</f>
        <v>147.47</v>
      </c>
      <c r="D52" s="550">
        <f>IF('Proxy Price Data'!E49="","",'Proxy Price Data'!E49)</f>
        <v>56.6</v>
      </c>
      <c r="E52" s="550">
        <f>IF('Proxy Price Data'!F49="","",'Proxy Price Data'!F49)</f>
        <v>42.84</v>
      </c>
      <c r="F52" s="550">
        <f>IF('Proxy Price Data'!G49="","",'Proxy Price Data'!G49)</f>
        <v>74.05</v>
      </c>
      <c r="G52" s="550">
        <f>IF('Proxy Price Data'!H49="","",'Proxy Price Data'!H49)</f>
        <v>76.400000000000006</v>
      </c>
      <c r="H52" s="550" t="str">
        <f>IF('Proxy Price Data'!I49="","",'Proxy Price Data'!I49)</f>
        <v/>
      </c>
      <c r="I52" s="550"/>
      <c r="J52" s="550"/>
      <c r="K52" s="550"/>
      <c r="L52" s="550"/>
      <c r="M52" s="550"/>
      <c r="N52" s="550"/>
      <c r="O52" s="550"/>
      <c r="P52" s="550"/>
    </row>
    <row r="53" spans="1:16" x14ac:dyDescent="0.45">
      <c r="A53" s="549">
        <f>IF('Proxy Price Data'!B50="","",'Proxy Price Data'!B50)</f>
        <v>45051</v>
      </c>
      <c r="B53" s="550">
        <f>IF('Proxy Price Data'!C50="","",'Proxy Price Data'!C50)</f>
        <v>90.88</v>
      </c>
      <c r="C53" s="550">
        <f>IF('Proxy Price Data'!D50="","",'Proxy Price Data'!D50)</f>
        <v>148.43</v>
      </c>
      <c r="D53" s="550">
        <f>IF('Proxy Price Data'!E50="","",'Proxy Price Data'!E50)</f>
        <v>57.03</v>
      </c>
      <c r="E53" s="550">
        <f>IF('Proxy Price Data'!F50="","",'Proxy Price Data'!F50)</f>
        <v>43.07</v>
      </c>
      <c r="F53" s="550">
        <f>IF('Proxy Price Data'!G50="","",'Proxy Price Data'!G50)</f>
        <v>73.89</v>
      </c>
      <c r="G53" s="550">
        <f>IF('Proxy Price Data'!H50="","",'Proxy Price Data'!H50)</f>
        <v>76.650000000000006</v>
      </c>
      <c r="H53" s="550" t="str">
        <f>IF('Proxy Price Data'!I50="","",'Proxy Price Data'!I50)</f>
        <v/>
      </c>
      <c r="I53" s="550"/>
      <c r="J53" s="550"/>
      <c r="K53" s="550"/>
      <c r="L53" s="550"/>
      <c r="M53" s="550"/>
      <c r="N53" s="550"/>
      <c r="O53" s="550"/>
      <c r="P53" s="550"/>
    </row>
    <row r="54" spans="1:16" x14ac:dyDescent="0.45">
      <c r="A54" s="549">
        <f>IF('Proxy Price Data'!B51="","",'Proxy Price Data'!B51)</f>
        <v>45050</v>
      </c>
      <c r="B54" s="550">
        <f>IF('Proxy Price Data'!C51="","",'Proxy Price Data'!C51)</f>
        <v>90.71</v>
      </c>
      <c r="C54" s="550">
        <f>IF('Proxy Price Data'!D51="","",'Proxy Price Data'!D51)</f>
        <v>147.82</v>
      </c>
      <c r="D54" s="550">
        <f>IF('Proxy Price Data'!E51="","",'Proxy Price Data'!E51)</f>
        <v>56.92</v>
      </c>
      <c r="E54" s="550">
        <f>IF('Proxy Price Data'!F51="","",'Proxy Price Data'!F51)</f>
        <v>42.74</v>
      </c>
      <c r="F54" s="550">
        <f>IF('Proxy Price Data'!G51="","",'Proxy Price Data'!G51)</f>
        <v>72.45</v>
      </c>
      <c r="G54" s="550">
        <f>IF('Proxy Price Data'!H51="","",'Proxy Price Data'!H51)</f>
        <v>76.260000000000005</v>
      </c>
      <c r="H54" s="550" t="str">
        <f>IF('Proxy Price Data'!I51="","",'Proxy Price Data'!I51)</f>
        <v/>
      </c>
      <c r="I54" s="550"/>
      <c r="J54" s="550"/>
      <c r="K54" s="550"/>
      <c r="L54" s="550"/>
      <c r="M54" s="550"/>
      <c r="N54" s="550"/>
      <c r="O54" s="550"/>
      <c r="P54" s="550"/>
    </row>
    <row r="55" spans="1:16" x14ac:dyDescent="0.45">
      <c r="A55" s="549">
        <f>IF('Proxy Price Data'!B52="","",'Proxy Price Data'!B52)</f>
        <v>45049</v>
      </c>
      <c r="B55" s="550">
        <f>IF('Proxy Price Data'!C52="","",'Proxy Price Data'!C52)</f>
        <v>89.16</v>
      </c>
      <c r="C55" s="550">
        <f>IF('Proxy Price Data'!D52="","",'Proxy Price Data'!D52)</f>
        <v>146.49</v>
      </c>
      <c r="D55" s="550">
        <f>IF('Proxy Price Data'!E52="","",'Proxy Price Data'!E52)</f>
        <v>55.99</v>
      </c>
      <c r="E55" s="550">
        <f>IF('Proxy Price Data'!F52="","",'Proxy Price Data'!F52)</f>
        <v>42.28</v>
      </c>
      <c r="F55" s="550">
        <f>IF('Proxy Price Data'!G52="","",'Proxy Price Data'!G52)</f>
        <v>71.58</v>
      </c>
      <c r="G55" s="550">
        <f>IF('Proxy Price Data'!H52="","",'Proxy Price Data'!H52)</f>
        <v>75.53</v>
      </c>
      <c r="H55" s="550" t="str">
        <f>IF('Proxy Price Data'!I52="","",'Proxy Price Data'!I52)</f>
        <v/>
      </c>
      <c r="I55" s="550"/>
      <c r="J55" s="550"/>
      <c r="K55" s="550"/>
      <c r="L55" s="550"/>
      <c r="M55" s="550"/>
      <c r="N55" s="550"/>
      <c r="O55" s="550"/>
      <c r="P55" s="550"/>
    </row>
    <row r="56" spans="1:16" x14ac:dyDescent="0.45">
      <c r="A56" s="549">
        <f>IF('Proxy Price Data'!B53="","",'Proxy Price Data'!B53)</f>
        <v>45048</v>
      </c>
      <c r="B56" s="550">
        <f>IF('Proxy Price Data'!C53="","",'Proxy Price Data'!C53)</f>
        <v>88.42</v>
      </c>
      <c r="C56" s="550">
        <f>IF('Proxy Price Data'!D53="","",'Proxy Price Data'!D53)</f>
        <v>146.74</v>
      </c>
      <c r="D56" s="550">
        <f>IF('Proxy Price Data'!E53="","",'Proxy Price Data'!E53)</f>
        <v>55.81</v>
      </c>
      <c r="E56" s="550">
        <f>IF('Proxy Price Data'!F53="","",'Proxy Price Data'!F53)</f>
        <v>42.28</v>
      </c>
      <c r="F56" s="550">
        <f>IF('Proxy Price Data'!G53="","",'Proxy Price Data'!G53)</f>
        <v>69.37</v>
      </c>
      <c r="G56" s="550">
        <f>IF('Proxy Price Data'!H53="","",'Proxy Price Data'!H53)</f>
        <v>75.709999999999994</v>
      </c>
      <c r="H56" s="550" t="str">
        <f>IF('Proxy Price Data'!I53="","",'Proxy Price Data'!I53)</f>
        <v/>
      </c>
      <c r="I56" s="550"/>
      <c r="J56" s="550"/>
      <c r="K56" s="550"/>
      <c r="L56" s="550"/>
      <c r="M56" s="550"/>
      <c r="N56" s="550"/>
      <c r="O56" s="550"/>
      <c r="P56" s="550"/>
    </row>
    <row r="57" spans="1:16" x14ac:dyDescent="0.45">
      <c r="A57" s="549">
        <f>IF('Proxy Price Data'!B54="","",'Proxy Price Data'!B54)</f>
        <v>45047</v>
      </c>
      <c r="B57" s="550">
        <f>IF('Proxy Price Data'!C54="","",'Proxy Price Data'!C54)</f>
        <v>88.01</v>
      </c>
      <c r="C57" s="550">
        <f>IF('Proxy Price Data'!D54="","",'Proxy Price Data'!D54)</f>
        <v>146.59</v>
      </c>
      <c r="D57" s="550">
        <f>IF('Proxy Price Data'!E54="","",'Proxy Price Data'!E54)</f>
        <v>55.46</v>
      </c>
      <c r="E57" s="550">
        <f>IF('Proxy Price Data'!F54="","",'Proxy Price Data'!F54)</f>
        <v>42.71</v>
      </c>
      <c r="F57" s="550">
        <f>IF('Proxy Price Data'!G54="","",'Proxy Price Data'!G54)</f>
        <v>72.59</v>
      </c>
      <c r="G57" s="550">
        <f>IF('Proxy Price Data'!H54="","",'Proxy Price Data'!H54)</f>
        <v>75.819999999999993</v>
      </c>
      <c r="H57" s="550" t="str">
        <f>IF('Proxy Price Data'!I54="","",'Proxy Price Data'!I54)</f>
        <v/>
      </c>
      <c r="I57" s="550"/>
      <c r="J57" s="550"/>
      <c r="K57" s="550"/>
      <c r="L57" s="550"/>
      <c r="M57" s="550"/>
      <c r="N57" s="550"/>
      <c r="O57" s="550"/>
      <c r="P57" s="550"/>
    </row>
    <row r="58" spans="1:16" x14ac:dyDescent="0.45">
      <c r="A58" s="549">
        <f>IF('Proxy Price Data'!B55="","",'Proxy Price Data'!B55)</f>
        <v>45044</v>
      </c>
      <c r="B58" s="550">
        <f>IF('Proxy Price Data'!C55="","",'Proxy Price Data'!C55)</f>
        <v>88.75</v>
      </c>
      <c r="C58" s="550">
        <f>IF('Proxy Price Data'!D55="","",'Proxy Price Data'!D55)</f>
        <v>148.25</v>
      </c>
      <c r="D58" s="550">
        <f>IF('Proxy Price Data'!E55="","",'Proxy Price Data'!E55)</f>
        <v>56.08</v>
      </c>
      <c r="E58" s="550">
        <f>IF('Proxy Price Data'!F55="","",'Proxy Price Data'!F55)</f>
        <v>42.7</v>
      </c>
      <c r="F58" s="550">
        <f>IF('Proxy Price Data'!G55="","",'Proxy Price Data'!G55)</f>
        <v>72.98</v>
      </c>
      <c r="G58" s="550">
        <f>IF('Proxy Price Data'!H55="","",'Proxy Price Data'!H55)</f>
        <v>75.92</v>
      </c>
      <c r="H58" s="550" t="str">
        <f>IF('Proxy Price Data'!I55="","",'Proxy Price Data'!I55)</f>
        <v/>
      </c>
      <c r="I58" s="550"/>
      <c r="J58" s="550"/>
      <c r="K58" s="550"/>
      <c r="L58" s="550"/>
      <c r="M58" s="550"/>
      <c r="N58" s="550"/>
      <c r="O58" s="550"/>
      <c r="P58" s="550"/>
    </row>
    <row r="59" spans="1:16" x14ac:dyDescent="0.45">
      <c r="A59" s="549">
        <f>IF('Proxy Price Data'!B56="","",'Proxy Price Data'!B56)</f>
        <v>45043</v>
      </c>
      <c r="B59" s="550">
        <f>IF('Proxy Price Data'!C56="","",'Proxy Price Data'!C56)</f>
        <v>89.92</v>
      </c>
      <c r="C59" s="550">
        <f>IF('Proxy Price Data'!D56="","",'Proxy Price Data'!D56)</f>
        <v>148.46</v>
      </c>
      <c r="D59" s="550">
        <f>IF('Proxy Price Data'!E56="","",'Proxy Price Data'!E56)</f>
        <v>56.77</v>
      </c>
      <c r="E59" s="550">
        <f>IF('Proxy Price Data'!F56="","",'Proxy Price Data'!F56)</f>
        <v>42.84</v>
      </c>
      <c r="F59" s="550">
        <f>IF('Proxy Price Data'!G56="","",'Proxy Price Data'!G56)</f>
        <v>74.069999999999993</v>
      </c>
      <c r="G59" s="550">
        <f>IF('Proxy Price Data'!H56="","",'Proxy Price Data'!H56)</f>
        <v>76.989999999999995</v>
      </c>
      <c r="H59" s="550" t="str">
        <f>IF('Proxy Price Data'!I56="","",'Proxy Price Data'!I56)</f>
        <v/>
      </c>
      <c r="I59" s="550"/>
      <c r="J59" s="550"/>
      <c r="K59" s="550"/>
      <c r="L59" s="550"/>
      <c r="M59" s="550"/>
      <c r="N59" s="550"/>
      <c r="O59" s="550"/>
      <c r="P59" s="550"/>
    </row>
    <row r="60" spans="1:16" x14ac:dyDescent="0.45">
      <c r="A60" s="549">
        <f>IF('Proxy Price Data'!B57="","",'Proxy Price Data'!B57)</f>
        <v>45042</v>
      </c>
      <c r="B60" s="550">
        <f>IF('Proxy Price Data'!C57="","",'Proxy Price Data'!C57)</f>
        <v>89.83</v>
      </c>
      <c r="C60" s="550">
        <f>IF('Proxy Price Data'!D57="","",'Proxy Price Data'!D57)</f>
        <v>149.05000000000001</v>
      </c>
      <c r="D60" s="550">
        <f>IF('Proxy Price Data'!E57="","",'Proxy Price Data'!E57)</f>
        <v>57</v>
      </c>
      <c r="E60" s="550">
        <f>IF('Proxy Price Data'!F57="","",'Proxy Price Data'!F57)</f>
        <v>43.01</v>
      </c>
      <c r="F60" s="550">
        <f>IF('Proxy Price Data'!G57="","",'Proxy Price Data'!G57)</f>
        <v>75.08</v>
      </c>
      <c r="G60" s="550">
        <f>IF('Proxy Price Data'!H57="","",'Proxy Price Data'!H57)</f>
        <v>77.150000000000006</v>
      </c>
      <c r="H60" s="550" t="str">
        <f>IF('Proxy Price Data'!I57="","",'Proxy Price Data'!I57)</f>
        <v/>
      </c>
      <c r="I60" s="550"/>
      <c r="J60" s="550"/>
      <c r="K60" s="550"/>
      <c r="L60" s="550"/>
      <c r="M60" s="550"/>
      <c r="N60" s="550"/>
      <c r="O60" s="550"/>
      <c r="P60" s="550"/>
    </row>
    <row r="61" spans="1:16" x14ac:dyDescent="0.45">
      <c r="A61" s="549">
        <f>IF('Proxy Price Data'!B58="","",'Proxy Price Data'!B58)</f>
        <v>45041</v>
      </c>
      <c r="B61" s="550">
        <f>IF('Proxy Price Data'!C58="","",'Proxy Price Data'!C58)</f>
        <v>91.47</v>
      </c>
      <c r="C61" s="550">
        <f>IF('Proxy Price Data'!D58="","",'Proxy Price Data'!D58)</f>
        <v>152.41999999999999</v>
      </c>
      <c r="D61" s="550">
        <f>IF('Proxy Price Data'!E58="","",'Proxy Price Data'!E58)</f>
        <v>58.17</v>
      </c>
      <c r="E61" s="550">
        <f>IF('Proxy Price Data'!F58="","",'Proxy Price Data'!F58)</f>
        <v>43.87</v>
      </c>
      <c r="F61" s="550">
        <f>IF('Proxy Price Data'!G58="","",'Proxy Price Data'!G58)</f>
        <v>77.39</v>
      </c>
      <c r="G61" s="550">
        <f>IF('Proxy Price Data'!H58="","",'Proxy Price Data'!H58)</f>
        <v>79.06</v>
      </c>
      <c r="H61" s="550" t="str">
        <f>IF('Proxy Price Data'!I58="","",'Proxy Price Data'!I58)</f>
        <v/>
      </c>
      <c r="I61" s="550"/>
      <c r="J61" s="550"/>
      <c r="K61" s="550"/>
      <c r="L61" s="550"/>
      <c r="M61" s="550"/>
      <c r="N61" s="550"/>
      <c r="O61" s="550"/>
      <c r="P61" s="550"/>
    </row>
    <row r="62" spans="1:16" x14ac:dyDescent="0.45">
      <c r="A62" s="549">
        <f>IF('Proxy Price Data'!B59="","",'Proxy Price Data'!B59)</f>
        <v>45040</v>
      </c>
      <c r="B62" s="550">
        <f>IF('Proxy Price Data'!C59="","",'Proxy Price Data'!C59)</f>
        <v>90.9</v>
      </c>
      <c r="C62" s="550">
        <f>IF('Proxy Price Data'!D59="","",'Proxy Price Data'!D59)</f>
        <v>151.51</v>
      </c>
      <c r="D62" s="550">
        <f>IF('Proxy Price Data'!E59="","",'Proxy Price Data'!E59)</f>
        <v>58.02</v>
      </c>
      <c r="E62" s="550">
        <f>IF('Proxy Price Data'!F59="","",'Proxy Price Data'!F59)</f>
        <v>43.28</v>
      </c>
      <c r="F62" s="550">
        <f>IF('Proxy Price Data'!G59="","",'Proxy Price Data'!G59)</f>
        <v>78.37</v>
      </c>
      <c r="G62" s="550">
        <f>IF('Proxy Price Data'!H59="","",'Proxy Price Data'!H59)</f>
        <v>78.92</v>
      </c>
      <c r="H62" s="550" t="str">
        <f>IF('Proxy Price Data'!I59="","",'Proxy Price Data'!I59)</f>
        <v/>
      </c>
      <c r="I62" s="550"/>
      <c r="J62" s="550"/>
      <c r="K62" s="550"/>
      <c r="L62" s="550"/>
      <c r="M62" s="550"/>
      <c r="N62" s="550"/>
      <c r="O62" s="550"/>
      <c r="P62" s="550"/>
    </row>
    <row r="63" spans="1:16" x14ac:dyDescent="0.45">
      <c r="A63" s="549">
        <f>IF('Proxy Price Data'!B60="","",'Proxy Price Data'!B60)</f>
        <v>45037</v>
      </c>
      <c r="B63" s="550">
        <f>IF('Proxy Price Data'!C60="","",'Proxy Price Data'!C60)</f>
        <v>91.19</v>
      </c>
      <c r="C63" s="550">
        <f>IF('Proxy Price Data'!D60="","",'Proxy Price Data'!D60)</f>
        <v>150.93</v>
      </c>
      <c r="D63" s="550">
        <f>IF('Proxy Price Data'!E60="","",'Proxy Price Data'!E60)</f>
        <v>58.41</v>
      </c>
      <c r="E63" s="550">
        <f>IF('Proxy Price Data'!F60="","",'Proxy Price Data'!F60)</f>
        <v>43.69</v>
      </c>
      <c r="F63" s="550">
        <f>IF('Proxy Price Data'!G60="","",'Proxy Price Data'!G60)</f>
        <v>78.88</v>
      </c>
      <c r="G63" s="550">
        <f>IF('Proxy Price Data'!H60="","",'Proxy Price Data'!H60)</f>
        <v>78.89</v>
      </c>
      <c r="H63" s="550" t="str">
        <f>IF('Proxy Price Data'!I60="","",'Proxy Price Data'!I60)</f>
        <v/>
      </c>
      <c r="I63" s="550"/>
      <c r="J63" s="550"/>
      <c r="K63" s="550"/>
      <c r="L63" s="550"/>
      <c r="M63" s="550"/>
      <c r="N63" s="550"/>
      <c r="O63" s="550"/>
      <c r="P63" s="550"/>
    </row>
    <row r="64" spans="1:16" x14ac:dyDescent="0.45">
      <c r="A64" s="549">
        <f>IF('Proxy Price Data'!B61="","",'Proxy Price Data'!B61)</f>
        <v>45036</v>
      </c>
      <c r="B64" s="550">
        <f>IF('Proxy Price Data'!C61="","",'Proxy Price Data'!C61)</f>
        <v>91.2</v>
      </c>
      <c r="C64" s="550">
        <f>IF('Proxy Price Data'!D61="","",'Proxy Price Data'!D61)</f>
        <v>149.62</v>
      </c>
      <c r="D64" s="550">
        <f>IF('Proxy Price Data'!E61="","",'Proxy Price Data'!E61)</f>
        <v>58.51</v>
      </c>
      <c r="E64" s="550">
        <f>IF('Proxy Price Data'!F61="","",'Proxy Price Data'!F61)</f>
        <v>43.26</v>
      </c>
      <c r="F64" s="550">
        <f>IF('Proxy Price Data'!G61="","",'Proxy Price Data'!G61)</f>
        <v>78.290000000000006</v>
      </c>
      <c r="G64" s="550">
        <f>IF('Proxy Price Data'!H61="","",'Proxy Price Data'!H61)</f>
        <v>79.010000000000005</v>
      </c>
      <c r="H64" s="550" t="str">
        <f>IF('Proxy Price Data'!I61="","",'Proxy Price Data'!I61)</f>
        <v/>
      </c>
      <c r="I64" s="550"/>
      <c r="J64" s="550"/>
      <c r="K64" s="550"/>
      <c r="L64" s="550"/>
      <c r="M64" s="550"/>
      <c r="N64" s="550"/>
      <c r="O64" s="550"/>
      <c r="P64" s="550"/>
    </row>
    <row r="65" spans="1:71" x14ac:dyDescent="0.45">
      <c r="A65" s="549">
        <f>IF('Proxy Price Data'!B62="","",'Proxy Price Data'!B62)</f>
        <v>45035</v>
      </c>
      <c r="B65" s="550">
        <f>IF('Proxy Price Data'!C62="","",'Proxy Price Data'!C62)</f>
        <v>89.8</v>
      </c>
      <c r="C65" s="550">
        <f>IF('Proxy Price Data'!D62="","",'Proxy Price Data'!D62)</f>
        <v>149.01</v>
      </c>
      <c r="D65" s="550">
        <f>IF('Proxy Price Data'!E62="","",'Proxy Price Data'!E62)</f>
        <v>58.14</v>
      </c>
      <c r="E65" s="550">
        <f>IF('Proxy Price Data'!F62="","",'Proxy Price Data'!F62)</f>
        <v>43.37</v>
      </c>
      <c r="F65" s="550">
        <f>IF('Proxy Price Data'!G62="","",'Proxy Price Data'!G62)</f>
        <v>78.36</v>
      </c>
      <c r="G65" s="550">
        <f>IF('Proxy Price Data'!H62="","",'Proxy Price Data'!H62)</f>
        <v>78.25</v>
      </c>
      <c r="H65" s="550" t="str">
        <f>IF('Proxy Price Data'!I62="","",'Proxy Price Data'!I62)</f>
        <v/>
      </c>
      <c r="I65" s="550"/>
      <c r="J65" s="550"/>
      <c r="K65" s="550"/>
      <c r="L65" s="550"/>
      <c r="M65" s="550"/>
      <c r="N65" s="550"/>
      <c r="O65" s="550"/>
      <c r="P65" s="550"/>
    </row>
    <row r="66" spans="1:71" x14ac:dyDescent="0.45">
      <c r="A66" s="549"/>
      <c r="B66" s="549"/>
    </row>
    <row r="67" spans="1:71" x14ac:dyDescent="0.45">
      <c r="A67" s="551" t="s">
        <v>1534</v>
      </c>
      <c r="B67" s="551">
        <f t="shared" ref="B67:G67" si="0">IFERROR(ROUND(AVERAGE(B6:B65),2),0)</f>
        <v>88.64</v>
      </c>
      <c r="C67" s="468">
        <f t="shared" si="0"/>
        <v>145.83000000000001</v>
      </c>
      <c r="D67" s="468">
        <f t="shared" si="0"/>
        <v>54.68</v>
      </c>
      <c r="E67" s="468">
        <f t="shared" si="0"/>
        <v>41.32</v>
      </c>
      <c r="F67" s="468">
        <f t="shared" si="0"/>
        <v>78.2</v>
      </c>
      <c r="G67" s="468">
        <f t="shared" si="0"/>
        <v>73.94</v>
      </c>
      <c r="I67" s="550"/>
      <c r="J67" s="550"/>
      <c r="K67" s="550"/>
      <c r="L67" s="550"/>
      <c r="M67" s="550"/>
      <c r="N67" s="550"/>
      <c r="O67" s="550"/>
      <c r="P67" s="550"/>
    </row>
    <row r="68" spans="1:71" x14ac:dyDescent="0.45">
      <c r="A68" s="549"/>
      <c r="B68" s="549"/>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49"/>
      <c r="AA68" s="549"/>
      <c r="AB68" s="549"/>
      <c r="AC68" s="549"/>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row>
    <row r="69" spans="1:71" x14ac:dyDescent="0.45">
      <c r="A69" s="549" t="s">
        <v>1535</v>
      </c>
      <c r="B69" s="552">
        <f>'Proxy Data Lookup'!$G3</f>
        <v>1.59</v>
      </c>
      <c r="C69" s="552">
        <f>'Proxy Data Lookup'!$G4</f>
        <v>2.83</v>
      </c>
      <c r="D69" s="552">
        <f>'Proxy Data Lookup'!$G5</f>
        <v>1.04</v>
      </c>
      <c r="E69" s="552">
        <f>'Proxy Data Lookup'!$G6</f>
        <v>1.1479999999999999</v>
      </c>
      <c r="F69" s="552">
        <f>'Proxy Data Lookup'!$G7</f>
        <v>1.25</v>
      </c>
      <c r="G69" s="552">
        <f>'Proxy Data Lookup'!$G8</f>
        <v>1.52</v>
      </c>
      <c r="H69" s="552"/>
      <c r="I69" s="552"/>
      <c r="J69" s="552"/>
      <c r="K69" s="552"/>
      <c r="L69" s="552"/>
      <c r="M69" s="552"/>
      <c r="N69" s="552"/>
      <c r="O69" s="552"/>
      <c r="P69" s="552"/>
      <c r="Q69" s="552"/>
      <c r="R69" s="552"/>
      <c r="S69" s="552"/>
      <c r="T69" s="552"/>
      <c r="U69" s="552"/>
      <c r="V69" s="552"/>
      <c r="W69" s="552"/>
      <c r="X69" s="552"/>
      <c r="Y69" s="552"/>
      <c r="Z69" s="552"/>
      <c r="AA69" s="552"/>
      <c r="AB69" s="552"/>
      <c r="AC69" s="552"/>
      <c r="AD69" s="552"/>
      <c r="AE69" s="552"/>
      <c r="AF69" s="552"/>
      <c r="AG69" s="552"/>
      <c r="AH69" s="552"/>
      <c r="AI69" s="552"/>
      <c r="AJ69" s="552"/>
      <c r="AK69" s="552"/>
      <c r="AL69" s="552"/>
      <c r="AM69" s="552"/>
      <c r="AN69" s="552"/>
      <c r="AO69" s="552"/>
      <c r="AP69" s="552"/>
      <c r="AQ69" s="552"/>
      <c r="AR69" s="552"/>
      <c r="AS69" s="552"/>
      <c r="AT69" s="552"/>
      <c r="AU69" s="552"/>
      <c r="AV69" s="552"/>
      <c r="AW69" s="552"/>
      <c r="AX69" s="552"/>
      <c r="AY69" s="552"/>
      <c r="AZ69" s="552"/>
      <c r="BA69" s="552"/>
      <c r="BB69" s="552"/>
      <c r="BC69" s="552"/>
      <c r="BD69" s="552"/>
      <c r="BE69" s="552"/>
      <c r="BF69" s="552"/>
      <c r="BG69" s="552"/>
      <c r="BH69" s="552"/>
      <c r="BI69" s="552"/>
      <c r="BJ69" s="552"/>
      <c r="BK69" s="552"/>
      <c r="BL69" s="552"/>
      <c r="BM69" s="552"/>
      <c r="BN69" s="552"/>
      <c r="BO69" s="552"/>
      <c r="BP69" s="552"/>
      <c r="BQ69" s="552"/>
      <c r="BR69" s="552"/>
      <c r="BS69" s="552"/>
    </row>
    <row r="70" spans="1:71" x14ac:dyDescent="0.45">
      <c r="A70" s="549"/>
      <c r="B70" s="549"/>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49"/>
      <c r="AA70" s="549"/>
      <c r="AB70" s="549"/>
      <c r="AC70" s="549"/>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row>
    <row r="71" spans="1:71" x14ac:dyDescent="0.45">
      <c r="A71" s="549" t="s">
        <v>1536</v>
      </c>
      <c r="B71" s="553">
        <f t="shared" ref="B71:G71" si="1">IFERROR(ROUND(B69/B67,4),0)</f>
        <v>1.7899999999999999E-2</v>
      </c>
      <c r="C71" s="553">
        <f t="shared" si="1"/>
        <v>1.9400000000000001E-2</v>
      </c>
      <c r="D71" s="553">
        <f t="shared" si="1"/>
        <v>1.9E-2</v>
      </c>
      <c r="E71" s="553">
        <f t="shared" si="1"/>
        <v>2.7799999999999998E-2</v>
      </c>
      <c r="F71" s="553">
        <f t="shared" si="1"/>
        <v>1.6E-2</v>
      </c>
      <c r="G71" s="553">
        <f t="shared" si="1"/>
        <v>2.06E-2</v>
      </c>
      <c r="H71" s="553"/>
      <c r="I71" s="553"/>
      <c r="J71" s="553"/>
      <c r="K71" s="553"/>
      <c r="L71" s="553"/>
      <c r="M71" s="553"/>
      <c r="N71" s="553"/>
      <c r="O71" s="553"/>
      <c r="P71" s="553"/>
      <c r="Q71" s="553"/>
      <c r="R71" s="553"/>
      <c r="S71" s="553"/>
      <c r="T71" s="553"/>
      <c r="U71" s="553"/>
      <c r="V71" s="553"/>
      <c r="W71" s="553"/>
      <c r="X71" s="553"/>
      <c r="Y71" s="553"/>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3"/>
      <c r="BD71" s="553"/>
      <c r="BE71" s="553"/>
      <c r="BF71" s="553"/>
      <c r="BG71" s="553"/>
      <c r="BH71" s="553"/>
      <c r="BI71" s="553"/>
      <c r="BJ71" s="553"/>
      <c r="BK71" s="553"/>
      <c r="BL71" s="553"/>
      <c r="BM71" s="553"/>
      <c r="BN71" s="553"/>
      <c r="BO71" s="553"/>
      <c r="BP71" s="553"/>
      <c r="BQ71" s="553"/>
      <c r="BR71" s="553"/>
      <c r="BS71" s="553"/>
    </row>
    <row r="72" spans="1:71" x14ac:dyDescent="0.45">
      <c r="A72" s="549"/>
      <c r="B72" s="554"/>
      <c r="C72" s="554"/>
      <c r="D72" s="554"/>
      <c r="E72" s="554"/>
      <c r="F72" s="554"/>
      <c r="G72" s="554"/>
    </row>
    <row r="73" spans="1:71" x14ac:dyDescent="0.45">
      <c r="A73" s="549"/>
      <c r="B73" s="550"/>
      <c r="C73" s="550"/>
      <c r="D73" s="550"/>
      <c r="E73" s="550"/>
      <c r="F73" s="550"/>
      <c r="G73" s="550"/>
    </row>
    <row r="74" spans="1:71" x14ac:dyDescent="0.45">
      <c r="A74" s="549"/>
      <c r="B74" s="550"/>
      <c r="C74" s="550"/>
      <c r="D74" s="550"/>
      <c r="E74" s="550"/>
      <c r="F74" s="550"/>
      <c r="G74" s="550"/>
      <c r="H74" s="555"/>
      <c r="I74" s="555"/>
      <c r="J74" s="555"/>
      <c r="K74" s="555"/>
      <c r="L74" s="555"/>
      <c r="M74" s="555"/>
      <c r="N74" s="555"/>
    </row>
    <row r="75" spans="1:71" x14ac:dyDescent="0.45">
      <c r="A75" s="549"/>
      <c r="B75" s="550"/>
      <c r="C75" s="550"/>
      <c r="D75" s="550"/>
      <c r="E75" s="550"/>
      <c r="F75" s="550"/>
      <c r="G75" s="550"/>
    </row>
    <row r="76" spans="1:71" x14ac:dyDescent="0.45">
      <c r="A76" s="549"/>
      <c r="B76" s="550"/>
      <c r="C76" s="550"/>
      <c r="D76" s="550"/>
      <c r="E76" s="550"/>
      <c r="F76" s="550"/>
      <c r="G76" s="550"/>
    </row>
    <row r="77" spans="1:71" x14ac:dyDescent="0.45">
      <c r="A77" s="549"/>
      <c r="B77" s="550"/>
      <c r="C77" s="550"/>
      <c r="D77" s="550"/>
      <c r="E77" s="550"/>
      <c r="F77" s="550"/>
      <c r="G77" s="550"/>
    </row>
    <row r="78" spans="1:71" x14ac:dyDescent="0.45">
      <c r="A78" s="549"/>
      <c r="B78" s="550"/>
      <c r="C78" s="549"/>
    </row>
    <row r="79" spans="1:71" x14ac:dyDescent="0.45">
      <c r="A79" s="549"/>
      <c r="B79" s="550"/>
      <c r="C79" s="549"/>
    </row>
    <row r="80" spans="1:71" x14ac:dyDescent="0.45">
      <c r="A80" s="549"/>
      <c r="B80" s="550"/>
      <c r="C80" s="549"/>
    </row>
    <row r="81" spans="1:3" x14ac:dyDescent="0.45">
      <c r="A81" s="549"/>
      <c r="B81" s="549"/>
      <c r="C81" s="549"/>
    </row>
    <row r="82" spans="1:3" x14ac:dyDescent="0.45">
      <c r="A82" s="549"/>
      <c r="B82" s="549"/>
      <c r="C82" s="549"/>
    </row>
    <row r="83" spans="1:3" x14ac:dyDescent="0.45">
      <c r="A83" s="549"/>
      <c r="B83" s="549"/>
      <c r="C83" s="549"/>
    </row>
    <row r="84" spans="1:3" x14ac:dyDescent="0.45">
      <c r="A84" s="549"/>
      <c r="B84" s="549"/>
      <c r="C84" s="549"/>
    </row>
    <row r="85" spans="1:3" x14ac:dyDescent="0.45">
      <c r="A85" s="549"/>
      <c r="B85" s="549"/>
      <c r="C85" s="549"/>
    </row>
    <row r="86" spans="1:3" x14ac:dyDescent="0.45">
      <c r="A86" s="549"/>
      <c r="B86" s="549"/>
      <c r="C86" s="549"/>
    </row>
    <row r="87" spans="1:3" x14ac:dyDescent="0.45">
      <c r="A87" s="549"/>
      <c r="B87" s="549"/>
      <c r="C87" s="549"/>
    </row>
    <row r="88" spans="1:3" x14ac:dyDescent="0.45">
      <c r="A88" s="549"/>
      <c r="B88" s="549"/>
      <c r="C88" s="549"/>
    </row>
    <row r="89" spans="1:3" x14ac:dyDescent="0.45">
      <c r="A89" s="549"/>
      <c r="B89" s="549"/>
      <c r="C89" s="549"/>
    </row>
    <row r="90" spans="1:3" x14ac:dyDescent="0.45">
      <c r="A90" s="549"/>
      <c r="B90" s="549"/>
      <c r="C90" s="549"/>
    </row>
    <row r="91" spans="1:3" x14ac:dyDescent="0.45">
      <c r="A91" s="549"/>
      <c r="B91" s="549"/>
      <c r="C91" s="549"/>
    </row>
    <row r="92" spans="1:3" x14ac:dyDescent="0.45">
      <c r="A92" s="549"/>
      <c r="B92" s="549"/>
      <c r="C92" s="549"/>
    </row>
    <row r="93" spans="1:3" x14ac:dyDescent="0.45">
      <c r="A93" s="549"/>
      <c r="B93" s="549"/>
      <c r="C93" s="549"/>
    </row>
    <row r="94" spans="1:3" x14ac:dyDescent="0.45">
      <c r="A94" s="549"/>
      <c r="B94" s="549"/>
      <c r="C94" s="549"/>
    </row>
    <row r="95" spans="1:3" x14ac:dyDescent="0.45">
      <c r="A95" s="549"/>
      <c r="B95" s="549"/>
      <c r="C95" s="549"/>
    </row>
    <row r="96" spans="1:3" x14ac:dyDescent="0.45">
      <c r="A96" s="549"/>
      <c r="B96" s="549"/>
      <c r="C96" s="549"/>
    </row>
    <row r="97" spans="1:3" x14ac:dyDescent="0.45">
      <c r="A97" s="549"/>
      <c r="B97" s="549"/>
      <c r="C97" s="549"/>
    </row>
    <row r="98" spans="1:3" x14ac:dyDescent="0.45">
      <c r="A98" s="549"/>
      <c r="B98" s="549"/>
      <c r="C98" s="549"/>
    </row>
    <row r="99" spans="1:3" x14ac:dyDescent="0.45">
      <c r="A99" s="549"/>
      <c r="B99" s="549"/>
      <c r="C99" s="549"/>
    </row>
    <row r="100" spans="1:3" x14ac:dyDescent="0.45">
      <c r="A100" s="549"/>
      <c r="B100" s="549"/>
      <c r="C100" s="549"/>
    </row>
    <row r="101" spans="1:3" x14ac:dyDescent="0.45">
      <c r="A101" s="549"/>
      <c r="B101" s="549"/>
      <c r="C101" s="549"/>
    </row>
    <row r="102" spans="1:3" x14ac:dyDescent="0.45">
      <c r="A102" s="549"/>
      <c r="B102" s="549"/>
      <c r="C102" s="549"/>
    </row>
    <row r="103" spans="1:3" x14ac:dyDescent="0.45">
      <c r="A103" s="549"/>
      <c r="B103" s="549"/>
      <c r="C103" s="549"/>
    </row>
    <row r="104" spans="1:3" x14ac:dyDescent="0.45">
      <c r="A104" s="549"/>
      <c r="B104" s="549"/>
      <c r="C104" s="549"/>
    </row>
    <row r="105" spans="1:3" x14ac:dyDescent="0.45">
      <c r="A105" s="549"/>
      <c r="B105" s="549"/>
      <c r="C105" s="549"/>
    </row>
    <row r="106" spans="1:3" x14ac:dyDescent="0.45">
      <c r="A106" s="549"/>
      <c r="B106" s="549"/>
      <c r="C106" s="549"/>
    </row>
    <row r="107" spans="1:3" x14ac:dyDescent="0.45">
      <c r="A107" s="549"/>
      <c r="B107" s="549"/>
      <c r="C107" s="549"/>
    </row>
    <row r="108" spans="1:3" x14ac:dyDescent="0.45">
      <c r="A108" s="549"/>
      <c r="B108" s="549"/>
      <c r="C108" s="549"/>
    </row>
    <row r="109" spans="1:3" x14ac:dyDescent="0.45">
      <c r="A109" s="549"/>
      <c r="B109" s="549"/>
      <c r="C109" s="549"/>
    </row>
    <row r="110" spans="1:3" x14ac:dyDescent="0.45">
      <c r="A110" s="549"/>
      <c r="B110" s="549"/>
      <c r="C110" s="549"/>
    </row>
    <row r="111" spans="1:3" x14ac:dyDescent="0.45">
      <c r="A111" s="549"/>
      <c r="B111" s="549"/>
      <c r="C111" s="549"/>
    </row>
    <row r="112" spans="1:3" x14ac:dyDescent="0.45">
      <c r="A112" s="549"/>
      <c r="B112" s="549"/>
      <c r="C112" s="549"/>
    </row>
    <row r="113" spans="1:3" x14ac:dyDescent="0.45">
      <c r="A113" s="549"/>
      <c r="B113" s="549"/>
      <c r="C113" s="549"/>
    </row>
    <row r="114" spans="1:3" x14ac:dyDescent="0.45">
      <c r="A114" s="549"/>
      <c r="B114" s="549"/>
      <c r="C114" s="549"/>
    </row>
    <row r="115" spans="1:3" x14ac:dyDescent="0.45">
      <c r="A115" s="549"/>
      <c r="B115" s="549"/>
      <c r="C115" s="549"/>
    </row>
    <row r="116" spans="1:3" x14ac:dyDescent="0.45">
      <c r="A116" s="549"/>
      <c r="B116" s="549"/>
      <c r="C116" s="549"/>
    </row>
    <row r="117" spans="1:3" x14ac:dyDescent="0.45">
      <c r="A117" s="549"/>
      <c r="B117" s="549"/>
      <c r="C117" s="549"/>
    </row>
    <row r="118" spans="1:3" x14ac:dyDescent="0.45">
      <c r="A118" s="549"/>
      <c r="B118" s="549"/>
      <c r="C118" s="549"/>
    </row>
    <row r="119" spans="1:3" x14ac:dyDescent="0.45">
      <c r="A119" s="549"/>
      <c r="B119" s="549"/>
      <c r="C119" s="549"/>
    </row>
    <row r="120" spans="1:3" x14ac:dyDescent="0.45">
      <c r="A120" s="549"/>
      <c r="B120" s="549"/>
      <c r="C120" s="549"/>
    </row>
    <row r="121" spans="1:3" x14ac:dyDescent="0.45">
      <c r="A121" s="549"/>
      <c r="B121" s="549"/>
      <c r="C121" s="549"/>
    </row>
    <row r="122" spans="1:3" x14ac:dyDescent="0.45">
      <c r="A122" s="549"/>
      <c r="B122" s="549"/>
      <c r="C122" s="549"/>
    </row>
    <row r="123" spans="1:3" x14ac:dyDescent="0.45">
      <c r="A123" s="549"/>
      <c r="B123" s="549"/>
      <c r="C123" s="549"/>
    </row>
    <row r="124" spans="1:3" x14ac:dyDescent="0.45">
      <c r="A124" s="549"/>
      <c r="B124" s="549"/>
      <c r="C124" s="549"/>
    </row>
    <row r="125" spans="1:3" x14ac:dyDescent="0.45">
      <c r="A125" s="549"/>
      <c r="B125" s="549"/>
      <c r="C125" s="549"/>
    </row>
    <row r="126" spans="1:3" x14ac:dyDescent="0.45">
      <c r="A126" s="549"/>
      <c r="B126" s="549"/>
      <c r="C126" s="549"/>
    </row>
    <row r="127" spans="1:3" x14ac:dyDescent="0.45">
      <c r="A127" s="549"/>
      <c r="B127" s="549"/>
      <c r="C127" s="549"/>
    </row>
    <row r="128" spans="1:3" x14ac:dyDescent="0.45">
      <c r="A128" s="549"/>
      <c r="B128" s="549"/>
      <c r="C128" s="549"/>
    </row>
    <row r="129" spans="1:3" x14ac:dyDescent="0.45">
      <c r="A129" s="549"/>
      <c r="B129" s="549"/>
      <c r="C129" s="549"/>
    </row>
    <row r="130" spans="1:3" x14ac:dyDescent="0.45">
      <c r="A130" s="549"/>
      <c r="B130" s="549"/>
      <c r="C130" s="549"/>
    </row>
    <row r="131" spans="1:3" x14ac:dyDescent="0.45">
      <c r="A131" s="549"/>
      <c r="B131" s="549"/>
      <c r="C131" s="549"/>
    </row>
    <row r="132" spans="1:3" x14ac:dyDescent="0.45">
      <c r="A132" s="549"/>
      <c r="B132" s="549"/>
      <c r="C132" s="549"/>
    </row>
    <row r="133" spans="1:3" x14ac:dyDescent="0.45">
      <c r="A133" s="549"/>
      <c r="B133" s="549"/>
      <c r="C133" s="549"/>
    </row>
    <row r="134" spans="1:3" x14ac:dyDescent="0.45">
      <c r="A134" s="549"/>
      <c r="B134" s="549"/>
      <c r="C134" s="549"/>
    </row>
    <row r="135" spans="1:3" x14ac:dyDescent="0.45">
      <c r="A135" s="549"/>
      <c r="B135" s="549"/>
      <c r="C135" s="549"/>
    </row>
    <row r="136" spans="1:3" x14ac:dyDescent="0.45">
      <c r="A136" s="549"/>
      <c r="B136" s="549"/>
      <c r="C136" s="549"/>
    </row>
    <row r="137" spans="1:3" x14ac:dyDescent="0.45">
      <c r="A137" s="549"/>
      <c r="B137" s="549"/>
      <c r="C137" s="549"/>
    </row>
    <row r="138" spans="1:3" x14ac:dyDescent="0.45">
      <c r="A138" s="549"/>
      <c r="B138" s="549"/>
      <c r="C138" s="549"/>
    </row>
    <row r="139" spans="1:3" x14ac:dyDescent="0.45">
      <c r="A139" s="549"/>
      <c r="B139" s="549"/>
      <c r="C139" s="549"/>
    </row>
    <row r="140" spans="1:3" x14ac:dyDescent="0.45">
      <c r="A140" s="549"/>
      <c r="B140" s="549"/>
      <c r="C140" s="549"/>
    </row>
    <row r="141" spans="1:3" x14ac:dyDescent="0.45">
      <c r="A141" s="549"/>
      <c r="B141" s="549"/>
      <c r="C141" s="549"/>
    </row>
    <row r="142" spans="1:3" x14ac:dyDescent="0.45">
      <c r="A142" s="549"/>
      <c r="B142" s="549"/>
      <c r="C142" s="549"/>
    </row>
    <row r="143" spans="1:3" x14ac:dyDescent="0.45">
      <c r="A143" s="549"/>
      <c r="B143" s="549"/>
      <c r="C143" s="549"/>
    </row>
    <row r="144" spans="1:3" x14ac:dyDescent="0.45">
      <c r="A144" s="549"/>
      <c r="B144" s="549"/>
      <c r="C144" s="549"/>
    </row>
    <row r="145" spans="1:3" x14ac:dyDescent="0.45">
      <c r="A145" s="549"/>
      <c r="B145" s="549"/>
      <c r="C145" s="549"/>
    </row>
    <row r="146" spans="1:3" x14ac:dyDescent="0.45">
      <c r="A146" s="549"/>
      <c r="B146" s="549"/>
      <c r="C146" s="549"/>
    </row>
    <row r="147" spans="1:3" x14ac:dyDescent="0.45">
      <c r="A147" s="549"/>
      <c r="B147" s="549"/>
      <c r="C147" s="549"/>
    </row>
    <row r="148" spans="1:3" x14ac:dyDescent="0.45">
      <c r="A148" s="549"/>
      <c r="B148" s="549"/>
      <c r="C148" s="549"/>
    </row>
    <row r="149" spans="1:3" x14ac:dyDescent="0.45">
      <c r="A149" s="549"/>
      <c r="B149" s="549"/>
      <c r="C149" s="549"/>
    </row>
    <row r="150" spans="1:3" x14ac:dyDescent="0.45">
      <c r="A150" s="549"/>
      <c r="B150" s="549"/>
      <c r="C150" s="549"/>
    </row>
    <row r="151" spans="1:3" x14ac:dyDescent="0.45">
      <c r="A151" s="549"/>
      <c r="B151" s="549"/>
      <c r="C151" s="549"/>
    </row>
    <row r="152" spans="1:3" x14ac:dyDescent="0.45">
      <c r="A152" s="549"/>
      <c r="B152" s="549"/>
      <c r="C152" s="549"/>
    </row>
    <row r="153" spans="1:3" x14ac:dyDescent="0.45">
      <c r="A153" s="549"/>
      <c r="B153" s="549"/>
      <c r="C153" s="549"/>
    </row>
    <row r="154" spans="1:3" x14ac:dyDescent="0.45">
      <c r="A154" s="549"/>
      <c r="B154" s="549"/>
      <c r="C154" s="549"/>
    </row>
    <row r="155" spans="1:3" x14ac:dyDescent="0.45">
      <c r="A155" s="549"/>
      <c r="B155" s="549"/>
      <c r="C155" s="549"/>
    </row>
    <row r="156" spans="1:3" x14ac:dyDescent="0.45">
      <c r="A156" s="549"/>
      <c r="B156" s="549"/>
      <c r="C156" s="549"/>
    </row>
    <row r="157" spans="1:3" x14ac:dyDescent="0.45">
      <c r="A157" s="549"/>
      <c r="B157" s="549"/>
      <c r="C157" s="549"/>
    </row>
    <row r="158" spans="1:3" x14ac:dyDescent="0.45">
      <c r="A158" s="549"/>
      <c r="B158" s="549"/>
      <c r="C158" s="549"/>
    </row>
    <row r="159" spans="1:3" x14ac:dyDescent="0.45">
      <c r="A159" s="549"/>
      <c r="B159" s="549"/>
      <c r="C159" s="549"/>
    </row>
    <row r="160" spans="1:3" x14ac:dyDescent="0.45">
      <c r="A160" s="549"/>
      <c r="B160" s="549"/>
      <c r="C160" s="549"/>
    </row>
    <row r="161" spans="1:3" x14ac:dyDescent="0.45">
      <c r="A161" s="549"/>
      <c r="B161" s="549"/>
      <c r="C161" s="549"/>
    </row>
    <row r="162" spans="1:3" x14ac:dyDescent="0.45">
      <c r="A162" s="549"/>
      <c r="B162" s="549"/>
      <c r="C162" s="549"/>
    </row>
    <row r="163" spans="1:3" x14ac:dyDescent="0.45">
      <c r="A163" s="549"/>
      <c r="B163" s="549"/>
      <c r="C163" s="549"/>
    </row>
    <row r="164" spans="1:3" x14ac:dyDescent="0.45">
      <c r="A164" s="549"/>
      <c r="B164" s="549"/>
      <c r="C164" s="549"/>
    </row>
    <row r="165" spans="1:3" x14ac:dyDescent="0.45">
      <c r="A165" s="549"/>
      <c r="B165" s="549"/>
      <c r="C165" s="549"/>
    </row>
    <row r="166" spans="1:3" x14ac:dyDescent="0.45">
      <c r="A166" s="549"/>
      <c r="B166" s="549"/>
      <c r="C166" s="549"/>
    </row>
    <row r="167" spans="1:3" x14ac:dyDescent="0.45">
      <c r="A167" s="549"/>
      <c r="B167" s="549"/>
      <c r="C167" s="549"/>
    </row>
    <row r="168" spans="1:3" x14ac:dyDescent="0.45">
      <c r="A168" s="549"/>
      <c r="B168" s="549"/>
      <c r="C168" s="549"/>
    </row>
    <row r="169" spans="1:3" x14ac:dyDescent="0.45">
      <c r="A169" s="549"/>
      <c r="B169" s="549"/>
      <c r="C169" s="549"/>
    </row>
    <row r="170" spans="1:3" x14ac:dyDescent="0.45">
      <c r="A170" s="549"/>
      <c r="B170" s="549"/>
      <c r="C170" s="549"/>
    </row>
    <row r="171" spans="1:3" x14ac:dyDescent="0.45">
      <c r="A171" s="549"/>
      <c r="B171" s="549"/>
      <c r="C171" s="549"/>
    </row>
    <row r="172" spans="1:3" x14ac:dyDescent="0.45">
      <c r="A172" s="549"/>
      <c r="B172" s="549"/>
      <c r="C172" s="549"/>
    </row>
    <row r="173" spans="1:3" x14ac:dyDescent="0.45">
      <c r="A173" s="549"/>
      <c r="B173" s="549"/>
      <c r="C173" s="549"/>
    </row>
    <row r="174" spans="1:3" x14ac:dyDescent="0.45">
      <c r="A174" s="549"/>
      <c r="B174" s="549"/>
      <c r="C174" s="549"/>
    </row>
    <row r="175" spans="1:3" x14ac:dyDescent="0.45">
      <c r="A175" s="549"/>
      <c r="B175" s="549"/>
      <c r="C175" s="549"/>
    </row>
    <row r="176" spans="1:3" x14ac:dyDescent="0.45">
      <c r="A176" s="549"/>
      <c r="B176" s="549"/>
      <c r="C176" s="549"/>
    </row>
    <row r="177" spans="1:3" x14ac:dyDescent="0.45">
      <c r="A177" s="549"/>
      <c r="B177" s="549"/>
      <c r="C177" s="549"/>
    </row>
    <row r="178" spans="1:3" x14ac:dyDescent="0.45">
      <c r="A178" s="549"/>
      <c r="B178" s="549"/>
      <c r="C178" s="549"/>
    </row>
    <row r="179" spans="1:3" x14ac:dyDescent="0.45">
      <c r="A179" s="549"/>
      <c r="B179" s="549"/>
      <c r="C179" s="549"/>
    </row>
    <row r="180" spans="1:3" x14ac:dyDescent="0.45">
      <c r="A180" s="549"/>
      <c r="B180" s="549"/>
      <c r="C180" s="549"/>
    </row>
    <row r="181" spans="1:3" x14ac:dyDescent="0.45">
      <c r="A181" s="549"/>
      <c r="B181" s="549"/>
      <c r="C181" s="549"/>
    </row>
    <row r="182" spans="1:3" x14ac:dyDescent="0.45">
      <c r="A182" s="549"/>
      <c r="B182" s="549"/>
      <c r="C182" s="549"/>
    </row>
    <row r="183" spans="1:3" x14ac:dyDescent="0.45">
      <c r="A183" s="549"/>
      <c r="B183" s="549"/>
      <c r="C183" s="549"/>
    </row>
    <row r="184" spans="1:3" x14ac:dyDescent="0.45">
      <c r="A184" s="549"/>
      <c r="B184" s="549"/>
      <c r="C184" s="549"/>
    </row>
    <row r="185" spans="1:3" x14ac:dyDescent="0.45">
      <c r="A185" s="549"/>
      <c r="B185" s="549"/>
      <c r="C185" s="549"/>
    </row>
    <row r="186" spans="1:3" x14ac:dyDescent="0.45">
      <c r="A186" s="549"/>
      <c r="B186" s="549"/>
      <c r="C186" s="549"/>
    </row>
    <row r="187" spans="1:3" x14ac:dyDescent="0.45">
      <c r="A187" s="549"/>
      <c r="B187" s="549"/>
      <c r="C187" s="549"/>
    </row>
    <row r="188" spans="1:3" x14ac:dyDescent="0.45">
      <c r="A188" s="549"/>
      <c r="B188" s="549"/>
      <c r="C188" s="549"/>
    </row>
    <row r="189" spans="1:3" x14ac:dyDescent="0.45">
      <c r="A189" s="549"/>
      <c r="B189" s="549"/>
      <c r="C189" s="549"/>
    </row>
    <row r="190" spans="1:3" x14ac:dyDescent="0.45">
      <c r="A190" s="549"/>
      <c r="B190" s="549"/>
      <c r="C190" s="549"/>
    </row>
    <row r="191" spans="1:3" x14ac:dyDescent="0.45">
      <c r="A191" s="549"/>
      <c r="B191" s="549"/>
      <c r="C191" s="549"/>
    </row>
    <row r="192" spans="1:3" x14ac:dyDescent="0.45">
      <c r="A192" s="549"/>
      <c r="B192" s="549"/>
      <c r="C192" s="549"/>
    </row>
    <row r="193" spans="1:3" x14ac:dyDescent="0.45">
      <c r="A193" s="549"/>
      <c r="B193" s="549"/>
      <c r="C193" s="549"/>
    </row>
    <row r="194" spans="1:3" x14ac:dyDescent="0.45">
      <c r="A194" s="549"/>
      <c r="B194" s="549"/>
      <c r="C194" s="549"/>
    </row>
    <row r="195" spans="1:3" x14ac:dyDescent="0.45">
      <c r="A195" s="549"/>
      <c r="B195" s="549"/>
      <c r="C195" s="549"/>
    </row>
    <row r="196" spans="1:3" x14ac:dyDescent="0.45">
      <c r="A196" s="549"/>
      <c r="B196" s="549"/>
      <c r="C196" s="549"/>
    </row>
    <row r="197" spans="1:3" x14ac:dyDescent="0.45">
      <c r="A197" s="549"/>
      <c r="B197" s="549"/>
      <c r="C197" s="549"/>
    </row>
    <row r="198" spans="1:3" x14ac:dyDescent="0.45">
      <c r="A198" s="549"/>
      <c r="B198" s="549"/>
      <c r="C198" s="549"/>
    </row>
    <row r="199" spans="1:3" x14ac:dyDescent="0.45">
      <c r="A199" s="549"/>
      <c r="B199" s="549"/>
      <c r="C199" s="549"/>
    </row>
    <row r="200" spans="1:3" x14ac:dyDescent="0.45">
      <c r="A200" s="549"/>
      <c r="B200" s="549"/>
      <c r="C200" s="549"/>
    </row>
    <row r="201" spans="1:3" x14ac:dyDescent="0.45">
      <c r="A201" s="549"/>
      <c r="B201" s="549"/>
      <c r="C201" s="549"/>
    </row>
    <row r="202" spans="1:3" x14ac:dyDescent="0.45">
      <c r="A202" s="549"/>
      <c r="B202" s="549"/>
      <c r="C202" s="549"/>
    </row>
    <row r="203" spans="1:3" x14ac:dyDescent="0.45">
      <c r="A203" s="549"/>
      <c r="B203" s="549"/>
      <c r="C203" s="549"/>
    </row>
    <row r="204" spans="1:3" x14ac:dyDescent="0.45">
      <c r="A204" s="549"/>
      <c r="B204" s="549"/>
      <c r="C204" s="549"/>
    </row>
    <row r="205" spans="1:3" x14ac:dyDescent="0.45">
      <c r="A205" s="549"/>
      <c r="B205" s="549"/>
      <c r="C205" s="549"/>
    </row>
    <row r="206" spans="1:3" x14ac:dyDescent="0.45">
      <c r="A206" s="549"/>
      <c r="B206" s="549"/>
      <c r="C206" s="549"/>
    </row>
    <row r="207" spans="1:3" x14ac:dyDescent="0.45">
      <c r="A207" s="549"/>
      <c r="B207" s="549"/>
      <c r="C207" s="549"/>
    </row>
    <row r="208" spans="1:3" x14ac:dyDescent="0.45">
      <c r="A208" s="549"/>
      <c r="B208" s="549"/>
      <c r="C208" s="549"/>
    </row>
    <row r="209" spans="1:3" x14ac:dyDescent="0.45">
      <c r="A209" s="549"/>
      <c r="B209" s="549"/>
      <c r="C209" s="549"/>
    </row>
    <row r="210" spans="1:3" x14ac:dyDescent="0.45">
      <c r="A210" s="549"/>
      <c r="B210" s="549"/>
      <c r="C210" s="549"/>
    </row>
    <row r="211" spans="1:3" x14ac:dyDescent="0.45">
      <c r="A211" s="549"/>
      <c r="B211" s="549"/>
      <c r="C211" s="549"/>
    </row>
    <row r="212" spans="1:3" x14ac:dyDescent="0.45">
      <c r="A212" s="549"/>
      <c r="B212" s="549"/>
      <c r="C212" s="549"/>
    </row>
    <row r="213" spans="1:3" x14ac:dyDescent="0.45">
      <c r="A213" s="549"/>
      <c r="B213" s="549"/>
      <c r="C213" s="549"/>
    </row>
    <row r="214" spans="1:3" x14ac:dyDescent="0.45">
      <c r="A214" s="549"/>
      <c r="B214" s="549"/>
      <c r="C214" s="549"/>
    </row>
    <row r="215" spans="1:3" x14ac:dyDescent="0.45">
      <c r="A215" s="549"/>
      <c r="B215" s="549"/>
      <c r="C215" s="549"/>
    </row>
    <row r="216" spans="1:3" x14ac:dyDescent="0.45">
      <c r="A216" s="549"/>
      <c r="B216" s="549"/>
      <c r="C216" s="549"/>
    </row>
    <row r="217" spans="1:3" x14ac:dyDescent="0.45">
      <c r="A217" s="549"/>
      <c r="B217" s="549"/>
      <c r="C217" s="549"/>
    </row>
    <row r="218" spans="1:3" x14ac:dyDescent="0.45">
      <c r="A218" s="549"/>
      <c r="B218" s="549"/>
      <c r="C218" s="549"/>
    </row>
    <row r="219" spans="1:3" x14ac:dyDescent="0.45">
      <c r="A219" s="549"/>
      <c r="B219" s="549"/>
      <c r="C219" s="549"/>
    </row>
    <row r="220" spans="1:3" x14ac:dyDescent="0.45">
      <c r="A220" s="549"/>
      <c r="B220" s="549"/>
      <c r="C220" s="549"/>
    </row>
    <row r="221" spans="1:3" x14ac:dyDescent="0.45">
      <c r="A221" s="549"/>
      <c r="B221" s="549"/>
      <c r="C221" s="549"/>
    </row>
    <row r="222" spans="1:3" x14ac:dyDescent="0.45">
      <c r="A222" s="549"/>
      <c r="B222" s="549"/>
      <c r="C222" s="549"/>
    </row>
    <row r="223" spans="1:3" x14ac:dyDescent="0.45">
      <c r="A223" s="549"/>
      <c r="B223" s="549"/>
      <c r="C223" s="549"/>
    </row>
    <row r="224" spans="1:3" x14ac:dyDescent="0.45">
      <c r="A224" s="549"/>
      <c r="B224" s="549"/>
      <c r="C224" s="549"/>
    </row>
    <row r="225" spans="1:3" x14ac:dyDescent="0.45">
      <c r="A225" s="549"/>
      <c r="B225" s="549"/>
      <c r="C225" s="549"/>
    </row>
    <row r="226" spans="1:3" x14ac:dyDescent="0.45">
      <c r="A226" s="549"/>
      <c r="B226" s="549"/>
      <c r="C226" s="549"/>
    </row>
    <row r="227" spans="1:3" x14ac:dyDescent="0.45">
      <c r="A227" s="549"/>
      <c r="B227" s="549"/>
      <c r="C227" s="549"/>
    </row>
    <row r="228" spans="1:3" x14ac:dyDescent="0.45">
      <c r="A228" s="549"/>
      <c r="B228" s="549"/>
      <c r="C228" s="549"/>
    </row>
    <row r="229" spans="1:3" x14ac:dyDescent="0.45">
      <c r="A229" s="549"/>
      <c r="B229" s="549"/>
      <c r="C229" s="549"/>
    </row>
    <row r="230" spans="1:3" x14ac:dyDescent="0.45">
      <c r="A230" s="549"/>
      <c r="B230" s="549"/>
      <c r="C230" s="549"/>
    </row>
    <row r="231" spans="1:3" x14ac:dyDescent="0.45">
      <c r="A231" s="549"/>
      <c r="B231" s="549"/>
      <c r="C231" s="549"/>
    </row>
    <row r="232" spans="1:3" x14ac:dyDescent="0.45">
      <c r="A232" s="549"/>
      <c r="B232" s="549"/>
      <c r="C232" s="549"/>
    </row>
    <row r="233" spans="1:3" x14ac:dyDescent="0.45">
      <c r="A233" s="549"/>
      <c r="B233" s="549"/>
      <c r="C233" s="549"/>
    </row>
    <row r="234" spans="1:3" x14ac:dyDescent="0.45">
      <c r="A234" s="549"/>
      <c r="B234" s="549"/>
      <c r="C234" s="549"/>
    </row>
    <row r="235" spans="1:3" x14ac:dyDescent="0.45">
      <c r="A235" s="549"/>
      <c r="B235" s="549"/>
      <c r="C235" s="549"/>
    </row>
    <row r="236" spans="1:3" x14ac:dyDescent="0.45">
      <c r="A236" s="549"/>
      <c r="B236" s="549"/>
      <c r="C236" s="549"/>
    </row>
    <row r="237" spans="1:3" x14ac:dyDescent="0.45">
      <c r="A237" s="549"/>
      <c r="B237" s="549"/>
      <c r="C237" s="549"/>
    </row>
    <row r="238" spans="1:3" x14ac:dyDescent="0.45">
      <c r="A238" s="549"/>
      <c r="B238" s="549"/>
      <c r="C238" s="549"/>
    </row>
    <row r="239" spans="1:3" x14ac:dyDescent="0.45">
      <c r="A239" s="549"/>
      <c r="B239" s="549"/>
      <c r="C239" s="549"/>
    </row>
    <row r="240" spans="1:3" x14ac:dyDescent="0.45">
      <c r="A240" s="549"/>
      <c r="B240" s="549"/>
      <c r="C240" s="549"/>
    </row>
    <row r="241" spans="1:3" x14ac:dyDescent="0.45">
      <c r="A241" s="549"/>
      <c r="B241" s="549"/>
      <c r="C241" s="549"/>
    </row>
    <row r="242" spans="1:3" x14ac:dyDescent="0.45">
      <c r="A242" s="549"/>
      <c r="B242" s="549"/>
      <c r="C242" s="549"/>
    </row>
    <row r="243" spans="1:3" x14ac:dyDescent="0.45">
      <c r="A243" s="549"/>
      <c r="B243" s="549"/>
      <c r="C243" s="549"/>
    </row>
    <row r="244" spans="1:3" x14ac:dyDescent="0.45">
      <c r="A244" s="549"/>
      <c r="B244" s="549"/>
      <c r="C244" s="549"/>
    </row>
    <row r="245" spans="1:3" x14ac:dyDescent="0.45">
      <c r="A245" s="549"/>
      <c r="B245" s="549"/>
      <c r="C245" s="549"/>
    </row>
    <row r="246" spans="1:3" x14ac:dyDescent="0.45">
      <c r="A246" s="549"/>
      <c r="B246" s="549"/>
      <c r="C246" s="549"/>
    </row>
    <row r="247" spans="1:3" x14ac:dyDescent="0.45">
      <c r="A247" s="549"/>
      <c r="B247" s="549"/>
      <c r="C247" s="549"/>
    </row>
    <row r="248" spans="1:3" x14ac:dyDescent="0.45">
      <c r="A248" s="549"/>
      <c r="B248" s="549"/>
      <c r="C248" s="549"/>
    </row>
    <row r="249" spans="1:3" x14ac:dyDescent="0.45">
      <c r="A249" s="549"/>
      <c r="B249" s="549"/>
      <c r="C249" s="549"/>
    </row>
    <row r="250" spans="1:3" x14ac:dyDescent="0.45">
      <c r="A250" s="549"/>
      <c r="B250" s="549"/>
      <c r="C250" s="549"/>
    </row>
    <row r="251" spans="1:3" x14ac:dyDescent="0.45">
      <c r="A251" s="549"/>
      <c r="B251" s="549"/>
      <c r="C251" s="549"/>
    </row>
    <row r="252" spans="1:3" x14ac:dyDescent="0.45">
      <c r="A252" s="549"/>
      <c r="B252" s="549"/>
      <c r="C252" s="549"/>
    </row>
    <row r="253" spans="1:3" x14ac:dyDescent="0.45">
      <c r="A253" s="549"/>
      <c r="B253" s="549"/>
      <c r="C253" s="549"/>
    </row>
    <row r="254" spans="1:3" x14ac:dyDescent="0.45">
      <c r="A254" s="549"/>
      <c r="B254" s="549"/>
      <c r="C254" s="549"/>
    </row>
    <row r="255" spans="1:3" x14ac:dyDescent="0.45">
      <c r="A255" s="549"/>
      <c r="B255" s="549"/>
      <c r="C255" s="549"/>
    </row>
    <row r="256" spans="1:3" x14ac:dyDescent="0.45">
      <c r="A256" s="549"/>
      <c r="B256" s="549"/>
      <c r="C256" s="549"/>
    </row>
    <row r="257" spans="1:3" x14ac:dyDescent="0.45">
      <c r="A257" s="549"/>
      <c r="B257" s="549"/>
      <c r="C257" s="549"/>
    </row>
    <row r="258" spans="1:3" x14ac:dyDescent="0.45">
      <c r="A258" s="549"/>
      <c r="B258" s="549"/>
      <c r="C258" s="549"/>
    </row>
    <row r="259" spans="1:3" x14ac:dyDescent="0.45">
      <c r="A259" s="549"/>
      <c r="B259" s="549"/>
      <c r="C259" s="549"/>
    </row>
    <row r="260" spans="1:3" x14ac:dyDescent="0.45">
      <c r="A260" s="549"/>
      <c r="B260" s="549"/>
      <c r="C260" s="549"/>
    </row>
    <row r="261" spans="1:3" x14ac:dyDescent="0.45">
      <c r="A261" s="549"/>
      <c r="B261" s="549"/>
      <c r="C261" s="549"/>
    </row>
    <row r="262" spans="1:3" x14ac:dyDescent="0.45">
      <c r="A262" s="549"/>
      <c r="B262" s="549"/>
      <c r="C262" s="549"/>
    </row>
    <row r="263" spans="1:3" x14ac:dyDescent="0.45">
      <c r="A263" s="549"/>
      <c r="B263" s="549"/>
      <c r="C263" s="549"/>
    </row>
    <row r="264" spans="1:3" x14ac:dyDescent="0.45">
      <c r="A264" s="549"/>
      <c r="B264" s="549"/>
      <c r="C264" s="549"/>
    </row>
    <row r="265" spans="1:3" x14ac:dyDescent="0.45">
      <c r="A265" s="549"/>
      <c r="B265" s="549"/>
      <c r="C265" s="549"/>
    </row>
    <row r="266" spans="1:3" x14ac:dyDescent="0.45">
      <c r="A266" s="549"/>
      <c r="B266" s="549"/>
      <c r="C266" s="549"/>
    </row>
    <row r="267" spans="1:3" x14ac:dyDescent="0.45">
      <c r="A267" s="549"/>
      <c r="B267" s="549"/>
      <c r="C267" s="549"/>
    </row>
    <row r="268" spans="1:3" x14ac:dyDescent="0.45">
      <c r="A268" s="549"/>
      <c r="B268" s="549"/>
      <c r="C268" s="549"/>
    </row>
    <row r="269" spans="1:3" x14ac:dyDescent="0.45">
      <c r="A269" s="549"/>
      <c r="B269" s="549"/>
      <c r="C269" s="549"/>
    </row>
    <row r="270" spans="1:3" x14ac:dyDescent="0.45">
      <c r="A270" s="549"/>
      <c r="B270" s="549"/>
      <c r="C270" s="549"/>
    </row>
    <row r="271" spans="1:3" x14ac:dyDescent="0.45">
      <c r="A271" s="549"/>
      <c r="B271" s="549"/>
      <c r="C271" s="549"/>
    </row>
    <row r="272" spans="1:3" x14ac:dyDescent="0.45">
      <c r="A272" s="549"/>
      <c r="B272" s="549"/>
      <c r="C272" s="549"/>
    </row>
    <row r="273" spans="1:3" x14ac:dyDescent="0.45">
      <c r="A273" s="549"/>
      <c r="B273" s="549"/>
      <c r="C273" s="549"/>
    </row>
    <row r="274" spans="1:3" x14ac:dyDescent="0.45">
      <c r="A274" s="549"/>
      <c r="B274" s="549"/>
      <c r="C274" s="549"/>
    </row>
    <row r="275" spans="1:3" x14ac:dyDescent="0.45">
      <c r="A275" s="549"/>
      <c r="B275" s="549"/>
      <c r="C275" s="549"/>
    </row>
    <row r="276" spans="1:3" x14ac:dyDescent="0.45">
      <c r="A276" s="549"/>
      <c r="B276" s="549"/>
      <c r="C276" s="549"/>
    </row>
    <row r="277" spans="1:3" x14ac:dyDescent="0.45">
      <c r="A277" s="549"/>
      <c r="B277" s="549"/>
      <c r="C277" s="549"/>
    </row>
    <row r="278" spans="1:3" x14ac:dyDescent="0.45">
      <c r="A278" s="549"/>
      <c r="B278" s="549"/>
      <c r="C278" s="549"/>
    </row>
    <row r="279" spans="1:3" x14ac:dyDescent="0.45">
      <c r="A279" s="549"/>
      <c r="B279" s="549"/>
      <c r="C279" s="549"/>
    </row>
    <row r="280" spans="1:3" x14ac:dyDescent="0.45">
      <c r="A280" s="549"/>
      <c r="B280" s="549"/>
      <c r="C280" s="549"/>
    </row>
    <row r="281" spans="1:3" x14ac:dyDescent="0.45">
      <c r="A281" s="549"/>
      <c r="B281" s="549"/>
      <c r="C281" s="549"/>
    </row>
    <row r="282" spans="1:3" x14ac:dyDescent="0.45">
      <c r="A282" s="549"/>
      <c r="B282" s="549"/>
      <c r="C282" s="549"/>
    </row>
    <row r="283" spans="1:3" x14ac:dyDescent="0.45">
      <c r="A283" s="549"/>
      <c r="B283" s="549"/>
      <c r="C283" s="549"/>
    </row>
    <row r="284" spans="1:3" x14ac:dyDescent="0.45">
      <c r="A284" s="549"/>
      <c r="B284" s="549"/>
      <c r="C284" s="549"/>
    </row>
    <row r="285" spans="1:3" x14ac:dyDescent="0.45">
      <c r="A285" s="549"/>
      <c r="B285" s="549"/>
      <c r="C285" s="549"/>
    </row>
    <row r="286" spans="1:3" x14ac:dyDescent="0.45">
      <c r="A286" s="549"/>
      <c r="B286" s="549"/>
      <c r="C286" s="549"/>
    </row>
    <row r="287" spans="1:3" x14ac:dyDescent="0.45">
      <c r="A287" s="549"/>
      <c r="B287" s="549"/>
      <c r="C287" s="549"/>
    </row>
    <row r="288" spans="1:3" x14ac:dyDescent="0.45">
      <c r="A288" s="549"/>
      <c r="B288" s="549"/>
      <c r="C288" s="549"/>
    </row>
    <row r="289" spans="1:3" x14ac:dyDescent="0.45">
      <c r="A289" s="549"/>
      <c r="B289" s="549"/>
      <c r="C289" s="549"/>
    </row>
    <row r="290" spans="1:3" x14ac:dyDescent="0.45">
      <c r="A290" s="549"/>
      <c r="B290" s="549"/>
      <c r="C290" s="549"/>
    </row>
    <row r="291" spans="1:3" x14ac:dyDescent="0.45">
      <c r="A291" s="549"/>
      <c r="B291" s="549"/>
      <c r="C291" s="549"/>
    </row>
    <row r="292" spans="1:3" x14ac:dyDescent="0.45">
      <c r="A292" s="549"/>
      <c r="B292" s="549"/>
      <c r="C292" s="549"/>
    </row>
    <row r="293" spans="1:3" x14ac:dyDescent="0.45">
      <c r="A293" s="549"/>
      <c r="B293" s="549"/>
      <c r="C293" s="549"/>
    </row>
    <row r="294" spans="1:3" x14ac:dyDescent="0.45">
      <c r="A294" s="549"/>
      <c r="B294" s="549"/>
      <c r="C294" s="549"/>
    </row>
    <row r="295" spans="1:3" x14ac:dyDescent="0.45">
      <c r="A295" s="549"/>
      <c r="B295" s="549"/>
      <c r="C295" s="549"/>
    </row>
    <row r="296" spans="1:3" x14ac:dyDescent="0.45">
      <c r="A296" s="549"/>
      <c r="B296" s="549"/>
      <c r="C296" s="549"/>
    </row>
    <row r="297" spans="1:3" x14ac:dyDescent="0.45">
      <c r="A297" s="549"/>
      <c r="B297" s="549"/>
      <c r="C297" s="549"/>
    </row>
    <row r="298" spans="1:3" x14ac:dyDescent="0.45">
      <c r="A298" s="549"/>
      <c r="B298" s="549"/>
      <c r="C298" s="549"/>
    </row>
    <row r="299" spans="1:3" x14ac:dyDescent="0.45">
      <c r="A299" s="549"/>
      <c r="B299" s="549"/>
      <c r="C299" s="549"/>
    </row>
    <row r="300" spans="1:3" x14ac:dyDescent="0.45">
      <c r="A300" s="549"/>
      <c r="B300" s="549"/>
      <c r="C300" s="549"/>
    </row>
    <row r="301" spans="1:3" x14ac:dyDescent="0.45">
      <c r="A301" s="549"/>
      <c r="B301" s="549"/>
      <c r="C301" s="549"/>
    </row>
    <row r="302" spans="1:3" x14ac:dyDescent="0.45">
      <c r="A302" s="549"/>
      <c r="B302" s="549"/>
      <c r="C302" s="549"/>
    </row>
    <row r="303" spans="1:3" x14ac:dyDescent="0.45">
      <c r="A303" s="549"/>
      <c r="B303" s="549"/>
      <c r="C303" s="549"/>
    </row>
    <row r="304" spans="1:3" x14ac:dyDescent="0.45">
      <c r="A304" s="549"/>
      <c r="B304" s="549"/>
      <c r="C304" s="549"/>
    </row>
    <row r="305" spans="1:3" x14ac:dyDescent="0.45">
      <c r="A305" s="549"/>
      <c r="B305" s="549"/>
      <c r="C305" s="549"/>
    </row>
    <row r="306" spans="1:3" x14ac:dyDescent="0.45">
      <c r="A306" s="549"/>
      <c r="B306" s="549"/>
      <c r="C306" s="549"/>
    </row>
    <row r="307" spans="1:3" x14ac:dyDescent="0.45">
      <c r="A307" s="549"/>
      <c r="B307" s="549"/>
      <c r="C307" s="549"/>
    </row>
    <row r="308" spans="1:3" x14ac:dyDescent="0.45">
      <c r="A308" s="549"/>
      <c r="B308" s="549"/>
      <c r="C308" s="549"/>
    </row>
    <row r="309" spans="1:3" x14ac:dyDescent="0.45">
      <c r="A309" s="549"/>
      <c r="B309" s="549"/>
      <c r="C309" s="549"/>
    </row>
    <row r="310" spans="1:3" x14ac:dyDescent="0.45">
      <c r="A310" s="549"/>
      <c r="B310" s="549"/>
      <c r="C310" s="549"/>
    </row>
    <row r="311" spans="1:3" x14ac:dyDescent="0.45">
      <c r="A311" s="549"/>
      <c r="B311" s="549"/>
      <c r="C311" s="549"/>
    </row>
    <row r="312" spans="1:3" x14ac:dyDescent="0.45">
      <c r="A312" s="549"/>
      <c r="B312" s="549"/>
      <c r="C312" s="549"/>
    </row>
    <row r="313" spans="1:3" x14ac:dyDescent="0.45">
      <c r="A313" s="549"/>
      <c r="B313" s="549"/>
      <c r="C313" s="549"/>
    </row>
    <row r="314" spans="1:3" x14ac:dyDescent="0.45">
      <c r="A314" s="549"/>
      <c r="B314" s="549"/>
      <c r="C314" s="549"/>
    </row>
    <row r="315" spans="1:3" x14ac:dyDescent="0.45">
      <c r="A315" s="549"/>
      <c r="B315" s="549"/>
      <c r="C315" s="549"/>
    </row>
    <row r="316" spans="1:3" x14ac:dyDescent="0.45">
      <c r="A316" s="549"/>
      <c r="B316" s="549"/>
      <c r="C316" s="549"/>
    </row>
    <row r="317" spans="1:3" x14ac:dyDescent="0.45">
      <c r="A317" s="549"/>
      <c r="B317" s="549"/>
      <c r="C317" s="549"/>
    </row>
    <row r="318" spans="1:3" x14ac:dyDescent="0.45">
      <c r="A318" s="549"/>
      <c r="B318" s="549"/>
      <c r="C318" s="549"/>
    </row>
    <row r="319" spans="1:3" x14ac:dyDescent="0.45">
      <c r="A319" s="549"/>
      <c r="B319" s="549"/>
      <c r="C319" s="549"/>
    </row>
    <row r="320" spans="1:3" x14ac:dyDescent="0.45">
      <c r="A320" s="549"/>
      <c r="B320" s="549"/>
      <c r="C320" s="549"/>
    </row>
    <row r="321" spans="1:3" x14ac:dyDescent="0.45">
      <c r="A321" s="549"/>
      <c r="B321" s="549"/>
      <c r="C321" s="549"/>
    </row>
    <row r="322" spans="1:3" x14ac:dyDescent="0.45">
      <c r="A322" s="549"/>
      <c r="B322" s="549"/>
      <c r="C322" s="549"/>
    </row>
    <row r="323" spans="1:3" x14ac:dyDescent="0.45">
      <c r="A323" s="549"/>
      <c r="B323" s="549"/>
      <c r="C323" s="549"/>
    </row>
    <row r="324" spans="1:3" x14ac:dyDescent="0.45">
      <c r="A324" s="549"/>
      <c r="B324" s="549"/>
      <c r="C324" s="549"/>
    </row>
    <row r="325" spans="1:3" x14ac:dyDescent="0.45">
      <c r="A325" s="549"/>
      <c r="B325" s="549"/>
      <c r="C325" s="549"/>
    </row>
    <row r="326" spans="1:3" x14ac:dyDescent="0.45">
      <c r="A326" s="549"/>
      <c r="B326" s="549"/>
      <c r="C326" s="549"/>
    </row>
    <row r="327" spans="1:3" x14ac:dyDescent="0.45">
      <c r="A327" s="549"/>
      <c r="B327" s="549"/>
      <c r="C327" s="549"/>
    </row>
    <row r="328" spans="1:3" x14ac:dyDescent="0.45">
      <c r="A328" s="549"/>
      <c r="B328" s="549"/>
      <c r="C328" s="549"/>
    </row>
    <row r="329" spans="1:3" x14ac:dyDescent="0.45">
      <c r="A329" s="549"/>
      <c r="B329" s="549"/>
      <c r="C329" s="549"/>
    </row>
    <row r="330" spans="1:3" x14ac:dyDescent="0.45">
      <c r="A330" s="549"/>
      <c r="B330" s="549"/>
      <c r="C330" s="549"/>
    </row>
    <row r="331" spans="1:3" x14ac:dyDescent="0.45">
      <c r="A331" s="549"/>
      <c r="B331" s="549"/>
      <c r="C331" s="549"/>
    </row>
    <row r="332" spans="1:3" x14ac:dyDescent="0.45">
      <c r="A332" s="549"/>
      <c r="B332" s="549"/>
      <c r="C332" s="549"/>
    </row>
    <row r="333" spans="1:3" x14ac:dyDescent="0.45">
      <c r="A333" s="549"/>
      <c r="B333" s="549"/>
      <c r="C333" s="549"/>
    </row>
    <row r="334" spans="1:3" x14ac:dyDescent="0.45">
      <c r="A334" s="549"/>
      <c r="B334" s="549"/>
      <c r="C334" s="549"/>
    </row>
    <row r="335" spans="1:3" x14ac:dyDescent="0.45">
      <c r="A335" s="549"/>
      <c r="B335" s="549"/>
      <c r="C335" s="549"/>
    </row>
    <row r="336" spans="1:3" x14ac:dyDescent="0.45">
      <c r="A336" s="549"/>
      <c r="B336" s="549"/>
      <c r="C336" s="549"/>
    </row>
    <row r="337" spans="1:3" x14ac:dyDescent="0.45">
      <c r="A337" s="549"/>
      <c r="B337" s="549"/>
      <c r="C337" s="549"/>
    </row>
    <row r="338" spans="1:3" x14ac:dyDescent="0.45">
      <c r="A338" s="549"/>
      <c r="B338" s="549"/>
      <c r="C338" s="549"/>
    </row>
    <row r="339" spans="1:3" x14ac:dyDescent="0.45">
      <c r="A339" s="549"/>
      <c r="B339" s="549"/>
      <c r="C339" s="549"/>
    </row>
    <row r="340" spans="1:3" x14ac:dyDescent="0.45">
      <c r="A340" s="549"/>
      <c r="B340" s="549"/>
      <c r="C340" s="549"/>
    </row>
    <row r="341" spans="1:3" x14ac:dyDescent="0.45">
      <c r="A341" s="549"/>
      <c r="B341" s="549"/>
      <c r="C341" s="549"/>
    </row>
    <row r="342" spans="1:3" x14ac:dyDescent="0.45">
      <c r="A342" s="549"/>
      <c r="B342" s="549"/>
      <c r="C342" s="549"/>
    </row>
    <row r="343" spans="1:3" x14ac:dyDescent="0.45">
      <c r="A343" s="549"/>
      <c r="B343" s="549"/>
      <c r="C343" s="549"/>
    </row>
    <row r="344" spans="1:3" x14ac:dyDescent="0.45">
      <c r="A344" s="549"/>
      <c r="B344" s="549"/>
      <c r="C344" s="549"/>
    </row>
    <row r="345" spans="1:3" x14ac:dyDescent="0.45">
      <c r="A345" s="549"/>
      <c r="B345" s="549"/>
      <c r="C345" s="549"/>
    </row>
    <row r="346" spans="1:3" x14ac:dyDescent="0.45">
      <c r="A346" s="549"/>
      <c r="B346" s="549"/>
      <c r="C346" s="549"/>
    </row>
    <row r="347" spans="1:3" x14ac:dyDescent="0.45">
      <c r="A347" s="549"/>
      <c r="B347" s="549"/>
      <c r="C347" s="549"/>
    </row>
    <row r="348" spans="1:3" x14ac:dyDescent="0.45">
      <c r="A348" s="549"/>
      <c r="B348" s="549"/>
      <c r="C348" s="549"/>
    </row>
    <row r="349" spans="1:3" x14ac:dyDescent="0.45">
      <c r="A349" s="549"/>
      <c r="B349" s="549"/>
      <c r="C349" s="549"/>
    </row>
    <row r="350" spans="1:3" x14ac:dyDescent="0.45">
      <c r="A350" s="549"/>
      <c r="B350" s="549"/>
      <c r="C350" s="549"/>
    </row>
    <row r="351" spans="1:3" x14ac:dyDescent="0.45">
      <c r="A351" s="549"/>
      <c r="B351" s="549"/>
      <c r="C351" s="549"/>
    </row>
    <row r="352" spans="1:3" x14ac:dyDescent="0.45">
      <c r="A352" s="549"/>
      <c r="B352" s="549"/>
      <c r="C352" s="549"/>
    </row>
    <row r="353" spans="1:3" x14ac:dyDescent="0.45">
      <c r="A353" s="549"/>
      <c r="B353" s="549"/>
      <c r="C353" s="549"/>
    </row>
    <row r="354" spans="1:3" x14ac:dyDescent="0.45">
      <c r="A354" s="549"/>
      <c r="B354" s="549"/>
      <c r="C354" s="549"/>
    </row>
    <row r="355" spans="1:3" x14ac:dyDescent="0.45">
      <c r="A355" s="549"/>
      <c r="B355" s="549"/>
      <c r="C355" s="549"/>
    </row>
    <row r="356" spans="1:3" x14ac:dyDescent="0.45">
      <c r="A356" s="549"/>
      <c r="B356" s="549"/>
      <c r="C356" s="549"/>
    </row>
    <row r="357" spans="1:3" x14ac:dyDescent="0.45">
      <c r="A357" s="549"/>
      <c r="B357" s="549"/>
      <c r="C357" s="549"/>
    </row>
    <row r="358" spans="1:3" x14ac:dyDescent="0.45">
      <c r="A358" s="549"/>
      <c r="B358" s="549"/>
      <c r="C358" s="549"/>
    </row>
    <row r="359" spans="1:3" x14ac:dyDescent="0.45">
      <c r="A359" s="549"/>
      <c r="B359" s="549"/>
      <c r="C359" s="549"/>
    </row>
    <row r="360" spans="1:3" x14ac:dyDescent="0.45">
      <c r="A360" s="549"/>
      <c r="B360" s="549"/>
      <c r="C360" s="549"/>
    </row>
    <row r="361" spans="1:3" x14ac:dyDescent="0.45">
      <c r="A361" s="549"/>
      <c r="B361" s="549"/>
      <c r="C361" s="549"/>
    </row>
    <row r="362" spans="1:3" x14ac:dyDescent="0.45">
      <c r="A362" s="549"/>
      <c r="B362" s="549"/>
      <c r="C362" s="549"/>
    </row>
    <row r="363" spans="1:3" x14ac:dyDescent="0.45">
      <c r="A363" s="549"/>
      <c r="B363" s="549"/>
      <c r="C363" s="549"/>
    </row>
    <row r="364" spans="1:3" x14ac:dyDescent="0.45">
      <c r="A364" s="549"/>
      <c r="B364" s="549"/>
      <c r="C364" s="549"/>
    </row>
    <row r="365" spans="1:3" x14ac:dyDescent="0.45">
      <c r="A365" s="549"/>
      <c r="B365" s="549"/>
      <c r="C365" s="549"/>
    </row>
    <row r="366" spans="1:3" x14ac:dyDescent="0.45">
      <c r="A366" s="549"/>
      <c r="B366" s="549"/>
      <c r="C366" s="549"/>
    </row>
    <row r="367" spans="1:3" x14ac:dyDescent="0.45">
      <c r="A367" s="549"/>
      <c r="B367" s="549"/>
      <c r="C367" s="549"/>
    </row>
    <row r="368" spans="1:3" x14ac:dyDescent="0.45">
      <c r="A368" s="549"/>
      <c r="B368" s="549"/>
      <c r="C368" s="549"/>
    </row>
    <row r="369" spans="1:3" x14ac:dyDescent="0.45">
      <c r="A369" s="549"/>
      <c r="B369" s="549"/>
      <c r="C369" s="549"/>
    </row>
    <row r="370" spans="1:3" x14ac:dyDescent="0.45">
      <c r="A370" s="549"/>
      <c r="B370" s="549"/>
      <c r="C370" s="549"/>
    </row>
    <row r="371" spans="1:3" x14ac:dyDescent="0.45">
      <c r="A371" s="549"/>
      <c r="B371" s="549"/>
      <c r="C371" s="549"/>
    </row>
    <row r="372" spans="1:3" x14ac:dyDescent="0.45">
      <c r="A372" s="549"/>
      <c r="B372" s="549"/>
      <c r="C372" s="549"/>
    </row>
    <row r="373" spans="1:3" x14ac:dyDescent="0.45">
      <c r="A373" s="549"/>
      <c r="B373" s="549"/>
      <c r="C373" s="549"/>
    </row>
    <row r="374" spans="1:3" x14ac:dyDescent="0.45">
      <c r="A374" s="549"/>
      <c r="B374" s="549"/>
      <c r="C374" s="549"/>
    </row>
    <row r="375" spans="1:3" x14ac:dyDescent="0.45">
      <c r="A375" s="549"/>
      <c r="B375" s="549"/>
      <c r="C375" s="549"/>
    </row>
    <row r="376" spans="1:3" x14ac:dyDescent="0.45">
      <c r="A376" s="549"/>
      <c r="B376" s="549"/>
      <c r="C376" s="549"/>
    </row>
    <row r="377" spans="1:3" x14ac:dyDescent="0.45">
      <c r="A377" s="549"/>
      <c r="B377" s="549"/>
      <c r="C377" s="549"/>
    </row>
    <row r="378" spans="1:3" x14ac:dyDescent="0.45">
      <c r="A378" s="549"/>
      <c r="B378" s="549"/>
      <c r="C378" s="549"/>
    </row>
    <row r="379" spans="1:3" x14ac:dyDescent="0.45">
      <c r="A379" s="549"/>
      <c r="B379" s="549"/>
      <c r="C379" s="549"/>
    </row>
    <row r="380" spans="1:3" x14ac:dyDescent="0.45">
      <c r="A380" s="549"/>
      <c r="B380" s="549"/>
      <c r="C380" s="549"/>
    </row>
    <row r="381" spans="1:3" x14ac:dyDescent="0.45">
      <c r="A381" s="549"/>
      <c r="B381" s="549"/>
      <c r="C381" s="549"/>
    </row>
    <row r="382" spans="1:3" x14ac:dyDescent="0.45">
      <c r="A382" s="549"/>
      <c r="B382" s="549"/>
      <c r="C382" s="549"/>
    </row>
    <row r="383" spans="1:3" x14ac:dyDescent="0.45">
      <c r="A383" s="549"/>
      <c r="B383" s="549"/>
      <c r="C383" s="549"/>
    </row>
    <row r="384" spans="1:3" x14ac:dyDescent="0.45">
      <c r="A384" s="549"/>
      <c r="B384" s="549"/>
      <c r="C384" s="549"/>
    </row>
    <row r="385" spans="1:3" x14ac:dyDescent="0.45">
      <c r="A385" s="549"/>
      <c r="B385" s="549"/>
      <c r="C385" s="549"/>
    </row>
    <row r="386" spans="1:3" x14ac:dyDescent="0.45">
      <c r="A386" s="549"/>
      <c r="B386" s="549"/>
      <c r="C386" s="549"/>
    </row>
    <row r="387" spans="1:3" x14ac:dyDescent="0.45">
      <c r="A387" s="549"/>
      <c r="B387" s="549"/>
      <c r="C387" s="549"/>
    </row>
    <row r="388" spans="1:3" x14ac:dyDescent="0.45">
      <c r="A388" s="549"/>
      <c r="B388" s="549"/>
      <c r="C388" s="549"/>
    </row>
    <row r="389" spans="1:3" x14ac:dyDescent="0.45">
      <c r="A389" s="549"/>
      <c r="B389" s="549"/>
      <c r="C389" s="549"/>
    </row>
    <row r="390" spans="1:3" x14ac:dyDescent="0.45">
      <c r="A390" s="549"/>
      <c r="B390" s="549"/>
      <c r="C390" s="549"/>
    </row>
    <row r="391" spans="1:3" x14ac:dyDescent="0.45">
      <c r="A391" s="549"/>
      <c r="B391" s="549"/>
      <c r="C391" s="549"/>
    </row>
    <row r="392" spans="1:3" x14ac:dyDescent="0.45">
      <c r="A392" s="549"/>
      <c r="B392" s="549"/>
      <c r="C392" s="549"/>
    </row>
    <row r="393" spans="1:3" x14ac:dyDescent="0.45">
      <c r="A393" s="549"/>
      <c r="B393" s="549"/>
      <c r="C393" s="549"/>
    </row>
    <row r="394" spans="1:3" x14ac:dyDescent="0.45">
      <c r="A394" s="549"/>
      <c r="B394" s="549"/>
      <c r="C394" s="549"/>
    </row>
    <row r="395" spans="1:3" x14ac:dyDescent="0.45">
      <c r="A395" s="549"/>
      <c r="B395" s="549"/>
      <c r="C395" s="549"/>
    </row>
    <row r="396" spans="1:3" x14ac:dyDescent="0.45">
      <c r="A396" s="549"/>
      <c r="B396" s="549"/>
      <c r="C396" s="549"/>
    </row>
    <row r="397" spans="1:3" x14ac:dyDescent="0.45">
      <c r="A397" s="549"/>
      <c r="B397" s="549"/>
      <c r="C397" s="549"/>
    </row>
    <row r="398" spans="1:3" x14ac:dyDescent="0.45">
      <c r="A398" s="549"/>
      <c r="B398" s="549"/>
      <c r="C398" s="549"/>
    </row>
    <row r="399" spans="1:3" x14ac:dyDescent="0.45">
      <c r="A399" s="549"/>
      <c r="B399" s="549"/>
      <c r="C399" s="549"/>
    </row>
    <row r="400" spans="1:3" x14ac:dyDescent="0.45">
      <c r="A400" s="549"/>
      <c r="B400" s="549"/>
      <c r="C400" s="549"/>
    </row>
    <row r="401" spans="1:3" x14ac:dyDescent="0.45">
      <c r="A401" s="549"/>
      <c r="B401" s="549"/>
      <c r="C401" s="549"/>
    </row>
    <row r="402" spans="1:3" x14ac:dyDescent="0.45">
      <c r="A402" s="549"/>
      <c r="B402" s="549"/>
      <c r="C402" s="549"/>
    </row>
    <row r="403" spans="1:3" x14ac:dyDescent="0.45">
      <c r="A403" s="549"/>
      <c r="B403" s="549"/>
      <c r="C403" s="549"/>
    </row>
    <row r="404" spans="1:3" x14ac:dyDescent="0.45">
      <c r="A404" s="549"/>
      <c r="B404" s="549"/>
      <c r="C404" s="549"/>
    </row>
    <row r="405" spans="1:3" x14ac:dyDescent="0.45">
      <c r="A405" s="549"/>
      <c r="B405" s="549"/>
      <c r="C405" s="549"/>
    </row>
    <row r="406" spans="1:3" x14ac:dyDescent="0.45">
      <c r="A406" s="549"/>
      <c r="B406" s="549"/>
      <c r="C406" s="549"/>
    </row>
    <row r="407" spans="1:3" x14ac:dyDescent="0.45">
      <c r="A407" s="549"/>
      <c r="B407" s="549"/>
      <c r="C407" s="549"/>
    </row>
    <row r="408" spans="1:3" x14ac:dyDescent="0.45">
      <c r="A408" s="549"/>
      <c r="B408" s="549"/>
      <c r="C408" s="549"/>
    </row>
    <row r="409" spans="1:3" x14ac:dyDescent="0.45">
      <c r="A409" s="549"/>
      <c r="B409" s="549"/>
      <c r="C409" s="549"/>
    </row>
    <row r="410" spans="1:3" x14ac:dyDescent="0.45">
      <c r="A410" s="549"/>
      <c r="B410" s="549"/>
      <c r="C410" s="549"/>
    </row>
    <row r="411" spans="1:3" x14ac:dyDescent="0.45">
      <c r="A411" s="549"/>
      <c r="B411" s="549"/>
      <c r="C411" s="549"/>
    </row>
    <row r="412" spans="1:3" x14ac:dyDescent="0.45">
      <c r="A412" s="549"/>
      <c r="B412" s="549"/>
      <c r="C412" s="549"/>
    </row>
    <row r="413" spans="1:3" x14ac:dyDescent="0.45">
      <c r="A413" s="549"/>
      <c r="B413" s="549"/>
      <c r="C413" s="549"/>
    </row>
    <row r="414" spans="1:3" x14ac:dyDescent="0.45">
      <c r="A414" s="549"/>
      <c r="B414" s="549"/>
      <c r="C414" s="549"/>
    </row>
    <row r="415" spans="1:3" x14ac:dyDescent="0.45">
      <c r="A415" s="549"/>
      <c r="B415" s="549"/>
      <c r="C415" s="549"/>
    </row>
    <row r="416" spans="1:3" x14ac:dyDescent="0.45">
      <c r="A416" s="549"/>
      <c r="B416" s="549"/>
      <c r="C416" s="549"/>
    </row>
    <row r="417" spans="1:3" x14ac:dyDescent="0.45">
      <c r="A417" s="549"/>
      <c r="B417" s="549"/>
      <c r="C417" s="549"/>
    </row>
    <row r="418" spans="1:3" x14ac:dyDescent="0.45">
      <c r="A418" s="549"/>
      <c r="B418" s="549"/>
      <c r="C418" s="549"/>
    </row>
    <row r="419" spans="1:3" x14ac:dyDescent="0.45">
      <c r="A419" s="549"/>
      <c r="B419" s="549"/>
      <c r="C419" s="549"/>
    </row>
    <row r="420" spans="1:3" x14ac:dyDescent="0.45">
      <c r="A420" s="549"/>
      <c r="B420" s="549"/>
      <c r="C420" s="549"/>
    </row>
    <row r="421" spans="1:3" x14ac:dyDescent="0.45">
      <c r="A421" s="549"/>
      <c r="B421" s="549"/>
      <c r="C421" s="549"/>
    </row>
    <row r="422" spans="1:3" x14ac:dyDescent="0.45">
      <c r="A422" s="549"/>
      <c r="B422" s="549"/>
      <c r="C422" s="549"/>
    </row>
    <row r="423" spans="1:3" x14ac:dyDescent="0.45">
      <c r="A423" s="549"/>
      <c r="B423" s="549"/>
      <c r="C423" s="549"/>
    </row>
    <row r="424" spans="1:3" x14ac:dyDescent="0.45">
      <c r="A424" s="549"/>
      <c r="B424" s="549"/>
      <c r="C424" s="549"/>
    </row>
    <row r="425" spans="1:3" x14ac:dyDescent="0.45">
      <c r="A425" s="549"/>
      <c r="B425" s="549"/>
      <c r="C425" s="549"/>
    </row>
    <row r="426" spans="1:3" x14ac:dyDescent="0.45">
      <c r="A426" s="549"/>
      <c r="B426" s="549"/>
      <c r="C426" s="549"/>
    </row>
    <row r="427" spans="1:3" x14ac:dyDescent="0.45">
      <c r="A427" s="549"/>
      <c r="B427" s="549"/>
      <c r="C427" s="549"/>
    </row>
    <row r="428" spans="1:3" x14ac:dyDescent="0.45">
      <c r="A428" s="549"/>
      <c r="B428" s="549"/>
      <c r="C428" s="549"/>
    </row>
    <row r="429" spans="1:3" x14ac:dyDescent="0.45">
      <c r="A429" s="549"/>
      <c r="B429" s="549"/>
      <c r="C429" s="549"/>
    </row>
    <row r="430" spans="1:3" x14ac:dyDescent="0.45">
      <c r="A430" s="549"/>
      <c r="B430" s="549"/>
      <c r="C430" s="549"/>
    </row>
    <row r="431" spans="1:3" x14ac:dyDescent="0.45">
      <c r="A431" s="549"/>
      <c r="B431" s="549"/>
      <c r="C431" s="549"/>
    </row>
    <row r="432" spans="1:3" x14ac:dyDescent="0.45">
      <c r="A432" s="549"/>
      <c r="B432" s="549"/>
      <c r="C432" s="549"/>
    </row>
    <row r="433" spans="1:3" x14ac:dyDescent="0.45">
      <c r="A433" s="549"/>
      <c r="B433" s="549"/>
      <c r="C433" s="549"/>
    </row>
    <row r="434" spans="1:3" x14ac:dyDescent="0.45">
      <c r="A434" s="549"/>
      <c r="B434" s="549"/>
      <c r="C434" s="549"/>
    </row>
    <row r="435" spans="1:3" x14ac:dyDescent="0.45">
      <c r="A435" s="549"/>
      <c r="B435" s="549"/>
      <c r="C435" s="549"/>
    </row>
    <row r="436" spans="1:3" x14ac:dyDescent="0.45">
      <c r="A436" s="549"/>
      <c r="B436" s="549"/>
      <c r="C436" s="549"/>
    </row>
    <row r="437" spans="1:3" x14ac:dyDescent="0.45">
      <c r="A437" s="549"/>
      <c r="B437" s="549"/>
      <c r="C437" s="549"/>
    </row>
    <row r="438" spans="1:3" x14ac:dyDescent="0.45">
      <c r="A438" s="549"/>
      <c r="B438" s="549"/>
      <c r="C438" s="549"/>
    </row>
    <row r="439" spans="1:3" x14ac:dyDescent="0.45">
      <c r="A439" s="549"/>
      <c r="B439" s="549"/>
      <c r="C439" s="549"/>
    </row>
    <row r="440" spans="1:3" x14ac:dyDescent="0.45">
      <c r="A440" s="549"/>
      <c r="B440" s="549"/>
      <c r="C440" s="549"/>
    </row>
    <row r="441" spans="1:3" x14ac:dyDescent="0.45">
      <c r="A441" s="549"/>
      <c r="B441" s="549"/>
      <c r="C441" s="549"/>
    </row>
    <row r="442" spans="1:3" x14ac:dyDescent="0.45">
      <c r="A442" s="549"/>
      <c r="B442" s="549"/>
      <c r="C442" s="549"/>
    </row>
    <row r="443" spans="1:3" x14ac:dyDescent="0.45">
      <c r="A443" s="549"/>
      <c r="B443" s="549"/>
      <c r="C443" s="549"/>
    </row>
    <row r="444" spans="1:3" x14ac:dyDescent="0.45">
      <c r="A444" s="549"/>
      <c r="B444" s="549"/>
      <c r="C444" s="549"/>
    </row>
    <row r="445" spans="1:3" x14ac:dyDescent="0.45">
      <c r="A445" s="549"/>
      <c r="B445" s="549"/>
      <c r="C445" s="549"/>
    </row>
    <row r="446" spans="1:3" x14ac:dyDescent="0.45">
      <c r="A446" s="549"/>
      <c r="B446" s="549"/>
      <c r="C446" s="549"/>
    </row>
    <row r="447" spans="1:3" x14ac:dyDescent="0.45">
      <c r="A447" s="549"/>
      <c r="B447" s="549"/>
      <c r="C447" s="549"/>
    </row>
    <row r="448" spans="1:3" x14ac:dyDescent="0.45">
      <c r="A448" s="549"/>
      <c r="B448" s="549"/>
      <c r="C448" s="549"/>
    </row>
    <row r="449" spans="1:3" x14ac:dyDescent="0.45">
      <c r="A449" s="549"/>
      <c r="B449" s="549"/>
      <c r="C449" s="549"/>
    </row>
    <row r="450" spans="1:3" x14ac:dyDescent="0.45">
      <c r="A450" s="549"/>
      <c r="B450" s="549"/>
      <c r="C450" s="549"/>
    </row>
    <row r="451" spans="1:3" x14ac:dyDescent="0.45">
      <c r="A451" s="549"/>
      <c r="B451" s="549"/>
      <c r="C451" s="549"/>
    </row>
    <row r="452" spans="1:3" x14ac:dyDescent="0.45">
      <c r="A452" s="549"/>
      <c r="B452" s="549"/>
      <c r="C452" s="549"/>
    </row>
    <row r="453" spans="1:3" x14ac:dyDescent="0.45">
      <c r="A453" s="549"/>
      <c r="B453" s="549"/>
      <c r="C453" s="549"/>
    </row>
    <row r="454" spans="1:3" x14ac:dyDescent="0.45">
      <c r="A454" s="549"/>
      <c r="B454" s="549"/>
      <c r="C454" s="549"/>
    </row>
    <row r="455" spans="1:3" x14ac:dyDescent="0.45">
      <c r="A455" s="549"/>
      <c r="B455" s="549"/>
      <c r="C455" s="549"/>
    </row>
    <row r="456" spans="1:3" x14ac:dyDescent="0.45">
      <c r="A456" s="549"/>
      <c r="B456" s="549"/>
      <c r="C456" s="549"/>
    </row>
    <row r="457" spans="1:3" x14ac:dyDescent="0.45">
      <c r="A457" s="549"/>
      <c r="B457" s="549"/>
      <c r="C457" s="549"/>
    </row>
    <row r="458" spans="1:3" x14ac:dyDescent="0.45">
      <c r="A458" s="549"/>
      <c r="B458" s="549"/>
      <c r="C458" s="549"/>
    </row>
    <row r="459" spans="1:3" x14ac:dyDescent="0.45">
      <c r="A459" s="549"/>
      <c r="B459" s="549"/>
      <c r="C459" s="549"/>
    </row>
    <row r="460" spans="1:3" x14ac:dyDescent="0.45">
      <c r="A460" s="549"/>
      <c r="B460" s="549"/>
      <c r="C460" s="549"/>
    </row>
    <row r="461" spans="1:3" x14ac:dyDescent="0.45">
      <c r="A461" s="549"/>
      <c r="B461" s="549"/>
      <c r="C461" s="549"/>
    </row>
    <row r="462" spans="1:3" x14ac:dyDescent="0.45">
      <c r="A462" s="549"/>
      <c r="B462" s="549"/>
      <c r="C462" s="549"/>
    </row>
    <row r="463" spans="1:3" x14ac:dyDescent="0.45">
      <c r="A463" s="549"/>
      <c r="B463" s="549"/>
      <c r="C463" s="549"/>
    </row>
    <row r="464" spans="1:3" x14ac:dyDescent="0.45">
      <c r="A464" s="549"/>
      <c r="B464" s="549"/>
      <c r="C464" s="549"/>
    </row>
    <row r="465" spans="1:3" x14ac:dyDescent="0.45">
      <c r="A465" s="549"/>
      <c r="B465" s="549"/>
      <c r="C465" s="549"/>
    </row>
    <row r="466" spans="1:3" x14ac:dyDescent="0.45">
      <c r="A466" s="549"/>
      <c r="B466" s="549"/>
      <c r="C466" s="549"/>
    </row>
    <row r="467" spans="1:3" x14ac:dyDescent="0.45">
      <c r="A467" s="549"/>
      <c r="B467" s="549"/>
      <c r="C467" s="549"/>
    </row>
    <row r="468" spans="1:3" x14ac:dyDescent="0.45">
      <c r="A468" s="549"/>
      <c r="B468" s="549"/>
      <c r="C468" s="549"/>
    </row>
    <row r="469" spans="1:3" x14ac:dyDescent="0.45">
      <c r="A469" s="549"/>
      <c r="B469" s="549"/>
      <c r="C469" s="549"/>
    </row>
    <row r="470" spans="1:3" x14ac:dyDescent="0.45">
      <c r="A470" s="549"/>
      <c r="B470" s="549"/>
      <c r="C470" s="549"/>
    </row>
    <row r="471" spans="1:3" x14ac:dyDescent="0.45">
      <c r="A471" s="549"/>
      <c r="B471" s="549"/>
      <c r="C471" s="549"/>
    </row>
    <row r="472" spans="1:3" x14ac:dyDescent="0.45">
      <c r="A472" s="549"/>
      <c r="B472" s="549"/>
      <c r="C472" s="549"/>
    </row>
    <row r="473" spans="1:3" x14ac:dyDescent="0.45">
      <c r="A473" s="549"/>
      <c r="B473" s="549"/>
      <c r="C473" s="549"/>
    </row>
    <row r="474" spans="1:3" x14ac:dyDescent="0.45">
      <c r="A474" s="549"/>
      <c r="B474" s="549"/>
      <c r="C474" s="549"/>
    </row>
    <row r="475" spans="1:3" x14ac:dyDescent="0.45">
      <c r="A475" s="549"/>
      <c r="B475" s="549"/>
      <c r="C475" s="549"/>
    </row>
    <row r="476" spans="1:3" x14ac:dyDescent="0.45">
      <c r="A476" s="549"/>
      <c r="B476" s="549"/>
      <c r="C476" s="549"/>
    </row>
    <row r="477" spans="1:3" x14ac:dyDescent="0.45">
      <c r="A477" s="549"/>
      <c r="B477" s="549"/>
      <c r="C477" s="549"/>
    </row>
    <row r="478" spans="1:3" x14ac:dyDescent="0.45">
      <c r="A478" s="549"/>
      <c r="B478" s="549"/>
      <c r="C478" s="549"/>
    </row>
    <row r="479" spans="1:3" x14ac:dyDescent="0.45">
      <c r="A479" s="549"/>
      <c r="B479" s="549"/>
      <c r="C479" s="549"/>
    </row>
    <row r="480" spans="1:3" x14ac:dyDescent="0.45">
      <c r="A480" s="549"/>
      <c r="B480" s="549"/>
      <c r="C480" s="549"/>
    </row>
    <row r="481" spans="1:3" x14ac:dyDescent="0.45">
      <c r="A481" s="549"/>
      <c r="B481" s="549"/>
      <c r="C481" s="549"/>
    </row>
    <row r="482" spans="1:3" x14ac:dyDescent="0.45">
      <c r="A482" s="549"/>
      <c r="B482" s="549"/>
      <c r="C482" s="549"/>
    </row>
    <row r="483" spans="1:3" x14ac:dyDescent="0.45">
      <c r="A483" s="549"/>
      <c r="B483" s="549"/>
      <c r="C483" s="549"/>
    </row>
    <row r="484" spans="1:3" x14ac:dyDescent="0.45">
      <c r="A484" s="549"/>
      <c r="B484" s="549"/>
      <c r="C484" s="549"/>
    </row>
    <row r="485" spans="1:3" x14ac:dyDescent="0.45">
      <c r="A485" s="549"/>
      <c r="B485" s="549"/>
      <c r="C485" s="549"/>
    </row>
    <row r="486" spans="1:3" x14ac:dyDescent="0.45">
      <c r="A486" s="549"/>
      <c r="B486" s="549"/>
      <c r="C486" s="549"/>
    </row>
    <row r="487" spans="1:3" x14ac:dyDescent="0.45">
      <c r="A487" s="549"/>
      <c r="B487" s="549"/>
      <c r="C487" s="549"/>
    </row>
    <row r="488" spans="1:3" x14ac:dyDescent="0.45">
      <c r="A488" s="549"/>
      <c r="B488" s="549"/>
      <c r="C488" s="549"/>
    </row>
    <row r="489" spans="1:3" x14ac:dyDescent="0.45">
      <c r="A489" s="549"/>
      <c r="B489" s="549"/>
      <c r="C489" s="549"/>
    </row>
    <row r="490" spans="1:3" x14ac:dyDescent="0.45">
      <c r="A490" s="549"/>
      <c r="B490" s="549"/>
      <c r="C490" s="549"/>
    </row>
    <row r="491" spans="1:3" x14ac:dyDescent="0.45">
      <c r="A491" s="549"/>
      <c r="B491" s="549"/>
      <c r="C491" s="549"/>
    </row>
    <row r="492" spans="1:3" x14ac:dyDescent="0.45">
      <c r="A492" s="549"/>
      <c r="B492" s="549"/>
      <c r="C492" s="549"/>
    </row>
    <row r="493" spans="1:3" x14ac:dyDescent="0.45">
      <c r="A493" s="549"/>
      <c r="B493" s="549"/>
      <c r="C493" s="549"/>
    </row>
    <row r="494" spans="1:3" x14ac:dyDescent="0.45">
      <c r="A494" s="549"/>
      <c r="B494" s="549"/>
      <c r="C494" s="549"/>
    </row>
    <row r="495" spans="1:3" x14ac:dyDescent="0.45">
      <c r="A495" s="549"/>
      <c r="B495" s="549"/>
      <c r="C495" s="549"/>
    </row>
    <row r="496" spans="1:3" x14ac:dyDescent="0.45">
      <c r="A496" s="549"/>
      <c r="B496" s="549"/>
      <c r="C496" s="549"/>
    </row>
    <row r="497" spans="1:3" x14ac:dyDescent="0.45">
      <c r="A497" s="549"/>
      <c r="B497" s="549"/>
      <c r="C497" s="549"/>
    </row>
    <row r="498" spans="1:3" x14ac:dyDescent="0.45">
      <c r="A498" s="549"/>
      <c r="B498" s="549"/>
      <c r="C498" s="549"/>
    </row>
    <row r="499" spans="1:3" x14ac:dyDescent="0.45">
      <c r="A499" s="549"/>
      <c r="B499" s="549"/>
      <c r="C499" s="549"/>
    </row>
    <row r="500" spans="1:3" x14ac:dyDescent="0.45">
      <c r="A500" s="549"/>
      <c r="B500" s="549"/>
      <c r="C500" s="549"/>
    </row>
    <row r="501" spans="1:3" x14ac:dyDescent="0.45">
      <c r="A501" s="549"/>
      <c r="B501" s="549"/>
      <c r="C501" s="549"/>
    </row>
    <row r="502" spans="1:3" x14ac:dyDescent="0.45">
      <c r="A502" s="549"/>
      <c r="B502" s="549"/>
      <c r="C502" s="549"/>
    </row>
    <row r="503" spans="1:3" x14ac:dyDescent="0.45">
      <c r="A503" s="549"/>
      <c r="B503" s="549"/>
      <c r="C503" s="549"/>
    </row>
    <row r="504" spans="1:3" x14ac:dyDescent="0.45">
      <c r="A504" s="549"/>
      <c r="B504" s="549"/>
      <c r="C504" s="549"/>
    </row>
    <row r="505" spans="1:3" x14ac:dyDescent="0.45">
      <c r="A505" s="549"/>
      <c r="B505" s="549"/>
      <c r="C505" s="549"/>
    </row>
    <row r="506" spans="1:3" x14ac:dyDescent="0.45">
      <c r="A506" s="549"/>
      <c r="B506" s="549"/>
      <c r="C506" s="549"/>
    </row>
    <row r="507" spans="1:3" x14ac:dyDescent="0.45">
      <c r="A507" s="549"/>
      <c r="B507" s="549"/>
      <c r="C507" s="549"/>
    </row>
    <row r="508" spans="1:3" x14ac:dyDescent="0.45">
      <c r="A508" s="549"/>
      <c r="B508" s="549"/>
      <c r="C508" s="549"/>
    </row>
    <row r="509" spans="1:3" x14ac:dyDescent="0.45">
      <c r="A509" s="549"/>
      <c r="B509" s="549"/>
      <c r="C509" s="549"/>
    </row>
    <row r="510" spans="1:3" x14ac:dyDescent="0.45">
      <c r="A510" s="549"/>
      <c r="B510" s="549"/>
      <c r="C510" s="549"/>
    </row>
    <row r="511" spans="1:3" x14ac:dyDescent="0.45">
      <c r="A511" s="549"/>
      <c r="B511" s="549"/>
      <c r="C511" s="549"/>
    </row>
    <row r="512" spans="1:3" x14ac:dyDescent="0.45">
      <c r="A512" s="549"/>
      <c r="B512" s="549"/>
      <c r="C512" s="549"/>
    </row>
    <row r="513" spans="1:3" x14ac:dyDescent="0.45">
      <c r="A513" s="549"/>
      <c r="B513" s="549"/>
      <c r="C513" s="549"/>
    </row>
    <row r="514" spans="1:3" x14ac:dyDescent="0.45">
      <c r="A514" s="549"/>
      <c r="B514" s="549"/>
      <c r="C514" s="549"/>
    </row>
    <row r="515" spans="1:3" x14ac:dyDescent="0.45">
      <c r="A515" s="549"/>
      <c r="B515" s="549"/>
      <c r="C515" s="549"/>
    </row>
    <row r="516" spans="1:3" x14ac:dyDescent="0.45">
      <c r="A516" s="549"/>
      <c r="B516" s="549"/>
      <c r="C516" s="549"/>
    </row>
    <row r="517" spans="1:3" x14ac:dyDescent="0.45">
      <c r="A517" s="549"/>
      <c r="B517" s="549"/>
      <c r="C517" s="549"/>
    </row>
    <row r="518" spans="1:3" x14ac:dyDescent="0.45">
      <c r="A518" s="549"/>
      <c r="B518" s="549"/>
      <c r="C518" s="549"/>
    </row>
    <row r="519" spans="1:3" x14ac:dyDescent="0.45">
      <c r="A519" s="549"/>
      <c r="B519" s="549"/>
      <c r="C519" s="549"/>
    </row>
    <row r="520" spans="1:3" x14ac:dyDescent="0.45">
      <c r="A520" s="549"/>
      <c r="B520" s="549"/>
      <c r="C520" s="549"/>
    </row>
    <row r="521" spans="1:3" x14ac:dyDescent="0.45">
      <c r="A521" s="549"/>
      <c r="B521" s="549"/>
      <c r="C521" s="549"/>
    </row>
    <row r="522" spans="1:3" x14ac:dyDescent="0.45">
      <c r="A522" s="549"/>
      <c r="B522" s="549"/>
      <c r="C522" s="549"/>
    </row>
    <row r="523" spans="1:3" x14ac:dyDescent="0.45">
      <c r="A523" s="549"/>
      <c r="B523" s="549"/>
      <c r="C523" s="549"/>
    </row>
    <row r="524" spans="1:3" x14ac:dyDescent="0.45">
      <c r="A524" s="549"/>
      <c r="B524" s="549"/>
      <c r="C524" s="549"/>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9C9B4-87BD-4B91-AEC5-C838C679D9FE}">
  <sheetPr>
    <pageSetUpPr fitToPage="1"/>
  </sheetPr>
  <dimension ref="A1:S117"/>
  <sheetViews>
    <sheetView zoomScale="70" zoomScaleNormal="70" workbookViewId="0">
      <selection sqref="A1:H1"/>
    </sheetView>
  </sheetViews>
  <sheetFormatPr defaultColWidth="9.15234375" defaultRowHeight="15.9" x14ac:dyDescent="0.45"/>
  <cols>
    <col min="1" max="1" width="12.3828125" style="493" customWidth="1"/>
    <col min="2" max="2" width="22.84375" style="493" bestFit="1" customWidth="1"/>
    <col min="3" max="3" width="9" style="493" customWidth="1"/>
    <col min="4" max="4" width="16" style="493" bestFit="1" customWidth="1"/>
    <col min="5" max="5" width="7.3828125" style="493" bestFit="1" customWidth="1"/>
    <col min="6" max="6" width="14.15234375" style="493" bestFit="1" customWidth="1"/>
    <col min="7" max="7" width="9.53515625" style="493" bestFit="1" customWidth="1"/>
    <col min="8" max="8" width="15.3828125" style="493" bestFit="1" customWidth="1"/>
    <col min="9" max="9" width="5.84375" style="493" customWidth="1"/>
    <col min="10" max="10" width="13.3828125" style="493" bestFit="1" customWidth="1"/>
    <col min="11" max="11" width="9.3828125" style="493" bestFit="1" customWidth="1"/>
    <col min="12" max="12" width="19.3828125" style="493" customWidth="1"/>
    <col min="13" max="13" width="10.84375" style="493" bestFit="1" customWidth="1"/>
    <col min="14" max="14" width="9.3828125" style="493" bestFit="1" customWidth="1"/>
    <col min="15" max="16384" width="9.15234375" style="493"/>
  </cols>
  <sheetData>
    <row r="1" spans="1:19" x14ac:dyDescent="0.45">
      <c r="A1" s="491"/>
      <c r="B1" s="492"/>
      <c r="C1" s="492"/>
      <c r="D1" s="492"/>
      <c r="E1" s="492"/>
      <c r="F1" s="492"/>
      <c r="G1" s="492"/>
      <c r="H1" s="492"/>
      <c r="I1" s="492"/>
      <c r="J1" s="492"/>
      <c r="K1" s="492"/>
      <c r="L1" s="492"/>
      <c r="M1" s="492"/>
      <c r="N1" s="492"/>
      <c r="O1" s="492"/>
      <c r="P1" s="492"/>
      <c r="Q1" s="492"/>
      <c r="R1" s="492"/>
      <c r="S1" s="492"/>
    </row>
    <row r="3" spans="1:19" s="494" customFormat="1" x14ac:dyDescent="0.45">
      <c r="B3" s="495"/>
      <c r="C3" s="495"/>
      <c r="D3" s="951" t="s">
        <v>1537</v>
      </c>
      <c r="E3" s="952"/>
      <c r="F3" s="495"/>
      <c r="G3" s="951" t="s">
        <v>1538</v>
      </c>
      <c r="H3" s="952"/>
      <c r="I3" s="495"/>
      <c r="J3" s="495"/>
      <c r="K3" s="495"/>
      <c r="L3" s="495"/>
      <c r="M3" s="495"/>
      <c r="N3" s="495"/>
    </row>
    <row r="4" spans="1:19" s="494" customFormat="1" x14ac:dyDescent="0.45">
      <c r="B4" s="951" t="s">
        <v>1539</v>
      </c>
      <c r="C4" s="495"/>
      <c r="D4" s="952"/>
      <c r="E4" s="952"/>
      <c r="F4" s="495"/>
      <c r="G4" s="952"/>
      <c r="H4" s="952"/>
      <c r="I4" s="495"/>
      <c r="J4" s="951" t="s">
        <v>1540</v>
      </c>
      <c r="K4" s="952"/>
      <c r="L4" s="495"/>
      <c r="M4" s="951" t="s">
        <v>1541</v>
      </c>
      <c r="N4" s="952"/>
    </row>
    <row r="5" spans="1:19" s="494" customFormat="1" x14ac:dyDescent="0.45">
      <c r="B5" s="953"/>
      <c r="C5" s="495"/>
      <c r="D5" s="953"/>
      <c r="E5" s="953"/>
      <c r="F5" s="495"/>
      <c r="G5" s="953"/>
      <c r="H5" s="953"/>
      <c r="I5" s="495"/>
      <c r="J5" s="953"/>
      <c r="K5" s="953"/>
      <c r="L5" s="495"/>
      <c r="M5" s="953"/>
      <c r="N5" s="953"/>
    </row>
    <row r="6" spans="1:19" s="494" customFormat="1" ht="16.3" thickBot="1" x14ac:dyDescent="0.5">
      <c r="B6" s="496"/>
      <c r="C6" s="496"/>
      <c r="D6" s="496"/>
      <c r="E6" s="496"/>
      <c r="F6" s="496"/>
      <c r="G6" s="496"/>
      <c r="H6" s="496"/>
      <c r="I6" s="496"/>
      <c r="J6" s="496"/>
      <c r="K6" s="496"/>
      <c r="L6" s="496"/>
      <c r="M6" s="496"/>
      <c r="N6" s="496"/>
    </row>
    <row r="7" spans="1:19" x14ac:dyDescent="0.45">
      <c r="A7" s="497"/>
      <c r="B7" s="498">
        <v>45121</v>
      </c>
      <c r="C7" s="496"/>
      <c r="D7" s="499">
        <v>0.55000000000000004</v>
      </c>
      <c r="E7" s="500"/>
      <c r="F7" s="501"/>
      <c r="G7" s="502">
        <f>ROUND(((1+D7)^0.25)-1,4)</f>
        <v>0.1158</v>
      </c>
      <c r="H7" s="503"/>
      <c r="I7" s="503"/>
      <c r="J7" s="504">
        <v>2.1999999999999999E-2</v>
      </c>
      <c r="K7" s="505"/>
      <c r="L7" s="505"/>
      <c r="M7" s="506">
        <f t="shared" ref="M7:M19" si="0">J7+G7</f>
        <v>0.13780000000000001</v>
      </c>
      <c r="N7" s="507"/>
      <c r="O7" s="492"/>
      <c r="P7" s="492"/>
      <c r="Q7" s="492"/>
      <c r="R7" s="492"/>
      <c r="S7" s="492"/>
    </row>
    <row r="8" spans="1:19" x14ac:dyDescent="0.45">
      <c r="A8" s="508"/>
      <c r="B8" s="498">
        <v>45114</v>
      </c>
      <c r="C8" s="496"/>
      <c r="D8" s="509">
        <v>0.65</v>
      </c>
      <c r="E8" s="500"/>
      <c r="F8" s="501"/>
      <c r="G8" s="502">
        <f t="shared" ref="G8:G19" si="1">ROUND(((1+D8)^0.25)-1,4)</f>
        <v>0.13339999999999999</v>
      </c>
      <c r="H8" s="503"/>
      <c r="I8" s="503"/>
      <c r="J8" s="510">
        <v>2.3E-2</v>
      </c>
      <c r="K8" s="496"/>
      <c r="L8" s="496"/>
      <c r="M8" s="506">
        <f t="shared" si="0"/>
        <v>0.15639999999999998</v>
      </c>
      <c r="N8" s="507"/>
      <c r="O8" s="511"/>
      <c r="P8" s="492"/>
      <c r="Q8" s="511"/>
      <c r="R8" s="492"/>
      <c r="S8" s="512"/>
    </row>
    <row r="9" spans="1:19" x14ac:dyDescent="0.45">
      <c r="A9" s="508"/>
      <c r="B9" s="498">
        <v>45107</v>
      </c>
      <c r="C9" s="496"/>
      <c r="D9" s="509">
        <v>0.6</v>
      </c>
      <c r="E9" s="500"/>
      <c r="F9" s="501"/>
      <c r="G9" s="502">
        <f t="shared" si="1"/>
        <v>0.12470000000000001</v>
      </c>
      <c r="H9" s="503"/>
      <c r="I9" s="503"/>
      <c r="J9" s="510">
        <v>2.3E-2</v>
      </c>
      <c r="K9" s="496"/>
      <c r="L9" s="496"/>
      <c r="M9" s="506">
        <f t="shared" si="0"/>
        <v>0.1477</v>
      </c>
      <c r="N9" s="507"/>
      <c r="O9" s="511"/>
      <c r="P9" s="492"/>
      <c r="Q9" s="511"/>
      <c r="R9" s="492"/>
      <c r="S9" s="512"/>
    </row>
    <row r="10" spans="1:19" x14ac:dyDescent="0.45">
      <c r="A10" s="508"/>
      <c r="B10" s="498">
        <v>45100</v>
      </c>
      <c r="C10" s="496"/>
      <c r="D10" s="509">
        <v>0.6</v>
      </c>
      <c r="E10" s="500"/>
      <c r="F10" s="501"/>
      <c r="G10" s="502">
        <f t="shared" si="1"/>
        <v>0.12470000000000001</v>
      </c>
      <c r="H10" s="503"/>
      <c r="I10" s="503"/>
      <c r="J10" s="510">
        <v>2.3E-2</v>
      </c>
      <c r="K10" s="496"/>
      <c r="L10" s="496"/>
      <c r="M10" s="506">
        <f t="shared" si="0"/>
        <v>0.1477</v>
      </c>
      <c r="N10" s="507"/>
      <c r="O10" s="511"/>
      <c r="P10" s="492"/>
      <c r="Q10" s="511"/>
      <c r="R10" s="492"/>
      <c r="S10" s="512"/>
    </row>
    <row r="11" spans="1:19" x14ac:dyDescent="0.45">
      <c r="A11" s="508"/>
      <c r="B11" s="498">
        <v>45093</v>
      </c>
      <c r="C11" s="496"/>
      <c r="D11" s="509">
        <v>0.65</v>
      </c>
      <c r="E11" s="500"/>
      <c r="F11" s="501"/>
      <c r="G11" s="502">
        <f t="shared" si="1"/>
        <v>0.13339999999999999</v>
      </c>
      <c r="H11" s="503"/>
      <c r="I11" s="503"/>
      <c r="J11" s="510">
        <v>2.4E-2</v>
      </c>
      <c r="K11" s="496"/>
      <c r="L11" s="496"/>
      <c r="M11" s="506">
        <f t="shared" si="0"/>
        <v>0.15739999999999998</v>
      </c>
      <c r="N11" s="506"/>
      <c r="O11" s="492"/>
      <c r="P11" s="492"/>
      <c r="Q11" s="492"/>
      <c r="R11" s="492"/>
      <c r="S11" s="492"/>
    </row>
    <row r="12" spans="1:19" x14ac:dyDescent="0.45">
      <c r="A12" s="508"/>
      <c r="B12" s="498">
        <v>45086</v>
      </c>
      <c r="C12" s="496"/>
      <c r="D12" s="509">
        <v>0.65</v>
      </c>
      <c r="E12" s="500"/>
      <c r="F12" s="501"/>
      <c r="G12" s="502">
        <f t="shared" si="1"/>
        <v>0.13339999999999999</v>
      </c>
      <c r="H12" s="503"/>
      <c r="I12" s="503"/>
      <c r="J12" s="510">
        <v>2.4E-2</v>
      </c>
      <c r="K12" s="506"/>
      <c r="L12" s="496"/>
      <c r="M12" s="506">
        <f t="shared" si="0"/>
        <v>0.15739999999999998</v>
      </c>
      <c r="N12" s="507"/>
      <c r="O12" s="492"/>
      <c r="P12" s="492"/>
      <c r="Q12" s="492"/>
      <c r="R12" s="492"/>
      <c r="S12" s="492"/>
    </row>
    <row r="13" spans="1:19" x14ac:dyDescent="0.45">
      <c r="A13" s="508"/>
      <c r="B13" s="498">
        <v>45079</v>
      </c>
      <c r="C13" s="496"/>
      <c r="D13" s="509">
        <v>0.65</v>
      </c>
      <c r="E13" s="500"/>
      <c r="F13" s="501"/>
      <c r="G13" s="502">
        <f t="shared" si="1"/>
        <v>0.13339999999999999</v>
      </c>
      <c r="H13" s="503"/>
      <c r="I13" s="503"/>
      <c r="J13" s="510">
        <v>2.3E-2</v>
      </c>
      <c r="K13" s="506"/>
      <c r="L13" s="496"/>
      <c r="M13" s="506">
        <f t="shared" si="0"/>
        <v>0.15639999999999998</v>
      </c>
      <c r="N13" s="507"/>
      <c r="O13" s="492"/>
      <c r="P13" s="492"/>
      <c r="Q13" s="492"/>
      <c r="R13" s="492"/>
      <c r="S13" s="492"/>
    </row>
    <row r="14" spans="1:19" x14ac:dyDescent="0.45">
      <c r="A14" s="508"/>
      <c r="B14" s="498">
        <v>45072</v>
      </c>
      <c r="C14" s="496"/>
      <c r="D14" s="509">
        <v>0.65</v>
      </c>
      <c r="E14" s="500"/>
      <c r="F14" s="501"/>
      <c r="G14" s="502">
        <f t="shared" si="1"/>
        <v>0.13339999999999999</v>
      </c>
      <c r="H14" s="503"/>
      <c r="I14" s="503"/>
      <c r="J14" s="510">
        <v>2.4E-2</v>
      </c>
      <c r="K14" s="506"/>
      <c r="L14" s="496"/>
      <c r="M14" s="506">
        <f t="shared" si="0"/>
        <v>0.15739999999999998</v>
      </c>
      <c r="N14" s="507"/>
      <c r="O14" s="492"/>
      <c r="P14" s="492"/>
      <c r="Q14" s="492"/>
      <c r="R14" s="492"/>
      <c r="S14" s="492"/>
    </row>
    <row r="15" spans="1:19" x14ac:dyDescent="0.45">
      <c r="A15" s="508"/>
      <c r="B15" s="498">
        <v>45065</v>
      </c>
      <c r="C15" s="496"/>
      <c r="D15" s="509">
        <v>0.65</v>
      </c>
      <c r="E15" s="500"/>
      <c r="F15" s="501"/>
      <c r="G15" s="502">
        <f t="shared" si="1"/>
        <v>0.13339999999999999</v>
      </c>
      <c r="H15" s="503"/>
      <c r="I15" s="503"/>
      <c r="J15" s="510">
        <v>2.4E-2</v>
      </c>
      <c r="K15" s="506"/>
      <c r="L15" s="496"/>
      <c r="M15" s="506">
        <f t="shared" si="0"/>
        <v>0.15739999999999998</v>
      </c>
      <c r="N15" s="507"/>
    </row>
    <row r="16" spans="1:19" x14ac:dyDescent="0.45">
      <c r="A16" s="508"/>
      <c r="B16" s="498">
        <v>45058</v>
      </c>
      <c r="C16" s="496"/>
      <c r="D16" s="509">
        <v>0.65</v>
      </c>
      <c r="E16" s="500"/>
      <c r="F16" s="501"/>
      <c r="G16" s="502">
        <f t="shared" si="1"/>
        <v>0.13339999999999999</v>
      </c>
      <c r="H16" s="503"/>
      <c r="I16" s="503"/>
      <c r="J16" s="510">
        <v>2.3E-2</v>
      </c>
      <c r="K16" s="506"/>
      <c r="L16" s="496"/>
      <c r="M16" s="506">
        <f t="shared" si="0"/>
        <v>0.15639999999999998</v>
      </c>
      <c r="N16" s="507"/>
    </row>
    <row r="17" spans="1:15" x14ac:dyDescent="0.45">
      <c r="A17" s="508"/>
      <c r="B17" s="498">
        <v>45051</v>
      </c>
      <c r="C17" s="496"/>
      <c r="D17" s="509">
        <v>0.65</v>
      </c>
      <c r="E17" s="500"/>
      <c r="F17" s="501"/>
      <c r="G17" s="502">
        <f t="shared" si="1"/>
        <v>0.13339999999999999</v>
      </c>
      <c r="H17" s="503"/>
      <c r="I17" s="503"/>
      <c r="J17" s="510">
        <v>2.3E-2</v>
      </c>
      <c r="K17" s="506"/>
      <c r="L17" s="496"/>
      <c r="M17" s="506">
        <f t="shared" si="0"/>
        <v>0.15639999999999998</v>
      </c>
      <c r="N17" s="507"/>
    </row>
    <row r="18" spans="1:15" x14ac:dyDescent="0.45">
      <c r="A18" s="508"/>
      <c r="B18" s="498">
        <v>45044</v>
      </c>
      <c r="C18" s="496"/>
      <c r="D18" s="509">
        <v>0.6</v>
      </c>
      <c r="E18" s="500"/>
      <c r="F18" s="501"/>
      <c r="G18" s="502">
        <f t="shared" si="1"/>
        <v>0.12470000000000001</v>
      </c>
      <c r="H18" s="503"/>
      <c r="I18" s="503"/>
      <c r="J18" s="510">
        <v>2.3E-2</v>
      </c>
      <c r="K18" s="506"/>
      <c r="L18" s="496"/>
      <c r="M18" s="506">
        <f t="shared" si="0"/>
        <v>0.1477</v>
      </c>
      <c r="N18" s="507"/>
    </row>
    <row r="19" spans="1:15" x14ac:dyDescent="0.45">
      <c r="A19" s="508"/>
      <c r="B19" s="498">
        <v>45037</v>
      </c>
      <c r="C19" s="496"/>
      <c r="D19" s="509">
        <v>0.65</v>
      </c>
      <c r="E19" s="500"/>
      <c r="F19" s="501"/>
      <c r="G19" s="502">
        <f t="shared" si="1"/>
        <v>0.13339999999999999</v>
      </c>
      <c r="H19" s="503"/>
      <c r="I19" s="503"/>
      <c r="J19" s="510">
        <v>2.3E-2</v>
      </c>
      <c r="K19" s="506"/>
      <c r="L19" s="496"/>
      <c r="M19" s="506">
        <f t="shared" si="0"/>
        <v>0.15639999999999998</v>
      </c>
      <c r="N19" s="507"/>
    </row>
    <row r="20" spans="1:15" x14ac:dyDescent="0.45">
      <c r="B20" s="513"/>
      <c r="C20" s="496"/>
      <c r="D20" s="514"/>
      <c r="E20" s="496"/>
      <c r="F20" s="496"/>
      <c r="G20" s="515"/>
      <c r="H20" s="496"/>
      <c r="I20" s="496"/>
      <c r="J20" s="515"/>
      <c r="K20" s="506"/>
      <c r="L20" s="496"/>
      <c r="M20" s="506"/>
      <c r="N20" s="516"/>
    </row>
    <row r="21" spans="1:15" x14ac:dyDescent="0.45">
      <c r="B21" s="517"/>
      <c r="C21" s="496"/>
      <c r="D21" s="514"/>
      <c r="E21" s="496"/>
      <c r="F21" s="496"/>
      <c r="G21" s="496"/>
      <c r="H21" s="496"/>
      <c r="I21" s="496"/>
      <c r="J21" s="515"/>
      <c r="K21" s="496"/>
      <c r="L21" s="496"/>
      <c r="M21" s="515"/>
      <c r="N21" s="496"/>
    </row>
    <row r="22" spans="1:15" x14ac:dyDescent="0.45">
      <c r="B22" s="517" t="s">
        <v>721</v>
      </c>
      <c r="C22" s="496"/>
      <c r="D22" s="514">
        <f>ROUND(AVERAGE(D7:D19),2)</f>
        <v>0.63</v>
      </c>
      <c r="E22" s="496"/>
      <c r="F22" s="496"/>
      <c r="G22" s="518">
        <f>ROUND(((1+D22)^0.25)-1,4)</f>
        <v>0.12989999999999999</v>
      </c>
      <c r="H22" s="506"/>
      <c r="I22" s="506"/>
      <c r="J22" s="519">
        <f>ROUND(AVERAGE(J7:J19),4)</f>
        <v>2.3199999999999998E-2</v>
      </c>
      <c r="K22" s="506"/>
      <c r="L22" s="506"/>
      <c r="M22" s="506">
        <f>J22+G22</f>
        <v>0.15309999999999999</v>
      </c>
    </row>
    <row r="25" spans="1:15" x14ac:dyDescent="0.45">
      <c r="B25" s="954" t="s">
        <v>1542</v>
      </c>
      <c r="C25" s="954"/>
      <c r="D25" s="954"/>
      <c r="E25" s="954"/>
      <c r="F25" s="954"/>
      <c r="G25" s="954"/>
      <c r="H25" s="954"/>
      <c r="I25" s="954"/>
      <c r="J25" s="954"/>
      <c r="K25" s="492"/>
      <c r="L25" s="492"/>
      <c r="M25" s="492"/>
      <c r="N25" s="492"/>
    </row>
    <row r="26" spans="1:15" x14ac:dyDescent="0.45">
      <c r="B26" s="955" t="s">
        <v>1543</v>
      </c>
      <c r="C26" s="955"/>
      <c r="D26" s="955"/>
      <c r="E26" s="955"/>
      <c r="F26" s="955"/>
      <c r="G26" s="955"/>
      <c r="H26" s="955"/>
      <c r="I26" s="955"/>
      <c r="J26" s="955"/>
      <c r="K26" s="492"/>
      <c r="L26" s="492"/>
      <c r="M26" s="492"/>
      <c r="N26" s="492"/>
    </row>
    <row r="27" spans="1:15" ht="16.3" thickBot="1" x14ac:dyDescent="0.5">
      <c r="M27" s="493" t="s">
        <v>1544</v>
      </c>
      <c r="O27" s="493" t="s">
        <v>1545</v>
      </c>
    </row>
    <row r="28" spans="1:15" x14ac:dyDescent="0.45">
      <c r="B28" s="520" t="s">
        <v>1546</v>
      </c>
      <c r="C28" s="492"/>
      <c r="D28" s="521"/>
      <c r="E28" s="492"/>
      <c r="F28" s="522">
        <v>3.9</v>
      </c>
      <c r="G28" s="521" t="s">
        <v>1197</v>
      </c>
      <c r="H28" s="492"/>
      <c r="I28" s="492"/>
      <c r="J28" s="492"/>
      <c r="K28" s="492" t="str">
        <f>B28</f>
        <v>Third Quarter 2023</v>
      </c>
      <c r="L28" s="492"/>
      <c r="M28" s="523">
        <v>4.8</v>
      </c>
      <c r="N28" s="492"/>
      <c r="O28" s="524">
        <v>5.9</v>
      </c>
    </row>
    <row r="29" spans="1:15" x14ac:dyDescent="0.45">
      <c r="B29" s="520" t="s">
        <v>1547</v>
      </c>
      <c r="C29" s="492"/>
      <c r="D29" s="521"/>
      <c r="E29" s="492"/>
      <c r="F29" s="525">
        <v>3.9</v>
      </c>
      <c r="G29" s="521"/>
      <c r="H29" s="492"/>
      <c r="I29" s="492"/>
      <c r="J29" s="492"/>
      <c r="K29" s="492" t="str">
        <f t="shared" ref="K29:K35" si="2">B29</f>
        <v>Fourth Quarter 2023</v>
      </c>
      <c r="L29" s="492"/>
      <c r="M29" s="526">
        <v>4.9000000000000004</v>
      </c>
      <c r="N29" s="492"/>
      <c r="O29" s="527">
        <v>5.9</v>
      </c>
    </row>
    <row r="30" spans="1:15" x14ac:dyDescent="0.45">
      <c r="B30" s="520" t="s">
        <v>1548</v>
      </c>
      <c r="C30" s="492"/>
      <c r="D30" s="521"/>
      <c r="E30" s="492"/>
      <c r="F30" s="525">
        <v>3.9</v>
      </c>
      <c r="G30" s="521"/>
      <c r="H30" s="492"/>
      <c r="I30" s="492"/>
      <c r="J30" s="492"/>
      <c r="K30" s="492" t="str">
        <f t="shared" si="2"/>
        <v>First Quarter 2024</v>
      </c>
      <c r="L30" s="492"/>
      <c r="M30" s="526">
        <v>4.7</v>
      </c>
      <c r="N30" s="492"/>
      <c r="O30" s="527">
        <v>5.7</v>
      </c>
    </row>
    <row r="31" spans="1:15" x14ac:dyDescent="0.45">
      <c r="B31" s="520" t="s">
        <v>1549</v>
      </c>
      <c r="C31" s="492"/>
      <c r="D31" s="521"/>
      <c r="E31" s="492"/>
      <c r="F31" s="525">
        <v>3.8</v>
      </c>
      <c r="G31" s="521"/>
      <c r="I31" s="492"/>
      <c r="J31" s="492"/>
      <c r="K31" s="492" t="str">
        <f t="shared" si="2"/>
        <v>Second Quarter 2024</v>
      </c>
      <c r="L31" s="492"/>
      <c r="M31" s="526">
        <v>4.5999999999999996</v>
      </c>
      <c r="N31" s="492"/>
      <c r="O31" s="527">
        <v>5.6</v>
      </c>
    </row>
    <row r="32" spans="1:15" x14ac:dyDescent="0.45">
      <c r="B32" s="520" t="s">
        <v>1550</v>
      </c>
      <c r="C32" s="492"/>
      <c r="D32" s="521"/>
      <c r="E32" s="492"/>
      <c r="F32" s="525">
        <v>3.8</v>
      </c>
      <c r="G32" s="521"/>
      <c r="H32" s="494"/>
      <c r="I32" s="492"/>
      <c r="J32" s="492"/>
      <c r="K32" s="492" t="str">
        <f t="shared" si="2"/>
        <v>Third Quarter 2024</v>
      </c>
      <c r="L32" s="492"/>
      <c r="M32" s="526">
        <v>4.5999999999999996</v>
      </c>
      <c r="N32" s="492"/>
      <c r="O32" s="527">
        <v>5.6</v>
      </c>
    </row>
    <row r="33" spans="2:15" x14ac:dyDescent="0.45">
      <c r="B33" s="520" t="s">
        <v>1551</v>
      </c>
      <c r="C33" s="492"/>
      <c r="D33" s="521"/>
      <c r="E33" s="492"/>
      <c r="F33" s="525">
        <v>3.8</v>
      </c>
      <c r="G33" s="521"/>
      <c r="H33" s="494" t="s">
        <v>1552</v>
      </c>
      <c r="I33" s="492"/>
      <c r="J33" s="492"/>
      <c r="K33" s="492" t="str">
        <f t="shared" si="2"/>
        <v>Fourth Quarter 2024</v>
      </c>
      <c r="L33" s="492"/>
      <c r="M33" s="526">
        <v>4.5999999999999996</v>
      </c>
      <c r="N33" s="492"/>
      <c r="O33" s="527">
        <v>5.5</v>
      </c>
    </row>
    <row r="34" spans="2:15" x14ac:dyDescent="0.45">
      <c r="B34" s="520" t="s">
        <v>1553</v>
      </c>
      <c r="C34" s="492"/>
      <c r="D34" s="528"/>
      <c r="E34" s="492"/>
      <c r="F34" s="525">
        <v>3.8</v>
      </c>
      <c r="G34" s="521"/>
      <c r="H34" s="494" t="s">
        <v>10</v>
      </c>
      <c r="I34" s="492"/>
      <c r="J34" s="492"/>
      <c r="K34" s="492" t="str">
        <f t="shared" si="2"/>
        <v>2025-2029</v>
      </c>
      <c r="L34" s="492"/>
      <c r="M34" s="526">
        <v>4.8</v>
      </c>
      <c r="N34" s="492"/>
      <c r="O34" s="527">
        <v>5.7</v>
      </c>
    </row>
    <row r="35" spans="2:15" ht="16.3" thickBot="1" x14ac:dyDescent="0.5">
      <c r="B35" s="529" t="s">
        <v>1554</v>
      </c>
      <c r="C35" s="492"/>
      <c r="D35" s="528"/>
      <c r="E35" s="492"/>
      <c r="F35" s="530">
        <v>3.9</v>
      </c>
      <c r="G35" s="521"/>
      <c r="H35" s="531" t="s">
        <v>1555</v>
      </c>
      <c r="I35" s="492"/>
      <c r="K35" s="492" t="str">
        <f t="shared" si="2"/>
        <v>2030-2034</v>
      </c>
      <c r="M35" s="532">
        <v>5</v>
      </c>
      <c r="O35" s="532">
        <v>5.9</v>
      </c>
    </row>
    <row r="36" spans="2:15" x14ac:dyDescent="0.45">
      <c r="B36" s="492"/>
      <c r="C36" s="492"/>
      <c r="D36" s="528"/>
      <c r="E36" s="492"/>
      <c r="F36" s="533"/>
      <c r="G36" s="521"/>
      <c r="H36" s="492"/>
      <c r="I36" s="492"/>
    </row>
    <row r="37" spans="2:15" ht="16.3" thickBot="1" x14ac:dyDescent="0.5">
      <c r="B37" s="534" t="s">
        <v>721</v>
      </c>
      <c r="C37" s="492"/>
      <c r="D37" s="528"/>
      <c r="E37" s="492"/>
      <c r="F37" s="535">
        <f>ROUND(AVERAGE(F28:F35),2)</f>
        <v>3.85</v>
      </c>
      <c r="G37" s="521" t="s">
        <v>1197</v>
      </c>
      <c r="H37" s="536">
        <f>($M$22*100)-$F$37</f>
        <v>11.459999999999999</v>
      </c>
      <c r="I37" s="521" t="s">
        <v>1197</v>
      </c>
      <c r="M37" s="537">
        <f>ROUND(AVERAGE(M28:M35),2)</f>
        <v>4.75</v>
      </c>
      <c r="O37" s="493">
        <f>ROUND(AVERAGE(O28:O35),2)</f>
        <v>5.73</v>
      </c>
    </row>
    <row r="38" spans="2:15" ht="16.3" thickTop="1" x14ac:dyDescent="0.45">
      <c r="B38" s="534"/>
      <c r="C38" s="492"/>
      <c r="D38" s="528"/>
      <c r="E38" s="492"/>
      <c r="F38" s="538"/>
      <c r="G38" s="521"/>
      <c r="H38" s="536"/>
      <c r="I38" s="521"/>
    </row>
    <row r="39" spans="2:15" x14ac:dyDescent="0.45">
      <c r="B39" s="534"/>
      <c r="C39" s="492"/>
      <c r="D39" s="528"/>
      <c r="E39" s="492"/>
      <c r="F39" s="538"/>
      <c r="G39" s="521"/>
      <c r="H39" s="536"/>
      <c r="I39" s="521"/>
      <c r="L39" s="376"/>
    </row>
    <row r="40" spans="2:15" x14ac:dyDescent="0.45">
      <c r="B40" s="493" t="s">
        <v>1556</v>
      </c>
      <c r="C40" s="492"/>
      <c r="D40" s="528"/>
      <c r="E40" s="492"/>
      <c r="F40" s="538"/>
      <c r="G40" s="521"/>
      <c r="H40" s="536"/>
      <c r="I40" s="521"/>
      <c r="L40" s="376"/>
    </row>
    <row r="41" spans="2:15" x14ac:dyDescent="0.45">
      <c r="B41" s="493" t="s">
        <v>1557</v>
      </c>
      <c r="C41" s="492"/>
      <c r="D41" s="528"/>
      <c r="E41" s="492"/>
      <c r="F41" s="538"/>
      <c r="G41" s="521"/>
      <c r="H41" s="539">
        <f>('MRP WP3'!$H$504*100)-'MRP WP1'!F37</f>
        <v>10.28811086577228</v>
      </c>
      <c r="I41" s="521"/>
      <c r="L41" s="376"/>
      <c r="M41" s="521"/>
    </row>
    <row r="42" spans="2:15" x14ac:dyDescent="0.45">
      <c r="C42" s="492"/>
      <c r="D42" s="528"/>
      <c r="E42" s="492"/>
      <c r="F42" s="538"/>
      <c r="G42" s="521"/>
      <c r="H42" s="536"/>
      <c r="I42" s="521"/>
      <c r="L42" s="376"/>
      <c r="M42" s="521"/>
    </row>
    <row r="43" spans="2:15" ht="16.3" thickBot="1" x14ac:dyDescent="0.5">
      <c r="B43" s="540" t="s">
        <v>1558</v>
      </c>
      <c r="C43" s="492"/>
      <c r="D43" s="528"/>
      <c r="E43" s="492"/>
      <c r="F43" s="538"/>
      <c r="G43" s="521"/>
      <c r="H43" s="541">
        <f>AVERAGE(H37,H41)</f>
        <v>10.87405543288614</v>
      </c>
      <c r="I43" s="521"/>
      <c r="L43" s="376"/>
      <c r="M43" s="521"/>
    </row>
    <row r="44" spans="2:15" ht="16.3" thickTop="1" x14ac:dyDescent="0.45">
      <c r="B44" s="492"/>
      <c r="C44" s="492"/>
      <c r="D44" s="492"/>
      <c r="E44" s="492"/>
      <c r="F44" s="492"/>
      <c r="G44" s="521"/>
      <c r="H44" s="542"/>
      <c r="I44" s="521"/>
      <c r="L44" s="376"/>
      <c r="M44" s="521"/>
    </row>
    <row r="45" spans="2:15" x14ac:dyDescent="0.45">
      <c r="B45" s="492" t="s">
        <v>1559</v>
      </c>
      <c r="C45" s="492"/>
      <c r="D45" s="492"/>
      <c r="E45" s="492"/>
      <c r="F45" s="492"/>
      <c r="G45" s="521"/>
      <c r="H45" s="542"/>
      <c r="I45" s="521"/>
      <c r="L45" s="376"/>
      <c r="M45" s="521"/>
    </row>
    <row r="46" spans="2:15" x14ac:dyDescent="0.45">
      <c r="B46" s="492"/>
      <c r="C46" s="492"/>
      <c r="D46" s="492"/>
      <c r="E46" s="492"/>
      <c r="F46" s="492"/>
      <c r="G46" s="521"/>
      <c r="H46" s="542"/>
      <c r="I46" s="521"/>
      <c r="L46" s="376"/>
      <c r="M46" s="376"/>
    </row>
    <row r="47" spans="2:15" x14ac:dyDescent="0.45">
      <c r="B47" s="493" t="s">
        <v>1560</v>
      </c>
      <c r="C47" s="492"/>
      <c r="D47" s="492"/>
      <c r="E47" s="492"/>
      <c r="F47" s="492"/>
      <c r="G47" s="521"/>
      <c r="H47" s="542"/>
      <c r="I47" s="521"/>
      <c r="L47" s="376"/>
      <c r="M47" s="376"/>
    </row>
    <row r="48" spans="2:15" x14ac:dyDescent="0.45">
      <c r="B48" s="521" t="s">
        <v>1561</v>
      </c>
      <c r="C48" s="492"/>
      <c r="D48" s="492"/>
      <c r="E48" s="492"/>
      <c r="F48" s="492"/>
      <c r="G48" s="521"/>
      <c r="H48" s="542">
        <f>Input!F22</f>
        <v>12.03</v>
      </c>
      <c r="I48" s="521" t="s">
        <v>1197</v>
      </c>
      <c r="K48" s="542"/>
      <c r="L48" s="376"/>
      <c r="M48" s="376"/>
    </row>
    <row r="49" spans="2:13" x14ac:dyDescent="0.45">
      <c r="B49" s="493" t="s">
        <v>1562</v>
      </c>
      <c r="C49" s="492"/>
      <c r="D49" s="492"/>
      <c r="E49" s="492"/>
      <c r="F49" s="492"/>
      <c r="G49" s="521"/>
      <c r="H49" s="542"/>
      <c r="I49" s="521"/>
      <c r="L49" s="376"/>
      <c r="M49" s="376"/>
    </row>
    <row r="50" spans="2:13" x14ac:dyDescent="0.45">
      <c r="B50" s="521" t="s">
        <v>1563</v>
      </c>
      <c r="C50" s="492"/>
      <c r="D50" s="492"/>
      <c r="E50" s="492"/>
      <c r="F50" s="492"/>
      <c r="G50" s="521"/>
      <c r="H50" s="543">
        <f>Input!F23</f>
        <v>5</v>
      </c>
      <c r="I50" s="521"/>
      <c r="K50" s="542"/>
      <c r="L50" s="376"/>
      <c r="M50" s="376"/>
    </row>
    <row r="51" spans="2:13" x14ac:dyDescent="0.45">
      <c r="B51" s="492"/>
      <c r="C51" s="492"/>
      <c r="D51" s="492"/>
      <c r="E51" s="492"/>
      <c r="F51" s="492"/>
      <c r="G51" s="521"/>
      <c r="H51" s="542"/>
      <c r="I51" s="521"/>
      <c r="L51" s="376"/>
      <c r="M51" s="376"/>
    </row>
    <row r="52" spans="2:13" ht="16.3" thickBot="1" x14ac:dyDescent="0.5">
      <c r="B52" s="493" t="s">
        <v>1564</v>
      </c>
      <c r="C52" s="492"/>
      <c r="D52" s="492"/>
      <c r="E52" s="492"/>
      <c r="F52" s="492"/>
      <c r="G52" s="492"/>
      <c r="H52" s="544">
        <f>H48-H50</f>
        <v>7.0299999999999994</v>
      </c>
      <c r="I52" s="521" t="s">
        <v>1197</v>
      </c>
      <c r="K52" s="542"/>
      <c r="L52" s="376"/>
      <c r="M52" s="376"/>
    </row>
    <row r="53" spans="2:13" ht="16.3" thickTop="1" x14ac:dyDescent="0.45">
      <c r="C53" s="492"/>
      <c r="D53" s="492"/>
      <c r="E53" s="492"/>
      <c r="F53" s="492"/>
      <c r="G53" s="492"/>
      <c r="H53" s="542"/>
      <c r="I53" s="521"/>
      <c r="L53" s="376"/>
      <c r="M53" s="376"/>
    </row>
    <row r="54" spans="2:13" x14ac:dyDescent="0.45">
      <c r="B54" s="493" t="s">
        <v>1565</v>
      </c>
      <c r="C54" s="492"/>
      <c r="D54" s="492"/>
      <c r="E54" s="492"/>
      <c r="F54" s="492"/>
      <c r="G54" s="492"/>
      <c r="H54" s="542">
        <f>'MRP ERP WP'!AB42*100</f>
        <v>8.5912938447414131</v>
      </c>
      <c r="I54" s="521"/>
      <c r="L54" s="376"/>
      <c r="M54" s="376"/>
    </row>
    <row r="55" spans="2:13" x14ac:dyDescent="0.45">
      <c r="C55" s="492"/>
      <c r="D55" s="492"/>
      <c r="E55" s="492"/>
      <c r="F55" s="492"/>
      <c r="G55" s="492"/>
      <c r="H55" s="542"/>
      <c r="I55" s="521"/>
      <c r="L55" s="376"/>
      <c r="M55" s="376"/>
    </row>
    <row r="56" spans="2:13" ht="16.3" thickBot="1" x14ac:dyDescent="0.5">
      <c r="B56" s="493" t="s">
        <v>1566</v>
      </c>
      <c r="C56" s="492"/>
      <c r="D56" s="492"/>
      <c r="E56" s="492"/>
      <c r="F56" s="492"/>
      <c r="G56" s="492"/>
      <c r="H56" s="544">
        <f>AVERAGE(H54,H52)</f>
        <v>7.8106469223707062</v>
      </c>
      <c r="I56" s="521"/>
      <c r="L56" s="376"/>
      <c r="M56" s="376"/>
    </row>
    <row r="57" spans="2:13" ht="16.3" thickTop="1" x14ac:dyDescent="0.45">
      <c r="C57" s="492"/>
      <c r="D57" s="492"/>
      <c r="E57" s="492"/>
      <c r="F57" s="492"/>
      <c r="G57" s="492"/>
      <c r="H57" s="542"/>
      <c r="I57" s="521"/>
      <c r="K57" s="542"/>
      <c r="L57" s="376"/>
      <c r="M57" s="376"/>
    </row>
    <row r="58" spans="2:13" x14ac:dyDescent="0.45">
      <c r="B58" s="493" t="s">
        <v>1556</v>
      </c>
      <c r="C58" s="492"/>
      <c r="D58" s="492"/>
      <c r="E58" s="492"/>
      <c r="F58" s="492"/>
      <c r="G58" s="492"/>
      <c r="H58" s="542"/>
      <c r="I58" s="521"/>
      <c r="L58" s="376"/>
      <c r="M58" s="376"/>
    </row>
    <row r="59" spans="2:13" ht="16.3" thickBot="1" x14ac:dyDescent="0.5">
      <c r="B59" s="493" t="s">
        <v>1567</v>
      </c>
      <c r="C59" s="492"/>
      <c r="D59" s="492"/>
      <c r="E59" s="492"/>
      <c r="F59" s="492"/>
      <c r="G59" s="492"/>
      <c r="H59" s="544">
        <f>'MRP WP2'!$Q$504*100-F37</f>
        <v>12.191046129625077</v>
      </c>
      <c r="I59" s="521"/>
      <c r="L59" s="376"/>
      <c r="M59" s="376"/>
    </row>
    <row r="60" spans="2:13" ht="16.3" thickTop="1" x14ac:dyDescent="0.45">
      <c r="C60" s="492"/>
      <c r="D60" s="492"/>
      <c r="E60" s="492"/>
      <c r="F60" s="492"/>
      <c r="G60" s="492"/>
      <c r="H60" s="542"/>
      <c r="I60" s="521"/>
      <c r="L60" s="376"/>
      <c r="M60" s="376"/>
    </row>
    <row r="61" spans="2:13" x14ac:dyDescent="0.45">
      <c r="C61" s="492"/>
      <c r="D61" s="492"/>
      <c r="E61" s="492"/>
      <c r="F61" s="492"/>
      <c r="G61" s="492"/>
      <c r="H61" s="542"/>
      <c r="I61" s="521"/>
      <c r="L61" s="376"/>
      <c r="M61" s="376"/>
    </row>
    <row r="62" spans="2:13" x14ac:dyDescent="0.45">
      <c r="B62" s="493" t="s">
        <v>1568</v>
      </c>
      <c r="C62" s="492"/>
      <c r="D62" s="492"/>
      <c r="E62" s="492"/>
      <c r="F62" s="492"/>
      <c r="G62" s="492"/>
      <c r="H62" s="542"/>
      <c r="I62" s="521"/>
      <c r="L62" s="376"/>
      <c r="M62" s="376"/>
    </row>
    <row r="63" spans="2:13" ht="16.3" thickBot="1" x14ac:dyDescent="0.5">
      <c r="B63" s="493" t="s">
        <v>1569</v>
      </c>
      <c r="C63" s="492"/>
      <c r="D63" s="492"/>
      <c r="E63" s="492"/>
      <c r="F63" s="492"/>
      <c r="G63" s="492"/>
      <c r="H63" s="541">
        <f>AVERAGE(H37,H41,H52,H54,H59)</f>
        <v>9.9120901680277544</v>
      </c>
      <c r="I63" s="521" t="s">
        <v>1197</v>
      </c>
      <c r="L63" s="376"/>
      <c r="M63" s="376"/>
    </row>
    <row r="64" spans="2:13" ht="16.3" thickTop="1" x14ac:dyDescent="0.45">
      <c r="B64" s="492"/>
      <c r="C64" s="492"/>
      <c r="D64" s="492"/>
      <c r="E64" s="492"/>
      <c r="F64" s="492"/>
      <c r="G64" s="492"/>
      <c r="H64" s="492" t="s">
        <v>1570</v>
      </c>
      <c r="I64" s="492"/>
      <c r="L64" s="376"/>
      <c r="M64" s="376"/>
    </row>
    <row r="65" spans="2:10" x14ac:dyDescent="0.45">
      <c r="B65" s="534" t="s">
        <v>1571</v>
      </c>
      <c r="C65" s="493" t="s">
        <v>1226</v>
      </c>
      <c r="D65" s="492"/>
      <c r="E65" s="492"/>
      <c r="F65" s="492"/>
      <c r="G65" s="492"/>
      <c r="H65" s="492"/>
      <c r="I65" s="492"/>
      <c r="J65" s="492"/>
    </row>
    <row r="66" spans="2:10" x14ac:dyDescent="0.45">
      <c r="B66" s="492"/>
      <c r="C66" s="493" t="s">
        <v>1572</v>
      </c>
      <c r="H66" s="492"/>
      <c r="I66" s="492"/>
      <c r="J66" s="492"/>
    </row>
    <row r="67" spans="2:10" x14ac:dyDescent="0.45">
      <c r="C67" s="493" t="s">
        <v>1573</v>
      </c>
    </row>
    <row r="68" spans="2:10" x14ac:dyDescent="0.45">
      <c r="B68" s="534"/>
      <c r="C68" s="493" t="s">
        <v>1343</v>
      </c>
    </row>
    <row r="69" spans="2:10" x14ac:dyDescent="0.45">
      <c r="B69" s="545" t="s">
        <v>1574</v>
      </c>
      <c r="C69" s="545" t="s">
        <v>1575</v>
      </c>
      <c r="D69" s="545"/>
      <c r="E69" s="545"/>
    </row>
    <row r="70" spans="2:10" ht="15" customHeight="1" x14ac:dyDescent="0.45">
      <c r="B70" s="546" t="str">
        <f>Input!A2</f>
        <v>AWR</v>
      </c>
      <c r="C70" s="537">
        <v>0.65</v>
      </c>
      <c r="D70" s="546"/>
      <c r="E70" s="537"/>
      <c r="F70" s="547"/>
      <c r="G70" s="548"/>
      <c r="H70" s="547"/>
      <c r="I70" s="548"/>
      <c r="J70" s="547"/>
    </row>
    <row r="71" spans="2:10" ht="15" customHeight="1" x14ac:dyDescent="0.45">
      <c r="B71" s="546" t="str">
        <f>Input!A3</f>
        <v>AWK</v>
      </c>
      <c r="C71" s="537">
        <v>0.9</v>
      </c>
      <c r="D71" s="546"/>
      <c r="E71" s="537"/>
      <c r="F71" s="547"/>
      <c r="G71" s="548"/>
      <c r="H71" s="547"/>
      <c r="I71" s="548"/>
      <c r="J71" s="547"/>
    </row>
    <row r="72" spans="2:10" x14ac:dyDescent="0.45">
      <c r="B72" s="546" t="str">
        <f>Input!A4</f>
        <v>CWT</v>
      </c>
      <c r="C72" s="537">
        <v>0.7</v>
      </c>
      <c r="D72" s="546"/>
      <c r="E72" s="537"/>
      <c r="F72" s="547"/>
      <c r="G72" s="548"/>
      <c r="I72" s="548"/>
      <c r="J72" s="547"/>
    </row>
    <row r="73" spans="2:10" x14ac:dyDescent="0.45">
      <c r="B73" s="546" t="str">
        <f>Input!A5</f>
        <v>WTRG</v>
      </c>
      <c r="C73" s="537">
        <v>0.95</v>
      </c>
      <c r="D73" s="546"/>
      <c r="E73" s="537"/>
      <c r="F73" s="547"/>
      <c r="G73" s="548"/>
      <c r="I73" s="548"/>
      <c r="J73" s="547"/>
    </row>
    <row r="74" spans="2:10" x14ac:dyDescent="0.45">
      <c r="B74" s="546" t="str">
        <f>Input!A6</f>
        <v>MSEX</v>
      </c>
      <c r="C74" s="537">
        <v>0.7</v>
      </c>
      <c r="D74" s="546"/>
      <c r="E74" s="537"/>
      <c r="F74" s="547"/>
      <c r="G74" s="548"/>
      <c r="I74" s="548"/>
      <c r="J74" s="547"/>
    </row>
    <row r="75" spans="2:10" x14ac:dyDescent="0.45">
      <c r="B75" s="546" t="str">
        <f>Input!A7</f>
        <v>SJW</v>
      </c>
      <c r="C75" s="537">
        <v>0.8</v>
      </c>
      <c r="D75" s="546"/>
      <c r="E75" s="537"/>
      <c r="F75" s="547"/>
      <c r="G75" s="548"/>
      <c r="I75" s="548"/>
      <c r="J75" s="547"/>
    </row>
    <row r="76" spans="2:10" x14ac:dyDescent="0.45">
      <c r="B76" s="546"/>
      <c r="C76" s="537"/>
      <c r="D76" s="546"/>
      <c r="E76" s="537"/>
      <c r="F76" s="547"/>
      <c r="G76" s="548"/>
      <c r="I76" s="548"/>
      <c r="J76" s="547"/>
    </row>
    <row r="77" spans="2:10" x14ac:dyDescent="0.45">
      <c r="B77" s="546"/>
      <c r="C77" s="537"/>
      <c r="D77" s="546"/>
      <c r="E77" s="537"/>
      <c r="F77" s="547"/>
      <c r="G77" s="548"/>
      <c r="I77" s="548"/>
      <c r="J77" s="547"/>
    </row>
    <row r="78" spans="2:10" x14ac:dyDescent="0.45">
      <c r="B78" s="546"/>
      <c r="C78" s="537"/>
      <c r="D78" s="546"/>
      <c r="E78" s="537"/>
      <c r="F78" s="547"/>
      <c r="G78" s="548"/>
      <c r="I78" s="548"/>
      <c r="J78" s="547"/>
    </row>
    <row r="79" spans="2:10" x14ac:dyDescent="0.45">
      <c r="B79" s="546"/>
      <c r="C79" s="537"/>
      <c r="D79" s="546"/>
      <c r="E79" s="537"/>
      <c r="F79" s="547"/>
      <c r="G79" s="548"/>
      <c r="I79" s="548"/>
      <c r="J79" s="547"/>
    </row>
    <row r="80" spans="2:10" x14ac:dyDescent="0.45">
      <c r="B80" s="546"/>
      <c r="C80" s="537"/>
      <c r="D80" s="546"/>
      <c r="E80" s="537"/>
      <c r="F80" s="547"/>
      <c r="G80" s="548"/>
      <c r="I80" s="548"/>
      <c r="J80" s="547"/>
    </row>
    <row r="81" spans="2:10" x14ac:dyDescent="0.45">
      <c r="B81" s="546"/>
      <c r="C81" s="537"/>
      <c r="D81" s="546"/>
      <c r="E81" s="537"/>
      <c r="F81" s="547"/>
      <c r="G81" s="548"/>
      <c r="I81" s="548"/>
      <c r="J81" s="547"/>
    </row>
    <row r="82" spans="2:10" x14ac:dyDescent="0.45">
      <c r="B82" s="546"/>
      <c r="C82" s="537"/>
      <c r="D82" s="546"/>
      <c r="E82" s="537"/>
      <c r="F82" s="547"/>
      <c r="G82" s="548"/>
      <c r="I82" s="548"/>
      <c r="J82" s="547"/>
    </row>
    <row r="83" spans="2:10" x14ac:dyDescent="0.45">
      <c r="B83" s="546"/>
      <c r="C83" s="537"/>
      <c r="D83" s="546"/>
      <c r="E83" s="537"/>
      <c r="F83" s="547"/>
      <c r="G83" s="548"/>
      <c r="I83" s="548"/>
      <c r="J83" s="547"/>
    </row>
    <row r="84" spans="2:10" x14ac:dyDescent="0.45">
      <c r="B84" s="546"/>
      <c r="C84" s="537"/>
      <c r="D84" s="546"/>
      <c r="E84" s="537"/>
      <c r="F84" s="547"/>
      <c r="G84" s="548"/>
      <c r="I84" s="548"/>
      <c r="J84" s="547"/>
    </row>
    <row r="85" spans="2:10" x14ac:dyDescent="0.45">
      <c r="B85" s="546"/>
      <c r="C85" s="537"/>
      <c r="D85" s="546"/>
      <c r="E85" s="537"/>
      <c r="F85" s="547"/>
      <c r="G85" s="548"/>
      <c r="I85" s="548"/>
      <c r="J85" s="547"/>
    </row>
    <row r="86" spans="2:10" x14ac:dyDescent="0.45">
      <c r="B86" s="546"/>
      <c r="C86" s="537"/>
      <c r="D86" s="546"/>
      <c r="E86" s="537"/>
      <c r="F86" s="547"/>
      <c r="G86" s="548"/>
      <c r="I86" s="548"/>
      <c r="J86" s="547"/>
    </row>
    <row r="87" spans="2:10" x14ac:dyDescent="0.45">
      <c r="B87" s="546"/>
      <c r="C87" s="537"/>
      <c r="D87" s="546"/>
      <c r="E87" s="537"/>
      <c r="F87" s="547"/>
      <c r="G87" s="548"/>
      <c r="I87" s="548"/>
      <c r="J87" s="547"/>
    </row>
    <row r="88" spans="2:10" x14ac:dyDescent="0.45">
      <c r="B88" s="546"/>
      <c r="C88" s="537"/>
      <c r="D88" s="546"/>
      <c r="E88" s="537"/>
      <c r="F88" s="547"/>
      <c r="G88" s="548"/>
      <c r="I88" s="548"/>
      <c r="J88" s="547"/>
    </row>
    <row r="89" spans="2:10" x14ac:dyDescent="0.45">
      <c r="B89" s="546"/>
      <c r="C89" s="537"/>
      <c r="D89" s="546"/>
      <c r="E89" s="537"/>
      <c r="F89" s="547"/>
      <c r="G89" s="548"/>
      <c r="I89" s="548"/>
      <c r="J89" s="547"/>
    </row>
    <row r="90" spans="2:10" x14ac:dyDescent="0.45">
      <c r="B90" s="546"/>
      <c r="C90" s="537"/>
      <c r="D90" s="546"/>
      <c r="E90" s="537"/>
      <c r="F90" s="547"/>
      <c r="G90" s="548"/>
      <c r="I90" s="548"/>
      <c r="J90" s="547"/>
    </row>
    <row r="91" spans="2:10" x14ac:dyDescent="0.45">
      <c r="B91" s="546"/>
      <c r="C91" s="537"/>
      <c r="D91" s="546"/>
      <c r="E91" s="537"/>
      <c r="F91" s="547"/>
      <c r="G91" s="548"/>
      <c r="I91" s="548"/>
      <c r="J91" s="547"/>
    </row>
    <row r="92" spans="2:10" x14ac:dyDescent="0.45">
      <c r="B92" s="546"/>
      <c r="C92" s="537"/>
      <c r="D92" s="546"/>
      <c r="E92" s="537"/>
      <c r="F92" s="547"/>
      <c r="G92" s="548"/>
      <c r="I92" s="548"/>
      <c r="J92" s="547"/>
    </row>
    <row r="93" spans="2:10" x14ac:dyDescent="0.45">
      <c r="B93" s="546"/>
      <c r="C93" s="537"/>
      <c r="D93" s="546"/>
      <c r="E93" s="537"/>
      <c r="F93" s="547"/>
      <c r="G93" s="548"/>
      <c r="I93" s="548"/>
      <c r="J93" s="547"/>
    </row>
    <row r="94" spans="2:10" x14ac:dyDescent="0.45">
      <c r="B94" s="546"/>
      <c r="C94" s="537"/>
      <c r="D94" s="546"/>
      <c r="E94" s="537"/>
      <c r="F94" s="547"/>
      <c r="G94" s="548"/>
      <c r="I94" s="548"/>
      <c r="J94" s="547"/>
    </row>
    <row r="95" spans="2:10" x14ac:dyDescent="0.45">
      <c r="B95" s="546"/>
      <c r="C95" s="537"/>
      <c r="D95" s="546"/>
      <c r="E95" s="537"/>
      <c r="F95" s="547"/>
      <c r="G95" s="548"/>
      <c r="I95" s="548"/>
      <c r="J95" s="547"/>
    </row>
    <row r="96" spans="2:10" x14ac:dyDescent="0.45">
      <c r="B96" s="546"/>
      <c r="C96" s="537"/>
      <c r="D96" s="546"/>
      <c r="E96" s="537"/>
      <c r="F96" s="547"/>
      <c r="G96" s="548"/>
      <c r="I96" s="548"/>
      <c r="J96" s="547"/>
    </row>
    <row r="97" spans="2:10" x14ac:dyDescent="0.45">
      <c r="B97" s="546"/>
      <c r="C97" s="537"/>
      <c r="D97" s="546"/>
      <c r="E97" s="537"/>
      <c r="F97" s="547"/>
      <c r="G97" s="548"/>
      <c r="I97" s="548"/>
      <c r="J97" s="547"/>
    </row>
    <row r="98" spans="2:10" x14ac:dyDescent="0.45">
      <c r="B98" s="546"/>
      <c r="C98" s="537"/>
      <c r="D98" s="546"/>
      <c r="E98" s="537"/>
      <c r="F98" s="547"/>
      <c r="G98" s="548"/>
      <c r="I98" s="548"/>
      <c r="J98" s="547"/>
    </row>
    <row r="99" spans="2:10" x14ac:dyDescent="0.45">
      <c r="B99" s="546"/>
      <c r="C99" s="537"/>
      <c r="D99" s="546"/>
      <c r="E99" s="537"/>
      <c r="F99" s="547"/>
      <c r="G99" s="548"/>
      <c r="I99" s="548"/>
      <c r="J99" s="547"/>
    </row>
    <row r="100" spans="2:10" x14ac:dyDescent="0.45">
      <c r="B100" s="546"/>
      <c r="C100" s="537"/>
      <c r="D100" s="546"/>
      <c r="E100" s="537"/>
      <c r="F100" s="547"/>
      <c r="G100" s="548"/>
      <c r="I100" s="548"/>
      <c r="J100" s="547"/>
    </row>
    <row r="101" spans="2:10" x14ac:dyDescent="0.45">
      <c r="B101" s="546"/>
      <c r="C101" s="537"/>
      <c r="D101" s="546"/>
      <c r="E101" s="537"/>
      <c r="F101" s="547"/>
      <c r="G101" s="548"/>
      <c r="I101" s="548"/>
      <c r="J101" s="547"/>
    </row>
    <row r="102" spans="2:10" x14ac:dyDescent="0.45">
      <c r="B102" s="546"/>
      <c r="C102" s="537"/>
      <c r="D102" s="546"/>
      <c r="E102" s="537"/>
      <c r="F102" s="547"/>
      <c r="G102" s="548"/>
      <c r="I102" s="548"/>
      <c r="J102" s="547"/>
    </row>
    <row r="103" spans="2:10" x14ac:dyDescent="0.45">
      <c r="B103" s="546"/>
      <c r="C103" s="537"/>
      <c r="D103" s="546"/>
      <c r="E103" s="537"/>
      <c r="F103" s="547"/>
      <c r="G103" s="548"/>
      <c r="I103" s="548"/>
      <c r="J103" s="547"/>
    </row>
    <row r="104" spans="2:10" x14ac:dyDescent="0.45">
      <c r="B104" s="546"/>
      <c r="C104" s="537"/>
      <c r="D104" s="546"/>
      <c r="E104" s="537"/>
      <c r="F104" s="547"/>
      <c r="G104" s="548"/>
      <c r="I104" s="548"/>
      <c r="J104" s="547"/>
    </row>
    <row r="105" spans="2:10" x14ac:dyDescent="0.45">
      <c r="B105" s="546"/>
      <c r="C105" s="537"/>
      <c r="D105" s="546"/>
      <c r="E105" s="537"/>
      <c r="F105" s="547"/>
      <c r="G105" s="548"/>
      <c r="I105" s="548"/>
      <c r="J105" s="547"/>
    </row>
    <row r="106" spans="2:10" x14ac:dyDescent="0.45">
      <c r="B106" s="546"/>
      <c r="C106" s="537"/>
      <c r="D106" s="546"/>
      <c r="E106" s="537"/>
      <c r="F106" s="547"/>
      <c r="G106" s="548"/>
      <c r="I106" s="548"/>
      <c r="J106" s="547"/>
    </row>
    <row r="107" spans="2:10" x14ac:dyDescent="0.45">
      <c r="B107" s="546"/>
      <c r="C107" s="537"/>
      <c r="D107" s="546"/>
      <c r="E107" s="537"/>
      <c r="F107" s="547"/>
      <c r="G107" s="548"/>
      <c r="I107" s="548"/>
      <c r="J107" s="547"/>
    </row>
    <row r="108" spans="2:10" x14ac:dyDescent="0.45">
      <c r="B108" s="546"/>
      <c r="C108" s="537"/>
      <c r="D108" s="546"/>
      <c r="E108" s="537"/>
      <c r="F108" s="547"/>
      <c r="G108" s="548"/>
      <c r="J108" s="547"/>
    </row>
    <row r="109" spans="2:10" x14ac:dyDescent="0.45">
      <c r="B109" s="546"/>
      <c r="C109" s="537"/>
      <c r="D109" s="546"/>
      <c r="E109" s="537"/>
      <c r="F109" s="547"/>
      <c r="G109" s="548"/>
      <c r="J109" s="547"/>
    </row>
    <row r="110" spans="2:10" x14ac:dyDescent="0.45">
      <c r="B110" s="546"/>
      <c r="C110" s="537"/>
      <c r="D110" s="546"/>
      <c r="E110" s="537"/>
      <c r="F110" s="547"/>
      <c r="G110" s="548"/>
      <c r="J110" s="547"/>
    </row>
    <row r="111" spans="2:10" x14ac:dyDescent="0.45">
      <c r="B111" s="546"/>
      <c r="C111" s="537"/>
      <c r="D111" s="546"/>
      <c r="F111" s="547"/>
      <c r="G111" s="548"/>
    </row>
    <row r="112" spans="2:10" x14ac:dyDescent="0.45">
      <c r="B112" s="546"/>
      <c r="C112" s="537"/>
      <c r="D112" s="546"/>
      <c r="F112" s="547"/>
      <c r="G112" s="548"/>
    </row>
    <row r="113" spans="2:7" x14ac:dyDescent="0.45">
      <c r="B113" s="546"/>
      <c r="C113" s="537"/>
      <c r="F113" s="547"/>
      <c r="G113" s="548"/>
    </row>
    <row r="114" spans="2:7" x14ac:dyDescent="0.45">
      <c r="F114" s="547"/>
      <c r="G114" s="548"/>
    </row>
    <row r="115" spans="2:7" x14ac:dyDescent="0.45">
      <c r="F115" s="547"/>
      <c r="G115" s="548"/>
    </row>
    <row r="116" spans="2:7" x14ac:dyDescent="0.45">
      <c r="F116" s="547"/>
      <c r="G116" s="548"/>
    </row>
    <row r="117" spans="2:7" x14ac:dyDescent="0.45">
      <c r="F117" s="547"/>
      <c r="G117" s="548"/>
    </row>
  </sheetData>
  <mergeCells count="7">
    <mergeCell ref="M4:N5"/>
    <mergeCell ref="B25:J25"/>
    <mergeCell ref="B26:J26"/>
    <mergeCell ref="D3:E5"/>
    <mergeCell ref="G3:H5"/>
    <mergeCell ref="B4:B5"/>
    <mergeCell ref="J4:K5"/>
  </mergeCells>
  <pageMargins left="0.7" right="0.7" top="0.75" bottom="0.75" header="0.3" footer="0.3"/>
  <pageSetup scale="48" orientation="portrait" horizontalDpi="4294967293"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0989B-E73D-4181-81B6-A4FCE12A0120}">
  <dimension ref="A1:Q505"/>
  <sheetViews>
    <sheetView zoomScale="70" zoomScaleNormal="70" workbookViewId="0">
      <selection sqref="A1:H1"/>
    </sheetView>
  </sheetViews>
  <sheetFormatPr defaultColWidth="8.84375" defaultRowHeight="12.9" x14ac:dyDescent="0.35"/>
  <cols>
    <col min="1" max="1" width="17" style="376" bestFit="1" customWidth="1"/>
    <col min="2" max="2" width="33.3828125" style="376" bestFit="1" customWidth="1"/>
    <col min="3" max="3" width="12.3828125" style="376" bestFit="1" customWidth="1"/>
    <col min="4" max="4" width="24.53515625" style="376" customWidth="1"/>
    <col min="5" max="5" width="17.53515625" style="376" bestFit="1" customWidth="1"/>
    <col min="6" max="6" width="30.53515625" style="376" bestFit="1" customWidth="1"/>
    <col min="7" max="7" width="12.3828125" style="376" bestFit="1" customWidth="1"/>
    <col min="8" max="8" width="9.53515625" style="376" bestFit="1" customWidth="1"/>
    <col min="9" max="9" width="7.53515625" style="376" customWidth="1"/>
    <col min="10" max="10" width="15.15234375" style="376" bestFit="1" customWidth="1"/>
    <col min="11" max="11" width="8.84375" style="376" customWidth="1"/>
    <col min="12" max="12" width="17.15234375" style="376" bestFit="1" customWidth="1"/>
    <col min="13" max="13" width="10.3828125" style="376" bestFit="1" customWidth="1"/>
    <col min="14" max="14" width="9.53515625" style="376" bestFit="1" customWidth="1"/>
    <col min="15" max="15" width="11.3828125" style="376" bestFit="1" customWidth="1"/>
    <col min="16" max="16" width="15.3828125" style="376" customWidth="1"/>
    <col min="17" max="17" width="10.84375" style="376" bestFit="1" customWidth="1"/>
    <col min="18" max="16384" width="8.84375" style="376"/>
  </cols>
  <sheetData>
    <row r="1" spans="1:17" ht="14.6" x14ac:dyDescent="0.4">
      <c r="A1" s="350" t="s">
        <v>1576</v>
      </c>
      <c r="B1" s="351">
        <f>Input!E2</f>
        <v>45121</v>
      </c>
    </row>
    <row r="2" spans="1:17" ht="38.6" x14ac:dyDescent="0.35">
      <c r="B2" s="376" t="s">
        <v>1577</v>
      </c>
      <c r="C2" s="376" t="s">
        <v>1578</v>
      </c>
      <c r="D2" s="376" t="s">
        <v>1579</v>
      </c>
      <c r="E2" s="376" t="s">
        <v>1580</v>
      </c>
      <c r="F2" s="376" t="s">
        <v>1581</v>
      </c>
      <c r="G2" s="376" t="s">
        <v>1582</v>
      </c>
      <c r="H2" s="376" t="s">
        <v>1533</v>
      </c>
      <c r="I2" s="472"/>
      <c r="J2" s="473" t="s">
        <v>1416</v>
      </c>
      <c r="K2" s="473" t="s">
        <v>1520</v>
      </c>
      <c r="L2" s="473" t="s">
        <v>1583</v>
      </c>
      <c r="M2" s="473" t="s">
        <v>1584</v>
      </c>
      <c r="N2" s="473" t="s">
        <v>1585</v>
      </c>
      <c r="O2" s="473" t="s">
        <v>1586</v>
      </c>
      <c r="P2" s="473" t="s">
        <v>1587</v>
      </c>
      <c r="Q2" s="473" t="s">
        <v>1588</v>
      </c>
    </row>
    <row r="3" spans="1:17" x14ac:dyDescent="0.35">
      <c r="A3" s="376" t="s">
        <v>1589</v>
      </c>
      <c r="B3" s="376" t="s">
        <v>1590</v>
      </c>
      <c r="C3" s="376" t="s">
        <v>1271</v>
      </c>
      <c r="D3" s="376">
        <v>35371254205.5</v>
      </c>
      <c r="E3" s="376">
        <v>0.76158663883089772</v>
      </c>
      <c r="F3" s="376">
        <v>14</v>
      </c>
      <c r="G3" s="376">
        <v>295.37579999999997</v>
      </c>
      <c r="H3" s="376">
        <v>119.75</v>
      </c>
      <c r="I3" s="474"/>
      <c r="J3" s="475" t="str">
        <f>B3</f>
        <v>Agilent Technologies Inc</v>
      </c>
      <c r="K3" s="476" t="str">
        <f>C3</f>
        <v>A</v>
      </c>
      <c r="L3" s="477">
        <f>D3/1000000</f>
        <v>35371.254205500001</v>
      </c>
      <c r="M3" s="478">
        <f>IFERROR(E3/100,"0.00%")</f>
        <v>7.6158663883089776E-3</v>
      </c>
      <c r="N3" s="478">
        <f>IFERROR(F3/100,"N/A")</f>
        <v>0.14000000000000001</v>
      </c>
      <c r="O3" s="479">
        <f>IFERROR(M3*(1+0.5*N3)+N3,"N/A")</f>
        <v>0.14814897703549063</v>
      </c>
      <c r="P3" s="480">
        <f>IF(O3="N/A","N/A",L3/$L$504)</f>
        <v>9.5998369415718624E-4</v>
      </c>
      <c r="Q3" s="481">
        <f>IF(AND(ISNUMBER(L3),ISNUMBER(O3)),O3*P3,"N/A")</f>
        <v>1.4222060226013844E-4</v>
      </c>
    </row>
    <row r="4" spans="1:17" x14ac:dyDescent="0.35">
      <c r="A4" s="376" t="s">
        <v>1591</v>
      </c>
      <c r="B4" s="376" t="s">
        <v>1592</v>
      </c>
      <c r="C4" s="376" t="s">
        <v>1593</v>
      </c>
      <c r="D4" s="376">
        <v>11842925895.119999</v>
      </c>
      <c r="E4" s="376">
        <v>0</v>
      </c>
      <c r="F4" s="376">
        <v>83.22</v>
      </c>
      <c r="G4" s="376">
        <v>652.86249999999995</v>
      </c>
      <c r="H4" s="376">
        <v>18.14</v>
      </c>
      <c r="I4" s="474"/>
      <c r="J4" s="475" t="str">
        <f t="shared" ref="J4:K67" si="0">B4</f>
        <v>American Airlines Group Inc</v>
      </c>
      <c r="K4" s="476" t="str">
        <f t="shared" si="0"/>
        <v>AAL</v>
      </c>
      <c r="L4" s="477">
        <f t="shared" ref="L4:L67" si="1">D4/1000000</f>
        <v>11842.925895119999</v>
      </c>
      <c r="M4" s="478">
        <f t="shared" ref="M4:M67" si="2">IFERROR(E4/100,"0.00%")</f>
        <v>0</v>
      </c>
      <c r="N4" s="478">
        <f t="shared" ref="N4:N67" si="3">IFERROR(F4/100,"N/A")</f>
        <v>0.83219999999999994</v>
      </c>
      <c r="O4" s="479">
        <f t="shared" ref="O4:O67" si="4">IFERROR(M4*(1+0.5*N4)+N4,"N/A")</f>
        <v>0.83219999999999994</v>
      </c>
      <c r="P4" s="480">
        <f t="shared" ref="P4:P67" si="5">IF(O4="N/A","N/A",L4/$L$504)</f>
        <v>3.214196387941282E-4</v>
      </c>
      <c r="Q4" s="481">
        <f t="shared" ref="Q4:Q67" si="6">IF(AND(ISNUMBER(L4),ISNUMBER(O4)),O4*P4,"N/A")</f>
        <v>2.6748542340447346E-4</v>
      </c>
    </row>
    <row r="5" spans="1:17" x14ac:dyDescent="0.35">
      <c r="A5" s="376" t="s">
        <v>1594</v>
      </c>
      <c r="B5" s="376" t="s">
        <v>1595</v>
      </c>
      <c r="C5" s="376" t="s">
        <v>1596</v>
      </c>
      <c r="D5" s="376">
        <v>4199113705.2800002</v>
      </c>
      <c r="E5" s="376">
        <v>2.7887882219705551</v>
      </c>
      <c r="F5" s="376">
        <v>-7.4050000000000002</v>
      </c>
      <c r="G5" s="376">
        <v>59.443849999999998</v>
      </c>
      <c r="H5" s="376">
        <v>70.64</v>
      </c>
      <c r="I5" s="474"/>
      <c r="J5" s="475" t="str">
        <f t="shared" si="0"/>
        <v>Advance Auto Parts Inc</v>
      </c>
      <c r="K5" s="476" t="str">
        <f t="shared" si="0"/>
        <v>AAP</v>
      </c>
      <c r="L5" s="477">
        <f t="shared" si="1"/>
        <v>4199.1137052800004</v>
      </c>
      <c r="M5" s="478">
        <f t="shared" si="2"/>
        <v>2.7887882219705552E-2</v>
      </c>
      <c r="N5" s="478">
        <f t="shared" si="3"/>
        <v>-7.4050000000000005E-2</v>
      </c>
      <c r="O5" s="479">
        <f t="shared" si="4"/>
        <v>-4.7194666619479048E-2</v>
      </c>
      <c r="P5" s="480">
        <f t="shared" si="5"/>
        <v>1.1396487847337791E-4</v>
      </c>
      <c r="Q5" s="481">
        <f t="shared" si="6"/>
        <v>-5.3785344458805151E-6</v>
      </c>
    </row>
    <row r="6" spans="1:17" x14ac:dyDescent="0.35">
      <c r="A6" s="376" t="s">
        <v>1597</v>
      </c>
      <c r="B6" s="376" t="s">
        <v>1598</v>
      </c>
      <c r="C6" s="376" t="s">
        <v>1599</v>
      </c>
      <c r="D6" s="376">
        <v>2999306184380</v>
      </c>
      <c r="E6" s="376">
        <v>0.50081283758980544</v>
      </c>
      <c r="F6" s="376">
        <v>13</v>
      </c>
      <c r="G6" s="376">
        <v>15728.699999999999</v>
      </c>
      <c r="H6" s="376">
        <v>190.69</v>
      </c>
      <c r="I6" s="474"/>
      <c r="J6" s="475" t="str">
        <f t="shared" si="0"/>
        <v>Apple Inc</v>
      </c>
      <c r="K6" s="476" t="str">
        <f t="shared" si="0"/>
        <v>AAPL</v>
      </c>
      <c r="L6" s="477">
        <f t="shared" si="1"/>
        <v>2999306.18438</v>
      </c>
      <c r="M6" s="478">
        <f t="shared" si="2"/>
        <v>5.0081283758980546E-3</v>
      </c>
      <c r="N6" s="478">
        <f t="shared" si="3"/>
        <v>0.13</v>
      </c>
      <c r="O6" s="479">
        <f t="shared" si="4"/>
        <v>0.13533365672033143</v>
      </c>
      <c r="P6" s="480">
        <f t="shared" si="5"/>
        <v>8.1401835910638903E-2</v>
      </c>
      <c r="Q6" s="481">
        <f t="shared" si="6"/>
        <v>1.1016408117535154E-2</v>
      </c>
    </row>
    <row r="7" spans="1:17" x14ac:dyDescent="0.35">
      <c r="A7" s="376" t="s">
        <v>1600</v>
      </c>
      <c r="B7" s="376" t="s">
        <v>1601</v>
      </c>
      <c r="C7" s="376" t="s">
        <v>1602</v>
      </c>
      <c r="D7" s="376">
        <v>239961039376.80002</v>
      </c>
      <c r="E7" s="376">
        <v>4.3585030512462319</v>
      </c>
      <c r="F7" s="376">
        <v>1.585</v>
      </c>
      <c r="G7" s="376">
        <v>1764.29</v>
      </c>
      <c r="H7" s="376">
        <v>136.01</v>
      </c>
      <c r="I7" s="474"/>
      <c r="J7" s="475" t="str">
        <f t="shared" si="0"/>
        <v>AbbVie Inc</v>
      </c>
      <c r="K7" s="476" t="str">
        <f t="shared" si="0"/>
        <v>ABBV</v>
      </c>
      <c r="L7" s="477">
        <f t="shared" si="1"/>
        <v>239961.03937680001</v>
      </c>
      <c r="M7" s="478">
        <f t="shared" si="2"/>
        <v>4.3585030512462319E-2</v>
      </c>
      <c r="N7" s="478">
        <f t="shared" si="3"/>
        <v>1.585E-2</v>
      </c>
      <c r="O7" s="479">
        <f t="shared" si="4"/>
        <v>5.9780441879273574E-2</v>
      </c>
      <c r="P7" s="480">
        <f t="shared" si="5"/>
        <v>6.5125958976857325E-3</v>
      </c>
      <c r="Q7" s="481">
        <f t="shared" si="6"/>
        <v>3.8932586054479747E-4</v>
      </c>
    </row>
    <row r="8" spans="1:17" x14ac:dyDescent="0.35">
      <c r="A8" s="376" t="s">
        <v>1603</v>
      </c>
      <c r="B8" s="376" t="s">
        <v>1604</v>
      </c>
      <c r="C8" s="376" t="s">
        <v>1605</v>
      </c>
      <c r="D8" s="376">
        <v>38663667213.5</v>
      </c>
      <c r="E8" s="376">
        <v>1.0187023299550726</v>
      </c>
      <c r="F8" s="376">
        <v>8.86</v>
      </c>
      <c r="G8" s="376">
        <v>201.98339999999999</v>
      </c>
      <c r="H8" s="376">
        <v>191.42</v>
      </c>
      <c r="I8" s="474"/>
      <c r="J8" s="475" t="str">
        <f t="shared" si="0"/>
        <v>AmerisourceBergen Corp</v>
      </c>
      <c r="K8" s="476" t="str">
        <f t="shared" si="0"/>
        <v>ABC</v>
      </c>
      <c r="L8" s="477">
        <f t="shared" si="1"/>
        <v>38663.667213499997</v>
      </c>
      <c r="M8" s="478">
        <f t="shared" si="2"/>
        <v>1.0187023299550726E-2</v>
      </c>
      <c r="N8" s="478">
        <f t="shared" si="3"/>
        <v>8.8599999999999998E-2</v>
      </c>
      <c r="O8" s="479">
        <f t="shared" si="4"/>
        <v>9.9238308431720823E-2</v>
      </c>
      <c r="P8" s="480">
        <f t="shared" si="5"/>
        <v>1.0493405143521442E-3</v>
      </c>
      <c r="Q8" s="481">
        <f t="shared" si="6"/>
        <v>1.0413477761317866E-4</v>
      </c>
    </row>
    <row r="9" spans="1:17" x14ac:dyDescent="0.35">
      <c r="A9" s="376" t="s">
        <v>1606</v>
      </c>
      <c r="B9" s="376" t="s">
        <v>1607</v>
      </c>
      <c r="C9" s="376" t="s">
        <v>1608</v>
      </c>
      <c r="D9" s="376">
        <v>187684528016.06998</v>
      </c>
      <c r="E9" s="376">
        <v>1.8511998517557675</v>
      </c>
      <c r="F9" s="376">
        <v>1.915</v>
      </c>
      <c r="G9" s="376">
        <v>1738.9469999999999</v>
      </c>
      <c r="H9" s="376">
        <v>107.93</v>
      </c>
      <c r="I9" s="474"/>
      <c r="J9" s="475" t="str">
        <f t="shared" si="0"/>
        <v>Abbott Laboratories</v>
      </c>
      <c r="K9" s="476" t="str">
        <f t="shared" si="0"/>
        <v>ABT</v>
      </c>
      <c r="L9" s="477">
        <f t="shared" si="1"/>
        <v>187684.52801606999</v>
      </c>
      <c r="M9" s="478">
        <f t="shared" si="2"/>
        <v>1.8511998517557676E-2</v>
      </c>
      <c r="N9" s="478">
        <f t="shared" si="3"/>
        <v>1.915E-2</v>
      </c>
      <c r="O9" s="479">
        <f t="shared" si="4"/>
        <v>3.7839250903363292E-2</v>
      </c>
      <c r="P9" s="480">
        <f t="shared" si="5"/>
        <v>5.093799770125168E-3</v>
      </c>
      <c r="Q9" s="481">
        <f t="shared" si="6"/>
        <v>1.9274556755326049E-4</v>
      </c>
    </row>
    <row r="10" spans="1:17" x14ac:dyDescent="0.35">
      <c r="A10" s="376" t="s">
        <v>1609</v>
      </c>
      <c r="B10" s="376" t="s">
        <v>1610</v>
      </c>
      <c r="C10" s="376" t="s">
        <v>1611</v>
      </c>
      <c r="D10" s="376">
        <v>28676541894</v>
      </c>
      <c r="E10" s="376" t="s">
        <v>1612</v>
      </c>
      <c r="F10" s="376">
        <v>13.5</v>
      </c>
      <c r="G10" s="376">
        <v>372.42259999999999</v>
      </c>
      <c r="H10" s="376">
        <v>77</v>
      </c>
      <c r="I10" s="474"/>
      <c r="J10" s="475" t="str">
        <f t="shared" si="0"/>
        <v>Arch Capital Group Ltd</v>
      </c>
      <c r="K10" s="476" t="str">
        <f t="shared" si="0"/>
        <v>ACGL</v>
      </c>
      <c r="L10" s="477">
        <f t="shared" si="1"/>
        <v>28676.541894000002</v>
      </c>
      <c r="M10" s="478" t="str">
        <f t="shared" si="2"/>
        <v>0.00%</v>
      </c>
      <c r="N10" s="478">
        <f t="shared" si="3"/>
        <v>0.13500000000000001</v>
      </c>
      <c r="O10" s="479">
        <f t="shared" si="4"/>
        <v>0.13500000000000001</v>
      </c>
      <c r="P10" s="480">
        <f t="shared" si="5"/>
        <v>7.7828771530456093E-4</v>
      </c>
      <c r="Q10" s="481">
        <f t="shared" si="6"/>
        <v>1.0506884156611574E-4</v>
      </c>
    </row>
    <row r="11" spans="1:17" x14ac:dyDescent="0.35">
      <c r="A11" s="376" t="s">
        <v>1613</v>
      </c>
      <c r="B11" s="376" t="s">
        <v>1614</v>
      </c>
      <c r="C11" s="376" t="s">
        <v>1615</v>
      </c>
      <c r="D11" s="376">
        <v>209990754613.63998</v>
      </c>
      <c r="E11" s="376">
        <v>1.390569085093581</v>
      </c>
      <c r="F11" s="376">
        <v>10</v>
      </c>
      <c r="G11" s="376">
        <v>664.31169999999997</v>
      </c>
      <c r="H11" s="376">
        <v>315.77</v>
      </c>
      <c r="I11" s="474"/>
      <c r="J11" s="475" t="str">
        <f t="shared" si="0"/>
        <v>Accenture PLC</v>
      </c>
      <c r="K11" s="476" t="str">
        <f t="shared" si="0"/>
        <v>ACN</v>
      </c>
      <c r="L11" s="477">
        <f t="shared" si="1"/>
        <v>209990.75461363999</v>
      </c>
      <c r="M11" s="478">
        <f t="shared" si="2"/>
        <v>1.390569085093581E-2</v>
      </c>
      <c r="N11" s="478">
        <f t="shared" si="3"/>
        <v>0.1</v>
      </c>
      <c r="O11" s="479">
        <f t="shared" si="4"/>
        <v>0.1146009753934826</v>
      </c>
      <c r="P11" s="480">
        <f t="shared" si="5"/>
        <v>5.6991957136060993E-3</v>
      </c>
      <c r="Q11" s="481">
        <f t="shared" si="6"/>
        <v>6.5313338773761412E-4</v>
      </c>
    </row>
    <row r="12" spans="1:17" x14ac:dyDescent="0.35">
      <c r="A12" s="376" t="s">
        <v>1616</v>
      </c>
      <c r="B12" s="376" t="s">
        <v>1617</v>
      </c>
      <c r="C12" s="376" t="s">
        <v>1618</v>
      </c>
      <c r="D12" s="376">
        <v>234659514000.00003</v>
      </c>
      <c r="E12" s="376">
        <v>0</v>
      </c>
      <c r="F12" s="376">
        <v>16.88</v>
      </c>
      <c r="G12" s="376">
        <v>455.79999999999995</v>
      </c>
      <c r="H12" s="376">
        <v>514.83000000000004</v>
      </c>
      <c r="I12" s="474"/>
      <c r="J12" s="475" t="str">
        <f t="shared" si="0"/>
        <v>Adobe Inc</v>
      </c>
      <c r="K12" s="476" t="str">
        <f t="shared" si="0"/>
        <v>ADBE</v>
      </c>
      <c r="L12" s="477">
        <f t="shared" si="1"/>
        <v>234659.51400000002</v>
      </c>
      <c r="M12" s="478">
        <f t="shared" si="2"/>
        <v>0</v>
      </c>
      <c r="N12" s="478">
        <f t="shared" si="3"/>
        <v>0.16879999999999998</v>
      </c>
      <c r="O12" s="479">
        <f t="shared" si="4"/>
        <v>0.16879999999999998</v>
      </c>
      <c r="P12" s="480">
        <f t="shared" si="5"/>
        <v>6.3687113216308305E-3</v>
      </c>
      <c r="Q12" s="481">
        <f t="shared" si="6"/>
        <v>1.075038471091284E-3</v>
      </c>
    </row>
    <row r="13" spans="1:17" x14ac:dyDescent="0.35">
      <c r="A13" s="376" t="s">
        <v>1619</v>
      </c>
      <c r="B13" s="376" t="s">
        <v>1620</v>
      </c>
      <c r="C13" s="376" t="s">
        <v>1621</v>
      </c>
      <c r="D13" s="376">
        <v>96257271818.87999</v>
      </c>
      <c r="E13" s="376">
        <v>1.7497525655050268</v>
      </c>
      <c r="F13" s="376">
        <v>7.5</v>
      </c>
      <c r="G13" s="376">
        <v>501.41829999999999</v>
      </c>
      <c r="H13" s="376">
        <v>191.97</v>
      </c>
      <c r="I13" s="474"/>
      <c r="J13" s="475" t="str">
        <f t="shared" si="0"/>
        <v>Analog Devices Inc</v>
      </c>
      <c r="K13" s="476" t="str">
        <f t="shared" si="0"/>
        <v>ADI</v>
      </c>
      <c r="L13" s="477">
        <f t="shared" si="1"/>
        <v>96257.271818879992</v>
      </c>
      <c r="M13" s="478">
        <f t="shared" si="2"/>
        <v>1.7497525655050267E-2</v>
      </c>
      <c r="N13" s="478">
        <f t="shared" si="3"/>
        <v>7.4999999999999997E-2</v>
      </c>
      <c r="O13" s="479">
        <f t="shared" si="4"/>
        <v>9.3153682867114646E-2</v>
      </c>
      <c r="P13" s="480">
        <f t="shared" si="5"/>
        <v>2.6124437333582703E-3</v>
      </c>
      <c r="Q13" s="481">
        <f t="shared" si="6"/>
        <v>2.4335875504543733E-4</v>
      </c>
    </row>
    <row r="14" spans="1:17" x14ac:dyDescent="0.35">
      <c r="A14" s="376" t="s">
        <v>1622</v>
      </c>
      <c r="B14" s="376" t="s">
        <v>1623</v>
      </c>
      <c r="C14" s="376" t="s">
        <v>1624</v>
      </c>
      <c r="D14" s="376">
        <v>42590442689.400002</v>
      </c>
      <c r="E14" s="376">
        <v>2.2979539641943734</v>
      </c>
      <c r="F14" s="376">
        <v>-5.86</v>
      </c>
      <c r="G14" s="376">
        <v>544.63479999999993</v>
      </c>
      <c r="H14" s="376">
        <v>78.2</v>
      </c>
      <c r="I14" s="474"/>
      <c r="J14" s="475" t="str">
        <f t="shared" si="0"/>
        <v>Archer-Daniels-Midland Co</v>
      </c>
      <c r="K14" s="476" t="str">
        <f t="shared" si="0"/>
        <v>ADM</v>
      </c>
      <c r="L14" s="477">
        <f t="shared" si="1"/>
        <v>42590.442689399999</v>
      </c>
      <c r="M14" s="478">
        <f t="shared" si="2"/>
        <v>2.2979539641943734E-2</v>
      </c>
      <c r="N14" s="478">
        <f t="shared" si="3"/>
        <v>-5.8600000000000006E-2</v>
      </c>
      <c r="O14" s="479">
        <f t="shared" si="4"/>
        <v>-3.629376086956522E-2</v>
      </c>
      <c r="P14" s="480">
        <f t="shared" si="5"/>
        <v>1.155914072801032E-3</v>
      </c>
      <c r="Q14" s="481">
        <f t="shared" si="6"/>
        <v>-4.1952468944005854E-5</v>
      </c>
    </row>
    <row r="15" spans="1:17" x14ac:dyDescent="0.35">
      <c r="A15" s="376" t="s">
        <v>1625</v>
      </c>
      <c r="B15" s="376" t="s">
        <v>1626</v>
      </c>
      <c r="C15" s="376" t="s">
        <v>1627</v>
      </c>
      <c r="D15" s="376">
        <v>94799279507.729996</v>
      </c>
      <c r="E15" s="376">
        <v>1.9688848215452999</v>
      </c>
      <c r="F15" s="376">
        <v>16</v>
      </c>
      <c r="G15" s="376">
        <v>413.12279999999998</v>
      </c>
      <c r="H15" s="376">
        <v>229.47</v>
      </c>
      <c r="I15" s="474"/>
      <c r="J15" s="475" t="str">
        <f t="shared" si="0"/>
        <v>Automatic Data Processing Inc</v>
      </c>
      <c r="K15" s="476" t="str">
        <f t="shared" si="0"/>
        <v>ADP</v>
      </c>
      <c r="L15" s="477">
        <f t="shared" si="1"/>
        <v>94799.279507729996</v>
      </c>
      <c r="M15" s="478">
        <f t="shared" si="2"/>
        <v>1.9688848215452998E-2</v>
      </c>
      <c r="N15" s="478">
        <f t="shared" si="3"/>
        <v>0.16</v>
      </c>
      <c r="O15" s="479">
        <f t="shared" si="4"/>
        <v>0.18126395607268925</v>
      </c>
      <c r="P15" s="480">
        <f t="shared" si="5"/>
        <v>2.5728734982521338E-3</v>
      </c>
      <c r="Q15" s="481">
        <f t="shared" si="6"/>
        <v>4.6636922876776109E-4</v>
      </c>
    </row>
    <row r="16" spans="1:17" x14ac:dyDescent="0.35">
      <c r="A16" s="376" t="s">
        <v>1628</v>
      </c>
      <c r="B16" s="376" t="s">
        <v>1629</v>
      </c>
      <c r="C16" s="376" t="s">
        <v>1630</v>
      </c>
      <c r="D16" s="376">
        <v>45767375364.659996</v>
      </c>
      <c r="E16" s="376">
        <v>0</v>
      </c>
      <c r="F16" s="376">
        <v>16.39</v>
      </c>
      <c r="G16" s="376">
        <v>213.72639999999998</v>
      </c>
      <c r="H16" s="376">
        <v>214.14</v>
      </c>
      <c r="I16" s="474"/>
      <c r="J16" s="475" t="str">
        <f t="shared" si="0"/>
        <v>Autodesk Inc</v>
      </c>
      <c r="K16" s="476" t="str">
        <f t="shared" si="0"/>
        <v>ADSK</v>
      </c>
      <c r="L16" s="477">
        <f t="shared" si="1"/>
        <v>45767.375364659994</v>
      </c>
      <c r="M16" s="478">
        <f t="shared" si="2"/>
        <v>0</v>
      </c>
      <c r="N16" s="478">
        <f t="shared" si="3"/>
        <v>0.16390000000000002</v>
      </c>
      <c r="O16" s="479">
        <f t="shared" si="4"/>
        <v>0.16390000000000002</v>
      </c>
      <c r="P16" s="480">
        <f t="shared" si="5"/>
        <v>1.2421367311202991E-3</v>
      </c>
      <c r="Q16" s="481">
        <f t="shared" si="6"/>
        <v>2.0358621023061705E-4</v>
      </c>
    </row>
    <row r="17" spans="1:17" x14ac:dyDescent="0.35">
      <c r="A17" s="376" t="s">
        <v>1631</v>
      </c>
      <c r="B17" s="376" t="s">
        <v>1632</v>
      </c>
      <c r="C17" s="376" t="s">
        <v>1462</v>
      </c>
      <c r="D17" s="376">
        <v>22433776113.209999</v>
      </c>
      <c r="E17" s="376">
        <v>2.950742950742951</v>
      </c>
      <c r="F17" s="376">
        <v>6.9249999999999998</v>
      </c>
      <c r="G17" s="376">
        <v>262.47539999999998</v>
      </c>
      <c r="H17" s="376">
        <v>85.47</v>
      </c>
      <c r="I17" s="474"/>
      <c r="J17" s="475" t="str">
        <f t="shared" si="0"/>
        <v>Ameren Corp</v>
      </c>
      <c r="K17" s="476" t="str">
        <f t="shared" si="0"/>
        <v>AEE</v>
      </c>
      <c r="L17" s="477">
        <f t="shared" si="1"/>
        <v>22433.776113209999</v>
      </c>
      <c r="M17" s="478">
        <f t="shared" si="2"/>
        <v>2.950742950742951E-2</v>
      </c>
      <c r="N17" s="478">
        <f t="shared" si="3"/>
        <v>6.9249999999999992E-2</v>
      </c>
      <c r="O17" s="479">
        <f t="shared" si="4"/>
        <v>9.9779124254124246E-2</v>
      </c>
      <c r="P17" s="480">
        <f t="shared" si="5"/>
        <v>6.0885766566077431E-4</v>
      </c>
      <c r="Q17" s="481">
        <f t="shared" si="6"/>
        <v>6.0751284675042438E-5</v>
      </c>
    </row>
    <row r="18" spans="1:17" x14ac:dyDescent="0.35">
      <c r="A18" s="376" t="s">
        <v>1633</v>
      </c>
      <c r="B18" s="376" t="s">
        <v>1634</v>
      </c>
      <c r="C18" s="376" t="s">
        <v>1463</v>
      </c>
      <c r="D18" s="376">
        <v>44900063170.20002</v>
      </c>
      <c r="E18" s="376">
        <v>3.8190781930749833</v>
      </c>
      <c r="F18" s="376">
        <v>5.61</v>
      </c>
      <c r="G18" s="376">
        <v>514.79089999999997</v>
      </c>
      <c r="H18" s="376">
        <v>87.22</v>
      </c>
      <c r="I18" s="474"/>
      <c r="J18" s="475" t="str">
        <f t="shared" si="0"/>
        <v>American Electric Power Co Inc</v>
      </c>
      <c r="K18" s="476" t="str">
        <f t="shared" si="0"/>
        <v>AEP</v>
      </c>
      <c r="L18" s="477">
        <f t="shared" si="1"/>
        <v>44900.063170200017</v>
      </c>
      <c r="M18" s="478">
        <f t="shared" si="2"/>
        <v>3.8190781930749831E-2</v>
      </c>
      <c r="N18" s="478">
        <f t="shared" si="3"/>
        <v>5.6100000000000004E-2</v>
      </c>
      <c r="O18" s="479">
        <f t="shared" si="4"/>
        <v>9.5362033363907361E-2</v>
      </c>
      <c r="P18" s="480">
        <f t="shared" si="5"/>
        <v>1.218597685555559E-3</v>
      </c>
      <c r="Q18" s="481">
        <f t="shared" si="6"/>
        <v>1.1620795314712951E-4</v>
      </c>
    </row>
    <row r="19" spans="1:17" x14ac:dyDescent="0.35">
      <c r="A19" s="376" t="s">
        <v>1635</v>
      </c>
      <c r="B19" s="376" t="s">
        <v>1636</v>
      </c>
      <c r="C19" s="376" t="s">
        <v>1464</v>
      </c>
      <c r="D19" s="376">
        <v>14457651465.6</v>
      </c>
      <c r="E19" s="376">
        <v>3.0694444444444442</v>
      </c>
      <c r="F19" s="376">
        <v>9.120000000000001</v>
      </c>
      <c r="G19" s="376">
        <v>669.33569999999997</v>
      </c>
      <c r="H19" s="376">
        <v>21.6</v>
      </c>
      <c r="I19" s="474"/>
      <c r="J19" s="475" t="str">
        <f t="shared" si="0"/>
        <v>AES Corp/The</v>
      </c>
      <c r="K19" s="476" t="str">
        <f t="shared" si="0"/>
        <v>AES</v>
      </c>
      <c r="L19" s="477">
        <f t="shared" si="1"/>
        <v>14457.6514656</v>
      </c>
      <c r="M19" s="478">
        <f t="shared" si="2"/>
        <v>3.0694444444444441E-2</v>
      </c>
      <c r="N19" s="478">
        <f t="shared" si="3"/>
        <v>9.1200000000000003E-2</v>
      </c>
      <c r="O19" s="479">
        <f t="shared" si="4"/>
        <v>0.1232941111111111</v>
      </c>
      <c r="P19" s="480">
        <f t="shared" si="5"/>
        <v>3.9238387143833973E-4</v>
      </c>
      <c r="Q19" s="481">
        <f t="shared" si="6"/>
        <v>4.8378620643326591E-5</v>
      </c>
    </row>
    <row r="20" spans="1:17" x14ac:dyDescent="0.35">
      <c r="A20" s="376" t="s">
        <v>1637</v>
      </c>
      <c r="B20" s="376" t="s">
        <v>1638</v>
      </c>
      <c r="C20" s="376" t="s">
        <v>1639</v>
      </c>
      <c r="D20" s="376">
        <v>42042114312.099998</v>
      </c>
      <c r="E20" s="376">
        <v>2.4101753377407302</v>
      </c>
      <c r="F20" s="376">
        <v>4.66</v>
      </c>
      <c r="G20" s="376">
        <v>604.22699999999998</v>
      </c>
      <c r="H20" s="376">
        <v>69.58</v>
      </c>
      <c r="I20" s="474"/>
      <c r="J20" s="475" t="str">
        <f t="shared" si="0"/>
        <v>Aflac Inc</v>
      </c>
      <c r="K20" s="476" t="str">
        <f t="shared" si="0"/>
        <v>AFL</v>
      </c>
      <c r="L20" s="477">
        <f t="shared" si="1"/>
        <v>42042.114312099999</v>
      </c>
      <c r="M20" s="478">
        <f t="shared" si="2"/>
        <v>2.4101753377407303E-2</v>
      </c>
      <c r="N20" s="478">
        <f t="shared" si="3"/>
        <v>4.6600000000000003E-2</v>
      </c>
      <c r="O20" s="479">
        <f t="shared" si="4"/>
        <v>7.1263324231100905E-2</v>
      </c>
      <c r="P20" s="480">
        <f t="shared" si="5"/>
        <v>1.1410323188718817E-3</v>
      </c>
      <c r="Q20" s="481">
        <f t="shared" si="6"/>
        <v>8.1313756097931822E-5</v>
      </c>
    </row>
    <row r="21" spans="1:17" x14ac:dyDescent="0.35">
      <c r="A21" s="376" t="s">
        <v>1640</v>
      </c>
      <c r="B21" s="376" t="s">
        <v>1641</v>
      </c>
      <c r="C21" s="376" t="s">
        <v>1642</v>
      </c>
      <c r="D21" s="376">
        <v>41724332316.799988</v>
      </c>
      <c r="E21" s="376">
        <v>2.4249783174327844</v>
      </c>
      <c r="F21" s="376">
        <v>9.5</v>
      </c>
      <c r="G21" s="376">
        <v>723.75249999999994</v>
      </c>
      <c r="H21" s="376">
        <v>57.65</v>
      </c>
      <c r="I21" s="474"/>
      <c r="J21" s="475" t="str">
        <f t="shared" si="0"/>
        <v>American International Group Inc</v>
      </c>
      <c r="K21" s="476" t="str">
        <f t="shared" si="0"/>
        <v>AIG</v>
      </c>
      <c r="L21" s="477">
        <f t="shared" si="1"/>
        <v>41724.332316799984</v>
      </c>
      <c r="M21" s="478">
        <f t="shared" si="2"/>
        <v>2.4249783174327844E-2</v>
      </c>
      <c r="N21" s="478">
        <f t="shared" si="3"/>
        <v>9.5000000000000001E-2</v>
      </c>
      <c r="O21" s="479">
        <f t="shared" si="4"/>
        <v>0.12040164787510842</v>
      </c>
      <c r="P21" s="480">
        <f t="shared" si="5"/>
        <v>1.1324076449484642E-3</v>
      </c>
      <c r="Q21" s="481">
        <f t="shared" si="6"/>
        <v>1.3634374651816578E-4</v>
      </c>
    </row>
    <row r="22" spans="1:17" x14ac:dyDescent="0.35">
      <c r="A22" s="376" t="s">
        <v>1643</v>
      </c>
      <c r="B22" s="376" t="s">
        <v>1644</v>
      </c>
      <c r="C22" s="376" t="s">
        <v>1645</v>
      </c>
      <c r="D22" s="376">
        <v>6694970875.4799995</v>
      </c>
      <c r="E22" s="376">
        <v>2.237218164496666</v>
      </c>
      <c r="F22" s="376">
        <v>11.43</v>
      </c>
      <c r="G22" s="376">
        <v>53.151559999999996</v>
      </c>
      <c r="H22" s="376">
        <v>125.96</v>
      </c>
      <c r="I22" s="474"/>
      <c r="J22" s="475" t="str">
        <f t="shared" si="0"/>
        <v>Assurant Inc</v>
      </c>
      <c r="K22" s="476" t="str">
        <f t="shared" si="0"/>
        <v>AIZ</v>
      </c>
      <c r="L22" s="477">
        <f t="shared" si="1"/>
        <v>6694.9708754799994</v>
      </c>
      <c r="M22" s="478">
        <f t="shared" si="2"/>
        <v>2.2372181644966661E-2</v>
      </c>
      <c r="N22" s="478">
        <f t="shared" si="3"/>
        <v>0.1143</v>
      </c>
      <c r="O22" s="479">
        <f t="shared" si="4"/>
        <v>0.13795075182597649</v>
      </c>
      <c r="P22" s="480">
        <f t="shared" si="5"/>
        <v>1.817029963364628E-4</v>
      </c>
      <c r="Q22" s="481">
        <f t="shared" si="6"/>
        <v>2.5066064953647695E-5</v>
      </c>
    </row>
    <row r="23" spans="1:17" x14ac:dyDescent="0.35">
      <c r="A23" s="376" t="s">
        <v>1646</v>
      </c>
      <c r="B23" s="376" t="s">
        <v>1647</v>
      </c>
      <c r="C23" s="376" t="s">
        <v>1648</v>
      </c>
      <c r="D23" s="376">
        <v>45822934480</v>
      </c>
      <c r="E23" s="376">
        <v>1.0187955863100804</v>
      </c>
      <c r="F23" s="376">
        <v>12.44</v>
      </c>
      <c r="G23" s="376">
        <v>214.24599999999998</v>
      </c>
      <c r="H23" s="376">
        <v>213.88</v>
      </c>
      <c r="I23" s="474"/>
      <c r="J23" s="475" t="str">
        <f t="shared" si="0"/>
        <v>Arthur J Gallagher &amp; Co</v>
      </c>
      <c r="K23" s="476" t="str">
        <f t="shared" si="0"/>
        <v>AJG</v>
      </c>
      <c r="L23" s="477">
        <f t="shared" si="1"/>
        <v>45822.934480000004</v>
      </c>
      <c r="M23" s="478">
        <f t="shared" si="2"/>
        <v>1.0187955863100805E-2</v>
      </c>
      <c r="N23" s="478">
        <f t="shared" si="3"/>
        <v>0.1244</v>
      </c>
      <c r="O23" s="479">
        <f t="shared" si="4"/>
        <v>0.13522164671778567</v>
      </c>
      <c r="P23" s="480">
        <f t="shared" si="5"/>
        <v>1.2436446178488367E-3</v>
      </c>
      <c r="Q23" s="481">
        <f t="shared" si="6"/>
        <v>1.6816767315723096E-4</v>
      </c>
    </row>
    <row r="24" spans="1:17" x14ac:dyDescent="0.35">
      <c r="A24" s="376" t="s">
        <v>1649</v>
      </c>
      <c r="B24" s="376" t="s">
        <v>1650</v>
      </c>
      <c r="C24" s="376" t="s">
        <v>1651</v>
      </c>
      <c r="D24" s="376">
        <v>14430005036.48</v>
      </c>
      <c r="E24" s="376">
        <v>0</v>
      </c>
      <c r="F24" s="376">
        <v>10</v>
      </c>
      <c r="G24" s="376">
        <v>156.30419999999998</v>
      </c>
      <c r="H24" s="376">
        <v>92.32</v>
      </c>
      <c r="I24" s="474"/>
      <c r="J24" s="475" t="str">
        <f t="shared" si="0"/>
        <v>Akamai Technologies Inc</v>
      </c>
      <c r="K24" s="476" t="str">
        <f t="shared" si="0"/>
        <v>AKAM</v>
      </c>
      <c r="L24" s="477">
        <f t="shared" si="1"/>
        <v>14430.005036479999</v>
      </c>
      <c r="M24" s="478">
        <f t="shared" si="2"/>
        <v>0</v>
      </c>
      <c r="N24" s="478">
        <f t="shared" si="3"/>
        <v>0.1</v>
      </c>
      <c r="O24" s="479">
        <f t="shared" si="4"/>
        <v>0.1</v>
      </c>
      <c r="P24" s="480">
        <f t="shared" si="5"/>
        <v>3.9163354121248234E-4</v>
      </c>
      <c r="Q24" s="481">
        <f t="shared" si="6"/>
        <v>3.9163354121248239E-5</v>
      </c>
    </row>
    <row r="25" spans="1:17" x14ac:dyDescent="0.35">
      <c r="A25" s="376" t="s">
        <v>1652</v>
      </c>
      <c r="B25" s="376" t="s">
        <v>1653</v>
      </c>
      <c r="C25" s="376" t="s">
        <v>1654</v>
      </c>
      <c r="D25" s="376">
        <v>27605744474.07</v>
      </c>
      <c r="E25" s="376">
        <v>0.68857057848429459</v>
      </c>
      <c r="F25" s="376">
        <v>36.564999999999998</v>
      </c>
      <c r="G25" s="376">
        <v>117.3364</v>
      </c>
      <c r="H25" s="376">
        <v>235.27</v>
      </c>
      <c r="I25" s="474"/>
      <c r="J25" s="475" t="str">
        <f t="shared" si="0"/>
        <v>Albemarle Corp</v>
      </c>
      <c r="K25" s="476" t="str">
        <f t="shared" si="0"/>
        <v>ALB</v>
      </c>
      <c r="L25" s="477">
        <f t="shared" si="1"/>
        <v>27605.744474070001</v>
      </c>
      <c r="M25" s="478">
        <f t="shared" si="2"/>
        <v>6.8857057848429456E-3</v>
      </c>
      <c r="N25" s="478">
        <f t="shared" si="3"/>
        <v>0.36564999999999998</v>
      </c>
      <c r="O25" s="479">
        <f t="shared" si="4"/>
        <v>0.37379458494495682</v>
      </c>
      <c r="P25" s="480">
        <f t="shared" si="5"/>
        <v>7.4922603553187852E-4</v>
      </c>
      <c r="Q25" s="481">
        <f t="shared" si="6"/>
        <v>2.8005663498159399E-4</v>
      </c>
    </row>
    <row r="26" spans="1:17" x14ac:dyDescent="0.35">
      <c r="A26" s="376" t="s">
        <v>1655</v>
      </c>
      <c r="B26" s="376" t="s">
        <v>1656</v>
      </c>
      <c r="C26" s="376" t="s">
        <v>1657</v>
      </c>
      <c r="D26" s="376">
        <v>28072538982.880005</v>
      </c>
      <c r="E26" s="376" t="s">
        <v>1612</v>
      </c>
      <c r="F26" s="376">
        <v>17.22</v>
      </c>
      <c r="G26" s="376">
        <v>76.516949999999994</v>
      </c>
      <c r="H26" s="376">
        <v>366.88</v>
      </c>
      <c r="I26" s="474"/>
      <c r="J26" s="475" t="str">
        <f t="shared" si="0"/>
        <v>Align Technology Inc</v>
      </c>
      <c r="K26" s="476" t="str">
        <f t="shared" si="0"/>
        <v>ALGN</v>
      </c>
      <c r="L26" s="477">
        <f t="shared" si="1"/>
        <v>28072.538982880003</v>
      </c>
      <c r="M26" s="478" t="str">
        <f t="shared" si="2"/>
        <v>0.00%</v>
      </c>
      <c r="N26" s="478">
        <f t="shared" si="3"/>
        <v>0.17219999999999999</v>
      </c>
      <c r="O26" s="479">
        <f t="shared" si="4"/>
        <v>0.17219999999999999</v>
      </c>
      <c r="P26" s="480">
        <f t="shared" si="5"/>
        <v>7.6189494216369466E-4</v>
      </c>
      <c r="Q26" s="481">
        <f t="shared" si="6"/>
        <v>1.3119830904058822E-4</v>
      </c>
    </row>
    <row r="27" spans="1:17" x14ac:dyDescent="0.35">
      <c r="A27" s="376" t="s">
        <v>1658</v>
      </c>
      <c r="B27" s="376" t="s">
        <v>1659</v>
      </c>
      <c r="C27" s="376" t="s">
        <v>1660</v>
      </c>
      <c r="D27" s="376">
        <v>6697417708.5199995</v>
      </c>
      <c r="E27" s="376">
        <v>0.25401069518716579</v>
      </c>
      <c r="F27" s="376">
        <v>23.78</v>
      </c>
      <c r="G27" s="376">
        <v>127.91099999999999</v>
      </c>
      <c r="H27" s="376">
        <v>52.36</v>
      </c>
      <c r="I27" s="474"/>
      <c r="J27" s="475" t="str">
        <f t="shared" si="0"/>
        <v>Alaska Air Group Inc</v>
      </c>
      <c r="K27" s="476" t="str">
        <f t="shared" si="0"/>
        <v>ALK</v>
      </c>
      <c r="L27" s="477">
        <f t="shared" si="1"/>
        <v>6697.4177085199999</v>
      </c>
      <c r="M27" s="478">
        <f t="shared" si="2"/>
        <v>2.5401069518716578E-3</v>
      </c>
      <c r="N27" s="478">
        <f t="shared" si="3"/>
        <v>0.23780000000000001</v>
      </c>
      <c r="O27" s="479">
        <f t="shared" si="4"/>
        <v>0.2406421256684492</v>
      </c>
      <c r="P27" s="480">
        <f t="shared" si="5"/>
        <v>1.8176940392854532E-4</v>
      </c>
      <c r="Q27" s="481">
        <f t="shared" si="6"/>
        <v>4.3741375742852102E-5</v>
      </c>
    </row>
    <row r="28" spans="1:17" x14ac:dyDescent="0.35">
      <c r="A28" s="376" t="s">
        <v>1661</v>
      </c>
      <c r="B28" s="376" t="s">
        <v>1662</v>
      </c>
      <c r="C28" s="376" t="s">
        <v>1663</v>
      </c>
      <c r="D28" s="376">
        <v>26595356759.699997</v>
      </c>
      <c r="E28" s="376">
        <v>3.4868551097054752</v>
      </c>
      <c r="F28" s="376">
        <v>-3</v>
      </c>
      <c r="G28" s="376">
        <v>262.8519</v>
      </c>
      <c r="H28" s="376">
        <v>101.18</v>
      </c>
      <c r="I28" s="474"/>
      <c r="J28" s="475" t="str">
        <f t="shared" si="0"/>
        <v>Allstate Corp/The</v>
      </c>
      <c r="K28" s="476" t="str">
        <f t="shared" si="0"/>
        <v>ALL</v>
      </c>
      <c r="L28" s="477">
        <f t="shared" si="1"/>
        <v>26595.356759699996</v>
      </c>
      <c r="M28" s="478">
        <f t="shared" si="2"/>
        <v>3.4868551097054751E-2</v>
      </c>
      <c r="N28" s="478">
        <f t="shared" si="3"/>
        <v>-0.03</v>
      </c>
      <c r="O28" s="479">
        <f t="shared" si="4"/>
        <v>4.3455228305989274E-3</v>
      </c>
      <c r="P28" s="480">
        <f t="shared" si="5"/>
        <v>7.2180388858349208E-4</v>
      </c>
      <c r="Q28" s="481">
        <f t="shared" si="6"/>
        <v>3.1366152770546493E-6</v>
      </c>
    </row>
    <row r="29" spans="1:17" x14ac:dyDescent="0.35">
      <c r="A29" s="376" t="s">
        <v>1664</v>
      </c>
      <c r="B29" s="376" t="s">
        <v>1665</v>
      </c>
      <c r="C29" s="376" t="s">
        <v>1666</v>
      </c>
      <c r="D29" s="376">
        <v>10794574889.5</v>
      </c>
      <c r="E29" s="376">
        <v>1.4477757862147631</v>
      </c>
      <c r="F29" s="376">
        <v>6.08</v>
      </c>
      <c r="G29" s="376">
        <v>87.946680000000001</v>
      </c>
      <c r="H29" s="376">
        <v>122.74</v>
      </c>
      <c r="I29" s="474"/>
      <c r="J29" s="475" t="str">
        <f t="shared" si="0"/>
        <v>Allegion plc</v>
      </c>
      <c r="K29" s="476" t="str">
        <f t="shared" si="0"/>
        <v>ALLE</v>
      </c>
      <c r="L29" s="477">
        <f t="shared" si="1"/>
        <v>10794.5748895</v>
      </c>
      <c r="M29" s="478">
        <f t="shared" si="2"/>
        <v>1.4477757862147632E-2</v>
      </c>
      <c r="N29" s="478">
        <f t="shared" si="3"/>
        <v>6.08E-2</v>
      </c>
      <c r="O29" s="479">
        <f t="shared" si="4"/>
        <v>7.5717881701156925E-2</v>
      </c>
      <c r="P29" s="480">
        <f t="shared" si="5"/>
        <v>2.9296715969057412E-4</v>
      </c>
      <c r="Q29" s="481">
        <f t="shared" si="6"/>
        <v>2.2182852739774842E-5</v>
      </c>
    </row>
    <row r="30" spans="1:17" x14ac:dyDescent="0.35">
      <c r="A30" s="376" t="s">
        <v>1667</v>
      </c>
      <c r="B30" s="376" t="s">
        <v>1668</v>
      </c>
      <c r="C30" s="376" t="s">
        <v>1669</v>
      </c>
      <c r="D30" s="376">
        <v>119865546017.10001</v>
      </c>
      <c r="E30" s="376">
        <v>0.77063191817290178</v>
      </c>
      <c r="F30" s="376">
        <v>1.87</v>
      </c>
      <c r="G30" s="376">
        <v>839.74739999999997</v>
      </c>
      <c r="H30" s="376">
        <v>142.74</v>
      </c>
      <c r="I30" s="474"/>
      <c r="J30" s="475" t="str">
        <f t="shared" si="0"/>
        <v>Applied Materials Inc</v>
      </c>
      <c r="K30" s="476" t="str">
        <f t="shared" si="0"/>
        <v>AMAT</v>
      </c>
      <c r="L30" s="477">
        <f t="shared" si="1"/>
        <v>119865.5460171</v>
      </c>
      <c r="M30" s="478">
        <f t="shared" si="2"/>
        <v>7.7063191817290178E-3</v>
      </c>
      <c r="N30" s="478">
        <f t="shared" si="3"/>
        <v>1.8700000000000001E-2</v>
      </c>
      <c r="O30" s="479">
        <f t="shared" si="4"/>
        <v>2.6478373266078187E-2</v>
      </c>
      <c r="P30" s="480">
        <f t="shared" si="5"/>
        <v>3.2531775378711728E-3</v>
      </c>
      <c r="Q30" s="481">
        <f t="shared" si="6"/>
        <v>8.6138849148574122E-5</v>
      </c>
    </row>
    <row r="31" spans="1:17" x14ac:dyDescent="0.35">
      <c r="A31" s="376" t="s">
        <v>1670</v>
      </c>
      <c r="B31" s="376" t="s">
        <v>1671</v>
      </c>
      <c r="C31" s="376" t="s">
        <v>1672</v>
      </c>
      <c r="D31" s="376">
        <v>14611436943.929998</v>
      </c>
      <c r="E31" s="376">
        <v>4.8640483383685797</v>
      </c>
      <c r="F31" s="376">
        <v>-0.83000000000000007</v>
      </c>
      <c r="G31" s="376">
        <v>1471.444</v>
      </c>
      <c r="H31" s="376">
        <v>9.93</v>
      </c>
      <c r="I31" s="474"/>
      <c r="J31" s="475" t="str">
        <f t="shared" si="0"/>
        <v>Amcor PLC</v>
      </c>
      <c r="K31" s="476" t="str">
        <f t="shared" si="0"/>
        <v>AMCR</v>
      </c>
      <c r="L31" s="477">
        <f t="shared" si="1"/>
        <v>14611.436943929999</v>
      </c>
      <c r="M31" s="478">
        <f t="shared" si="2"/>
        <v>4.8640483383685797E-2</v>
      </c>
      <c r="N31" s="478">
        <f t="shared" si="3"/>
        <v>-8.3000000000000001E-3</v>
      </c>
      <c r="O31" s="479">
        <f t="shared" si="4"/>
        <v>4.0138625377643497E-2</v>
      </c>
      <c r="P31" s="480">
        <f t="shared" si="5"/>
        <v>3.9655764347190273E-4</v>
      </c>
      <c r="Q31" s="481">
        <f t="shared" si="6"/>
        <v>1.5917278691959816E-5</v>
      </c>
    </row>
    <row r="32" spans="1:17" x14ac:dyDescent="0.35">
      <c r="A32" s="376" t="s">
        <v>1673</v>
      </c>
      <c r="B32" s="376" t="s">
        <v>1674</v>
      </c>
      <c r="C32" s="376" t="s">
        <v>1675</v>
      </c>
      <c r="D32" s="376">
        <v>186705355207.80002</v>
      </c>
      <c r="E32" s="376">
        <v>0</v>
      </c>
      <c r="F32" s="376">
        <v>6.1000000000000005</v>
      </c>
      <c r="G32" s="376">
        <v>1610.3619999999999</v>
      </c>
      <c r="H32" s="376">
        <v>115.94</v>
      </c>
      <c r="I32" s="474"/>
      <c r="J32" s="475" t="str">
        <f t="shared" si="0"/>
        <v>Advanced Micro Devices Inc</v>
      </c>
      <c r="K32" s="476" t="str">
        <f t="shared" si="0"/>
        <v>AMD</v>
      </c>
      <c r="L32" s="477">
        <f t="shared" si="1"/>
        <v>186705.35520780002</v>
      </c>
      <c r="M32" s="478">
        <f t="shared" si="2"/>
        <v>0</v>
      </c>
      <c r="N32" s="478">
        <f t="shared" si="3"/>
        <v>6.1000000000000006E-2</v>
      </c>
      <c r="O32" s="479">
        <f t="shared" si="4"/>
        <v>6.1000000000000006E-2</v>
      </c>
      <c r="P32" s="480">
        <f t="shared" si="5"/>
        <v>5.0672248026603414E-3</v>
      </c>
      <c r="Q32" s="481">
        <f t="shared" si="6"/>
        <v>3.0910071296228083E-4</v>
      </c>
    </row>
    <row r="33" spans="1:17" x14ac:dyDescent="0.35">
      <c r="A33" s="376" t="s">
        <v>1676</v>
      </c>
      <c r="B33" s="376" t="s">
        <v>1677</v>
      </c>
      <c r="C33" s="376" t="s">
        <v>1678</v>
      </c>
      <c r="D33" s="376">
        <v>36309060487.359993</v>
      </c>
      <c r="E33" s="376">
        <v>0.6341246667513013</v>
      </c>
      <c r="F33" s="376">
        <v>6.86</v>
      </c>
      <c r="G33" s="376">
        <v>230.4752</v>
      </c>
      <c r="H33" s="376">
        <v>157.54</v>
      </c>
      <c r="I33" s="474"/>
      <c r="J33" s="475" t="str">
        <f t="shared" si="0"/>
        <v>AMETEK Inc</v>
      </c>
      <c r="K33" s="476" t="str">
        <f t="shared" si="0"/>
        <v>AME</v>
      </c>
      <c r="L33" s="477">
        <f t="shared" si="1"/>
        <v>36309.060487359995</v>
      </c>
      <c r="M33" s="478">
        <f t="shared" si="2"/>
        <v>6.3412466675130128E-3</v>
      </c>
      <c r="N33" s="478">
        <f t="shared" si="3"/>
        <v>6.8600000000000008E-2</v>
      </c>
      <c r="O33" s="479">
        <f t="shared" si="4"/>
        <v>7.5158751428208714E-2</v>
      </c>
      <c r="P33" s="480">
        <f t="shared" si="5"/>
        <v>9.8543596490883491E-4</v>
      </c>
      <c r="Q33" s="481">
        <f t="shared" si="6"/>
        <v>7.4064136735000127E-5</v>
      </c>
    </row>
    <row r="34" spans="1:17" x14ac:dyDescent="0.35">
      <c r="A34" s="376" t="s">
        <v>1679</v>
      </c>
      <c r="B34" s="376" t="s">
        <v>1680</v>
      </c>
      <c r="C34" s="376" t="s">
        <v>1681</v>
      </c>
      <c r="D34" s="376">
        <v>121521897273.42001</v>
      </c>
      <c r="E34" s="376">
        <v>3.7497251901684034</v>
      </c>
      <c r="F34" s="376">
        <v>5</v>
      </c>
      <c r="G34" s="376">
        <v>534.32659999999998</v>
      </c>
      <c r="H34" s="376">
        <v>227.43</v>
      </c>
      <c r="I34" s="474"/>
      <c r="J34" s="475" t="str">
        <f t="shared" si="0"/>
        <v>Amgen Inc</v>
      </c>
      <c r="K34" s="476" t="str">
        <f t="shared" si="0"/>
        <v>AMGN</v>
      </c>
      <c r="L34" s="477">
        <f t="shared" si="1"/>
        <v>121521.89727342001</v>
      </c>
      <c r="M34" s="478">
        <f t="shared" si="2"/>
        <v>3.7497251901684035E-2</v>
      </c>
      <c r="N34" s="478">
        <f t="shared" si="3"/>
        <v>0.05</v>
      </c>
      <c r="O34" s="479">
        <f t="shared" si="4"/>
        <v>8.8434683199226136E-2</v>
      </c>
      <c r="P34" s="480">
        <f t="shared" si="5"/>
        <v>3.298131278799498E-3</v>
      </c>
      <c r="Q34" s="481">
        <f t="shared" si="6"/>
        <v>2.9166919479009219E-4</v>
      </c>
    </row>
    <row r="35" spans="1:17" x14ac:dyDescent="0.35">
      <c r="A35" s="376" t="s">
        <v>1682</v>
      </c>
      <c r="B35" s="376" t="s">
        <v>1683</v>
      </c>
      <c r="C35" s="376" t="s">
        <v>1684</v>
      </c>
      <c r="D35" s="376">
        <v>35348903877.659996</v>
      </c>
      <c r="E35" s="376">
        <v>1.5619934573104242</v>
      </c>
      <c r="F35" s="376">
        <v>16.95</v>
      </c>
      <c r="G35" s="376">
        <v>104.1788</v>
      </c>
      <c r="H35" s="376">
        <v>339.31</v>
      </c>
      <c r="I35" s="474"/>
      <c r="J35" s="475" t="str">
        <f t="shared" si="0"/>
        <v>Ameriprise Financial Inc</v>
      </c>
      <c r="K35" s="476" t="str">
        <f t="shared" si="0"/>
        <v>AMP</v>
      </c>
      <c r="L35" s="477">
        <f t="shared" si="1"/>
        <v>35348.903877659999</v>
      </c>
      <c r="M35" s="478">
        <f t="shared" si="2"/>
        <v>1.5619934573104241E-2</v>
      </c>
      <c r="N35" s="478">
        <f t="shared" si="3"/>
        <v>0.16949999999999998</v>
      </c>
      <c r="O35" s="479">
        <f t="shared" si="4"/>
        <v>0.1864437240281748</v>
      </c>
      <c r="P35" s="480">
        <f t="shared" si="5"/>
        <v>9.59377101296192E-4</v>
      </c>
      <c r="Q35" s="481">
        <f t="shared" si="6"/>
        <v>1.7886983951301752E-4</v>
      </c>
    </row>
    <row r="36" spans="1:17" x14ac:dyDescent="0.35">
      <c r="A36" s="376" t="s">
        <v>1685</v>
      </c>
      <c r="B36" s="376" t="s">
        <v>1686</v>
      </c>
      <c r="C36" s="376" t="s">
        <v>1687</v>
      </c>
      <c r="D36" s="376">
        <v>90398406098.979996</v>
      </c>
      <c r="E36" s="376">
        <v>3.3231943083982061</v>
      </c>
      <c r="F36" s="376">
        <v>17.920000000000002</v>
      </c>
      <c r="G36" s="376">
        <v>466.04319999999996</v>
      </c>
      <c r="H36" s="376">
        <v>193.97</v>
      </c>
      <c r="I36" s="474"/>
      <c r="J36" s="475" t="str">
        <f t="shared" si="0"/>
        <v>American Tower Corp</v>
      </c>
      <c r="K36" s="476" t="str">
        <f t="shared" si="0"/>
        <v>AMT</v>
      </c>
      <c r="L36" s="477">
        <f t="shared" si="1"/>
        <v>90398.406098979991</v>
      </c>
      <c r="M36" s="478">
        <f t="shared" si="2"/>
        <v>3.3231943083982057E-2</v>
      </c>
      <c r="N36" s="478">
        <f t="shared" si="3"/>
        <v>0.17920000000000003</v>
      </c>
      <c r="O36" s="479">
        <f t="shared" si="4"/>
        <v>0.21540952518430687</v>
      </c>
      <c r="P36" s="480">
        <f t="shared" si="5"/>
        <v>2.4534328166210869E-3</v>
      </c>
      <c r="Q36" s="481">
        <f t="shared" si="6"/>
        <v>5.2849279809994495E-4</v>
      </c>
    </row>
    <row r="37" spans="1:17" x14ac:dyDescent="0.35">
      <c r="A37" s="376" t="s">
        <v>1688</v>
      </c>
      <c r="B37" s="376" t="s">
        <v>1689</v>
      </c>
      <c r="C37" s="376" t="s">
        <v>1690</v>
      </c>
      <c r="D37" s="376">
        <v>1381864434699.8398</v>
      </c>
      <c r="E37" s="376">
        <v>0</v>
      </c>
      <c r="F37" s="376">
        <v>59.71</v>
      </c>
      <c r="G37" s="376">
        <v>10260.35</v>
      </c>
      <c r="H37" s="376">
        <v>134.68</v>
      </c>
      <c r="I37" s="474"/>
      <c r="J37" s="475" t="str">
        <f t="shared" si="0"/>
        <v>Amazon.com Inc</v>
      </c>
      <c r="K37" s="476" t="str">
        <f t="shared" si="0"/>
        <v>AMZN</v>
      </c>
      <c r="L37" s="477">
        <f t="shared" si="1"/>
        <v>1381864.4346998399</v>
      </c>
      <c r="M37" s="478">
        <f t="shared" si="2"/>
        <v>0</v>
      </c>
      <c r="N37" s="478">
        <f t="shared" si="3"/>
        <v>0.59709999999999996</v>
      </c>
      <c r="O37" s="479">
        <f t="shared" si="4"/>
        <v>0.59709999999999996</v>
      </c>
      <c r="P37" s="480">
        <f t="shared" si="5"/>
        <v>3.7504107633291428E-2</v>
      </c>
      <c r="Q37" s="481">
        <f t="shared" si="6"/>
        <v>2.239370266783831E-2</v>
      </c>
    </row>
    <row r="38" spans="1:17" x14ac:dyDescent="0.35">
      <c r="A38" s="376" t="s">
        <v>1691</v>
      </c>
      <c r="B38" s="376" t="s">
        <v>1692</v>
      </c>
      <c r="C38" s="376" t="s">
        <v>1693</v>
      </c>
      <c r="D38" s="376">
        <v>51045465858.420006</v>
      </c>
      <c r="E38" s="376">
        <v>0</v>
      </c>
      <c r="F38" s="376">
        <v>18.07</v>
      </c>
      <c r="G38" s="376">
        <v>308.28280000000001</v>
      </c>
      <c r="H38" s="376">
        <v>165.58</v>
      </c>
      <c r="I38" s="474"/>
      <c r="J38" s="475" t="str">
        <f t="shared" si="0"/>
        <v>Arista Networks Inc</v>
      </c>
      <c r="K38" s="476" t="str">
        <f t="shared" si="0"/>
        <v>ANET</v>
      </c>
      <c r="L38" s="477">
        <f t="shared" si="1"/>
        <v>51045.465858420008</v>
      </c>
      <c r="M38" s="478">
        <f t="shared" si="2"/>
        <v>0</v>
      </c>
      <c r="N38" s="478">
        <f t="shared" si="3"/>
        <v>0.1807</v>
      </c>
      <c r="O38" s="479">
        <f t="shared" si="4"/>
        <v>0.1807</v>
      </c>
      <c r="P38" s="480">
        <f t="shared" si="5"/>
        <v>1.3853852792452281E-3</v>
      </c>
      <c r="Q38" s="481">
        <f t="shared" si="6"/>
        <v>2.5033911995961269E-4</v>
      </c>
    </row>
    <row r="39" spans="1:17" x14ac:dyDescent="0.35">
      <c r="A39" s="376" t="s">
        <v>1694</v>
      </c>
      <c r="B39" s="376" t="s">
        <v>1695</v>
      </c>
      <c r="C39" s="376" t="s">
        <v>1696</v>
      </c>
      <c r="D39" s="376">
        <v>29833165606.5</v>
      </c>
      <c r="E39" s="376">
        <v>0</v>
      </c>
      <c r="F39" s="376">
        <v>10.26</v>
      </c>
      <c r="G39" s="376">
        <v>86.661339999999996</v>
      </c>
      <c r="H39" s="376">
        <v>344.25</v>
      </c>
      <c r="I39" s="474"/>
      <c r="J39" s="475" t="str">
        <f t="shared" si="0"/>
        <v>ANSYS Inc</v>
      </c>
      <c r="K39" s="476" t="str">
        <f t="shared" si="0"/>
        <v>ANSS</v>
      </c>
      <c r="L39" s="477">
        <f t="shared" si="1"/>
        <v>29833.165606499999</v>
      </c>
      <c r="M39" s="478">
        <f t="shared" si="2"/>
        <v>0</v>
      </c>
      <c r="N39" s="478">
        <f t="shared" si="3"/>
        <v>0.1026</v>
      </c>
      <c r="O39" s="479">
        <f t="shared" si="4"/>
        <v>0.1026</v>
      </c>
      <c r="P39" s="480">
        <f t="shared" si="5"/>
        <v>8.0967873971734227E-4</v>
      </c>
      <c r="Q39" s="481">
        <f t="shared" si="6"/>
        <v>8.3073038694999308E-5</v>
      </c>
    </row>
    <row r="40" spans="1:17" x14ac:dyDescent="0.35">
      <c r="A40" s="376" t="s">
        <v>1697</v>
      </c>
      <c r="B40" s="376" t="s">
        <v>1698</v>
      </c>
      <c r="C40" s="376" t="s">
        <v>1699</v>
      </c>
      <c r="D40" s="376">
        <v>68730658252.649994</v>
      </c>
      <c r="E40" s="376">
        <v>0.70072211821342612</v>
      </c>
      <c r="F40" s="376">
        <v>10.085000000000001</v>
      </c>
      <c r="G40" s="376">
        <v>204.24549999999999</v>
      </c>
      <c r="H40" s="376">
        <v>336.51</v>
      </c>
      <c r="I40" s="474"/>
      <c r="J40" s="475" t="str">
        <f t="shared" si="0"/>
        <v>Aon PLC</v>
      </c>
      <c r="K40" s="476" t="str">
        <f t="shared" si="0"/>
        <v>AON</v>
      </c>
      <c r="L40" s="477">
        <f t="shared" si="1"/>
        <v>68730.658252649999</v>
      </c>
      <c r="M40" s="478">
        <f t="shared" si="2"/>
        <v>7.0072211821342609E-3</v>
      </c>
      <c r="N40" s="478">
        <f t="shared" si="3"/>
        <v>0.10085000000000001</v>
      </c>
      <c r="O40" s="479">
        <f t="shared" si="4"/>
        <v>0.10821056031024338</v>
      </c>
      <c r="P40" s="480">
        <f t="shared" si="5"/>
        <v>1.8653653282380508E-3</v>
      </c>
      <c r="Q40" s="481">
        <f t="shared" si="6"/>
        <v>2.0185222735194053E-4</v>
      </c>
    </row>
    <row r="41" spans="1:17" x14ac:dyDescent="0.35">
      <c r="A41" s="376" t="s">
        <v>1700</v>
      </c>
      <c r="B41" s="376" t="s">
        <v>1701</v>
      </c>
      <c r="C41" s="376" t="s">
        <v>1702</v>
      </c>
      <c r="D41" s="376">
        <v>11194355586.68</v>
      </c>
      <c r="E41" s="376">
        <v>1.6328450477086416</v>
      </c>
      <c r="F41" s="376" t="s">
        <v>1612</v>
      </c>
      <c r="G41" s="376">
        <v>124.53779999999999</v>
      </c>
      <c r="H41" s="376">
        <v>74.41</v>
      </c>
      <c r="I41" s="474"/>
      <c r="J41" s="475" t="str">
        <f t="shared" si="0"/>
        <v>A O Smith Corp</v>
      </c>
      <c r="K41" s="476" t="str">
        <f t="shared" si="0"/>
        <v>AOS</v>
      </c>
      <c r="L41" s="477">
        <f t="shared" si="1"/>
        <v>11194.35558668</v>
      </c>
      <c r="M41" s="478">
        <f t="shared" si="2"/>
        <v>1.6328450477086417E-2</v>
      </c>
      <c r="N41" s="478" t="str">
        <f t="shared" si="3"/>
        <v>N/A</v>
      </c>
      <c r="O41" s="479" t="str">
        <f t="shared" si="4"/>
        <v>N/A</v>
      </c>
      <c r="P41" s="480" t="str">
        <f t="shared" si="5"/>
        <v>N/A</v>
      </c>
      <c r="Q41" s="481" t="str">
        <f t="shared" si="6"/>
        <v>N/A</v>
      </c>
    </row>
    <row r="42" spans="1:17" x14ac:dyDescent="0.35">
      <c r="A42" s="376" t="s">
        <v>1703</v>
      </c>
      <c r="B42" s="376" t="s">
        <v>1704</v>
      </c>
      <c r="C42" s="376" t="s">
        <v>1705</v>
      </c>
      <c r="D42" s="376">
        <v>11307072159.84</v>
      </c>
      <c r="E42" s="376">
        <v>2.7592794759825328</v>
      </c>
      <c r="F42" s="376">
        <v>11.154999999999999</v>
      </c>
      <c r="G42" s="376">
        <v>308.59909999999996</v>
      </c>
      <c r="H42" s="376">
        <v>36.64</v>
      </c>
      <c r="I42" s="474"/>
      <c r="J42" s="475" t="str">
        <f t="shared" si="0"/>
        <v>APA Corp</v>
      </c>
      <c r="K42" s="476" t="str">
        <f t="shared" si="0"/>
        <v>APA</v>
      </c>
      <c r="L42" s="477">
        <f t="shared" si="1"/>
        <v>11307.07215984</v>
      </c>
      <c r="M42" s="478">
        <f t="shared" si="2"/>
        <v>2.7592794759825328E-2</v>
      </c>
      <c r="N42" s="478">
        <f t="shared" si="3"/>
        <v>0.11155</v>
      </c>
      <c r="O42" s="479">
        <f t="shared" si="4"/>
        <v>0.14068178288755459</v>
      </c>
      <c r="P42" s="480">
        <f t="shared" si="5"/>
        <v>3.0687644941968884E-4</v>
      </c>
      <c r="Q42" s="481">
        <f t="shared" si="6"/>
        <v>4.3171926030564293E-5</v>
      </c>
    </row>
    <row r="43" spans="1:17" x14ac:dyDescent="0.35">
      <c r="A43" s="376" t="s">
        <v>1706</v>
      </c>
      <c r="B43" s="376" t="s">
        <v>1707</v>
      </c>
      <c r="C43" s="376" t="s">
        <v>1708</v>
      </c>
      <c r="D43" s="376">
        <v>66332507574.969994</v>
      </c>
      <c r="E43" s="376">
        <v>2.2921340789605869</v>
      </c>
      <c r="F43" s="376">
        <v>10.255000000000001</v>
      </c>
      <c r="G43" s="376">
        <v>222.12269999999998</v>
      </c>
      <c r="H43" s="376">
        <v>298.63</v>
      </c>
      <c r="I43" s="474"/>
      <c r="J43" s="475" t="str">
        <f t="shared" si="0"/>
        <v>Air Products and Chemicals Inc</v>
      </c>
      <c r="K43" s="476" t="str">
        <f t="shared" si="0"/>
        <v>APD</v>
      </c>
      <c r="L43" s="477">
        <f t="shared" si="1"/>
        <v>66332.50757496999</v>
      </c>
      <c r="M43" s="478">
        <f t="shared" si="2"/>
        <v>2.2921340789605869E-2</v>
      </c>
      <c r="N43" s="478">
        <f t="shared" si="3"/>
        <v>0.10255</v>
      </c>
      <c r="O43" s="479">
        <f t="shared" si="4"/>
        <v>0.1266466325385929</v>
      </c>
      <c r="P43" s="480">
        <f t="shared" si="5"/>
        <v>1.8002789862799861E-3</v>
      </c>
      <c r="Q43" s="481">
        <f t="shared" si="6"/>
        <v>2.2799927124235193E-4</v>
      </c>
    </row>
    <row r="44" spans="1:17" x14ac:dyDescent="0.35">
      <c r="A44" s="376" t="s">
        <v>1709</v>
      </c>
      <c r="B44" s="376" t="s">
        <v>1710</v>
      </c>
      <c r="C44" s="376" t="s">
        <v>1711</v>
      </c>
      <c r="D44" s="376">
        <v>50369944482.059998</v>
      </c>
      <c r="E44" s="376">
        <v>0.99869991726746243</v>
      </c>
      <c r="F44" s="376">
        <v>5.0600000000000005</v>
      </c>
      <c r="G44" s="376">
        <v>595.31899999999996</v>
      </c>
      <c r="H44" s="376">
        <v>84.61</v>
      </c>
      <c r="I44" s="474"/>
      <c r="J44" s="475" t="str">
        <f t="shared" si="0"/>
        <v>Amphenol Corp</v>
      </c>
      <c r="K44" s="476" t="str">
        <f t="shared" si="0"/>
        <v>APH</v>
      </c>
      <c r="L44" s="477">
        <f t="shared" si="1"/>
        <v>50369.944482059997</v>
      </c>
      <c r="M44" s="478">
        <f t="shared" si="2"/>
        <v>9.9869991726746245E-3</v>
      </c>
      <c r="N44" s="478">
        <f t="shared" si="3"/>
        <v>5.0600000000000006E-2</v>
      </c>
      <c r="O44" s="479">
        <f t="shared" si="4"/>
        <v>6.0839670251743298E-2</v>
      </c>
      <c r="P44" s="480">
        <f t="shared" si="5"/>
        <v>1.3670514790753887E-3</v>
      </c>
      <c r="Q44" s="481">
        <f t="shared" si="6"/>
        <v>8.3170961204104597E-5</v>
      </c>
    </row>
    <row r="45" spans="1:17" x14ac:dyDescent="0.35">
      <c r="A45" s="376" t="s">
        <v>1712</v>
      </c>
      <c r="B45" s="376" t="s">
        <v>1713</v>
      </c>
      <c r="C45" s="376" t="s">
        <v>1714</v>
      </c>
      <c r="D45" s="376">
        <v>30028915241.98</v>
      </c>
      <c r="E45" s="376">
        <v>0.15043689757679488</v>
      </c>
      <c r="F45" s="376">
        <v>11.94</v>
      </c>
      <c r="G45" s="376">
        <v>270.50639999999999</v>
      </c>
      <c r="H45" s="376">
        <v>111.01</v>
      </c>
      <c r="I45" s="474"/>
      <c r="J45" s="475" t="str">
        <f t="shared" si="0"/>
        <v>Aptiv PLC</v>
      </c>
      <c r="K45" s="476" t="str">
        <f t="shared" si="0"/>
        <v>APTV</v>
      </c>
      <c r="L45" s="477">
        <f t="shared" si="1"/>
        <v>30028.915241980001</v>
      </c>
      <c r="M45" s="478">
        <f t="shared" si="2"/>
        <v>1.5043689757679487E-3</v>
      </c>
      <c r="N45" s="478">
        <f t="shared" si="3"/>
        <v>0.11939999999999999</v>
      </c>
      <c r="O45" s="479">
        <f t="shared" si="4"/>
        <v>0.12099417980362129</v>
      </c>
      <c r="P45" s="480">
        <f t="shared" si="5"/>
        <v>8.1499142829508564E-4</v>
      </c>
      <c r="Q45" s="481">
        <f t="shared" si="6"/>
        <v>9.8609219413545713E-5</v>
      </c>
    </row>
    <row r="46" spans="1:17" x14ac:dyDescent="0.35">
      <c r="A46" s="376" t="s">
        <v>1715</v>
      </c>
      <c r="B46" s="376" t="s">
        <v>1716</v>
      </c>
      <c r="C46" s="376" t="s">
        <v>1717</v>
      </c>
      <c r="D46" s="376">
        <v>20687238902.110001</v>
      </c>
      <c r="E46" s="376">
        <v>4.1205988124111403</v>
      </c>
      <c r="F46" s="376">
        <v>9.7100000000000009</v>
      </c>
      <c r="G46" s="376">
        <v>173.0136</v>
      </c>
      <c r="H46" s="376">
        <v>119.57</v>
      </c>
      <c r="I46" s="474"/>
      <c r="J46" s="475" t="str">
        <f t="shared" si="0"/>
        <v>Alexandria Real Estate Equities Inc</v>
      </c>
      <c r="K46" s="476" t="str">
        <f t="shared" si="0"/>
        <v>ARE</v>
      </c>
      <c r="L46" s="477">
        <f t="shared" si="1"/>
        <v>20687.238902109999</v>
      </c>
      <c r="M46" s="478">
        <f t="shared" si="2"/>
        <v>4.1205988124111401E-2</v>
      </c>
      <c r="N46" s="478">
        <f t="shared" si="3"/>
        <v>9.7100000000000006E-2</v>
      </c>
      <c r="O46" s="479">
        <f t="shared" si="4"/>
        <v>0.14030653884753702</v>
      </c>
      <c r="P46" s="480">
        <f t="shared" si="5"/>
        <v>5.6145625789180535E-4</v>
      </c>
      <c r="Q46" s="481">
        <f t="shared" si="6"/>
        <v>7.8775984259089356E-5</v>
      </c>
    </row>
    <row r="47" spans="1:17" x14ac:dyDescent="0.35">
      <c r="A47" s="376" t="s">
        <v>1718</v>
      </c>
      <c r="B47" s="376" t="s">
        <v>1719</v>
      </c>
      <c r="C47" s="376" t="s">
        <v>1466</v>
      </c>
      <c r="D47" s="376">
        <v>17257563828.639999</v>
      </c>
      <c r="E47" s="376">
        <v>2.4380442062960483</v>
      </c>
      <c r="F47" s="376" t="s">
        <v>1612</v>
      </c>
      <c r="G47" s="376">
        <v>144.4873</v>
      </c>
      <c r="H47" s="376">
        <v>119.44</v>
      </c>
      <c r="I47" s="474"/>
      <c r="J47" s="475" t="str">
        <f t="shared" si="0"/>
        <v>Atmos Energy Corp</v>
      </c>
      <c r="K47" s="476" t="str">
        <f t="shared" si="0"/>
        <v>ATO</v>
      </c>
      <c r="L47" s="477">
        <f t="shared" si="1"/>
        <v>17257.563828639999</v>
      </c>
      <c r="M47" s="478">
        <f t="shared" si="2"/>
        <v>2.4380442062960483E-2</v>
      </c>
      <c r="N47" s="478" t="str">
        <f t="shared" si="3"/>
        <v>N/A</v>
      </c>
      <c r="O47" s="479" t="str">
        <f t="shared" si="4"/>
        <v>N/A</v>
      </c>
      <c r="P47" s="480" t="str">
        <f t="shared" si="5"/>
        <v>N/A</v>
      </c>
      <c r="Q47" s="481" t="str">
        <f t="shared" si="6"/>
        <v>N/A</v>
      </c>
    </row>
    <row r="48" spans="1:17" x14ac:dyDescent="0.35">
      <c r="A48" s="376" t="s">
        <v>1720</v>
      </c>
      <c r="B48" s="376" t="s">
        <v>1721</v>
      </c>
      <c r="C48" s="376" t="s">
        <v>1722</v>
      </c>
      <c r="D48" s="376">
        <v>70809316540.889999</v>
      </c>
      <c r="E48" s="376">
        <v>0.49517042300433001</v>
      </c>
      <c r="F48" s="376">
        <v>5</v>
      </c>
      <c r="G48" s="376">
        <v>786.15869999999995</v>
      </c>
      <c r="H48" s="376">
        <v>90.07</v>
      </c>
      <c r="I48" s="474"/>
      <c r="J48" s="475" t="str">
        <f t="shared" si="0"/>
        <v>Activision Blizzard Inc</v>
      </c>
      <c r="K48" s="476" t="str">
        <f t="shared" si="0"/>
        <v>ATVI</v>
      </c>
      <c r="L48" s="477">
        <f t="shared" si="1"/>
        <v>70809.316540889995</v>
      </c>
      <c r="M48" s="478">
        <f t="shared" si="2"/>
        <v>4.9517042300432999E-3</v>
      </c>
      <c r="N48" s="478">
        <f t="shared" si="3"/>
        <v>0.05</v>
      </c>
      <c r="O48" s="479">
        <f t="shared" si="4"/>
        <v>5.5075496835794387E-2</v>
      </c>
      <c r="P48" s="480">
        <f t="shared" si="5"/>
        <v>1.9217805757959054E-3</v>
      </c>
      <c r="Q48" s="481">
        <f t="shared" si="6"/>
        <v>1.0584302002133851E-4</v>
      </c>
    </row>
    <row r="49" spans="1:17" x14ac:dyDescent="0.35">
      <c r="A49" s="376" t="s">
        <v>1723</v>
      </c>
      <c r="B49" s="376" t="s">
        <v>1724</v>
      </c>
      <c r="C49" s="376" t="s">
        <v>1725</v>
      </c>
      <c r="D49" s="376">
        <v>28103035547.879997</v>
      </c>
      <c r="E49" s="376">
        <v>3.3277752513768886</v>
      </c>
      <c r="F49" s="376">
        <v>8.5</v>
      </c>
      <c r="G49" s="376">
        <v>141.9991</v>
      </c>
      <c r="H49" s="376">
        <v>197.91</v>
      </c>
      <c r="I49" s="474"/>
      <c r="J49" s="475" t="str">
        <f t="shared" si="0"/>
        <v>AvalonBay Communities Inc</v>
      </c>
      <c r="K49" s="476" t="str">
        <f t="shared" si="0"/>
        <v>AVB</v>
      </c>
      <c r="L49" s="477">
        <f t="shared" si="1"/>
        <v>28103.035547879997</v>
      </c>
      <c r="M49" s="478">
        <f t="shared" si="2"/>
        <v>3.3277752513768882E-2</v>
      </c>
      <c r="N49" s="478">
        <f t="shared" si="3"/>
        <v>8.5000000000000006E-2</v>
      </c>
      <c r="O49" s="479">
        <f t="shared" si="4"/>
        <v>0.11969205699560406</v>
      </c>
      <c r="P49" s="480">
        <f t="shared" si="5"/>
        <v>7.627226257102749E-4</v>
      </c>
      <c r="Q49" s="481">
        <f t="shared" si="6"/>
        <v>9.1291839988351002E-5</v>
      </c>
    </row>
    <row r="50" spans="1:17" x14ac:dyDescent="0.35">
      <c r="A50" s="376" t="s">
        <v>1726</v>
      </c>
      <c r="B50" s="376" t="s">
        <v>1727</v>
      </c>
      <c r="C50" s="376" t="s">
        <v>1728</v>
      </c>
      <c r="D50" s="376">
        <v>366703997174.90002</v>
      </c>
      <c r="E50" s="376">
        <v>2.0707195750523311</v>
      </c>
      <c r="F50" s="376">
        <v>12.785</v>
      </c>
      <c r="G50" s="376">
        <v>412.68539999999996</v>
      </c>
      <c r="H50" s="376">
        <v>888.58</v>
      </c>
      <c r="I50" s="474"/>
      <c r="J50" s="475" t="str">
        <f t="shared" si="0"/>
        <v>Broadcom Inc</v>
      </c>
      <c r="K50" s="476" t="str">
        <f t="shared" si="0"/>
        <v>AVGO</v>
      </c>
      <c r="L50" s="477">
        <f t="shared" si="1"/>
        <v>366703.99717490003</v>
      </c>
      <c r="M50" s="478">
        <f t="shared" si="2"/>
        <v>2.0707195750523311E-2</v>
      </c>
      <c r="N50" s="478">
        <f t="shared" si="3"/>
        <v>0.12784999999999999</v>
      </c>
      <c r="O50" s="479">
        <f t="shared" si="4"/>
        <v>0.14988090323887551</v>
      </c>
      <c r="P50" s="480">
        <f t="shared" si="5"/>
        <v>9.9524279185844809E-3</v>
      </c>
      <c r="Q50" s="481">
        <f t="shared" si="6"/>
        <v>1.4916788858572439E-3</v>
      </c>
    </row>
    <row r="51" spans="1:17" x14ac:dyDescent="0.35">
      <c r="A51" s="376" t="s">
        <v>1729</v>
      </c>
      <c r="B51" s="376" t="s">
        <v>1730</v>
      </c>
      <c r="C51" s="376" t="s">
        <v>1731</v>
      </c>
      <c r="D51" s="376">
        <v>14403540788.119999</v>
      </c>
      <c r="E51" s="376">
        <v>1.7285057728954156</v>
      </c>
      <c r="F51" s="376">
        <v>7</v>
      </c>
      <c r="G51" s="376">
        <v>80.728290000000001</v>
      </c>
      <c r="H51" s="376">
        <v>178.42</v>
      </c>
      <c r="I51" s="474"/>
      <c r="J51" s="475" t="str">
        <f t="shared" si="0"/>
        <v>Avery Dennison Corp</v>
      </c>
      <c r="K51" s="476" t="str">
        <f t="shared" si="0"/>
        <v>AVY</v>
      </c>
      <c r="L51" s="477">
        <f t="shared" si="1"/>
        <v>14403.540788119999</v>
      </c>
      <c r="M51" s="478">
        <f t="shared" si="2"/>
        <v>1.7285057728954157E-2</v>
      </c>
      <c r="N51" s="478">
        <f t="shared" si="3"/>
        <v>7.0000000000000007E-2</v>
      </c>
      <c r="O51" s="479">
        <f t="shared" si="4"/>
        <v>8.7890034749467549E-2</v>
      </c>
      <c r="P51" s="480">
        <f t="shared" si="5"/>
        <v>3.909152956349824E-4</v>
      </c>
      <c r="Q51" s="481">
        <f t="shared" si="6"/>
        <v>3.4357558917456984E-5</v>
      </c>
    </row>
    <row r="52" spans="1:17" x14ac:dyDescent="0.35">
      <c r="A52" s="376" t="s">
        <v>1732</v>
      </c>
      <c r="B52" s="376" t="s">
        <v>1733</v>
      </c>
      <c r="C52" s="376" t="s">
        <v>1435</v>
      </c>
      <c r="D52" s="376">
        <v>28458842364.310001</v>
      </c>
      <c r="E52" s="376">
        <v>1.9020586827166406</v>
      </c>
      <c r="F52" s="376">
        <v>7.62</v>
      </c>
      <c r="G52" s="376">
        <v>194.64359999999999</v>
      </c>
      <c r="H52" s="376">
        <v>146.21</v>
      </c>
      <c r="I52" s="474"/>
      <c r="J52" s="475" t="str">
        <f t="shared" si="0"/>
        <v>American Water Works Co Inc</v>
      </c>
      <c r="K52" s="476" t="str">
        <f t="shared" si="0"/>
        <v>AWK</v>
      </c>
      <c r="L52" s="477">
        <f t="shared" si="1"/>
        <v>28458.842364310003</v>
      </c>
      <c r="M52" s="478">
        <f t="shared" si="2"/>
        <v>1.9020586827166407E-2</v>
      </c>
      <c r="N52" s="478">
        <f t="shared" si="3"/>
        <v>7.6200000000000004E-2</v>
      </c>
      <c r="O52" s="479">
        <f t="shared" si="4"/>
        <v>9.5945271185281455E-2</v>
      </c>
      <c r="P52" s="480">
        <f t="shared" si="5"/>
        <v>7.723793017234674E-4</v>
      </c>
      <c r="Q52" s="481">
        <f t="shared" si="6"/>
        <v>7.4106141561756402E-5</v>
      </c>
    </row>
    <row r="53" spans="1:17" x14ac:dyDescent="0.35">
      <c r="A53" s="376" t="s">
        <v>1734</v>
      </c>
      <c r="B53" s="376" t="s">
        <v>1735</v>
      </c>
      <c r="C53" s="376" t="s">
        <v>1736</v>
      </c>
      <c r="D53" s="376">
        <v>14203711033.200001</v>
      </c>
      <c r="E53" s="376" t="s">
        <v>1612</v>
      </c>
      <c r="F53" s="376">
        <v>15.1</v>
      </c>
      <c r="G53" s="376">
        <v>73.88530999999999</v>
      </c>
      <c r="H53" s="376">
        <v>192.24</v>
      </c>
      <c r="I53" s="474"/>
      <c r="J53" s="475" t="str">
        <f t="shared" si="0"/>
        <v>Axon Enterprise Inc</v>
      </c>
      <c r="K53" s="476" t="str">
        <f t="shared" si="0"/>
        <v>AXON</v>
      </c>
      <c r="L53" s="477">
        <f t="shared" si="1"/>
        <v>14203.711033200001</v>
      </c>
      <c r="M53" s="478" t="str">
        <f t="shared" si="2"/>
        <v>0.00%</v>
      </c>
      <c r="N53" s="478">
        <f t="shared" si="3"/>
        <v>0.151</v>
      </c>
      <c r="O53" s="479">
        <f t="shared" si="4"/>
        <v>0.151</v>
      </c>
      <c r="P53" s="480">
        <f t="shared" si="5"/>
        <v>3.8549187170955096E-4</v>
      </c>
      <c r="Q53" s="481">
        <f t="shared" si="6"/>
        <v>5.8209272628142194E-5</v>
      </c>
    </row>
    <row r="54" spans="1:17" x14ac:dyDescent="0.35">
      <c r="A54" s="376" t="s">
        <v>1737</v>
      </c>
      <c r="B54" s="376" t="s">
        <v>1738</v>
      </c>
      <c r="C54" s="376" t="s">
        <v>1739</v>
      </c>
      <c r="D54" s="376">
        <v>128870506186.72998</v>
      </c>
      <c r="E54" s="376">
        <v>1.3778187900109582</v>
      </c>
      <c r="F54" s="376">
        <v>11.995000000000001</v>
      </c>
      <c r="G54" s="376">
        <v>743.24069999999995</v>
      </c>
      <c r="H54" s="376">
        <v>173.39</v>
      </c>
      <c r="I54" s="474"/>
      <c r="J54" s="475" t="str">
        <f t="shared" si="0"/>
        <v>American Express Co</v>
      </c>
      <c r="K54" s="476" t="str">
        <f t="shared" si="0"/>
        <v>AXP</v>
      </c>
      <c r="L54" s="477">
        <f t="shared" si="1"/>
        <v>128870.50618672998</v>
      </c>
      <c r="M54" s="478">
        <f t="shared" si="2"/>
        <v>1.3778187900109581E-2</v>
      </c>
      <c r="N54" s="478">
        <f t="shared" si="3"/>
        <v>0.11995000000000001</v>
      </c>
      <c r="O54" s="479">
        <f t="shared" si="4"/>
        <v>0.13455453471941867</v>
      </c>
      <c r="P54" s="480">
        <f t="shared" si="5"/>
        <v>3.4975741566383844E-3</v>
      </c>
      <c r="Q54" s="481">
        <f t="shared" si="6"/>
        <v>4.7061446329314094E-4</v>
      </c>
    </row>
    <row r="55" spans="1:17" x14ac:dyDescent="0.35">
      <c r="A55" s="376" t="s">
        <v>1740</v>
      </c>
      <c r="B55" s="376" t="s">
        <v>1741</v>
      </c>
      <c r="C55" s="376" t="s">
        <v>1742</v>
      </c>
      <c r="D55" s="376">
        <v>46417368785.709999</v>
      </c>
      <c r="E55" s="376">
        <v>0</v>
      </c>
      <c r="F55" s="376">
        <v>13.475</v>
      </c>
      <c r="G55" s="376">
        <v>18.15597</v>
      </c>
      <c r="H55" s="376">
        <v>2556.59</v>
      </c>
      <c r="I55" s="474"/>
      <c r="J55" s="475" t="str">
        <f t="shared" si="0"/>
        <v>AutoZone Inc</v>
      </c>
      <c r="K55" s="476" t="str">
        <f t="shared" si="0"/>
        <v>AZO</v>
      </c>
      <c r="L55" s="477">
        <f t="shared" si="1"/>
        <v>46417.368785710001</v>
      </c>
      <c r="M55" s="478">
        <f t="shared" si="2"/>
        <v>0</v>
      </c>
      <c r="N55" s="478">
        <f t="shared" si="3"/>
        <v>0.13475000000000001</v>
      </c>
      <c r="O55" s="479">
        <f t="shared" si="4"/>
        <v>0.13475000000000001</v>
      </c>
      <c r="P55" s="480">
        <f t="shared" si="5"/>
        <v>1.2597776969139414E-3</v>
      </c>
      <c r="Q55" s="481">
        <f t="shared" si="6"/>
        <v>1.697550446591536E-4</v>
      </c>
    </row>
    <row r="56" spans="1:17" x14ac:dyDescent="0.35">
      <c r="A56" s="376" t="s">
        <v>1743</v>
      </c>
      <c r="B56" s="376" t="s">
        <v>1744</v>
      </c>
      <c r="C56" s="376" t="s">
        <v>1745</v>
      </c>
      <c r="D56" s="376">
        <v>128211608211.84</v>
      </c>
      <c r="E56" s="376">
        <v>0.18299549549549549</v>
      </c>
      <c r="F56" s="376">
        <v>122.26</v>
      </c>
      <c r="G56" s="376">
        <v>601.59349999999995</v>
      </c>
      <c r="H56" s="376">
        <v>213.12</v>
      </c>
      <c r="I56" s="474"/>
      <c r="J56" s="475" t="str">
        <f t="shared" si="0"/>
        <v>Boeing Co/The</v>
      </c>
      <c r="K56" s="476" t="str">
        <f t="shared" si="0"/>
        <v>BA</v>
      </c>
      <c r="L56" s="477">
        <f t="shared" si="1"/>
        <v>128211.60821183999</v>
      </c>
      <c r="M56" s="478">
        <f t="shared" si="2"/>
        <v>1.8299549549549549E-3</v>
      </c>
      <c r="N56" s="478">
        <f t="shared" si="3"/>
        <v>1.2226000000000001</v>
      </c>
      <c r="O56" s="479">
        <f t="shared" si="4"/>
        <v>1.2255486064189189</v>
      </c>
      <c r="P56" s="480">
        <f t="shared" si="5"/>
        <v>3.4796915192760593E-3</v>
      </c>
      <c r="Q56" s="481">
        <f t="shared" si="6"/>
        <v>4.2645310922165055E-3</v>
      </c>
    </row>
    <row r="57" spans="1:17" x14ac:dyDescent="0.35">
      <c r="A57" s="376" t="s">
        <v>1746</v>
      </c>
      <c r="B57" s="376" t="s">
        <v>1747</v>
      </c>
      <c r="C57" s="376" t="s">
        <v>1748</v>
      </c>
      <c r="D57" s="376">
        <v>231982038561.09</v>
      </c>
      <c r="E57" s="376">
        <v>3.1776021985571967</v>
      </c>
      <c r="F57" s="376">
        <v>-5</v>
      </c>
      <c r="G57" s="376">
        <v>7969.1529999999993</v>
      </c>
      <c r="H57" s="376">
        <v>29.11</v>
      </c>
      <c r="I57" s="474"/>
      <c r="J57" s="475" t="str">
        <f t="shared" si="0"/>
        <v>Bank of America Corp</v>
      </c>
      <c r="K57" s="476" t="str">
        <f t="shared" si="0"/>
        <v>BAC</v>
      </c>
      <c r="L57" s="477">
        <f t="shared" si="1"/>
        <v>231982.03856108998</v>
      </c>
      <c r="M57" s="478">
        <f t="shared" si="2"/>
        <v>3.1776021985571966E-2</v>
      </c>
      <c r="N57" s="478">
        <f t="shared" si="3"/>
        <v>-0.05</v>
      </c>
      <c r="O57" s="479">
        <f t="shared" si="4"/>
        <v>-1.9018378564067337E-2</v>
      </c>
      <c r="P57" s="480">
        <f t="shared" si="5"/>
        <v>6.2960440436223425E-3</v>
      </c>
      <c r="Q57" s="481">
        <f t="shared" si="6"/>
        <v>-1.19740549077651E-4</v>
      </c>
    </row>
    <row r="58" spans="1:17" x14ac:dyDescent="0.35">
      <c r="A58" s="376" t="s">
        <v>1749</v>
      </c>
      <c r="B58" s="376" t="s">
        <v>1750</v>
      </c>
      <c r="C58" s="376" t="s">
        <v>1751</v>
      </c>
      <c r="D58" s="376">
        <v>17702816538.119999</v>
      </c>
      <c r="E58" s="376">
        <v>1.4445628997867805</v>
      </c>
      <c r="F58" s="376">
        <v>9.5</v>
      </c>
      <c r="G58" s="376">
        <v>314.54759999999999</v>
      </c>
      <c r="H58" s="376">
        <v>56.28</v>
      </c>
      <c r="I58" s="474"/>
      <c r="J58" s="475" t="str">
        <f t="shared" si="0"/>
        <v>Ball Corp</v>
      </c>
      <c r="K58" s="476" t="str">
        <f t="shared" si="0"/>
        <v>BALL</v>
      </c>
      <c r="L58" s="477">
        <f t="shared" si="1"/>
        <v>17702.816538119998</v>
      </c>
      <c r="M58" s="478">
        <f t="shared" si="2"/>
        <v>1.4445628997867806E-2</v>
      </c>
      <c r="N58" s="478">
        <f t="shared" si="3"/>
        <v>9.5000000000000001E-2</v>
      </c>
      <c r="O58" s="479">
        <f t="shared" si="4"/>
        <v>0.11013179637526653</v>
      </c>
      <c r="P58" s="480">
        <f t="shared" si="5"/>
        <v>4.8045837217185379E-4</v>
      </c>
      <c r="Q58" s="481">
        <f t="shared" si="6"/>
        <v>5.2913743610822623E-5</v>
      </c>
    </row>
    <row r="59" spans="1:17" x14ac:dyDescent="0.35">
      <c r="A59" s="376" t="s">
        <v>1752</v>
      </c>
      <c r="B59" s="376" t="s">
        <v>1753</v>
      </c>
      <c r="C59" s="376" t="s">
        <v>1754</v>
      </c>
      <c r="D59" s="376">
        <v>23688814949.579998</v>
      </c>
      <c r="E59" s="376">
        <v>2.5629534784464365</v>
      </c>
      <c r="F59" s="376">
        <v>0.88</v>
      </c>
      <c r="G59" s="376">
        <v>505.52319999999997</v>
      </c>
      <c r="H59" s="376">
        <v>46.86</v>
      </c>
      <c r="I59" s="474"/>
      <c r="J59" s="475" t="str">
        <f t="shared" si="0"/>
        <v>Baxter International Inc</v>
      </c>
      <c r="K59" s="476" t="str">
        <f t="shared" si="0"/>
        <v>BAX</v>
      </c>
      <c r="L59" s="477">
        <f t="shared" si="1"/>
        <v>23688.814949579999</v>
      </c>
      <c r="M59" s="478">
        <f t="shared" si="2"/>
        <v>2.5629534784464364E-2</v>
      </c>
      <c r="N59" s="478">
        <f t="shared" si="3"/>
        <v>8.8000000000000005E-3</v>
      </c>
      <c r="O59" s="479">
        <f t="shared" si="4"/>
        <v>3.4542304737516009E-2</v>
      </c>
      <c r="P59" s="480">
        <f t="shared" si="5"/>
        <v>6.429196983907834E-4</v>
      </c>
      <c r="Q59" s="481">
        <f t="shared" si="6"/>
        <v>2.2207928143566323E-5</v>
      </c>
    </row>
    <row r="60" spans="1:17" x14ac:dyDescent="0.35">
      <c r="A60" s="376" t="s">
        <v>1755</v>
      </c>
      <c r="B60" s="376" t="s">
        <v>1756</v>
      </c>
      <c r="C60" s="376" t="s">
        <v>1757</v>
      </c>
      <c r="D60" s="376">
        <v>8055398605.7699986</v>
      </c>
      <c r="E60" s="376">
        <v>2.3188405797101455</v>
      </c>
      <c r="F60" s="376">
        <v>11.46</v>
      </c>
      <c r="G60" s="376">
        <v>228.91159999999999</v>
      </c>
      <c r="H60" s="376">
        <v>35.19</v>
      </c>
      <c r="I60" s="474"/>
      <c r="J60" s="475" t="str">
        <f t="shared" si="0"/>
        <v>Bath &amp; Body Works Inc</v>
      </c>
      <c r="K60" s="476" t="str">
        <f t="shared" si="0"/>
        <v>BBWI</v>
      </c>
      <c r="L60" s="477">
        <f t="shared" si="1"/>
        <v>8055.3986057699985</v>
      </c>
      <c r="M60" s="478">
        <f t="shared" si="2"/>
        <v>2.3188405797101453E-2</v>
      </c>
      <c r="N60" s="478">
        <f t="shared" si="3"/>
        <v>0.11460000000000001</v>
      </c>
      <c r="O60" s="479">
        <f t="shared" si="4"/>
        <v>0.13911710144927536</v>
      </c>
      <c r="P60" s="480">
        <f t="shared" si="5"/>
        <v>2.1862530705154615E-4</v>
      </c>
      <c r="Q60" s="481">
        <f t="shared" si="6"/>
        <v>3.0414519020468921E-5</v>
      </c>
    </row>
    <row r="61" spans="1:17" x14ac:dyDescent="0.35">
      <c r="A61" s="376" t="s">
        <v>1758</v>
      </c>
      <c r="B61" s="376" t="s">
        <v>1759</v>
      </c>
      <c r="C61" s="376" t="s">
        <v>1760</v>
      </c>
      <c r="D61" s="376">
        <v>17507031223.049999</v>
      </c>
      <c r="E61" s="376">
        <v>4.5868129128754829</v>
      </c>
      <c r="F61" s="376">
        <v>3.14</v>
      </c>
      <c r="G61" s="376">
        <v>218.2105</v>
      </c>
      <c r="H61" s="376">
        <v>80.23</v>
      </c>
      <c r="I61" s="474"/>
      <c r="J61" s="475" t="str">
        <f t="shared" si="0"/>
        <v>Best Buy Co Inc</v>
      </c>
      <c r="K61" s="476" t="str">
        <f t="shared" si="0"/>
        <v>BBY</v>
      </c>
      <c r="L61" s="477">
        <f t="shared" si="1"/>
        <v>17507.031223049999</v>
      </c>
      <c r="M61" s="478">
        <f t="shared" si="2"/>
        <v>4.5868129128754827E-2</v>
      </c>
      <c r="N61" s="478">
        <f t="shared" si="3"/>
        <v>3.1400000000000004E-2</v>
      </c>
      <c r="O61" s="479">
        <f t="shared" si="4"/>
        <v>7.798825875607629E-2</v>
      </c>
      <c r="P61" s="480">
        <f t="shared" si="5"/>
        <v>4.7514471524211444E-4</v>
      </c>
      <c r="Q61" s="481">
        <f t="shared" si="6"/>
        <v>3.705570899888421E-5</v>
      </c>
    </row>
    <row r="62" spans="1:17" x14ac:dyDescent="0.35">
      <c r="A62" s="376" t="s">
        <v>1761</v>
      </c>
      <c r="B62" s="376" t="s">
        <v>1762</v>
      </c>
      <c r="C62" s="376" t="s">
        <v>1763</v>
      </c>
      <c r="D62" s="376">
        <v>73670626207.949997</v>
      </c>
      <c r="E62" s="376">
        <v>1.544392613439223</v>
      </c>
      <c r="F62" s="376">
        <v>9.6</v>
      </c>
      <c r="G62" s="376">
        <v>284.01490000000001</v>
      </c>
      <c r="H62" s="376">
        <v>259.39</v>
      </c>
      <c r="I62" s="474"/>
      <c r="J62" s="475" t="str">
        <f t="shared" si="0"/>
        <v>Becton Dickinson &amp; Co</v>
      </c>
      <c r="K62" s="476" t="str">
        <f t="shared" si="0"/>
        <v>BDX</v>
      </c>
      <c r="L62" s="477">
        <f t="shared" si="1"/>
        <v>73670.626207950001</v>
      </c>
      <c r="M62" s="478">
        <f t="shared" si="2"/>
        <v>1.544392613439223E-2</v>
      </c>
      <c r="N62" s="478">
        <f t="shared" si="3"/>
        <v>9.6000000000000002E-2</v>
      </c>
      <c r="O62" s="479">
        <f t="shared" si="4"/>
        <v>0.11218523458884305</v>
      </c>
      <c r="P62" s="480">
        <f t="shared" si="5"/>
        <v>1.9994371555811033E-3</v>
      </c>
      <c r="Q62" s="481">
        <f t="shared" si="6"/>
        <v>2.2430732634451516E-4</v>
      </c>
    </row>
    <row r="63" spans="1:17" x14ac:dyDescent="0.35">
      <c r="A63" s="376" t="s">
        <v>1764</v>
      </c>
      <c r="B63" s="376" t="s">
        <v>1765</v>
      </c>
      <c r="C63" s="376" t="s">
        <v>1766</v>
      </c>
      <c r="D63" s="376">
        <v>14244555295.080002</v>
      </c>
      <c r="E63" s="376">
        <v>4.2194092827004219</v>
      </c>
      <c r="F63" s="376">
        <v>-6.2850000000000001</v>
      </c>
      <c r="G63" s="376">
        <v>500.86339999999996</v>
      </c>
      <c r="H63" s="376">
        <v>28.44</v>
      </c>
      <c r="I63" s="474"/>
      <c r="J63" s="475" t="str">
        <f t="shared" si="0"/>
        <v>Franklin Resources Inc</v>
      </c>
      <c r="K63" s="476" t="str">
        <f t="shared" si="0"/>
        <v>BEN</v>
      </c>
      <c r="L63" s="477">
        <f t="shared" si="1"/>
        <v>14244.555295080001</v>
      </c>
      <c r="M63" s="478">
        <f t="shared" si="2"/>
        <v>4.2194092827004218E-2</v>
      </c>
      <c r="N63" s="478">
        <f t="shared" si="3"/>
        <v>-6.2850000000000003E-2</v>
      </c>
      <c r="O63" s="479">
        <f t="shared" si="4"/>
        <v>-2.1981856540084395E-2</v>
      </c>
      <c r="P63" s="480">
        <f t="shared" si="5"/>
        <v>3.8660039404740432E-4</v>
      </c>
      <c r="Q63" s="481">
        <f t="shared" si="6"/>
        <v>-8.4981944002901387E-6</v>
      </c>
    </row>
    <row r="64" spans="1:17" x14ac:dyDescent="0.35">
      <c r="A64" s="376" t="s">
        <v>1767</v>
      </c>
      <c r="B64" s="376" t="s">
        <v>1768</v>
      </c>
      <c r="C64" s="376" t="s">
        <v>1769</v>
      </c>
      <c r="D64" s="376">
        <v>32575998621.900002</v>
      </c>
      <c r="E64" s="376">
        <v>1.2511104530648502</v>
      </c>
      <c r="F64" s="376">
        <v>8.5500000000000007</v>
      </c>
      <c r="G64" s="376">
        <v>310.11039999999997</v>
      </c>
      <c r="H64" s="376">
        <v>67.540000000000006</v>
      </c>
      <c r="I64" s="474"/>
      <c r="J64" s="475" t="str">
        <f t="shared" si="0"/>
        <v>Brown-Forman Corp</v>
      </c>
      <c r="K64" s="476" t="str">
        <f t="shared" si="0"/>
        <v>BF/B</v>
      </c>
      <c r="L64" s="477">
        <f t="shared" si="1"/>
        <v>32575.998621900002</v>
      </c>
      <c r="M64" s="478">
        <f t="shared" si="2"/>
        <v>1.2511104530648503E-2</v>
      </c>
      <c r="N64" s="478">
        <f t="shared" si="3"/>
        <v>8.5500000000000007E-2</v>
      </c>
      <c r="O64" s="479">
        <f t="shared" si="4"/>
        <v>9.8545954249333739E-2</v>
      </c>
      <c r="P64" s="480">
        <f t="shared" si="5"/>
        <v>8.8411983686595744E-4</v>
      </c>
      <c r="Q64" s="481">
        <f t="shared" si="6"/>
        <v>8.7126432994721057E-5</v>
      </c>
    </row>
    <row r="65" spans="1:17" x14ac:dyDescent="0.35">
      <c r="A65" s="376" t="s">
        <v>1770</v>
      </c>
      <c r="B65" s="376" t="s">
        <v>1771</v>
      </c>
      <c r="C65" s="376" t="s">
        <v>1772</v>
      </c>
      <c r="D65" s="376">
        <v>15012064763.619999</v>
      </c>
      <c r="E65" s="376">
        <v>2.5724892144075446</v>
      </c>
      <c r="F65" s="376">
        <v>-5.8100000000000005</v>
      </c>
      <c r="G65" s="376">
        <v>150.61769999999999</v>
      </c>
      <c r="H65" s="376">
        <v>99.67</v>
      </c>
      <c r="I65" s="474"/>
      <c r="J65" s="475" t="str">
        <f t="shared" si="0"/>
        <v>Bunge Ltd</v>
      </c>
      <c r="K65" s="476" t="str">
        <f t="shared" si="0"/>
        <v>BG</v>
      </c>
      <c r="L65" s="477">
        <f t="shared" si="1"/>
        <v>15012.064763619999</v>
      </c>
      <c r="M65" s="478">
        <f t="shared" si="2"/>
        <v>2.5724892144075445E-2</v>
      </c>
      <c r="N65" s="478">
        <f t="shared" si="3"/>
        <v>-5.8100000000000006E-2</v>
      </c>
      <c r="O65" s="479">
        <f t="shared" si="4"/>
        <v>-3.3122415972709957E-2</v>
      </c>
      <c r="P65" s="480">
        <f t="shared" si="5"/>
        <v>4.0743077146713065E-4</v>
      </c>
      <c r="Q65" s="481">
        <f t="shared" si="6"/>
        <v>-1.3495091492616428E-5</v>
      </c>
    </row>
    <row r="66" spans="1:17" x14ac:dyDescent="0.35">
      <c r="A66" s="376" t="s">
        <v>1773</v>
      </c>
      <c r="B66" s="376" t="s">
        <v>1774</v>
      </c>
      <c r="C66" s="376" t="s">
        <v>1775</v>
      </c>
      <c r="D66" s="376">
        <v>40372988706.239998</v>
      </c>
      <c r="E66" s="376">
        <v>0</v>
      </c>
      <c r="F66" s="376">
        <v>5.1930000000000005</v>
      </c>
      <c r="G66" s="376">
        <v>144.7424</v>
      </c>
      <c r="H66" s="376">
        <v>278.93</v>
      </c>
      <c r="I66" s="474"/>
      <c r="J66" s="475" t="str">
        <f t="shared" si="0"/>
        <v>Biogen Inc</v>
      </c>
      <c r="K66" s="476" t="str">
        <f t="shared" si="0"/>
        <v>BIIB</v>
      </c>
      <c r="L66" s="477">
        <f t="shared" si="1"/>
        <v>40372.988706240001</v>
      </c>
      <c r="M66" s="478">
        <f t="shared" si="2"/>
        <v>0</v>
      </c>
      <c r="N66" s="478">
        <f t="shared" si="3"/>
        <v>5.1930000000000004E-2</v>
      </c>
      <c r="O66" s="479">
        <f t="shared" si="4"/>
        <v>5.1930000000000004E-2</v>
      </c>
      <c r="P66" s="480">
        <f t="shared" si="5"/>
        <v>1.0957318792601963E-3</v>
      </c>
      <c r="Q66" s="481">
        <f t="shared" si="6"/>
        <v>5.6901356489982E-5</v>
      </c>
    </row>
    <row r="67" spans="1:17" x14ac:dyDescent="0.35">
      <c r="A67" s="376" t="s">
        <v>1776</v>
      </c>
      <c r="B67" s="376" t="s">
        <v>1777</v>
      </c>
      <c r="C67" s="376" t="s">
        <v>1778</v>
      </c>
      <c r="D67" s="376">
        <v>11612927117.01</v>
      </c>
      <c r="E67" s="376">
        <v>0</v>
      </c>
      <c r="F67" s="376" t="s">
        <v>1612</v>
      </c>
      <c r="G67" s="376">
        <v>24.536300000000001</v>
      </c>
      <c r="H67" s="376">
        <v>396.57</v>
      </c>
      <c r="I67" s="474"/>
      <c r="J67" s="475" t="str">
        <f t="shared" si="0"/>
        <v>Bio-Rad Laboratories Inc</v>
      </c>
      <c r="K67" s="476" t="str">
        <f t="shared" si="0"/>
        <v>BIO</v>
      </c>
      <c r="L67" s="477">
        <f t="shared" si="1"/>
        <v>11612.92711701</v>
      </c>
      <c r="M67" s="478">
        <f t="shared" si="2"/>
        <v>0</v>
      </c>
      <c r="N67" s="478" t="str">
        <f t="shared" si="3"/>
        <v>N/A</v>
      </c>
      <c r="O67" s="479" t="str">
        <f t="shared" si="4"/>
        <v>N/A</v>
      </c>
      <c r="P67" s="480" t="str">
        <f t="shared" si="5"/>
        <v>N/A</v>
      </c>
      <c r="Q67" s="481" t="str">
        <f t="shared" si="6"/>
        <v>N/A</v>
      </c>
    </row>
    <row r="68" spans="1:17" x14ac:dyDescent="0.35">
      <c r="A68" s="376" t="s">
        <v>1779</v>
      </c>
      <c r="B68" s="376" t="s">
        <v>1780</v>
      </c>
      <c r="C68" s="376" t="s">
        <v>1781</v>
      </c>
      <c r="D68" s="376">
        <v>33561861024.359997</v>
      </c>
      <c r="E68" s="376">
        <v>3.6585939336938629</v>
      </c>
      <c r="F68" s="376">
        <v>10</v>
      </c>
      <c r="G68" s="376">
        <v>789.13379999999995</v>
      </c>
      <c r="H68" s="376">
        <v>42.53</v>
      </c>
      <c r="I68" s="474"/>
      <c r="J68" s="475" t="str">
        <f t="shared" ref="J68:K131" si="7">B68</f>
        <v>Bank of New York Mellon Corp/The</v>
      </c>
      <c r="K68" s="476" t="str">
        <f t="shared" si="7"/>
        <v>BK</v>
      </c>
      <c r="L68" s="477">
        <f t="shared" ref="L68:L131" si="8">D68/1000000</f>
        <v>33561.861024359998</v>
      </c>
      <c r="M68" s="478">
        <f t="shared" ref="M68:M131" si="9">IFERROR(E68/100,"0.00%")</f>
        <v>3.6585939336938628E-2</v>
      </c>
      <c r="N68" s="478">
        <f t="shared" ref="N68:N131" si="10">IFERROR(F68/100,"N/A")</f>
        <v>0.1</v>
      </c>
      <c r="O68" s="479">
        <f t="shared" ref="O68:O131" si="11">IFERROR(M68*(1+0.5*N68)+N68,"N/A")</f>
        <v>0.13841523630378555</v>
      </c>
      <c r="P68" s="480">
        <f t="shared" ref="P68:P131" si="12">IF(O68="N/A","N/A",L68/$L$504)</f>
        <v>9.108763614026833E-4</v>
      </c>
      <c r="Q68" s="481">
        <f t="shared" ref="Q68:Q131" si="13">IF(AND(ISNUMBER(L68),ISNUMBER(O68)),O68*P68,"N/A")</f>
        <v>1.2607916680708477E-4</v>
      </c>
    </row>
    <row r="69" spans="1:17" x14ac:dyDescent="0.35">
      <c r="A69" s="376" t="s">
        <v>1782</v>
      </c>
      <c r="B69" s="376" t="s">
        <v>1783</v>
      </c>
      <c r="C69" s="376" t="s">
        <v>1784</v>
      </c>
      <c r="D69" s="376">
        <v>105885825591.84</v>
      </c>
      <c r="E69" s="376">
        <v>0</v>
      </c>
      <c r="F69" s="376">
        <v>20</v>
      </c>
      <c r="G69" s="376">
        <v>36.93365</v>
      </c>
      <c r="H69" s="376">
        <v>2866.92</v>
      </c>
      <c r="I69" s="474"/>
      <c r="J69" s="475" t="str">
        <f t="shared" si="7"/>
        <v>Booking Holdings Inc</v>
      </c>
      <c r="K69" s="476" t="str">
        <f t="shared" si="7"/>
        <v>BKNG</v>
      </c>
      <c r="L69" s="477">
        <f t="shared" si="8"/>
        <v>105885.82559184</v>
      </c>
      <c r="M69" s="478">
        <f t="shared" si="9"/>
        <v>0</v>
      </c>
      <c r="N69" s="478">
        <f t="shared" si="10"/>
        <v>0.2</v>
      </c>
      <c r="O69" s="479">
        <f t="shared" si="11"/>
        <v>0.2</v>
      </c>
      <c r="P69" s="480">
        <f t="shared" si="12"/>
        <v>2.8737648210035026E-3</v>
      </c>
      <c r="Q69" s="481">
        <f t="shared" si="13"/>
        <v>5.747529642007005E-4</v>
      </c>
    </row>
    <row r="70" spans="1:17" x14ac:dyDescent="0.35">
      <c r="A70" s="376" t="s">
        <v>1785</v>
      </c>
      <c r="B70" s="376" t="s">
        <v>1786</v>
      </c>
      <c r="C70" s="376" t="s">
        <v>1787</v>
      </c>
      <c r="D70" s="376">
        <v>34774641089.099998</v>
      </c>
      <c r="E70" s="376">
        <v>2.2125181950509463</v>
      </c>
      <c r="F70" s="376">
        <v>56.2</v>
      </c>
      <c r="G70" s="376">
        <v>1012.362</v>
      </c>
      <c r="H70" s="376">
        <v>34.35</v>
      </c>
      <c r="I70" s="474"/>
      <c r="J70" s="475" t="str">
        <f t="shared" si="7"/>
        <v>Baker Hughes Co</v>
      </c>
      <c r="K70" s="476" t="str">
        <f t="shared" si="7"/>
        <v>BKR</v>
      </c>
      <c r="L70" s="477">
        <f t="shared" si="8"/>
        <v>34774.641089099998</v>
      </c>
      <c r="M70" s="478">
        <f t="shared" si="9"/>
        <v>2.2125181950509464E-2</v>
      </c>
      <c r="N70" s="478">
        <f t="shared" si="10"/>
        <v>0.56200000000000006</v>
      </c>
      <c r="O70" s="479">
        <f t="shared" si="11"/>
        <v>0.59034235807860269</v>
      </c>
      <c r="P70" s="480">
        <f t="shared" si="12"/>
        <v>9.437914816860987E-4</v>
      </c>
      <c r="Q70" s="481">
        <f t="shared" si="13"/>
        <v>5.5716008883306993E-4</v>
      </c>
    </row>
    <row r="71" spans="1:17" x14ac:dyDescent="0.35">
      <c r="A71" s="376" t="s">
        <v>1788</v>
      </c>
      <c r="B71" s="376" t="s">
        <v>1789</v>
      </c>
      <c r="C71" s="376" t="s">
        <v>1790</v>
      </c>
      <c r="D71" s="376">
        <v>109735453007.03</v>
      </c>
      <c r="E71" s="376">
        <v>2.7726879386838452</v>
      </c>
      <c r="F71" s="376">
        <v>9.6</v>
      </c>
      <c r="G71" s="376">
        <v>149.7627</v>
      </c>
      <c r="H71" s="376">
        <v>728.03</v>
      </c>
      <c r="I71" s="474"/>
      <c r="J71" s="475" t="str">
        <f t="shared" si="7"/>
        <v>BlackRock Inc</v>
      </c>
      <c r="K71" s="476" t="str">
        <f t="shared" si="7"/>
        <v>BLK</v>
      </c>
      <c r="L71" s="477">
        <f t="shared" si="8"/>
        <v>109735.45300703</v>
      </c>
      <c r="M71" s="478">
        <f t="shared" si="9"/>
        <v>2.7726879386838453E-2</v>
      </c>
      <c r="N71" s="478">
        <f t="shared" si="10"/>
        <v>9.6000000000000002E-2</v>
      </c>
      <c r="O71" s="479">
        <f t="shared" si="11"/>
        <v>0.12505776959740669</v>
      </c>
      <c r="P71" s="480">
        <f t="shared" si="12"/>
        <v>2.9782445639521772E-3</v>
      </c>
      <c r="Q71" s="481">
        <f t="shared" si="13"/>
        <v>3.7245262248346034E-4</v>
      </c>
    </row>
    <row r="72" spans="1:17" x14ac:dyDescent="0.35">
      <c r="A72" s="376" t="s">
        <v>1791</v>
      </c>
      <c r="B72" s="376" t="s">
        <v>1792</v>
      </c>
      <c r="C72" s="376" t="s">
        <v>1793</v>
      </c>
      <c r="D72" s="376">
        <v>130126471727.72</v>
      </c>
      <c r="E72" s="376">
        <v>3.687439457539555</v>
      </c>
      <c r="F72" s="376">
        <v>3.5550000000000002</v>
      </c>
      <c r="G72" s="376">
        <v>2100.8469999999998</v>
      </c>
      <c r="H72" s="376">
        <v>61.94</v>
      </c>
      <c r="I72" s="474"/>
      <c r="J72" s="475" t="str">
        <f t="shared" si="7"/>
        <v>Bristol-Myers Squibb Co</v>
      </c>
      <c r="K72" s="476" t="str">
        <f t="shared" si="7"/>
        <v>BMY</v>
      </c>
      <c r="L72" s="477">
        <f t="shared" si="8"/>
        <v>130126.47172772</v>
      </c>
      <c r="M72" s="478">
        <f t="shared" si="9"/>
        <v>3.6874394575395548E-2</v>
      </c>
      <c r="N72" s="478">
        <f t="shared" si="10"/>
        <v>3.5549999999999998E-2</v>
      </c>
      <c r="O72" s="479">
        <f t="shared" si="11"/>
        <v>7.3079836938973214E-2</v>
      </c>
      <c r="P72" s="480">
        <f t="shared" si="12"/>
        <v>3.5316613403375773E-3</v>
      </c>
      <c r="Q72" s="481">
        <f t="shared" si="13"/>
        <v>2.5809323487554575E-4</v>
      </c>
    </row>
    <row r="73" spans="1:17" x14ac:dyDescent="0.35">
      <c r="A73" s="376" t="s">
        <v>1794</v>
      </c>
      <c r="B73" s="376" t="s">
        <v>1795</v>
      </c>
      <c r="C73" s="376" t="s">
        <v>1796</v>
      </c>
      <c r="D73" s="376">
        <v>19819550914.600002</v>
      </c>
      <c r="E73" s="376">
        <v>1.7179594023453777</v>
      </c>
      <c r="F73" s="376" t="s">
        <v>1612</v>
      </c>
      <c r="G73" s="376">
        <v>117.98049999999999</v>
      </c>
      <c r="H73" s="376">
        <v>167.99</v>
      </c>
      <c r="I73" s="474"/>
      <c r="J73" s="475" t="str">
        <f t="shared" si="7"/>
        <v>Broadridge Financial Solutions Inc</v>
      </c>
      <c r="K73" s="476" t="str">
        <f t="shared" si="7"/>
        <v>BR</v>
      </c>
      <c r="L73" s="477">
        <f t="shared" si="8"/>
        <v>19819.550914600004</v>
      </c>
      <c r="M73" s="478">
        <f t="shared" si="9"/>
        <v>1.7179594023453777E-2</v>
      </c>
      <c r="N73" s="478" t="str">
        <f t="shared" si="10"/>
        <v>N/A</v>
      </c>
      <c r="O73" s="479" t="str">
        <f t="shared" si="11"/>
        <v>N/A</v>
      </c>
      <c r="P73" s="480" t="str">
        <f t="shared" si="12"/>
        <v>N/A</v>
      </c>
      <c r="Q73" s="481" t="str">
        <f t="shared" si="13"/>
        <v>N/A</v>
      </c>
    </row>
    <row r="74" spans="1:17" x14ac:dyDescent="0.35">
      <c r="A74" s="376" t="s">
        <v>1797</v>
      </c>
      <c r="B74" s="376" t="s">
        <v>1798</v>
      </c>
      <c r="C74" s="376" t="s">
        <v>1799</v>
      </c>
      <c r="D74" s="376">
        <v>745164850038.48999</v>
      </c>
      <c r="E74" s="376">
        <v>0</v>
      </c>
      <c r="F74" s="376" t="s">
        <v>1612</v>
      </c>
      <c r="G74" s="376">
        <v>1295.971</v>
      </c>
      <c r="H74" s="376">
        <v>341.09</v>
      </c>
      <c r="I74" s="474"/>
      <c r="J74" s="475" t="str">
        <f t="shared" si="7"/>
        <v>Berkshire Hathaway Inc</v>
      </c>
      <c r="K74" s="476" t="str">
        <f t="shared" si="7"/>
        <v>BRK/B</v>
      </c>
      <c r="L74" s="477">
        <f t="shared" si="8"/>
        <v>745164.85003849003</v>
      </c>
      <c r="M74" s="478">
        <f t="shared" si="9"/>
        <v>0</v>
      </c>
      <c r="N74" s="478" t="str">
        <f t="shared" si="10"/>
        <v>N/A</v>
      </c>
      <c r="O74" s="479" t="str">
        <f t="shared" si="11"/>
        <v>N/A</v>
      </c>
      <c r="P74" s="480" t="str">
        <f t="shared" si="12"/>
        <v>N/A</v>
      </c>
      <c r="Q74" s="481" t="str">
        <f t="shared" si="13"/>
        <v>N/A</v>
      </c>
    </row>
    <row r="75" spans="1:17" x14ac:dyDescent="0.35">
      <c r="A75" s="376" t="s">
        <v>1800</v>
      </c>
      <c r="B75" s="376" t="s">
        <v>1801</v>
      </c>
      <c r="C75" s="376" t="s">
        <v>1802</v>
      </c>
      <c r="D75" s="376">
        <v>19492033822.079998</v>
      </c>
      <c r="E75" s="376">
        <v>0.68393480791618166</v>
      </c>
      <c r="F75" s="376">
        <v>8</v>
      </c>
      <c r="G75" s="376">
        <v>283.64429999999999</v>
      </c>
      <c r="H75" s="376">
        <v>68.72</v>
      </c>
      <c r="I75" s="474"/>
      <c r="J75" s="475" t="str">
        <f t="shared" si="7"/>
        <v>Brown &amp; Brown Inc</v>
      </c>
      <c r="K75" s="476" t="str">
        <f t="shared" si="7"/>
        <v>BRO</v>
      </c>
      <c r="L75" s="477">
        <f t="shared" si="8"/>
        <v>19492.033822079997</v>
      </c>
      <c r="M75" s="478">
        <f t="shared" si="9"/>
        <v>6.8393480791618163E-3</v>
      </c>
      <c r="N75" s="478">
        <f t="shared" si="10"/>
        <v>0.08</v>
      </c>
      <c r="O75" s="479">
        <f t="shared" si="11"/>
        <v>8.7112922002328286E-2</v>
      </c>
      <c r="P75" s="480">
        <f t="shared" si="12"/>
        <v>5.2901812659635842E-4</v>
      </c>
      <c r="Q75" s="481">
        <f t="shared" si="13"/>
        <v>4.6084314800006403E-5</v>
      </c>
    </row>
    <row r="76" spans="1:17" x14ac:dyDescent="0.35">
      <c r="A76" s="376" t="s">
        <v>1803</v>
      </c>
      <c r="B76" s="376" t="s">
        <v>1804</v>
      </c>
      <c r="C76" s="376" t="s">
        <v>1805</v>
      </c>
      <c r="D76" s="376">
        <v>76241130296.029999</v>
      </c>
      <c r="E76" s="376">
        <v>0</v>
      </c>
      <c r="F76" s="376">
        <v>11.48</v>
      </c>
      <c r="G76" s="376">
        <v>1437.6979999999999</v>
      </c>
      <c r="H76" s="376">
        <v>53.03</v>
      </c>
      <c r="I76" s="474"/>
      <c r="J76" s="475" t="str">
        <f t="shared" si="7"/>
        <v>Boston Scientific Corp</v>
      </c>
      <c r="K76" s="476" t="str">
        <f t="shared" si="7"/>
        <v>BSX</v>
      </c>
      <c r="L76" s="477">
        <f t="shared" si="8"/>
        <v>76241.130296029994</v>
      </c>
      <c r="M76" s="478">
        <f t="shared" si="9"/>
        <v>0</v>
      </c>
      <c r="N76" s="478">
        <f t="shared" si="10"/>
        <v>0.1148</v>
      </c>
      <c r="O76" s="479">
        <f t="shared" si="11"/>
        <v>0.1148</v>
      </c>
      <c r="P76" s="480">
        <f t="shared" si="12"/>
        <v>2.0692012073725572E-3</v>
      </c>
      <c r="Q76" s="481">
        <f t="shared" si="13"/>
        <v>2.3754429860636957E-4</v>
      </c>
    </row>
    <row r="77" spans="1:17" x14ac:dyDescent="0.35">
      <c r="A77" s="376" t="s">
        <v>1806</v>
      </c>
      <c r="B77" s="376" t="s">
        <v>1807</v>
      </c>
      <c r="C77" s="376" t="s">
        <v>1808</v>
      </c>
      <c r="D77" s="376">
        <v>10692112363.859999</v>
      </c>
      <c r="E77" s="376">
        <v>1.5037264357737836</v>
      </c>
      <c r="F77" s="376">
        <v>12.555</v>
      </c>
      <c r="G77" s="376">
        <v>234.37339999999998</v>
      </c>
      <c r="H77" s="376">
        <v>45.62</v>
      </c>
      <c r="I77" s="474"/>
      <c r="J77" s="475" t="str">
        <f t="shared" si="7"/>
        <v>BorgWarner Inc</v>
      </c>
      <c r="K77" s="476" t="str">
        <f t="shared" si="7"/>
        <v>BWA</v>
      </c>
      <c r="L77" s="477">
        <f t="shared" si="8"/>
        <v>10692.112363859998</v>
      </c>
      <c r="M77" s="478">
        <f t="shared" si="9"/>
        <v>1.5037264357737836E-2</v>
      </c>
      <c r="N77" s="478">
        <f t="shared" si="10"/>
        <v>0.12554999999999999</v>
      </c>
      <c r="O77" s="479">
        <f t="shared" si="11"/>
        <v>0.14153122862779483</v>
      </c>
      <c r="P77" s="480">
        <f t="shared" si="12"/>
        <v>2.901863039904879E-4</v>
      </c>
      <c r="Q77" s="481">
        <f t="shared" si="13"/>
        <v>4.1070424134732514E-5</v>
      </c>
    </row>
    <row r="78" spans="1:17" x14ac:dyDescent="0.35">
      <c r="A78" s="376" t="s">
        <v>1809</v>
      </c>
      <c r="B78" s="376" t="s">
        <v>1810</v>
      </c>
      <c r="C78" s="376" t="s">
        <v>1811</v>
      </c>
      <c r="D78" s="376">
        <v>9639109092.4799995</v>
      </c>
      <c r="E78" s="376">
        <v>6.4041653107712335</v>
      </c>
      <c r="F78" s="376">
        <v>1.21</v>
      </c>
      <c r="G78" s="376">
        <v>156.8355</v>
      </c>
      <c r="H78" s="376">
        <v>61.46</v>
      </c>
      <c r="I78" s="474"/>
      <c r="J78" s="475" t="str">
        <f t="shared" si="7"/>
        <v>Boston Properties Inc</v>
      </c>
      <c r="K78" s="476" t="str">
        <f t="shared" si="7"/>
        <v>BXP</v>
      </c>
      <c r="L78" s="477">
        <f t="shared" si="8"/>
        <v>9639.1090924799992</v>
      </c>
      <c r="M78" s="478">
        <f t="shared" si="9"/>
        <v>6.4041653107712329E-2</v>
      </c>
      <c r="N78" s="478">
        <f t="shared" si="10"/>
        <v>1.21E-2</v>
      </c>
      <c r="O78" s="479">
        <f t="shared" si="11"/>
        <v>7.6529105109013992E-2</v>
      </c>
      <c r="P78" s="480">
        <f t="shared" si="12"/>
        <v>2.6160756136106225E-4</v>
      </c>
      <c r="Q78" s="481">
        <f t="shared" si="13"/>
        <v>2.0020592560713562E-5</v>
      </c>
    </row>
    <row r="79" spans="1:17" x14ac:dyDescent="0.35">
      <c r="A79" s="376" t="s">
        <v>1812</v>
      </c>
      <c r="B79" s="376" t="s">
        <v>1813</v>
      </c>
      <c r="C79" s="376" t="s">
        <v>1814</v>
      </c>
      <c r="D79" s="376">
        <v>88604025000.000015</v>
      </c>
      <c r="E79" s="376">
        <v>4.5136612021857925</v>
      </c>
      <c r="F79" s="376">
        <v>-4.0600000000000005</v>
      </c>
      <c r="G79" s="376">
        <v>1936.6999999999998</v>
      </c>
      <c r="H79" s="376">
        <v>45.75</v>
      </c>
      <c r="I79" s="474"/>
      <c r="J79" s="475" t="str">
        <f t="shared" si="7"/>
        <v>Citigroup Inc</v>
      </c>
      <c r="K79" s="476" t="str">
        <f t="shared" si="7"/>
        <v>C</v>
      </c>
      <c r="L79" s="477">
        <f t="shared" si="8"/>
        <v>88604.025000000009</v>
      </c>
      <c r="M79" s="478">
        <f t="shared" si="9"/>
        <v>4.5136612021857925E-2</v>
      </c>
      <c r="N79" s="478">
        <f t="shared" si="10"/>
        <v>-4.0600000000000004E-2</v>
      </c>
      <c r="O79" s="479">
        <f t="shared" si="11"/>
        <v>3.6203387978142043E-3</v>
      </c>
      <c r="P79" s="480">
        <f t="shared" si="12"/>
        <v>2.4047329151101931E-3</v>
      </c>
      <c r="Q79" s="481">
        <f t="shared" si="13"/>
        <v>8.7059478709542836E-6</v>
      </c>
    </row>
    <row r="80" spans="1:17" x14ac:dyDescent="0.35">
      <c r="A80" s="376" t="s">
        <v>1815</v>
      </c>
      <c r="B80" s="376" t="s">
        <v>1816</v>
      </c>
      <c r="C80" s="376" t="s">
        <v>1817</v>
      </c>
      <c r="D80" s="376">
        <v>15695287028.399998</v>
      </c>
      <c r="E80" s="376">
        <v>4.2310030395136788</v>
      </c>
      <c r="F80" s="376">
        <v>1.31</v>
      </c>
      <c r="G80" s="376">
        <v>477.06039999999996</v>
      </c>
      <c r="H80" s="376">
        <v>32.9</v>
      </c>
      <c r="I80" s="474"/>
      <c r="J80" s="475" t="str">
        <f t="shared" si="7"/>
        <v>Conagra Brands Inc</v>
      </c>
      <c r="K80" s="476" t="str">
        <f t="shared" si="7"/>
        <v>CAG</v>
      </c>
      <c r="L80" s="477">
        <f t="shared" si="8"/>
        <v>15695.287028399998</v>
      </c>
      <c r="M80" s="478">
        <f t="shared" si="9"/>
        <v>4.231003039513679E-2</v>
      </c>
      <c r="N80" s="478">
        <f t="shared" si="10"/>
        <v>1.3100000000000001E-2</v>
      </c>
      <c r="O80" s="479">
        <f t="shared" si="11"/>
        <v>5.5687161094224939E-2</v>
      </c>
      <c r="P80" s="480">
        <f t="shared" si="12"/>
        <v>4.2597357545885218E-4</v>
      </c>
      <c r="Q80" s="481">
        <f t="shared" si="13"/>
        <v>2.3721259118460086E-5</v>
      </c>
    </row>
    <row r="81" spans="1:17" x14ac:dyDescent="0.35">
      <c r="A81" s="376" t="s">
        <v>1818</v>
      </c>
      <c r="B81" s="376" t="s">
        <v>1819</v>
      </c>
      <c r="C81" s="376" t="s">
        <v>1820</v>
      </c>
      <c r="D81" s="376">
        <v>23713460951.48</v>
      </c>
      <c r="E81" s="376">
        <v>2.1494524371913251</v>
      </c>
      <c r="F81" s="376">
        <v>13.200000000000001</v>
      </c>
      <c r="G81" s="376">
        <v>254.6002</v>
      </c>
      <c r="H81" s="376">
        <v>93.14</v>
      </c>
      <c r="I81" s="474"/>
      <c r="J81" s="475" t="str">
        <f t="shared" si="7"/>
        <v>Cardinal Health Inc</v>
      </c>
      <c r="K81" s="476" t="str">
        <f t="shared" si="7"/>
        <v>CAH</v>
      </c>
      <c r="L81" s="477">
        <f t="shared" si="8"/>
        <v>23713.460951479999</v>
      </c>
      <c r="M81" s="478">
        <f t="shared" si="9"/>
        <v>2.1494524371913251E-2</v>
      </c>
      <c r="N81" s="478">
        <f t="shared" si="10"/>
        <v>0.13200000000000001</v>
      </c>
      <c r="O81" s="479">
        <f t="shared" si="11"/>
        <v>0.15491316298045954</v>
      </c>
      <c r="P81" s="480">
        <f t="shared" si="12"/>
        <v>6.4358859635557447E-4</v>
      </c>
      <c r="Q81" s="481">
        <f t="shared" si="13"/>
        <v>9.9700345119596297E-5</v>
      </c>
    </row>
    <row r="82" spans="1:17" x14ac:dyDescent="0.35">
      <c r="A82" s="376" t="s">
        <v>1821</v>
      </c>
      <c r="B82" s="376" t="s">
        <v>1822</v>
      </c>
      <c r="C82" s="376" t="s">
        <v>1823</v>
      </c>
      <c r="D82" s="376">
        <v>44947683411.68</v>
      </c>
      <c r="E82" s="376">
        <v>1.3484398216939077</v>
      </c>
      <c r="F82" s="376">
        <v>10.65</v>
      </c>
      <c r="G82" s="376">
        <v>834.83809999999994</v>
      </c>
      <c r="H82" s="376">
        <v>53.84</v>
      </c>
      <c r="I82" s="474"/>
      <c r="J82" s="475" t="str">
        <f t="shared" si="7"/>
        <v>Carrier Global Corp</v>
      </c>
      <c r="K82" s="476" t="str">
        <f t="shared" si="7"/>
        <v>CARR</v>
      </c>
      <c r="L82" s="477">
        <f t="shared" si="8"/>
        <v>44947.683411680002</v>
      </c>
      <c r="M82" s="478">
        <f t="shared" si="9"/>
        <v>1.3484398216939078E-2</v>
      </c>
      <c r="N82" s="478">
        <f t="shared" si="10"/>
        <v>0.1065</v>
      </c>
      <c r="O82" s="479">
        <f t="shared" si="11"/>
        <v>0.12070244242199107</v>
      </c>
      <c r="P82" s="480">
        <f t="shared" si="12"/>
        <v>1.2198901094845219E-3</v>
      </c>
      <c r="Q82" s="481">
        <f t="shared" si="13"/>
        <v>1.4724371570121189E-4</v>
      </c>
    </row>
    <row r="83" spans="1:17" x14ac:dyDescent="0.35">
      <c r="A83" s="376" t="s">
        <v>1824</v>
      </c>
      <c r="B83" s="376" t="s">
        <v>1825</v>
      </c>
      <c r="C83" s="376" t="s">
        <v>1826</v>
      </c>
      <c r="D83" s="376">
        <v>131735210486.13998</v>
      </c>
      <c r="E83" s="376">
        <v>1.9427274861121979</v>
      </c>
      <c r="F83" s="376">
        <v>15</v>
      </c>
      <c r="G83" s="376">
        <v>515.35559999999998</v>
      </c>
      <c r="H83" s="376">
        <v>255.62</v>
      </c>
      <c r="I83" s="474"/>
      <c r="J83" s="475" t="str">
        <f t="shared" si="7"/>
        <v>Caterpillar Inc</v>
      </c>
      <c r="K83" s="476" t="str">
        <f t="shared" si="7"/>
        <v>CAT</v>
      </c>
      <c r="L83" s="477">
        <f t="shared" si="8"/>
        <v>131735.21048613999</v>
      </c>
      <c r="M83" s="478">
        <f t="shared" si="9"/>
        <v>1.9427274861121981E-2</v>
      </c>
      <c r="N83" s="478">
        <f t="shared" si="10"/>
        <v>0.15</v>
      </c>
      <c r="O83" s="479">
        <f t="shared" si="11"/>
        <v>0.17088432047570612</v>
      </c>
      <c r="P83" s="480">
        <f t="shared" si="12"/>
        <v>3.5753228674994197E-3</v>
      </c>
      <c r="Q83" s="481">
        <f t="shared" si="13"/>
        <v>6.1096661869389137E-4</v>
      </c>
    </row>
    <row r="84" spans="1:17" x14ac:dyDescent="0.35">
      <c r="A84" s="376" t="s">
        <v>1827</v>
      </c>
      <c r="B84" s="376" t="s">
        <v>1828</v>
      </c>
      <c r="C84" s="376" t="s">
        <v>1829</v>
      </c>
      <c r="D84" s="376">
        <v>78001481513.37001</v>
      </c>
      <c r="E84" s="376">
        <v>1.7941910476291614</v>
      </c>
      <c r="F84" s="376">
        <v>14</v>
      </c>
      <c r="G84" s="376">
        <v>414.17449999999997</v>
      </c>
      <c r="H84" s="376">
        <v>188.33</v>
      </c>
      <c r="I84" s="474"/>
      <c r="J84" s="475" t="str">
        <f t="shared" si="7"/>
        <v>Chubb Ltd</v>
      </c>
      <c r="K84" s="476" t="str">
        <f t="shared" si="7"/>
        <v>CB</v>
      </c>
      <c r="L84" s="477">
        <f t="shared" si="8"/>
        <v>78001.481513370018</v>
      </c>
      <c r="M84" s="478">
        <f t="shared" si="9"/>
        <v>1.7941910476291612E-2</v>
      </c>
      <c r="N84" s="478">
        <f t="shared" si="10"/>
        <v>0.14000000000000001</v>
      </c>
      <c r="O84" s="479">
        <f t="shared" si="11"/>
        <v>0.15919784420963204</v>
      </c>
      <c r="P84" s="480">
        <f t="shared" si="12"/>
        <v>2.1169775303386059E-3</v>
      </c>
      <c r="Q84" s="481">
        <f t="shared" si="13"/>
        <v>3.3701825907013694E-4</v>
      </c>
    </row>
    <row r="85" spans="1:17" x14ac:dyDescent="0.35">
      <c r="A85" s="376" t="s">
        <v>1830</v>
      </c>
      <c r="B85" s="376" t="s">
        <v>1831</v>
      </c>
      <c r="C85" s="376" t="s">
        <v>1832</v>
      </c>
      <c r="D85" s="376">
        <v>14952511336.319998</v>
      </c>
      <c r="E85" s="376">
        <v>1.4580244298524325</v>
      </c>
      <c r="F85" s="376" t="s">
        <v>1612</v>
      </c>
      <c r="G85" s="376">
        <v>105.5745</v>
      </c>
      <c r="H85" s="376">
        <v>141.63</v>
      </c>
      <c r="I85" s="474"/>
      <c r="J85" s="475" t="str">
        <f t="shared" si="7"/>
        <v>Cboe Global Markets Inc</v>
      </c>
      <c r="K85" s="476" t="str">
        <f t="shared" si="7"/>
        <v>CBOE</v>
      </c>
      <c r="L85" s="477">
        <f t="shared" si="8"/>
        <v>14952.511336319998</v>
      </c>
      <c r="M85" s="478">
        <f t="shared" si="9"/>
        <v>1.4580244298524326E-2</v>
      </c>
      <c r="N85" s="478" t="str">
        <f t="shared" si="10"/>
        <v>N/A</v>
      </c>
      <c r="O85" s="479" t="str">
        <f t="shared" si="11"/>
        <v>N/A</v>
      </c>
      <c r="P85" s="480" t="str">
        <f t="shared" si="12"/>
        <v>N/A</v>
      </c>
      <c r="Q85" s="481" t="str">
        <f t="shared" si="13"/>
        <v>N/A</v>
      </c>
    </row>
    <row r="86" spans="1:17" x14ac:dyDescent="0.35">
      <c r="A86" s="376" t="s">
        <v>1833</v>
      </c>
      <c r="B86" s="376" t="s">
        <v>1834</v>
      </c>
      <c r="C86" s="376" t="s">
        <v>1835</v>
      </c>
      <c r="D86" s="376">
        <v>27039303690.779999</v>
      </c>
      <c r="E86" s="376">
        <v>0</v>
      </c>
      <c r="F86" s="376" t="s">
        <v>1612</v>
      </c>
      <c r="G86" s="376">
        <v>310.83229999999998</v>
      </c>
      <c r="H86" s="376">
        <v>86.99</v>
      </c>
      <c r="I86" s="474"/>
      <c r="J86" s="475" t="str">
        <f t="shared" si="7"/>
        <v>CBRE Group Inc</v>
      </c>
      <c r="K86" s="476" t="str">
        <f t="shared" si="7"/>
        <v>CBRE</v>
      </c>
      <c r="L86" s="477">
        <f t="shared" si="8"/>
        <v>27039.303690779998</v>
      </c>
      <c r="M86" s="478">
        <f t="shared" si="9"/>
        <v>0</v>
      </c>
      <c r="N86" s="478" t="str">
        <f t="shared" si="10"/>
        <v>N/A</v>
      </c>
      <c r="O86" s="479" t="str">
        <f t="shared" si="11"/>
        <v>N/A</v>
      </c>
      <c r="P86" s="480" t="str">
        <f t="shared" si="12"/>
        <v>N/A</v>
      </c>
      <c r="Q86" s="481" t="str">
        <f t="shared" si="13"/>
        <v>N/A</v>
      </c>
    </row>
    <row r="87" spans="1:17" x14ac:dyDescent="0.35">
      <c r="A87" s="376" t="s">
        <v>1836</v>
      </c>
      <c r="B87" s="376" t="s">
        <v>1837</v>
      </c>
      <c r="C87" s="376" t="s">
        <v>1838</v>
      </c>
      <c r="D87" s="376">
        <v>50154085035.449997</v>
      </c>
      <c r="E87" s="376">
        <v>5.4448767833981835</v>
      </c>
      <c r="F87" s="376" t="s">
        <v>1612</v>
      </c>
      <c r="G87" s="376">
        <v>433.67129999999997</v>
      </c>
      <c r="H87" s="376">
        <v>115.65</v>
      </c>
      <c r="I87" s="474"/>
      <c r="J87" s="475" t="str">
        <f t="shared" si="7"/>
        <v>Crown Castle Inc</v>
      </c>
      <c r="K87" s="476" t="str">
        <f t="shared" si="7"/>
        <v>CCI</v>
      </c>
      <c r="L87" s="477">
        <f t="shared" si="8"/>
        <v>50154.08503545</v>
      </c>
      <c r="M87" s="478">
        <f t="shared" si="9"/>
        <v>5.4448767833981837E-2</v>
      </c>
      <c r="N87" s="478" t="str">
        <f t="shared" si="10"/>
        <v>N/A</v>
      </c>
      <c r="O87" s="479" t="str">
        <f t="shared" si="11"/>
        <v>N/A</v>
      </c>
      <c r="P87" s="480" t="str">
        <f t="shared" si="12"/>
        <v>N/A</v>
      </c>
      <c r="Q87" s="481" t="str">
        <f t="shared" si="13"/>
        <v>N/A</v>
      </c>
    </row>
    <row r="88" spans="1:17" x14ac:dyDescent="0.35">
      <c r="A88" s="376" t="s">
        <v>1839</v>
      </c>
      <c r="B88" s="376" t="s">
        <v>1840</v>
      </c>
      <c r="C88" s="376" t="s">
        <v>1841</v>
      </c>
      <c r="D88" s="376">
        <v>21522935424.208641</v>
      </c>
      <c r="E88" s="376">
        <v>0</v>
      </c>
      <c r="F88" s="376" t="s">
        <v>1612</v>
      </c>
      <c r="G88" s="376">
        <v>1116.0139999999999</v>
      </c>
      <c r="H88" s="376">
        <v>17.23</v>
      </c>
      <c r="I88" s="474"/>
      <c r="J88" s="475" t="str">
        <f t="shared" si="7"/>
        <v>Carnival Corp</v>
      </c>
      <c r="K88" s="476" t="str">
        <f t="shared" si="7"/>
        <v>CCL</v>
      </c>
      <c r="L88" s="477">
        <f t="shared" si="8"/>
        <v>21522.935424208641</v>
      </c>
      <c r="M88" s="478">
        <f t="shared" si="9"/>
        <v>0</v>
      </c>
      <c r="N88" s="478" t="str">
        <f t="shared" si="10"/>
        <v>N/A</v>
      </c>
      <c r="O88" s="479" t="str">
        <f t="shared" si="11"/>
        <v>N/A</v>
      </c>
      <c r="P88" s="480" t="str">
        <f t="shared" si="12"/>
        <v>N/A</v>
      </c>
      <c r="Q88" s="481" t="str">
        <f t="shared" si="13"/>
        <v>N/A</v>
      </c>
    </row>
    <row r="89" spans="1:17" x14ac:dyDescent="0.35">
      <c r="A89" s="376" t="s">
        <v>1842</v>
      </c>
      <c r="B89" s="376" t="s">
        <v>1843</v>
      </c>
      <c r="C89" s="376" t="s">
        <v>1844</v>
      </c>
      <c r="D89" s="376">
        <v>10526594239.700001</v>
      </c>
      <c r="E89" s="376">
        <v>0</v>
      </c>
      <c r="F89" s="376" t="s">
        <v>1612</v>
      </c>
      <c r="G89" s="376">
        <v>155.0308</v>
      </c>
      <c r="H89" s="376">
        <v>67.900000000000006</v>
      </c>
      <c r="I89" s="474"/>
      <c r="J89" s="475" t="str">
        <f t="shared" si="7"/>
        <v>Ceridian HCM Holding Inc</v>
      </c>
      <c r="K89" s="476" t="str">
        <f t="shared" si="7"/>
        <v>CDAY</v>
      </c>
      <c r="L89" s="477">
        <f t="shared" si="8"/>
        <v>10526.5942397</v>
      </c>
      <c r="M89" s="478">
        <f t="shared" si="9"/>
        <v>0</v>
      </c>
      <c r="N89" s="478" t="str">
        <f t="shared" si="10"/>
        <v>N/A</v>
      </c>
      <c r="O89" s="479" t="str">
        <f t="shared" si="11"/>
        <v>N/A</v>
      </c>
      <c r="P89" s="480" t="str">
        <f t="shared" si="12"/>
        <v>N/A</v>
      </c>
      <c r="Q89" s="481" t="str">
        <f t="shared" si="13"/>
        <v>N/A</v>
      </c>
    </row>
    <row r="90" spans="1:17" x14ac:dyDescent="0.35">
      <c r="A90" s="376" t="s">
        <v>1845</v>
      </c>
      <c r="B90" s="376" t="s">
        <v>1846</v>
      </c>
      <c r="C90" s="376" t="s">
        <v>1847</v>
      </c>
      <c r="D90" s="376">
        <v>65645946160.000008</v>
      </c>
      <c r="E90" s="376">
        <v>0</v>
      </c>
      <c r="F90" s="376">
        <v>19.5</v>
      </c>
      <c r="G90" s="376">
        <v>272.68399999999997</v>
      </c>
      <c r="H90" s="376">
        <v>240.74</v>
      </c>
      <c r="I90" s="474"/>
      <c r="J90" s="475" t="str">
        <f t="shared" si="7"/>
        <v>Cadence Design Systems Inc</v>
      </c>
      <c r="K90" s="476" t="str">
        <f t="shared" si="7"/>
        <v>CDNS</v>
      </c>
      <c r="L90" s="477">
        <f t="shared" si="8"/>
        <v>65645.946160000007</v>
      </c>
      <c r="M90" s="478">
        <f t="shared" si="9"/>
        <v>0</v>
      </c>
      <c r="N90" s="478">
        <f t="shared" si="10"/>
        <v>0.19500000000000001</v>
      </c>
      <c r="O90" s="479">
        <f t="shared" si="11"/>
        <v>0.19500000000000001</v>
      </c>
      <c r="P90" s="480">
        <f t="shared" si="12"/>
        <v>1.7816455570105715E-3</v>
      </c>
      <c r="Q90" s="481">
        <f t="shared" si="13"/>
        <v>3.4742088361706144E-4</v>
      </c>
    </row>
    <row r="91" spans="1:17" x14ac:dyDescent="0.35">
      <c r="A91" s="376" t="s">
        <v>1848</v>
      </c>
      <c r="B91" s="376" t="s">
        <v>1849</v>
      </c>
      <c r="C91" s="376" t="s">
        <v>1850</v>
      </c>
      <c r="D91" s="376">
        <v>25122889285.200001</v>
      </c>
      <c r="E91" s="376">
        <v>1.2720639519287515</v>
      </c>
      <c r="F91" s="376">
        <v>13.1</v>
      </c>
      <c r="G91" s="376">
        <v>134.7867</v>
      </c>
      <c r="H91" s="376">
        <v>186.39</v>
      </c>
      <c r="I91" s="474"/>
      <c r="J91" s="475" t="str">
        <f t="shared" si="7"/>
        <v>CDW Corp/DE</v>
      </c>
      <c r="K91" s="476" t="str">
        <f t="shared" si="7"/>
        <v>CDW</v>
      </c>
      <c r="L91" s="477">
        <f t="shared" si="8"/>
        <v>25122.889285199999</v>
      </c>
      <c r="M91" s="478">
        <f t="shared" si="9"/>
        <v>1.2720639519287515E-2</v>
      </c>
      <c r="N91" s="478">
        <f t="shared" si="10"/>
        <v>0.13100000000000001</v>
      </c>
      <c r="O91" s="479">
        <f t="shared" si="11"/>
        <v>0.14455384140780086</v>
      </c>
      <c r="P91" s="480">
        <f t="shared" si="12"/>
        <v>6.8184079432948583E-4</v>
      </c>
      <c r="Q91" s="481">
        <f t="shared" si="13"/>
        <v>9.8562706048873456E-5</v>
      </c>
    </row>
    <row r="92" spans="1:17" x14ac:dyDescent="0.35">
      <c r="A92" s="376" t="s">
        <v>1851</v>
      </c>
      <c r="B92" s="376" t="s">
        <v>1852</v>
      </c>
      <c r="C92" s="376" t="s">
        <v>1853</v>
      </c>
      <c r="D92" s="376">
        <v>13037130790.880001</v>
      </c>
      <c r="E92" s="376">
        <v>2.3322763684913217</v>
      </c>
      <c r="F92" s="376">
        <v>10.265000000000001</v>
      </c>
      <c r="G92" s="376">
        <v>108.78779999999999</v>
      </c>
      <c r="H92" s="376">
        <v>119.84</v>
      </c>
      <c r="I92" s="474"/>
      <c r="J92" s="475" t="str">
        <f t="shared" si="7"/>
        <v>Celanese Corp</v>
      </c>
      <c r="K92" s="476" t="str">
        <f t="shared" si="7"/>
        <v>CE</v>
      </c>
      <c r="L92" s="477">
        <f t="shared" si="8"/>
        <v>13037.130790880001</v>
      </c>
      <c r="M92" s="478">
        <f t="shared" si="9"/>
        <v>2.3322763684913216E-2</v>
      </c>
      <c r="N92" s="478">
        <f t="shared" si="10"/>
        <v>0.10265000000000001</v>
      </c>
      <c r="O92" s="479">
        <f t="shared" si="11"/>
        <v>0.1271698045310414</v>
      </c>
      <c r="P92" s="480">
        <f t="shared" si="12"/>
        <v>3.538306248663728E-4</v>
      </c>
      <c r="Q92" s="481">
        <f t="shared" si="13"/>
        <v>4.499657140135287E-5</v>
      </c>
    </row>
    <row r="93" spans="1:17" x14ac:dyDescent="0.35">
      <c r="A93" s="376" t="s">
        <v>1854</v>
      </c>
      <c r="B93" s="376" t="s">
        <v>1855</v>
      </c>
      <c r="C93" s="376" t="s">
        <v>1468</v>
      </c>
      <c r="D93" s="376">
        <v>31033074015</v>
      </c>
      <c r="E93" s="376">
        <v>1.2105263157894739</v>
      </c>
      <c r="F93" s="376">
        <v>-152.22499999999999</v>
      </c>
      <c r="G93" s="376">
        <v>326.66390000000001</v>
      </c>
      <c r="H93" s="376">
        <v>95</v>
      </c>
      <c r="I93" s="474"/>
      <c r="J93" s="475" t="str">
        <f t="shared" si="7"/>
        <v>Constellation Energy Corp</v>
      </c>
      <c r="K93" s="476" t="str">
        <f t="shared" si="7"/>
        <v>CEG</v>
      </c>
      <c r="L93" s="477">
        <f t="shared" si="8"/>
        <v>31033.074014999998</v>
      </c>
      <c r="M93" s="478">
        <f t="shared" si="9"/>
        <v>1.2105263157894739E-2</v>
      </c>
      <c r="N93" s="478">
        <f t="shared" si="10"/>
        <v>-1.5222499999999999</v>
      </c>
      <c r="O93" s="479">
        <f t="shared" si="11"/>
        <v>-1.5193583552631578</v>
      </c>
      <c r="P93" s="480">
        <f t="shared" si="12"/>
        <v>8.4224452039194971E-4</v>
      </c>
      <c r="Q93" s="481">
        <f t="shared" si="13"/>
        <v>-1.2796712492321198E-3</v>
      </c>
    </row>
    <row r="94" spans="1:17" x14ac:dyDescent="0.35">
      <c r="A94" s="376" t="s">
        <v>1856</v>
      </c>
      <c r="B94" s="376" t="s">
        <v>1857</v>
      </c>
      <c r="C94" s="376" t="s">
        <v>1858</v>
      </c>
      <c r="D94" s="376">
        <v>14373395859.419998</v>
      </c>
      <c r="E94" s="376">
        <v>2.154868456739897</v>
      </c>
      <c r="F94" s="376">
        <v>6</v>
      </c>
      <c r="G94" s="376">
        <v>194.91989999999998</v>
      </c>
      <c r="H94" s="376">
        <v>73.739999999999995</v>
      </c>
      <c r="I94" s="474"/>
      <c r="J94" s="475" t="str">
        <f t="shared" si="7"/>
        <v>CF Industries Holdings Inc</v>
      </c>
      <c r="K94" s="476" t="str">
        <f t="shared" si="7"/>
        <v>CF</v>
      </c>
      <c r="L94" s="477">
        <f t="shared" si="8"/>
        <v>14373.395859419998</v>
      </c>
      <c r="M94" s="478">
        <f t="shared" si="9"/>
        <v>2.154868456739897E-2</v>
      </c>
      <c r="N94" s="478">
        <f t="shared" si="10"/>
        <v>0.06</v>
      </c>
      <c r="O94" s="479">
        <f t="shared" si="11"/>
        <v>8.2195145104420941E-2</v>
      </c>
      <c r="P94" s="480">
        <f t="shared" si="12"/>
        <v>3.9009715557567306E-4</v>
      </c>
      <c r="Q94" s="481">
        <f t="shared" si="13"/>
        <v>3.2064092307364318E-5</v>
      </c>
    </row>
    <row r="95" spans="1:17" x14ac:dyDescent="0.35">
      <c r="A95" s="376" t="s">
        <v>1859</v>
      </c>
      <c r="B95" s="376" t="s">
        <v>1860</v>
      </c>
      <c r="C95" s="376" t="s">
        <v>1861</v>
      </c>
      <c r="D95" s="376">
        <v>13445194473.960001</v>
      </c>
      <c r="E95" s="376">
        <v>6.1483081353491711</v>
      </c>
      <c r="F95" s="376">
        <v>-6.29</v>
      </c>
      <c r="G95" s="376">
        <v>483.98829999999998</v>
      </c>
      <c r="H95" s="376">
        <v>27.78</v>
      </c>
      <c r="I95" s="474"/>
      <c r="J95" s="475" t="str">
        <f t="shared" si="7"/>
        <v>Citizens Financial Group Inc</v>
      </c>
      <c r="K95" s="476" t="str">
        <f t="shared" si="7"/>
        <v>CFG</v>
      </c>
      <c r="L95" s="477">
        <f t="shared" si="8"/>
        <v>13445.19447396</v>
      </c>
      <c r="M95" s="478">
        <f t="shared" si="9"/>
        <v>6.148308135349171E-2</v>
      </c>
      <c r="N95" s="478">
        <f t="shared" si="10"/>
        <v>-6.2899999999999998E-2</v>
      </c>
      <c r="O95" s="479">
        <f t="shared" si="11"/>
        <v>-3.3505615550755985E-3</v>
      </c>
      <c r="P95" s="480">
        <f t="shared" si="12"/>
        <v>3.6490556384531387E-4</v>
      </c>
      <c r="Q95" s="481">
        <f t="shared" si="13"/>
        <v>-1.222638553453293E-6</v>
      </c>
    </row>
    <row r="96" spans="1:17" x14ac:dyDescent="0.35">
      <c r="A96" s="376" t="s">
        <v>1862</v>
      </c>
      <c r="B96" s="376" t="s">
        <v>1863</v>
      </c>
      <c r="C96" s="376" t="s">
        <v>1864</v>
      </c>
      <c r="D96" s="376">
        <v>24138132904.799999</v>
      </c>
      <c r="E96" s="376">
        <v>1.1020036429872495</v>
      </c>
      <c r="F96" s="376">
        <v>5.3500000000000005</v>
      </c>
      <c r="G96" s="376">
        <v>244.2636</v>
      </c>
      <c r="H96" s="376">
        <v>98.82</v>
      </c>
      <c r="I96" s="474"/>
      <c r="J96" s="475" t="str">
        <f t="shared" si="7"/>
        <v>Church &amp; Dwight Co Inc</v>
      </c>
      <c r="K96" s="476" t="str">
        <f t="shared" si="7"/>
        <v>CHD</v>
      </c>
      <c r="L96" s="477">
        <f t="shared" si="8"/>
        <v>24138.132904800001</v>
      </c>
      <c r="M96" s="478">
        <f t="shared" si="9"/>
        <v>1.1020036429872496E-2</v>
      </c>
      <c r="N96" s="478">
        <f t="shared" si="10"/>
        <v>5.3500000000000006E-2</v>
      </c>
      <c r="O96" s="479">
        <f t="shared" si="11"/>
        <v>6.4814822404371586E-2</v>
      </c>
      <c r="P96" s="480">
        <f t="shared" si="12"/>
        <v>6.5511428747708667E-4</v>
      </c>
      <c r="Q96" s="481">
        <f t="shared" si="13"/>
        <v>4.2461116197393808E-5</v>
      </c>
    </row>
    <row r="97" spans="1:17" x14ac:dyDescent="0.35">
      <c r="A97" s="376" t="s">
        <v>1865</v>
      </c>
      <c r="B97" s="376" t="s">
        <v>1866</v>
      </c>
      <c r="C97" s="376" t="s">
        <v>1867</v>
      </c>
      <c r="D97" s="376">
        <v>11131553295.199999</v>
      </c>
      <c r="E97" s="376">
        <v>2.4738493723849375</v>
      </c>
      <c r="F97" s="376">
        <v>10</v>
      </c>
      <c r="G97" s="376">
        <v>116.4388</v>
      </c>
      <c r="H97" s="376">
        <v>95.6</v>
      </c>
      <c r="I97" s="474"/>
      <c r="J97" s="475" t="str">
        <f t="shared" si="7"/>
        <v>CH Robinson Worldwide Inc</v>
      </c>
      <c r="K97" s="476" t="str">
        <f t="shared" si="7"/>
        <v>CHRW</v>
      </c>
      <c r="L97" s="477">
        <f t="shared" si="8"/>
        <v>11131.553295199999</v>
      </c>
      <c r="M97" s="478">
        <f t="shared" si="9"/>
        <v>2.4738493723849377E-2</v>
      </c>
      <c r="N97" s="478">
        <f t="shared" si="10"/>
        <v>0.1</v>
      </c>
      <c r="O97" s="479">
        <f t="shared" si="11"/>
        <v>0.12597541841004184</v>
      </c>
      <c r="P97" s="480">
        <f t="shared" si="12"/>
        <v>3.0211282845526223E-4</v>
      </c>
      <c r="Q97" s="481">
        <f t="shared" si="13"/>
        <v>3.8058789971692852E-5</v>
      </c>
    </row>
    <row r="98" spans="1:17" x14ac:dyDescent="0.35">
      <c r="A98" s="376" t="s">
        <v>1868</v>
      </c>
      <c r="B98" s="376" t="s">
        <v>1869</v>
      </c>
      <c r="C98" s="376" t="s">
        <v>1870</v>
      </c>
      <c r="D98" s="376">
        <v>65781413585.340004</v>
      </c>
      <c r="E98" s="376">
        <v>0</v>
      </c>
      <c r="F98" s="376">
        <v>13.81</v>
      </c>
      <c r="G98" s="376">
        <v>150.5752</v>
      </c>
      <c r="H98" s="376">
        <v>375.47</v>
      </c>
      <c r="I98" s="474"/>
      <c r="J98" s="475" t="str">
        <f t="shared" si="7"/>
        <v>Charter Communications Inc</v>
      </c>
      <c r="K98" s="476" t="str">
        <f t="shared" si="7"/>
        <v>CHTR</v>
      </c>
      <c r="L98" s="477">
        <f t="shared" si="8"/>
        <v>65781.413585340008</v>
      </c>
      <c r="M98" s="478">
        <f t="shared" si="9"/>
        <v>0</v>
      </c>
      <c r="N98" s="478">
        <f t="shared" si="10"/>
        <v>0.1381</v>
      </c>
      <c r="O98" s="479">
        <f t="shared" si="11"/>
        <v>0.1381</v>
      </c>
      <c r="P98" s="480">
        <f t="shared" si="12"/>
        <v>1.7853221730180307E-3</v>
      </c>
      <c r="Q98" s="481">
        <f t="shared" si="13"/>
        <v>2.4655299209379002E-4</v>
      </c>
    </row>
    <row r="99" spans="1:17" x14ac:dyDescent="0.35">
      <c r="A99" s="376" t="s">
        <v>1871</v>
      </c>
      <c r="B99" s="376" t="s">
        <v>1872</v>
      </c>
      <c r="C99" s="376" t="s">
        <v>1873</v>
      </c>
      <c r="D99" s="376">
        <v>83660832037.559998</v>
      </c>
      <c r="E99" s="376">
        <v>1.7141745650021221</v>
      </c>
      <c r="F99" s="376">
        <v>10.8</v>
      </c>
      <c r="G99" s="376">
        <v>295.87219999999996</v>
      </c>
      <c r="H99" s="376">
        <v>282.76</v>
      </c>
      <c r="I99" s="474"/>
      <c r="J99" s="475" t="str">
        <f t="shared" si="7"/>
        <v>Cigna Group/The</v>
      </c>
      <c r="K99" s="476" t="str">
        <f t="shared" si="7"/>
        <v>CI</v>
      </c>
      <c r="L99" s="477">
        <f t="shared" si="8"/>
        <v>83660.832037560001</v>
      </c>
      <c r="M99" s="478">
        <f t="shared" si="9"/>
        <v>1.7141745650021221E-2</v>
      </c>
      <c r="N99" s="478">
        <f t="shared" si="10"/>
        <v>0.10800000000000001</v>
      </c>
      <c r="O99" s="479">
        <f t="shared" si="11"/>
        <v>0.12606739991512239</v>
      </c>
      <c r="P99" s="480">
        <f t="shared" si="12"/>
        <v>2.2705735603571722E-3</v>
      </c>
      <c r="Q99" s="481">
        <f t="shared" si="13"/>
        <v>2.8624530507025093E-4</v>
      </c>
    </row>
    <row r="100" spans="1:17" x14ac:dyDescent="0.35">
      <c r="A100" s="376" t="s">
        <v>1874</v>
      </c>
      <c r="B100" s="376" t="s">
        <v>1875</v>
      </c>
      <c r="C100" s="376" t="s">
        <v>1876</v>
      </c>
      <c r="D100" s="376">
        <v>15389551986.119999</v>
      </c>
      <c r="E100" s="376">
        <v>3.0646644192460926</v>
      </c>
      <c r="F100" s="376">
        <v>17.059999999999999</v>
      </c>
      <c r="G100" s="376">
        <v>157.21269999999998</v>
      </c>
      <c r="H100" s="376">
        <v>97.89</v>
      </c>
      <c r="I100" s="474"/>
      <c r="J100" s="475" t="str">
        <f t="shared" si="7"/>
        <v>Cincinnati Financial Corp</v>
      </c>
      <c r="K100" s="476" t="str">
        <f t="shared" si="7"/>
        <v>CINF</v>
      </c>
      <c r="L100" s="477">
        <f t="shared" si="8"/>
        <v>15389.551986119999</v>
      </c>
      <c r="M100" s="478">
        <f t="shared" si="9"/>
        <v>3.0646644192460926E-2</v>
      </c>
      <c r="N100" s="478">
        <f t="shared" si="10"/>
        <v>0.17059999999999997</v>
      </c>
      <c r="O100" s="479">
        <f t="shared" si="11"/>
        <v>0.20386080294207781</v>
      </c>
      <c r="P100" s="480">
        <f t="shared" si="12"/>
        <v>4.1767585851570742E-4</v>
      </c>
      <c r="Q100" s="481">
        <f t="shared" si="13"/>
        <v>8.5147735886533801E-5</v>
      </c>
    </row>
    <row r="101" spans="1:17" x14ac:dyDescent="0.35">
      <c r="A101" s="376" t="s">
        <v>1877</v>
      </c>
      <c r="B101" s="376" t="s">
        <v>1878</v>
      </c>
      <c r="C101" s="376" t="s">
        <v>1879</v>
      </c>
      <c r="D101" s="376">
        <v>63412193131.559998</v>
      </c>
      <c r="E101" s="376">
        <v>2.5418628990057566</v>
      </c>
      <c r="F101" s="376">
        <v>6.173</v>
      </c>
      <c r="G101" s="376">
        <v>829.56819999999993</v>
      </c>
      <c r="H101" s="376">
        <v>76.44</v>
      </c>
      <c r="I101" s="474"/>
      <c r="J101" s="475" t="str">
        <f t="shared" si="7"/>
        <v>Colgate-Palmolive Co</v>
      </c>
      <c r="K101" s="476" t="str">
        <f t="shared" si="7"/>
        <v>CL</v>
      </c>
      <c r="L101" s="477">
        <f t="shared" si="8"/>
        <v>63412.193131559994</v>
      </c>
      <c r="M101" s="478">
        <f t="shared" si="9"/>
        <v>2.5418628990057566E-2</v>
      </c>
      <c r="N101" s="478">
        <f t="shared" si="10"/>
        <v>6.173E-2</v>
      </c>
      <c r="O101" s="479">
        <f t="shared" si="11"/>
        <v>8.7933174973835695E-2</v>
      </c>
      <c r="P101" s="480">
        <f t="shared" si="12"/>
        <v>1.7210210037612492E-3</v>
      </c>
      <c r="Q101" s="481">
        <f t="shared" si="13"/>
        <v>1.5133484105738426E-4</v>
      </c>
    </row>
    <row r="102" spans="1:17" x14ac:dyDescent="0.35">
      <c r="A102" s="376" t="s">
        <v>1880</v>
      </c>
      <c r="B102" s="376" t="s">
        <v>1881</v>
      </c>
      <c r="C102" s="376" t="s">
        <v>1882</v>
      </c>
      <c r="D102" s="376">
        <v>19107251869.439999</v>
      </c>
      <c r="E102" s="376">
        <v>3.0603002070393379</v>
      </c>
      <c r="F102" s="376">
        <v>17.02</v>
      </c>
      <c r="G102" s="376">
        <v>123.62349999999999</v>
      </c>
      <c r="H102" s="376">
        <v>154.56</v>
      </c>
      <c r="I102" s="474"/>
      <c r="J102" s="475" t="str">
        <f t="shared" si="7"/>
        <v>Clorox Co/The</v>
      </c>
      <c r="K102" s="476" t="str">
        <f t="shared" si="7"/>
        <v>CLX</v>
      </c>
      <c r="L102" s="477">
        <f t="shared" si="8"/>
        <v>19107.251869439999</v>
      </c>
      <c r="M102" s="478">
        <f t="shared" si="9"/>
        <v>3.0603002070393379E-2</v>
      </c>
      <c r="N102" s="478">
        <f t="shared" si="10"/>
        <v>0.17019999999999999</v>
      </c>
      <c r="O102" s="479">
        <f t="shared" si="11"/>
        <v>0.20340731754658384</v>
      </c>
      <c r="P102" s="480">
        <f t="shared" si="12"/>
        <v>5.185750589518155E-4</v>
      </c>
      <c r="Q102" s="481">
        <f t="shared" si="13"/>
        <v>1.0548196168795037E-4</v>
      </c>
    </row>
    <row r="103" spans="1:17" x14ac:dyDescent="0.35">
      <c r="A103" s="376" t="s">
        <v>1883</v>
      </c>
      <c r="B103" s="376" t="s">
        <v>1884</v>
      </c>
      <c r="C103" s="376" t="s">
        <v>1885</v>
      </c>
      <c r="D103" s="376">
        <v>6224034329.4700003</v>
      </c>
      <c r="E103" s="376">
        <v>6.0461180452718422</v>
      </c>
      <c r="F103" s="376">
        <v>14.125</v>
      </c>
      <c r="G103" s="376">
        <v>131.66989999999998</v>
      </c>
      <c r="H103" s="376">
        <v>47.27</v>
      </c>
      <c r="I103" s="474"/>
      <c r="J103" s="475" t="str">
        <f t="shared" si="7"/>
        <v>Comerica Inc</v>
      </c>
      <c r="K103" s="476" t="str">
        <f t="shared" si="7"/>
        <v>CMA</v>
      </c>
      <c r="L103" s="477">
        <f t="shared" si="8"/>
        <v>6224.0343294700006</v>
      </c>
      <c r="M103" s="478">
        <f t="shared" si="9"/>
        <v>6.0461180452718422E-2</v>
      </c>
      <c r="N103" s="478">
        <f t="shared" si="10"/>
        <v>0.14124999999999999</v>
      </c>
      <c r="O103" s="479">
        <f t="shared" si="11"/>
        <v>0.20598125132219164</v>
      </c>
      <c r="P103" s="480">
        <f t="shared" si="12"/>
        <v>1.6892167389520181E-4</v>
      </c>
      <c r="Q103" s="481">
        <f t="shared" si="13"/>
        <v>3.4794697764372865E-5</v>
      </c>
    </row>
    <row r="104" spans="1:17" x14ac:dyDescent="0.35">
      <c r="A104" s="376" t="s">
        <v>1886</v>
      </c>
      <c r="B104" s="376" t="s">
        <v>1887</v>
      </c>
      <c r="C104" s="376" t="s">
        <v>1888</v>
      </c>
      <c r="D104" s="376">
        <v>175132438571.48254</v>
      </c>
      <c r="E104" s="376">
        <v>2.7398238514639375</v>
      </c>
      <c r="F104" s="376">
        <v>7.9</v>
      </c>
      <c r="G104" s="376">
        <v>4159.3829999999998</v>
      </c>
      <c r="H104" s="376">
        <v>42.01</v>
      </c>
      <c r="I104" s="474"/>
      <c r="J104" s="475" t="str">
        <f t="shared" si="7"/>
        <v>Comcast Corp</v>
      </c>
      <c r="K104" s="476" t="str">
        <f t="shared" si="7"/>
        <v>CMCSA</v>
      </c>
      <c r="L104" s="477">
        <f t="shared" si="8"/>
        <v>175132.43857148255</v>
      </c>
      <c r="M104" s="478">
        <f t="shared" si="9"/>
        <v>2.7398238514639375E-2</v>
      </c>
      <c r="N104" s="478">
        <f t="shared" si="10"/>
        <v>7.9000000000000001E-2</v>
      </c>
      <c r="O104" s="479">
        <f t="shared" si="11"/>
        <v>0.10748046893596763</v>
      </c>
      <c r="P104" s="480">
        <f t="shared" si="12"/>
        <v>4.7531332751120283E-3</v>
      </c>
      <c r="Q104" s="481">
        <f t="shared" si="13"/>
        <v>5.1086899332419247E-4</v>
      </c>
    </row>
    <row r="105" spans="1:17" x14ac:dyDescent="0.35">
      <c r="A105" s="376" t="s">
        <v>1889</v>
      </c>
      <c r="B105" s="376" t="s">
        <v>1890</v>
      </c>
      <c r="C105" s="376" t="s">
        <v>1891</v>
      </c>
      <c r="D105" s="376">
        <v>66954246752.889999</v>
      </c>
      <c r="E105" s="376">
        <v>4.8444635469832908</v>
      </c>
      <c r="F105" s="376">
        <v>5.3500000000000005</v>
      </c>
      <c r="G105" s="376">
        <v>359.71449999999999</v>
      </c>
      <c r="H105" s="376">
        <v>186.13</v>
      </c>
      <c r="I105" s="474"/>
      <c r="J105" s="475" t="str">
        <f t="shared" si="7"/>
        <v>CME Group Inc</v>
      </c>
      <c r="K105" s="476" t="str">
        <f t="shared" si="7"/>
        <v>CME</v>
      </c>
      <c r="L105" s="477">
        <f t="shared" si="8"/>
        <v>66954.246752890002</v>
      </c>
      <c r="M105" s="478">
        <f t="shared" si="9"/>
        <v>4.8444635469832908E-2</v>
      </c>
      <c r="N105" s="478">
        <f t="shared" si="10"/>
        <v>5.3500000000000006E-2</v>
      </c>
      <c r="O105" s="479">
        <f t="shared" si="11"/>
        <v>0.10324052946865095</v>
      </c>
      <c r="P105" s="480">
        <f t="shared" si="12"/>
        <v>1.8171531256405602E-3</v>
      </c>
      <c r="Q105" s="481">
        <f t="shared" si="13"/>
        <v>1.8760385081674543E-4</v>
      </c>
    </row>
    <row r="106" spans="1:17" x14ac:dyDescent="0.35">
      <c r="A106" s="376" t="s">
        <v>1892</v>
      </c>
      <c r="B106" s="376" t="s">
        <v>1893</v>
      </c>
      <c r="C106" s="376" t="s">
        <v>1894</v>
      </c>
      <c r="D106" s="376">
        <v>56724159243.200005</v>
      </c>
      <c r="E106" s="376">
        <v>0</v>
      </c>
      <c r="F106" s="376">
        <v>24.414999999999999</v>
      </c>
      <c r="G106" s="376">
        <v>27.589839999999999</v>
      </c>
      <c r="H106" s="376">
        <v>2055.98</v>
      </c>
      <c r="I106" s="474"/>
      <c r="J106" s="475" t="str">
        <f t="shared" si="7"/>
        <v>Chipotle Mexican Grill Inc</v>
      </c>
      <c r="K106" s="476" t="str">
        <f t="shared" si="7"/>
        <v>CMG</v>
      </c>
      <c r="L106" s="477">
        <f t="shared" si="8"/>
        <v>56724.159243200003</v>
      </c>
      <c r="M106" s="478">
        <f t="shared" si="9"/>
        <v>0</v>
      </c>
      <c r="N106" s="478">
        <f t="shared" si="10"/>
        <v>0.24414999999999998</v>
      </c>
      <c r="O106" s="479">
        <f t="shared" si="11"/>
        <v>0.24414999999999998</v>
      </c>
      <c r="P106" s="480">
        <f t="shared" si="12"/>
        <v>1.5395062787957447E-3</v>
      </c>
      <c r="Q106" s="481">
        <f t="shared" si="13"/>
        <v>3.7587045796798102E-4</v>
      </c>
    </row>
    <row r="107" spans="1:17" x14ac:dyDescent="0.35">
      <c r="A107" s="376" t="s">
        <v>1895</v>
      </c>
      <c r="B107" s="376" t="s">
        <v>1896</v>
      </c>
      <c r="C107" s="376" t="s">
        <v>1897</v>
      </c>
      <c r="D107" s="376">
        <v>35697635071.279999</v>
      </c>
      <c r="E107" s="376">
        <v>2.5423325534361743</v>
      </c>
      <c r="F107" s="376" t="s">
        <v>1612</v>
      </c>
      <c r="G107" s="376">
        <v>141.56180000000001</v>
      </c>
      <c r="H107" s="376">
        <v>252.17</v>
      </c>
      <c r="I107" s="474"/>
      <c r="J107" s="475" t="str">
        <f t="shared" si="7"/>
        <v>Cummins Inc</v>
      </c>
      <c r="K107" s="476" t="str">
        <f t="shared" si="7"/>
        <v>CMI</v>
      </c>
      <c r="L107" s="477">
        <f t="shared" si="8"/>
        <v>35697.635071279998</v>
      </c>
      <c r="M107" s="478">
        <f t="shared" si="9"/>
        <v>2.5423325534361742E-2</v>
      </c>
      <c r="N107" s="478" t="str">
        <f t="shared" si="10"/>
        <v>N/A</v>
      </c>
      <c r="O107" s="479" t="str">
        <f t="shared" si="11"/>
        <v>N/A</v>
      </c>
      <c r="P107" s="480" t="str">
        <f t="shared" si="12"/>
        <v>N/A</v>
      </c>
      <c r="Q107" s="481" t="str">
        <f t="shared" si="13"/>
        <v>N/A</v>
      </c>
    </row>
    <row r="108" spans="1:17" x14ac:dyDescent="0.35">
      <c r="A108" s="376" t="s">
        <v>1898</v>
      </c>
      <c r="B108" s="376" t="s">
        <v>1899</v>
      </c>
      <c r="C108" s="376" t="s">
        <v>1470</v>
      </c>
      <c r="D108" s="376">
        <v>17776440818.749996</v>
      </c>
      <c r="E108" s="376">
        <v>3.2124692370795729</v>
      </c>
      <c r="F108" s="376">
        <v>7.9</v>
      </c>
      <c r="G108" s="376">
        <v>291.65609999999998</v>
      </c>
      <c r="H108" s="376">
        <v>60.95</v>
      </c>
      <c r="I108" s="474"/>
      <c r="J108" s="475" t="str">
        <f t="shared" si="7"/>
        <v>CMS Energy Corp</v>
      </c>
      <c r="K108" s="476" t="str">
        <f t="shared" si="7"/>
        <v>CMS</v>
      </c>
      <c r="L108" s="477">
        <f t="shared" si="8"/>
        <v>17776.440818749998</v>
      </c>
      <c r="M108" s="478">
        <f t="shared" si="9"/>
        <v>3.2124692370795731E-2</v>
      </c>
      <c r="N108" s="478">
        <f t="shared" si="10"/>
        <v>7.9000000000000001E-2</v>
      </c>
      <c r="O108" s="479">
        <f t="shared" si="11"/>
        <v>0.11239361771944217</v>
      </c>
      <c r="P108" s="480">
        <f t="shared" si="12"/>
        <v>4.8245655149815718E-4</v>
      </c>
      <c r="Q108" s="481">
        <f t="shared" si="13"/>
        <v>5.4225037215324243E-5</v>
      </c>
    </row>
    <row r="109" spans="1:17" x14ac:dyDescent="0.35">
      <c r="A109" s="376" t="s">
        <v>1900</v>
      </c>
      <c r="B109" s="376" t="s">
        <v>1901</v>
      </c>
      <c r="C109" s="376" t="s">
        <v>1902</v>
      </c>
      <c r="D109" s="376">
        <v>36015726402.539993</v>
      </c>
      <c r="E109" s="376">
        <v>0</v>
      </c>
      <c r="F109" s="376">
        <v>8.18</v>
      </c>
      <c r="G109" s="376">
        <v>548.76929999999993</v>
      </c>
      <c r="H109" s="376">
        <v>65.63</v>
      </c>
      <c r="I109" s="474"/>
      <c r="J109" s="475" t="str">
        <f t="shared" si="7"/>
        <v>Centene Corp</v>
      </c>
      <c r="K109" s="476" t="str">
        <f t="shared" si="7"/>
        <v>CNC</v>
      </c>
      <c r="L109" s="477">
        <f t="shared" si="8"/>
        <v>36015.726402539993</v>
      </c>
      <c r="M109" s="478">
        <f t="shared" si="9"/>
        <v>0</v>
      </c>
      <c r="N109" s="478">
        <f t="shared" si="10"/>
        <v>8.1799999999999998E-2</v>
      </c>
      <c r="O109" s="479">
        <f t="shared" si="11"/>
        <v>8.1799999999999998E-2</v>
      </c>
      <c r="P109" s="480">
        <f t="shared" si="12"/>
        <v>9.7747481270507889E-4</v>
      </c>
      <c r="Q109" s="481">
        <f t="shared" si="13"/>
        <v>7.9957439679275458E-5</v>
      </c>
    </row>
    <row r="110" spans="1:17" x14ac:dyDescent="0.35">
      <c r="A110" s="376" t="s">
        <v>1903</v>
      </c>
      <c r="B110" s="376" t="s">
        <v>1904</v>
      </c>
      <c r="C110" s="376" t="s">
        <v>1472</v>
      </c>
      <c r="D110" s="376">
        <v>18958504068.720001</v>
      </c>
      <c r="E110" s="376">
        <v>2.4900398406374502</v>
      </c>
      <c r="F110" s="376">
        <v>7.915</v>
      </c>
      <c r="G110" s="376">
        <v>629.43239999999992</v>
      </c>
      <c r="H110" s="376">
        <v>30.12</v>
      </c>
      <c r="I110" s="474"/>
      <c r="J110" s="475" t="str">
        <f t="shared" si="7"/>
        <v>CenterPoint Energy Inc</v>
      </c>
      <c r="K110" s="476" t="str">
        <f t="shared" si="7"/>
        <v>CNP</v>
      </c>
      <c r="L110" s="477">
        <f t="shared" si="8"/>
        <v>18958.504068720002</v>
      </c>
      <c r="M110" s="478">
        <f t="shared" si="9"/>
        <v>2.4900398406374501E-2</v>
      </c>
      <c r="N110" s="478">
        <f t="shared" si="10"/>
        <v>7.9149999999999998E-2</v>
      </c>
      <c r="O110" s="479">
        <f t="shared" si="11"/>
        <v>0.10503583167330677</v>
      </c>
      <c r="P110" s="480">
        <f t="shared" si="12"/>
        <v>5.1453801060732289E-4</v>
      </c>
      <c r="Q110" s="481">
        <f t="shared" si="13"/>
        <v>5.4044927871668903E-5</v>
      </c>
    </row>
    <row r="111" spans="1:17" x14ac:dyDescent="0.35">
      <c r="A111" s="376" t="s">
        <v>1905</v>
      </c>
      <c r="B111" s="376" t="s">
        <v>1906</v>
      </c>
      <c r="C111" s="376" t="s">
        <v>1907</v>
      </c>
      <c r="D111" s="376">
        <v>42590483283.25</v>
      </c>
      <c r="E111" s="376">
        <v>2.1891528462572838</v>
      </c>
      <c r="F111" s="376">
        <v>-3.35</v>
      </c>
      <c r="G111" s="376">
        <v>381.80619999999999</v>
      </c>
      <c r="H111" s="376">
        <v>111.55</v>
      </c>
      <c r="I111" s="474"/>
      <c r="J111" s="475" t="str">
        <f t="shared" si="7"/>
        <v>Capital One Financial Corp</v>
      </c>
      <c r="K111" s="476" t="str">
        <f t="shared" si="7"/>
        <v>COF</v>
      </c>
      <c r="L111" s="477">
        <f t="shared" si="8"/>
        <v>42590.483283250003</v>
      </c>
      <c r="M111" s="478">
        <f t="shared" si="9"/>
        <v>2.1891528462572838E-2</v>
      </c>
      <c r="N111" s="478">
        <f t="shared" si="10"/>
        <v>-3.3500000000000002E-2</v>
      </c>
      <c r="O111" s="479">
        <f t="shared" si="11"/>
        <v>-1.197515463917526E-2</v>
      </c>
      <c r="P111" s="480">
        <f t="shared" si="12"/>
        <v>1.155915174527136E-3</v>
      </c>
      <c r="Q111" s="481">
        <f t="shared" si="13"/>
        <v>-1.3842262964731713E-5</v>
      </c>
    </row>
    <row r="112" spans="1:17" x14ac:dyDescent="0.35">
      <c r="A112" s="376" t="s">
        <v>1908</v>
      </c>
      <c r="B112" s="376" t="s">
        <v>1909</v>
      </c>
      <c r="C112" s="376" t="s">
        <v>1910</v>
      </c>
      <c r="D112" s="376">
        <v>19672468680.639999</v>
      </c>
      <c r="E112" s="376">
        <v>1.8371250251660962E-2</v>
      </c>
      <c r="F112" s="376">
        <v>9</v>
      </c>
      <c r="G112" s="376">
        <v>49.507919999999999</v>
      </c>
      <c r="H112" s="376">
        <v>397.36</v>
      </c>
      <c r="I112" s="474"/>
      <c r="J112" s="475" t="str">
        <f t="shared" si="7"/>
        <v>Cooper Cos Inc/The</v>
      </c>
      <c r="K112" s="476" t="str">
        <f t="shared" si="7"/>
        <v>COO</v>
      </c>
      <c r="L112" s="477">
        <f t="shared" si="8"/>
        <v>19672.468680639999</v>
      </c>
      <c r="M112" s="478">
        <f t="shared" si="9"/>
        <v>1.8371250251660961E-4</v>
      </c>
      <c r="N112" s="478">
        <f t="shared" si="10"/>
        <v>0.09</v>
      </c>
      <c r="O112" s="479">
        <f t="shared" si="11"/>
        <v>9.0191979565129851E-2</v>
      </c>
      <c r="P112" s="480">
        <f t="shared" si="12"/>
        <v>5.3391516872748613E-4</v>
      </c>
      <c r="Q112" s="481">
        <f t="shared" si="13"/>
        <v>4.8154865987382288E-5</v>
      </c>
    </row>
    <row r="113" spans="1:17" x14ac:dyDescent="0.35">
      <c r="A113" s="376" t="s">
        <v>1911</v>
      </c>
      <c r="B113" s="376" t="s">
        <v>1912</v>
      </c>
      <c r="C113" s="376" t="s">
        <v>1913</v>
      </c>
      <c r="D113" s="376">
        <v>129780070064.25999</v>
      </c>
      <c r="E113" s="376">
        <v>1.9124101223270147</v>
      </c>
      <c r="F113" s="376">
        <v>-7</v>
      </c>
      <c r="G113" s="376">
        <v>1211.8789999999999</v>
      </c>
      <c r="H113" s="376">
        <v>107.09</v>
      </c>
      <c r="I113" s="474"/>
      <c r="J113" s="475" t="str">
        <f t="shared" si="7"/>
        <v>ConocoPhillips</v>
      </c>
      <c r="K113" s="476" t="str">
        <f t="shared" si="7"/>
        <v>COP</v>
      </c>
      <c r="L113" s="477">
        <f t="shared" si="8"/>
        <v>129780.07006426</v>
      </c>
      <c r="M113" s="478">
        <f t="shared" si="9"/>
        <v>1.9124101223270146E-2</v>
      </c>
      <c r="N113" s="478">
        <f t="shared" si="10"/>
        <v>-7.0000000000000007E-2</v>
      </c>
      <c r="O113" s="479">
        <f t="shared" si="11"/>
        <v>-5.1545242319544313E-2</v>
      </c>
      <c r="P113" s="480">
        <f t="shared" si="12"/>
        <v>3.5222599222646265E-3</v>
      </c>
      <c r="Q113" s="481">
        <f t="shared" si="13"/>
        <v>-1.8155574120554948E-4</v>
      </c>
    </row>
    <row r="114" spans="1:17" x14ac:dyDescent="0.35">
      <c r="A114" s="376" t="s">
        <v>1914</v>
      </c>
      <c r="B114" s="376" t="s">
        <v>1915</v>
      </c>
      <c r="C114" s="376" t="s">
        <v>1916</v>
      </c>
      <c r="D114" s="376">
        <v>242269274562.70001</v>
      </c>
      <c r="E114" s="376">
        <v>0.6601426742271812</v>
      </c>
      <c r="F114" s="376">
        <v>12.46</v>
      </c>
      <c r="G114" s="376">
        <v>443.14849999999996</v>
      </c>
      <c r="H114" s="376">
        <v>546.70000000000005</v>
      </c>
      <c r="I114" s="474"/>
      <c r="J114" s="475" t="str">
        <f t="shared" si="7"/>
        <v>Costco Wholesale Corp</v>
      </c>
      <c r="K114" s="476" t="str">
        <f t="shared" si="7"/>
        <v>COST</v>
      </c>
      <c r="L114" s="477">
        <f t="shared" si="8"/>
        <v>242269.27456270001</v>
      </c>
      <c r="M114" s="478">
        <f t="shared" si="9"/>
        <v>6.6014267422718122E-3</v>
      </c>
      <c r="N114" s="478">
        <f t="shared" si="10"/>
        <v>0.1246</v>
      </c>
      <c r="O114" s="479">
        <f t="shared" si="11"/>
        <v>0.13161269562831535</v>
      </c>
      <c r="P114" s="480">
        <f t="shared" si="12"/>
        <v>6.5752419132290357E-3</v>
      </c>
      <c r="Q114" s="481">
        <f t="shared" si="13"/>
        <v>8.6538531260835498E-4</v>
      </c>
    </row>
    <row r="115" spans="1:17" x14ac:dyDescent="0.35">
      <c r="A115" s="376" t="s">
        <v>1917</v>
      </c>
      <c r="B115" s="376" t="s">
        <v>1918</v>
      </c>
      <c r="C115" s="376" t="s">
        <v>1919</v>
      </c>
      <c r="D115" s="376">
        <v>13530391114.049999</v>
      </c>
      <c r="E115" s="376">
        <v>3.2826613791584047</v>
      </c>
      <c r="F115" s="376">
        <v>3.39</v>
      </c>
      <c r="G115" s="376">
        <v>298.09190000000001</v>
      </c>
      <c r="H115" s="376">
        <v>45.39</v>
      </c>
      <c r="I115" s="474"/>
      <c r="J115" s="475" t="str">
        <f t="shared" si="7"/>
        <v>Campbell Soup Co</v>
      </c>
      <c r="K115" s="476" t="str">
        <f t="shared" si="7"/>
        <v>CPB</v>
      </c>
      <c r="L115" s="477">
        <f t="shared" si="8"/>
        <v>13530.391114049999</v>
      </c>
      <c r="M115" s="478">
        <f t="shared" si="9"/>
        <v>3.2826613791584046E-2</v>
      </c>
      <c r="N115" s="478">
        <f t="shared" si="10"/>
        <v>3.39E-2</v>
      </c>
      <c r="O115" s="479">
        <f t="shared" si="11"/>
        <v>6.7283024895351401E-2</v>
      </c>
      <c r="P115" s="480">
        <f t="shared" si="12"/>
        <v>3.6721781957727657E-4</v>
      </c>
      <c r="Q115" s="481">
        <f t="shared" si="13"/>
        <v>2.4707525696634558E-5</v>
      </c>
    </row>
    <row r="116" spans="1:17" x14ac:dyDescent="0.35">
      <c r="A116" s="376" t="s">
        <v>1920</v>
      </c>
      <c r="B116" s="376" t="s">
        <v>1921</v>
      </c>
      <c r="C116" s="376" t="s">
        <v>1922</v>
      </c>
      <c r="D116" s="376">
        <v>44707466243.040001</v>
      </c>
      <c r="E116" s="376" t="s">
        <v>1612</v>
      </c>
      <c r="F116" s="376">
        <v>10</v>
      </c>
      <c r="G116" s="376">
        <v>477.43979999999999</v>
      </c>
      <c r="H116" s="376">
        <v>93.64</v>
      </c>
      <c r="I116" s="474"/>
      <c r="J116" s="475" t="str">
        <f t="shared" si="7"/>
        <v>Copart Inc</v>
      </c>
      <c r="K116" s="476" t="str">
        <f t="shared" si="7"/>
        <v>CPRT</v>
      </c>
      <c r="L116" s="477">
        <f t="shared" si="8"/>
        <v>44707.466243039999</v>
      </c>
      <c r="M116" s="478" t="str">
        <f t="shared" si="9"/>
        <v>0.00%</v>
      </c>
      <c r="N116" s="478">
        <f t="shared" si="10"/>
        <v>0.1</v>
      </c>
      <c r="O116" s="479">
        <f t="shared" si="11"/>
        <v>0.1</v>
      </c>
      <c r="P116" s="480">
        <f t="shared" si="12"/>
        <v>1.2133705621817533E-3</v>
      </c>
      <c r="Q116" s="481">
        <f t="shared" si="13"/>
        <v>1.2133705621817533E-4</v>
      </c>
    </row>
    <row r="117" spans="1:17" x14ac:dyDescent="0.35">
      <c r="A117" s="376" t="s">
        <v>1923</v>
      </c>
      <c r="B117" s="376" t="s">
        <v>1924</v>
      </c>
      <c r="C117" s="376" t="s">
        <v>1925</v>
      </c>
      <c r="D117" s="376">
        <v>11952047209.549999</v>
      </c>
      <c r="E117" s="376">
        <v>3.5631978561857971</v>
      </c>
      <c r="F117" s="376">
        <v>3.48</v>
      </c>
      <c r="G117" s="376">
        <v>106.7624</v>
      </c>
      <c r="H117" s="376">
        <v>111.95</v>
      </c>
      <c r="I117" s="474"/>
      <c r="J117" s="475" t="str">
        <f t="shared" si="7"/>
        <v>Camden Property Trust</v>
      </c>
      <c r="K117" s="476" t="str">
        <f t="shared" si="7"/>
        <v>CPT</v>
      </c>
      <c r="L117" s="477">
        <f t="shared" si="8"/>
        <v>11952.047209549999</v>
      </c>
      <c r="M117" s="478">
        <f t="shared" si="9"/>
        <v>3.5631978561857972E-2</v>
      </c>
      <c r="N117" s="478">
        <f t="shared" si="10"/>
        <v>3.4799999999999998E-2</v>
      </c>
      <c r="O117" s="479">
        <f t="shared" si="11"/>
        <v>7.105197498883431E-2</v>
      </c>
      <c r="P117" s="480">
        <f t="shared" si="12"/>
        <v>3.2438121550071585E-4</v>
      </c>
      <c r="Q117" s="481">
        <f t="shared" si="13"/>
        <v>2.3047926010604535E-5</v>
      </c>
    </row>
    <row r="118" spans="1:17" x14ac:dyDescent="0.35">
      <c r="A118" s="376" t="s">
        <v>1926</v>
      </c>
      <c r="B118" s="376" t="s">
        <v>1927</v>
      </c>
      <c r="C118" s="376" t="s">
        <v>1928</v>
      </c>
      <c r="D118" s="376">
        <v>10623530818.84</v>
      </c>
      <c r="E118" s="376">
        <v>0</v>
      </c>
      <c r="F118" s="376">
        <v>14</v>
      </c>
      <c r="G118" s="376">
        <v>51.182939999999995</v>
      </c>
      <c r="H118" s="376">
        <v>207.56</v>
      </c>
      <c r="I118" s="474"/>
      <c r="J118" s="475" t="str">
        <f t="shared" si="7"/>
        <v>Charles River Laboratories International Inc</v>
      </c>
      <c r="K118" s="476" t="str">
        <f t="shared" si="7"/>
        <v>CRL</v>
      </c>
      <c r="L118" s="477">
        <f t="shared" si="8"/>
        <v>10623.530818839999</v>
      </c>
      <c r="M118" s="478">
        <f t="shared" si="9"/>
        <v>0</v>
      </c>
      <c r="N118" s="478">
        <f t="shared" si="10"/>
        <v>0.14000000000000001</v>
      </c>
      <c r="O118" s="479">
        <f t="shared" si="11"/>
        <v>0.14000000000000001</v>
      </c>
      <c r="P118" s="480">
        <f t="shared" si="12"/>
        <v>2.883249856284981E-4</v>
      </c>
      <c r="Q118" s="481">
        <f t="shared" si="13"/>
        <v>4.0365497987989736E-5</v>
      </c>
    </row>
    <row r="119" spans="1:17" x14ac:dyDescent="0.35">
      <c r="A119" s="376" t="s">
        <v>1929</v>
      </c>
      <c r="B119" s="376" t="s">
        <v>1930</v>
      </c>
      <c r="C119" s="376" t="s">
        <v>1931</v>
      </c>
      <c r="D119" s="376">
        <v>223367420000</v>
      </c>
      <c r="E119" s="376">
        <v>0</v>
      </c>
      <c r="F119" s="376">
        <v>22.5</v>
      </c>
      <c r="G119" s="376">
        <v>974</v>
      </c>
      <c r="H119" s="376">
        <v>229.33</v>
      </c>
      <c r="I119" s="474"/>
      <c r="J119" s="475" t="str">
        <f t="shared" si="7"/>
        <v>Salesforce Inc</v>
      </c>
      <c r="K119" s="476" t="str">
        <f t="shared" si="7"/>
        <v>CRM</v>
      </c>
      <c r="L119" s="477">
        <f t="shared" si="8"/>
        <v>223367.42</v>
      </c>
      <c r="M119" s="478">
        <f t="shared" si="9"/>
        <v>0</v>
      </c>
      <c r="N119" s="478">
        <f t="shared" si="10"/>
        <v>0.22500000000000001</v>
      </c>
      <c r="O119" s="479">
        <f t="shared" si="11"/>
        <v>0.22500000000000001</v>
      </c>
      <c r="P119" s="480">
        <f t="shared" si="12"/>
        <v>6.0622413827954528E-3</v>
      </c>
      <c r="Q119" s="481">
        <f t="shared" si="13"/>
        <v>1.364004311128977E-3</v>
      </c>
    </row>
    <row r="120" spans="1:17" x14ac:dyDescent="0.35">
      <c r="A120" s="376" t="s">
        <v>1932</v>
      </c>
      <c r="B120" s="376" t="s">
        <v>1933</v>
      </c>
      <c r="C120" s="376" t="s">
        <v>1934</v>
      </c>
      <c r="D120" s="376">
        <v>205301429848.89999</v>
      </c>
      <c r="E120" s="376">
        <v>3.0508138150059545</v>
      </c>
      <c r="F120" s="376">
        <v>7.5</v>
      </c>
      <c r="G120" s="376">
        <v>4075.058</v>
      </c>
      <c r="H120" s="376">
        <v>50.38</v>
      </c>
      <c r="I120" s="474"/>
      <c r="J120" s="475" t="str">
        <f t="shared" si="7"/>
        <v>Cisco Systems Inc</v>
      </c>
      <c r="K120" s="476" t="str">
        <f t="shared" si="7"/>
        <v>CSCO</v>
      </c>
      <c r="L120" s="477">
        <f t="shared" si="8"/>
        <v>205301.42984890001</v>
      </c>
      <c r="M120" s="478">
        <f t="shared" si="9"/>
        <v>3.0508138150059545E-2</v>
      </c>
      <c r="N120" s="478">
        <f t="shared" si="10"/>
        <v>7.4999999999999997E-2</v>
      </c>
      <c r="O120" s="479">
        <f t="shared" si="11"/>
        <v>0.10665219333068678</v>
      </c>
      <c r="P120" s="480">
        <f t="shared" si="12"/>
        <v>5.5719263981160684E-3</v>
      </c>
      <c r="Q120" s="481">
        <f t="shared" si="13"/>
        <v>5.9425817143623214E-4</v>
      </c>
    </row>
    <row r="121" spans="1:17" x14ac:dyDescent="0.35">
      <c r="A121" s="376" t="s">
        <v>1935</v>
      </c>
      <c r="B121" s="376" t="s">
        <v>1936</v>
      </c>
      <c r="C121" s="376" t="s">
        <v>1937</v>
      </c>
      <c r="D121" s="376">
        <v>36478465971.610001</v>
      </c>
      <c r="E121" s="376">
        <v>0</v>
      </c>
      <c r="F121" s="376">
        <v>20</v>
      </c>
      <c r="G121" s="376">
        <v>408.53919999999999</v>
      </c>
      <c r="H121" s="376">
        <v>89.29</v>
      </c>
      <c r="I121" s="474"/>
      <c r="J121" s="475" t="str">
        <f t="shared" si="7"/>
        <v>CoStar Group Inc</v>
      </c>
      <c r="K121" s="476" t="str">
        <f t="shared" si="7"/>
        <v>CSGP</v>
      </c>
      <c r="L121" s="477">
        <f t="shared" si="8"/>
        <v>36478.46597161</v>
      </c>
      <c r="M121" s="478">
        <f t="shared" si="9"/>
        <v>0</v>
      </c>
      <c r="N121" s="478">
        <f t="shared" si="10"/>
        <v>0.2</v>
      </c>
      <c r="O121" s="479">
        <f t="shared" si="11"/>
        <v>0.2</v>
      </c>
      <c r="P121" s="480">
        <f t="shared" si="12"/>
        <v>9.9003366737185675E-4</v>
      </c>
      <c r="Q121" s="481">
        <f t="shared" si="13"/>
        <v>1.9800673347437136E-4</v>
      </c>
    </row>
    <row r="122" spans="1:17" x14ac:dyDescent="0.35">
      <c r="A122" s="376" t="s">
        <v>1938</v>
      </c>
      <c r="B122" s="376" t="s">
        <v>1939</v>
      </c>
      <c r="C122" s="376" t="s">
        <v>1940</v>
      </c>
      <c r="D122" s="376">
        <v>68371637026.860001</v>
      </c>
      <c r="E122" s="376">
        <v>1.3053820993160867</v>
      </c>
      <c r="F122" s="376">
        <v>3.91</v>
      </c>
      <c r="G122" s="376">
        <v>2033.0549999999998</v>
      </c>
      <c r="H122" s="376">
        <v>33.630000000000003</v>
      </c>
      <c r="I122" s="474"/>
      <c r="J122" s="475" t="str">
        <f t="shared" si="7"/>
        <v>CSX Corp</v>
      </c>
      <c r="K122" s="476" t="str">
        <f t="shared" si="7"/>
        <v>CSX</v>
      </c>
      <c r="L122" s="477">
        <f t="shared" si="8"/>
        <v>68371.63702686</v>
      </c>
      <c r="M122" s="478">
        <f t="shared" si="9"/>
        <v>1.3053820993160867E-2</v>
      </c>
      <c r="N122" s="478">
        <f t="shared" si="10"/>
        <v>3.9100000000000003E-2</v>
      </c>
      <c r="O122" s="479">
        <f t="shared" si="11"/>
        <v>5.2409023193577167E-2</v>
      </c>
      <c r="P122" s="480">
        <f t="shared" si="12"/>
        <v>1.855621412440993E-3</v>
      </c>
      <c r="Q122" s="481">
        <f t="shared" si="13"/>
        <v>9.7251305643118421E-5</v>
      </c>
    </row>
    <row r="123" spans="1:17" x14ac:dyDescent="0.35">
      <c r="A123" s="376" t="s">
        <v>1941</v>
      </c>
      <c r="B123" s="376" t="s">
        <v>1942</v>
      </c>
      <c r="C123" s="376" t="s">
        <v>1943</v>
      </c>
      <c r="D123" s="376">
        <v>50495768981.279999</v>
      </c>
      <c r="E123" s="376">
        <v>0.97368845193005071</v>
      </c>
      <c r="F123" s="376">
        <v>9.74</v>
      </c>
      <c r="G123" s="376">
        <v>101.73209999999999</v>
      </c>
      <c r="H123" s="376">
        <v>496.36</v>
      </c>
      <c r="I123" s="474"/>
      <c r="J123" s="475" t="str">
        <f t="shared" si="7"/>
        <v>Cintas Corp</v>
      </c>
      <c r="K123" s="476" t="str">
        <f t="shared" si="7"/>
        <v>CTAS</v>
      </c>
      <c r="L123" s="477">
        <f t="shared" si="8"/>
        <v>50495.768981280002</v>
      </c>
      <c r="M123" s="478">
        <f t="shared" si="9"/>
        <v>9.7368845193005066E-3</v>
      </c>
      <c r="N123" s="478">
        <f t="shared" si="10"/>
        <v>9.74E-2</v>
      </c>
      <c r="O123" s="479">
        <f t="shared" si="11"/>
        <v>0.10761107079539044</v>
      </c>
      <c r="P123" s="480">
        <f t="shared" si="12"/>
        <v>1.3704663839265126E-3</v>
      </c>
      <c r="Q123" s="481">
        <f t="shared" si="13"/>
        <v>1.4747735506341869E-4</v>
      </c>
    </row>
    <row r="124" spans="1:17" x14ac:dyDescent="0.35">
      <c r="A124" s="376" t="s">
        <v>1944</v>
      </c>
      <c r="B124" s="376" t="s">
        <v>1945</v>
      </c>
      <c r="C124" s="376" t="s">
        <v>1946</v>
      </c>
      <c r="D124" s="376">
        <v>8409676717.6499996</v>
      </c>
      <c r="E124" s="376" t="s">
        <v>1612</v>
      </c>
      <c r="F124" s="376">
        <v>12</v>
      </c>
      <c r="G124" s="376">
        <v>180.27169999999998</v>
      </c>
      <c r="H124" s="376">
        <v>46.65</v>
      </c>
      <c r="I124" s="474"/>
      <c r="J124" s="475" t="str">
        <f t="shared" si="7"/>
        <v>Catalent Inc</v>
      </c>
      <c r="K124" s="476" t="str">
        <f t="shared" si="7"/>
        <v>CTLT</v>
      </c>
      <c r="L124" s="477">
        <f t="shared" si="8"/>
        <v>8409.6767176499998</v>
      </c>
      <c r="M124" s="478" t="str">
        <f t="shared" si="9"/>
        <v>0.00%</v>
      </c>
      <c r="N124" s="478">
        <f t="shared" si="10"/>
        <v>0.12</v>
      </c>
      <c r="O124" s="479">
        <f t="shared" si="11"/>
        <v>0.12</v>
      </c>
      <c r="P124" s="480">
        <f t="shared" si="12"/>
        <v>2.2824049368376666E-4</v>
      </c>
      <c r="Q124" s="481">
        <f t="shared" si="13"/>
        <v>2.7388859242052E-5</v>
      </c>
    </row>
    <row r="125" spans="1:17" x14ac:dyDescent="0.35">
      <c r="A125" s="376" t="s">
        <v>1947</v>
      </c>
      <c r="B125" s="376" t="s">
        <v>1948</v>
      </c>
      <c r="C125" s="376" t="s">
        <v>1949</v>
      </c>
      <c r="D125" s="376">
        <v>19292333793.569996</v>
      </c>
      <c r="E125" s="376">
        <v>3.6317235963879075</v>
      </c>
      <c r="F125" s="376">
        <v>25.02</v>
      </c>
      <c r="G125" s="376">
        <v>757.45319999999992</v>
      </c>
      <c r="H125" s="376">
        <v>25.47</v>
      </c>
      <c r="I125" s="474"/>
      <c r="J125" s="475" t="str">
        <f t="shared" si="7"/>
        <v>Coterra Energy Inc</v>
      </c>
      <c r="K125" s="476" t="str">
        <f t="shared" si="7"/>
        <v>CTRA</v>
      </c>
      <c r="L125" s="477">
        <f t="shared" si="8"/>
        <v>19292.333793569996</v>
      </c>
      <c r="M125" s="478">
        <f t="shared" si="9"/>
        <v>3.6317235963879077E-2</v>
      </c>
      <c r="N125" s="478">
        <f t="shared" si="10"/>
        <v>0.25019999999999998</v>
      </c>
      <c r="O125" s="479">
        <f t="shared" si="11"/>
        <v>0.2910605221829603</v>
      </c>
      <c r="P125" s="480">
        <f t="shared" si="12"/>
        <v>5.2359822347450313E-4</v>
      </c>
      <c r="Q125" s="481">
        <f t="shared" si="13"/>
        <v>1.5239877233855922E-4</v>
      </c>
    </row>
    <row r="126" spans="1:17" x14ac:dyDescent="0.35">
      <c r="A126" s="376" t="s">
        <v>1950</v>
      </c>
      <c r="B126" s="376" t="s">
        <v>1951</v>
      </c>
      <c r="C126" s="376" t="s">
        <v>1952</v>
      </c>
      <c r="D126" s="376">
        <v>34812953481.599991</v>
      </c>
      <c r="E126" s="376">
        <v>1.6734693877551023</v>
      </c>
      <c r="F126" s="376">
        <v>12</v>
      </c>
      <c r="G126" s="376">
        <v>507.47749999999996</v>
      </c>
      <c r="H126" s="376">
        <v>68.599999999999994</v>
      </c>
      <c r="I126" s="474"/>
      <c r="J126" s="475" t="str">
        <f t="shared" si="7"/>
        <v>Cognizant Technology Solutions Corp</v>
      </c>
      <c r="K126" s="476" t="str">
        <f t="shared" si="7"/>
        <v>CTSH</v>
      </c>
      <c r="L126" s="477">
        <f t="shared" si="8"/>
        <v>34812.953481599994</v>
      </c>
      <c r="M126" s="478">
        <f t="shared" si="9"/>
        <v>1.6734693877551023E-2</v>
      </c>
      <c r="N126" s="478">
        <f t="shared" si="10"/>
        <v>0.12</v>
      </c>
      <c r="O126" s="479">
        <f t="shared" si="11"/>
        <v>0.13773877551020408</v>
      </c>
      <c r="P126" s="480">
        <f t="shared" si="12"/>
        <v>9.4483128852671753E-4</v>
      </c>
      <c r="Q126" s="481">
        <f t="shared" si="13"/>
        <v>1.301399047453984E-4</v>
      </c>
    </row>
    <row r="127" spans="1:17" x14ac:dyDescent="0.35">
      <c r="A127" s="376" t="s">
        <v>1953</v>
      </c>
      <c r="B127" s="376" t="s">
        <v>1954</v>
      </c>
      <c r="C127" s="376" t="s">
        <v>1955</v>
      </c>
      <c r="D127" s="376">
        <v>38554281500</v>
      </c>
      <c r="E127" s="376">
        <v>1.1373271889400922</v>
      </c>
      <c r="F127" s="376">
        <v>21.080000000000002</v>
      </c>
      <c r="G127" s="376">
        <v>710.678</v>
      </c>
      <c r="H127" s="376">
        <v>54.25</v>
      </c>
      <c r="I127" s="474"/>
      <c r="J127" s="475" t="str">
        <f t="shared" si="7"/>
        <v>Corteva Inc</v>
      </c>
      <c r="K127" s="476" t="str">
        <f t="shared" si="7"/>
        <v>CTVA</v>
      </c>
      <c r="L127" s="477">
        <f t="shared" si="8"/>
        <v>38554.281499999997</v>
      </c>
      <c r="M127" s="478">
        <f t="shared" si="9"/>
        <v>1.1373271889400922E-2</v>
      </c>
      <c r="N127" s="478">
        <f t="shared" si="10"/>
        <v>0.21080000000000002</v>
      </c>
      <c r="O127" s="479">
        <f t="shared" si="11"/>
        <v>0.22337201474654378</v>
      </c>
      <c r="P127" s="480">
        <f t="shared" si="12"/>
        <v>1.0463717617960806E-3</v>
      </c>
      <c r="Q127" s="481">
        <f t="shared" si="13"/>
        <v>2.3373016860628112E-4</v>
      </c>
    </row>
    <row r="128" spans="1:17" x14ac:dyDescent="0.35">
      <c r="A128" s="376" t="s">
        <v>1956</v>
      </c>
      <c r="B128" s="376" t="s">
        <v>1957</v>
      </c>
      <c r="C128" s="376" t="s">
        <v>1958</v>
      </c>
      <c r="D128" s="376">
        <v>91510964700.539993</v>
      </c>
      <c r="E128" s="376">
        <v>3.3132530120481936</v>
      </c>
      <c r="F128" s="376">
        <v>6.875</v>
      </c>
      <c r="G128" s="376">
        <v>1282.0249999999999</v>
      </c>
      <c r="H128" s="376">
        <v>71.38</v>
      </c>
      <c r="I128" s="474"/>
      <c r="J128" s="475" t="str">
        <f t="shared" si="7"/>
        <v>CVS Health Corp</v>
      </c>
      <c r="K128" s="476" t="str">
        <f t="shared" si="7"/>
        <v>CVS</v>
      </c>
      <c r="L128" s="477">
        <f t="shared" si="8"/>
        <v>91510.964700539989</v>
      </c>
      <c r="M128" s="478">
        <f t="shared" si="9"/>
        <v>3.3132530120481937E-2</v>
      </c>
      <c r="N128" s="478">
        <f t="shared" si="10"/>
        <v>6.8750000000000006E-2</v>
      </c>
      <c r="O128" s="479">
        <f t="shared" si="11"/>
        <v>0.10302146084337352</v>
      </c>
      <c r="P128" s="480">
        <f t="shared" si="12"/>
        <v>2.4836279041372611E-3</v>
      </c>
      <c r="Q128" s="481">
        <f t="shared" si="13"/>
        <v>2.5586697487558666E-4</v>
      </c>
    </row>
    <row r="129" spans="1:17" x14ac:dyDescent="0.35">
      <c r="A129" s="376" t="s">
        <v>1959</v>
      </c>
      <c r="B129" s="376" t="s">
        <v>1960</v>
      </c>
      <c r="C129" s="376" t="s">
        <v>1961</v>
      </c>
      <c r="D129" s="376">
        <v>290979346733.45996</v>
      </c>
      <c r="E129" s="376">
        <v>3.9295481182445626</v>
      </c>
      <c r="F129" s="376">
        <v>8.2650000000000006</v>
      </c>
      <c r="G129" s="376">
        <v>1894.6429999999998</v>
      </c>
      <c r="H129" s="376">
        <v>153.58000000000001</v>
      </c>
      <c r="I129" s="474"/>
      <c r="J129" s="475" t="str">
        <f t="shared" si="7"/>
        <v>Chevron Corp</v>
      </c>
      <c r="K129" s="476" t="str">
        <f t="shared" si="7"/>
        <v>CVX</v>
      </c>
      <c r="L129" s="477">
        <f t="shared" si="8"/>
        <v>290979.34673345997</v>
      </c>
      <c r="M129" s="478">
        <f t="shared" si="9"/>
        <v>3.9295481182445628E-2</v>
      </c>
      <c r="N129" s="478">
        <f t="shared" si="10"/>
        <v>8.2650000000000001E-2</v>
      </c>
      <c r="O129" s="479">
        <f t="shared" si="11"/>
        <v>0.12356936694231019</v>
      </c>
      <c r="P129" s="480">
        <f t="shared" si="12"/>
        <v>7.8972440891620071E-3</v>
      </c>
      <c r="Q129" s="481">
        <f t="shared" si="13"/>
        <v>9.7585745268665021E-4</v>
      </c>
    </row>
    <row r="130" spans="1:17" x14ac:dyDescent="0.35">
      <c r="A130" s="376" t="s">
        <v>1962</v>
      </c>
      <c r="B130" s="376" t="s">
        <v>1963</v>
      </c>
      <c r="C130" s="376" t="s">
        <v>1964</v>
      </c>
      <c r="D130" s="376">
        <v>11336955412.199999</v>
      </c>
      <c r="E130" s="376" t="s">
        <v>1612</v>
      </c>
      <c r="F130" s="376" t="s">
        <v>1612</v>
      </c>
      <c r="G130" s="376">
        <v>215.20419999999999</v>
      </c>
      <c r="H130" s="376">
        <v>52.68</v>
      </c>
      <c r="I130" s="474"/>
      <c r="J130" s="475" t="str">
        <f t="shared" si="7"/>
        <v>Caesars Entertainment Inc</v>
      </c>
      <c r="K130" s="476" t="str">
        <f t="shared" si="7"/>
        <v>CZR</v>
      </c>
      <c r="L130" s="477">
        <f t="shared" si="8"/>
        <v>11336.955412199999</v>
      </c>
      <c r="M130" s="478" t="str">
        <f t="shared" si="9"/>
        <v>0.00%</v>
      </c>
      <c r="N130" s="478" t="str">
        <f t="shared" si="10"/>
        <v>N/A</v>
      </c>
      <c r="O130" s="479" t="str">
        <f t="shared" si="11"/>
        <v>N/A</v>
      </c>
      <c r="P130" s="480" t="str">
        <f t="shared" si="12"/>
        <v>N/A</v>
      </c>
      <c r="Q130" s="481" t="str">
        <f t="shared" si="13"/>
        <v>N/A</v>
      </c>
    </row>
    <row r="131" spans="1:17" x14ac:dyDescent="0.35">
      <c r="A131" s="376" t="s">
        <v>1965</v>
      </c>
      <c r="B131" s="376" t="s">
        <v>1966</v>
      </c>
      <c r="C131" s="376" t="s">
        <v>1474</v>
      </c>
      <c r="D131" s="376">
        <v>44003956348.800003</v>
      </c>
      <c r="E131" s="376">
        <v>5.0873860182370825</v>
      </c>
      <c r="F131" s="376">
        <v>2.2130000000000001</v>
      </c>
      <c r="G131" s="376">
        <v>835.94139999999993</v>
      </c>
      <c r="H131" s="376">
        <v>52.64</v>
      </c>
      <c r="I131" s="474"/>
      <c r="J131" s="475" t="str">
        <f t="shared" si="7"/>
        <v>Dominion Energy Inc</v>
      </c>
      <c r="K131" s="476" t="str">
        <f t="shared" si="7"/>
        <v>D</v>
      </c>
      <c r="L131" s="477">
        <f t="shared" si="8"/>
        <v>44003.956348800006</v>
      </c>
      <c r="M131" s="478">
        <f t="shared" si="9"/>
        <v>5.0873860182370827E-2</v>
      </c>
      <c r="N131" s="478">
        <f t="shared" si="10"/>
        <v>2.213E-2</v>
      </c>
      <c r="O131" s="479">
        <f t="shared" si="11"/>
        <v>7.3566779445288763E-2</v>
      </c>
      <c r="P131" s="480">
        <f t="shared" si="12"/>
        <v>1.1942771474211416E-3</v>
      </c>
      <c r="Q131" s="481">
        <f t="shared" si="13"/>
        <v>8.785912350087973E-5</v>
      </c>
    </row>
    <row r="132" spans="1:17" x14ac:dyDescent="0.35">
      <c r="A132" s="376" t="s">
        <v>1967</v>
      </c>
      <c r="B132" s="376" t="s">
        <v>1968</v>
      </c>
      <c r="C132" s="376" t="s">
        <v>1969</v>
      </c>
      <c r="D132" s="376">
        <v>29912520253.75</v>
      </c>
      <c r="E132" s="376">
        <v>0.43020004302000431</v>
      </c>
      <c r="F132" s="376">
        <v>37.340000000000003</v>
      </c>
      <c r="G132" s="376">
        <v>643.41840000000002</v>
      </c>
      <c r="H132" s="376">
        <v>46.49</v>
      </c>
      <c r="I132" s="474"/>
      <c r="J132" s="475" t="str">
        <f t="shared" ref="J132:K195" si="14">B132</f>
        <v>Delta Air Lines Inc</v>
      </c>
      <c r="K132" s="476" t="str">
        <f t="shared" si="14"/>
        <v>DAL</v>
      </c>
      <c r="L132" s="477">
        <f t="shared" ref="L132:L195" si="15">D132/1000000</f>
        <v>29912.520253750001</v>
      </c>
      <c r="M132" s="478">
        <f t="shared" ref="M132:M195" si="16">IFERROR(E132/100,"0.00%")</f>
        <v>4.3020004302000434E-3</v>
      </c>
      <c r="N132" s="478">
        <f t="shared" ref="N132:N195" si="17">IFERROR(F132/100,"N/A")</f>
        <v>0.37340000000000001</v>
      </c>
      <c r="O132" s="479">
        <f t="shared" ref="O132:O195" si="18">IFERROR(M132*(1+0.5*N132)+N132,"N/A")</f>
        <v>0.37850518391051841</v>
      </c>
      <c r="P132" s="480">
        <f t="shared" ref="P132:P195" si="19">IF(O132="N/A","N/A",L132/$L$504)</f>
        <v>8.1183244246627539E-4</v>
      </c>
      <c r="Q132" s="481">
        <f t="shared" ref="Q132:Q195" si="20">IF(AND(ISNUMBER(L132),ISNUMBER(O132)),O132*P132,"N/A")</f>
        <v>3.0728278794022292E-4</v>
      </c>
    </row>
    <row r="133" spans="1:17" x14ac:dyDescent="0.35">
      <c r="A133" s="376" t="s">
        <v>1970</v>
      </c>
      <c r="B133" s="376" t="s">
        <v>1971</v>
      </c>
      <c r="C133" s="376" t="s">
        <v>1972</v>
      </c>
      <c r="D133" s="376">
        <v>33329207814.920002</v>
      </c>
      <c r="E133" s="376">
        <v>1.9639168158655831</v>
      </c>
      <c r="F133" s="376">
        <v>7.53</v>
      </c>
      <c r="G133" s="376">
        <v>459.01679999999999</v>
      </c>
      <c r="H133" s="376">
        <v>72.61</v>
      </c>
      <c r="I133" s="474"/>
      <c r="J133" s="475" t="str">
        <f t="shared" si="14"/>
        <v>DuPont de Nemours Inc</v>
      </c>
      <c r="K133" s="476" t="str">
        <f t="shared" si="14"/>
        <v>DD</v>
      </c>
      <c r="L133" s="477">
        <f t="shared" si="15"/>
        <v>33329.207814920002</v>
      </c>
      <c r="M133" s="478">
        <f t="shared" si="16"/>
        <v>1.963916815865583E-2</v>
      </c>
      <c r="N133" s="478">
        <f t="shared" si="17"/>
        <v>7.5300000000000006E-2</v>
      </c>
      <c r="O133" s="479">
        <f t="shared" si="18"/>
        <v>9.5678582839829232E-2</v>
      </c>
      <c r="P133" s="480">
        <f t="shared" si="19"/>
        <v>9.0456210163235816E-4</v>
      </c>
      <c r="Q133" s="481">
        <f t="shared" si="20"/>
        <v>8.6547219974801608E-5</v>
      </c>
    </row>
    <row r="134" spans="1:17" x14ac:dyDescent="0.35">
      <c r="A134" s="376" t="s">
        <v>1973</v>
      </c>
      <c r="B134" s="376" t="s">
        <v>1974</v>
      </c>
      <c r="C134" s="376" t="s">
        <v>887</v>
      </c>
      <c r="D134" s="376">
        <v>121560393580.00999</v>
      </c>
      <c r="E134" s="376">
        <v>1.1540966209208654</v>
      </c>
      <c r="F134" s="376">
        <v>17.28</v>
      </c>
      <c r="G134" s="376">
        <v>293.19209999999998</v>
      </c>
      <c r="H134" s="376">
        <v>414.61</v>
      </c>
      <c r="I134" s="474"/>
      <c r="J134" s="475" t="str">
        <f t="shared" si="14"/>
        <v>Deere &amp; Co</v>
      </c>
      <c r="K134" s="476" t="str">
        <f t="shared" si="14"/>
        <v>DE</v>
      </c>
      <c r="L134" s="477">
        <f t="shared" si="15"/>
        <v>121560.39358001</v>
      </c>
      <c r="M134" s="478">
        <f t="shared" si="16"/>
        <v>1.1540966209208654E-2</v>
      </c>
      <c r="N134" s="478">
        <f t="shared" si="17"/>
        <v>0.17280000000000001</v>
      </c>
      <c r="O134" s="479">
        <f t="shared" si="18"/>
        <v>0.18533810568968428</v>
      </c>
      <c r="P134" s="480">
        <f t="shared" si="19"/>
        <v>3.2991760771093619E-3</v>
      </c>
      <c r="Q134" s="481">
        <f t="shared" si="20"/>
        <v>6.1146304446817287E-4</v>
      </c>
    </row>
    <row r="135" spans="1:17" x14ac:dyDescent="0.35">
      <c r="A135" s="376" t="s">
        <v>1975</v>
      </c>
      <c r="B135" s="376" t="s">
        <v>1976</v>
      </c>
      <c r="C135" s="376" t="s">
        <v>1977</v>
      </c>
      <c r="D135" s="376">
        <v>30107841672.48</v>
      </c>
      <c r="E135" s="376">
        <v>2.2478070175438596</v>
      </c>
      <c r="F135" s="376">
        <v>57.370000000000005</v>
      </c>
      <c r="G135" s="376">
        <v>253.946</v>
      </c>
      <c r="H135" s="376">
        <v>118.56</v>
      </c>
      <c r="I135" s="474"/>
      <c r="J135" s="475" t="str">
        <f t="shared" si="14"/>
        <v>Discover Financial Services</v>
      </c>
      <c r="K135" s="476" t="str">
        <f t="shared" si="14"/>
        <v>DFS</v>
      </c>
      <c r="L135" s="477">
        <f t="shared" si="15"/>
        <v>30107.841672480001</v>
      </c>
      <c r="M135" s="478">
        <f t="shared" si="16"/>
        <v>2.2478070175438597E-2</v>
      </c>
      <c r="N135" s="478">
        <f t="shared" si="17"/>
        <v>0.5737000000000001</v>
      </c>
      <c r="O135" s="479">
        <f t="shared" si="18"/>
        <v>0.60262590460526322</v>
      </c>
      <c r="P135" s="480">
        <f t="shared" si="19"/>
        <v>8.1713350914632801E-4</v>
      </c>
      <c r="Q135" s="481">
        <f t="shared" si="20"/>
        <v>4.9242582013257904E-4</v>
      </c>
    </row>
    <row r="136" spans="1:17" x14ac:dyDescent="0.35">
      <c r="A136" s="376" t="s">
        <v>1978</v>
      </c>
      <c r="B136" s="376" t="s">
        <v>1979</v>
      </c>
      <c r="C136" s="376" t="s">
        <v>1980</v>
      </c>
      <c r="D136" s="376">
        <v>35787701218.199997</v>
      </c>
      <c r="E136" s="376">
        <v>1.453787693062025</v>
      </c>
      <c r="F136" s="376">
        <v>3.36</v>
      </c>
      <c r="G136" s="376">
        <v>219.34109999999998</v>
      </c>
      <c r="H136" s="376">
        <v>163.16</v>
      </c>
      <c r="I136" s="474"/>
      <c r="J136" s="475" t="str">
        <f t="shared" si="14"/>
        <v>Dollar General Corp</v>
      </c>
      <c r="K136" s="476" t="str">
        <f t="shared" si="14"/>
        <v>DG</v>
      </c>
      <c r="L136" s="477">
        <f t="shared" si="15"/>
        <v>35787.701218199996</v>
      </c>
      <c r="M136" s="478">
        <f t="shared" si="16"/>
        <v>1.4537876930620251E-2</v>
      </c>
      <c r="N136" s="478">
        <f t="shared" si="17"/>
        <v>3.3599999999999998E-2</v>
      </c>
      <c r="O136" s="479">
        <f t="shared" si="18"/>
        <v>4.8382113263054666E-2</v>
      </c>
      <c r="P136" s="480">
        <f t="shared" si="19"/>
        <v>9.7128615856372977E-4</v>
      </c>
      <c r="Q136" s="481">
        <f t="shared" si="20"/>
        <v>4.6992876934467648E-5</v>
      </c>
    </row>
    <row r="137" spans="1:17" x14ac:dyDescent="0.35">
      <c r="A137" s="376" t="s">
        <v>1981</v>
      </c>
      <c r="B137" s="376" t="s">
        <v>1982</v>
      </c>
      <c r="C137" s="376" t="s">
        <v>1983</v>
      </c>
      <c r="D137" s="376">
        <v>15730571626.679998</v>
      </c>
      <c r="E137" s="376">
        <v>1.9403303902022215</v>
      </c>
      <c r="F137" s="376">
        <v>-20.51</v>
      </c>
      <c r="G137" s="376">
        <v>112.00919999999999</v>
      </c>
      <c r="H137" s="376">
        <v>140.44</v>
      </c>
      <c r="I137" s="474"/>
      <c r="J137" s="475" t="str">
        <f t="shared" si="14"/>
        <v>Quest Diagnostics Inc</v>
      </c>
      <c r="K137" s="476" t="str">
        <f t="shared" si="14"/>
        <v>DGX</v>
      </c>
      <c r="L137" s="477">
        <f t="shared" si="15"/>
        <v>15730.571626679999</v>
      </c>
      <c r="M137" s="478">
        <f t="shared" si="16"/>
        <v>1.9403303902022214E-2</v>
      </c>
      <c r="N137" s="478">
        <f t="shared" si="17"/>
        <v>-0.2051</v>
      </c>
      <c r="O137" s="479">
        <f t="shared" si="18"/>
        <v>-0.18768650491313016</v>
      </c>
      <c r="P137" s="480">
        <f t="shared" si="19"/>
        <v>4.269312072919473E-4</v>
      </c>
      <c r="Q137" s="481">
        <f t="shared" si="20"/>
        <v>-8.0129226134968652E-5</v>
      </c>
    </row>
    <row r="138" spans="1:17" x14ac:dyDescent="0.35">
      <c r="A138" s="376" t="s">
        <v>1984</v>
      </c>
      <c r="B138" s="376" t="s">
        <v>1985</v>
      </c>
      <c r="C138" s="376" t="s">
        <v>1986</v>
      </c>
      <c r="D138" s="376">
        <v>44444984423.32</v>
      </c>
      <c r="E138" s="376">
        <v>0.76893561507175201</v>
      </c>
      <c r="F138" s="376">
        <v>-7.54</v>
      </c>
      <c r="G138" s="376">
        <v>341.07119999999998</v>
      </c>
      <c r="H138" s="376">
        <v>130.31</v>
      </c>
      <c r="I138" s="474"/>
      <c r="J138" s="475" t="str">
        <f t="shared" si="14"/>
        <v>DR Horton Inc</v>
      </c>
      <c r="K138" s="476" t="str">
        <f t="shared" si="14"/>
        <v>DHI</v>
      </c>
      <c r="L138" s="477">
        <f t="shared" si="15"/>
        <v>44444.984423319998</v>
      </c>
      <c r="M138" s="478">
        <f t="shared" si="16"/>
        <v>7.6893561507175197E-3</v>
      </c>
      <c r="N138" s="478">
        <f t="shared" si="17"/>
        <v>-7.5399999999999995E-2</v>
      </c>
      <c r="O138" s="479">
        <f t="shared" si="18"/>
        <v>-6.8000532576164521E-2</v>
      </c>
      <c r="P138" s="480">
        <f t="shared" si="19"/>
        <v>1.2062467473042836E-3</v>
      </c>
      <c r="Q138" s="481">
        <f t="shared" si="20"/>
        <v>-8.2025421234957426E-5</v>
      </c>
    </row>
    <row r="139" spans="1:17" x14ac:dyDescent="0.35">
      <c r="A139" s="376" t="s">
        <v>1987</v>
      </c>
      <c r="B139" s="376" t="s">
        <v>1988</v>
      </c>
      <c r="C139" s="376" t="s">
        <v>1989</v>
      </c>
      <c r="D139" s="376">
        <v>177486795718.17001</v>
      </c>
      <c r="E139" s="376">
        <v>0.45773915935642123</v>
      </c>
      <c r="F139" s="376">
        <v>20.365000000000002</v>
      </c>
      <c r="G139" s="376">
        <v>737.89879999999994</v>
      </c>
      <c r="H139" s="376">
        <v>240.53</v>
      </c>
      <c r="I139" s="474"/>
      <c r="J139" s="475" t="str">
        <f t="shared" si="14"/>
        <v>Danaher Corp</v>
      </c>
      <c r="K139" s="476" t="str">
        <f t="shared" si="14"/>
        <v>DHR</v>
      </c>
      <c r="L139" s="477">
        <f t="shared" si="15"/>
        <v>177486.79571817</v>
      </c>
      <c r="M139" s="478">
        <f t="shared" si="16"/>
        <v>4.5773915935642126E-3</v>
      </c>
      <c r="N139" s="478">
        <f t="shared" si="17"/>
        <v>0.20365000000000003</v>
      </c>
      <c r="O139" s="479">
        <f t="shared" si="18"/>
        <v>0.20869348449257891</v>
      </c>
      <c r="P139" s="480">
        <f t="shared" si="19"/>
        <v>4.8170310509135705E-3</v>
      </c>
      <c r="Q139" s="481">
        <f t="shared" si="20"/>
        <v>1.0052829949241022E-3</v>
      </c>
    </row>
    <row r="140" spans="1:17" x14ac:dyDescent="0.35">
      <c r="A140" s="376" t="s">
        <v>1990</v>
      </c>
      <c r="B140" s="376" t="s">
        <v>1991</v>
      </c>
      <c r="C140" s="376" t="s">
        <v>1992</v>
      </c>
      <c r="D140" s="376">
        <v>161935768036.56</v>
      </c>
      <c r="E140" s="376">
        <v>3.0467163168584971E-2</v>
      </c>
      <c r="F140" s="376">
        <v>22.77</v>
      </c>
      <c r="G140" s="376">
        <v>1827.3049999999998</v>
      </c>
      <c r="H140" s="376">
        <v>88.62</v>
      </c>
      <c r="I140" s="474"/>
      <c r="J140" s="475" t="str">
        <f t="shared" si="14"/>
        <v>Walt Disney Co/The</v>
      </c>
      <c r="K140" s="476" t="str">
        <f t="shared" si="14"/>
        <v>DIS</v>
      </c>
      <c r="L140" s="477">
        <f t="shared" si="15"/>
        <v>161935.76803656001</v>
      </c>
      <c r="M140" s="478">
        <f t="shared" si="16"/>
        <v>3.0467163168584969E-4</v>
      </c>
      <c r="N140" s="478">
        <f t="shared" si="17"/>
        <v>0.22769999999999999</v>
      </c>
      <c r="O140" s="479">
        <f t="shared" si="18"/>
        <v>0.22803935849695328</v>
      </c>
      <c r="P140" s="480">
        <f t="shared" si="19"/>
        <v>4.3949727061627841E-3</v>
      </c>
      <c r="Q140" s="481">
        <f t="shared" si="20"/>
        <v>1.00222675652498E-3</v>
      </c>
    </row>
    <row r="141" spans="1:17" x14ac:dyDescent="0.35">
      <c r="A141" s="376" t="s">
        <v>1993</v>
      </c>
      <c r="B141" s="376" t="s">
        <v>1994</v>
      </c>
      <c r="C141" s="376" t="s">
        <v>1995</v>
      </c>
      <c r="D141" s="376">
        <v>35224877498.599998</v>
      </c>
      <c r="E141" s="376">
        <v>4.1258031788975309</v>
      </c>
      <c r="F141" s="376">
        <v>6.59</v>
      </c>
      <c r="G141" s="376">
        <v>291.34710000000001</v>
      </c>
      <c r="H141" s="376">
        <v>118.28</v>
      </c>
      <c r="I141" s="474"/>
      <c r="J141" s="475" t="str">
        <f t="shared" si="14"/>
        <v>Digital Realty Trust Inc</v>
      </c>
      <c r="K141" s="476" t="str">
        <f t="shared" si="14"/>
        <v>DLR</v>
      </c>
      <c r="L141" s="477">
        <f t="shared" si="15"/>
        <v>35224.877498599999</v>
      </c>
      <c r="M141" s="478">
        <f t="shared" si="16"/>
        <v>4.1258031788975309E-2</v>
      </c>
      <c r="N141" s="478">
        <f t="shared" si="17"/>
        <v>6.59E-2</v>
      </c>
      <c r="O141" s="479">
        <f t="shared" si="18"/>
        <v>0.10851748393642205</v>
      </c>
      <c r="P141" s="480">
        <f t="shared" si="19"/>
        <v>9.5601099782552563E-4</v>
      </c>
      <c r="Q141" s="481">
        <f t="shared" si="20"/>
        <v>1.037439080995743E-4</v>
      </c>
    </row>
    <row r="142" spans="1:17" x14ac:dyDescent="0.35">
      <c r="A142" s="376" t="s">
        <v>1996</v>
      </c>
      <c r="B142" s="376" t="s">
        <v>1997</v>
      </c>
      <c r="C142" s="376" t="s">
        <v>1998</v>
      </c>
      <c r="D142" s="376">
        <v>32597200520.429996</v>
      </c>
      <c r="E142" s="376">
        <v>0</v>
      </c>
      <c r="F142" s="376">
        <v>9.23</v>
      </c>
      <c r="G142" s="376">
        <v>220.3854</v>
      </c>
      <c r="H142" s="376">
        <v>147.91</v>
      </c>
      <c r="I142" s="474"/>
      <c r="J142" s="475" t="str">
        <f t="shared" si="14"/>
        <v>Dollar Tree Inc</v>
      </c>
      <c r="K142" s="476" t="str">
        <f t="shared" si="14"/>
        <v>DLTR</v>
      </c>
      <c r="L142" s="477">
        <f t="shared" si="15"/>
        <v>32597.200520429997</v>
      </c>
      <c r="M142" s="478">
        <f t="shared" si="16"/>
        <v>0</v>
      </c>
      <c r="N142" s="478">
        <f t="shared" si="17"/>
        <v>9.2300000000000007E-2</v>
      </c>
      <c r="O142" s="479">
        <f t="shared" si="18"/>
        <v>9.2300000000000007E-2</v>
      </c>
      <c r="P142" s="480">
        <f t="shared" si="19"/>
        <v>8.8469526110044239E-4</v>
      </c>
      <c r="Q142" s="481">
        <f t="shared" si="20"/>
        <v>8.1657372599570834E-5</v>
      </c>
    </row>
    <row r="143" spans="1:17" x14ac:dyDescent="0.35">
      <c r="A143" s="376" t="s">
        <v>1999</v>
      </c>
      <c r="B143" s="376" t="s">
        <v>2000</v>
      </c>
      <c r="C143" s="376" t="s">
        <v>2001</v>
      </c>
      <c r="D143" s="376">
        <v>20742744519.359997</v>
      </c>
      <c r="E143" s="376">
        <v>1.4084412081984898</v>
      </c>
      <c r="F143" s="376">
        <v>13</v>
      </c>
      <c r="G143" s="376">
        <v>139.85129999999998</v>
      </c>
      <c r="H143" s="376">
        <v>148.32</v>
      </c>
      <c r="I143" s="474"/>
      <c r="J143" s="475" t="str">
        <f t="shared" si="14"/>
        <v>Dover Corp</v>
      </c>
      <c r="K143" s="476" t="str">
        <f t="shared" si="14"/>
        <v>DOV</v>
      </c>
      <c r="L143" s="477">
        <f t="shared" si="15"/>
        <v>20742.744519359996</v>
      </c>
      <c r="M143" s="478">
        <f t="shared" si="16"/>
        <v>1.4084412081984899E-2</v>
      </c>
      <c r="N143" s="478">
        <f t="shared" si="17"/>
        <v>0.13</v>
      </c>
      <c r="O143" s="479">
        <f t="shared" si="18"/>
        <v>0.14499989886731393</v>
      </c>
      <c r="P143" s="480">
        <f t="shared" si="19"/>
        <v>5.6296269267029956E-4</v>
      </c>
      <c r="Q143" s="481">
        <f t="shared" si="20"/>
        <v>8.1629533503264163E-5</v>
      </c>
    </row>
    <row r="144" spans="1:17" x14ac:dyDescent="0.35">
      <c r="A144" s="376" t="s">
        <v>2002</v>
      </c>
      <c r="B144" s="376" t="s">
        <v>2003</v>
      </c>
      <c r="C144" s="376" t="s">
        <v>2004</v>
      </c>
      <c r="D144" s="376">
        <v>37466762480.279999</v>
      </c>
      <c r="E144" s="376">
        <v>5.3382464096749809</v>
      </c>
      <c r="F144" s="376">
        <v>4.6399999999999997</v>
      </c>
      <c r="G144" s="376">
        <v>707.98869999999999</v>
      </c>
      <c r="H144" s="376">
        <v>52.92</v>
      </c>
      <c r="I144" s="474"/>
      <c r="J144" s="475" t="str">
        <f t="shared" si="14"/>
        <v>Dow Inc</v>
      </c>
      <c r="K144" s="476" t="str">
        <f t="shared" si="14"/>
        <v>DOW</v>
      </c>
      <c r="L144" s="477">
        <f t="shared" si="15"/>
        <v>37466.762480279998</v>
      </c>
      <c r="M144" s="478">
        <f t="shared" si="16"/>
        <v>5.3382464096749807E-2</v>
      </c>
      <c r="N144" s="478">
        <f t="shared" si="17"/>
        <v>4.6399999999999997E-2</v>
      </c>
      <c r="O144" s="479">
        <f t="shared" si="18"/>
        <v>0.10102093726379441</v>
      </c>
      <c r="P144" s="480">
        <f t="shared" si="19"/>
        <v>1.0168562540916726E-3</v>
      </c>
      <c r="Q144" s="481">
        <f t="shared" si="20"/>
        <v>1.0272377185089185E-4</v>
      </c>
    </row>
    <row r="145" spans="1:17" x14ac:dyDescent="0.35">
      <c r="A145" s="376" t="s">
        <v>2005</v>
      </c>
      <c r="B145" s="376" t="s">
        <v>2006</v>
      </c>
      <c r="C145" s="376" t="s">
        <v>2007</v>
      </c>
      <c r="D145" s="376">
        <v>13593511279.800001</v>
      </c>
      <c r="E145" s="376">
        <v>1.2663131076795091</v>
      </c>
      <c r="F145" s="376">
        <v>11.83</v>
      </c>
      <c r="G145" s="376">
        <v>35.339030000000001</v>
      </c>
      <c r="H145" s="376">
        <v>384.66</v>
      </c>
      <c r="I145" s="474"/>
      <c r="J145" s="475" t="str">
        <f t="shared" si="14"/>
        <v>Domino's Pizza Inc</v>
      </c>
      <c r="K145" s="476" t="str">
        <f t="shared" si="14"/>
        <v>DPZ</v>
      </c>
      <c r="L145" s="477">
        <f t="shared" si="15"/>
        <v>13593.511279800001</v>
      </c>
      <c r="M145" s="478">
        <f t="shared" si="16"/>
        <v>1.266313107679509E-2</v>
      </c>
      <c r="N145" s="478">
        <f t="shared" si="17"/>
        <v>0.1183</v>
      </c>
      <c r="O145" s="479">
        <f t="shared" si="18"/>
        <v>0.13171215527998753</v>
      </c>
      <c r="P145" s="480">
        <f t="shared" si="19"/>
        <v>3.6893091489305081E-4</v>
      </c>
      <c r="Q145" s="481">
        <f t="shared" si="20"/>
        <v>4.8592685949981371E-5</v>
      </c>
    </row>
    <row r="146" spans="1:17" x14ac:dyDescent="0.35">
      <c r="A146" s="376" t="s">
        <v>2008</v>
      </c>
      <c r="B146" s="376" t="s">
        <v>2009</v>
      </c>
      <c r="C146" s="376" t="s">
        <v>2010</v>
      </c>
      <c r="D146" s="376">
        <v>20248427945.199997</v>
      </c>
      <c r="E146" s="376">
        <v>3.1121595795508843</v>
      </c>
      <c r="F146" s="376">
        <v>10.790000000000001</v>
      </c>
      <c r="G146" s="376">
        <v>120.92949999999999</v>
      </c>
      <c r="H146" s="376">
        <v>167.44</v>
      </c>
      <c r="I146" s="474"/>
      <c r="J146" s="475" t="str">
        <f t="shared" si="14"/>
        <v>Darden Restaurants Inc</v>
      </c>
      <c r="K146" s="476" t="str">
        <f t="shared" si="14"/>
        <v>DRI</v>
      </c>
      <c r="L146" s="477">
        <f t="shared" si="15"/>
        <v>20248.427945199997</v>
      </c>
      <c r="M146" s="478">
        <f t="shared" si="16"/>
        <v>3.1121595795508841E-2</v>
      </c>
      <c r="N146" s="478">
        <f t="shared" si="17"/>
        <v>0.10790000000000001</v>
      </c>
      <c r="O146" s="479">
        <f t="shared" si="18"/>
        <v>0.14070060588867656</v>
      </c>
      <c r="P146" s="480">
        <f t="shared" si="19"/>
        <v>5.4954683107296179E-4</v>
      </c>
      <c r="Q146" s="481">
        <f t="shared" si="20"/>
        <v>7.7321572096167911E-5</v>
      </c>
    </row>
    <row r="147" spans="1:17" x14ac:dyDescent="0.35">
      <c r="A147" s="376" t="s">
        <v>2011</v>
      </c>
      <c r="B147" s="376" t="s">
        <v>2012</v>
      </c>
      <c r="C147" s="376" t="s">
        <v>1476</v>
      </c>
      <c r="D147" s="376">
        <v>23280031203.299999</v>
      </c>
      <c r="E147" s="376">
        <v>3.3820274457724655</v>
      </c>
      <c r="F147" s="376">
        <v>6.5</v>
      </c>
      <c r="G147" s="376">
        <v>206.10919999999999</v>
      </c>
      <c r="H147" s="376">
        <v>112.95</v>
      </c>
      <c r="I147" s="474"/>
      <c r="J147" s="475" t="str">
        <f t="shared" si="14"/>
        <v>DTE Energy Co</v>
      </c>
      <c r="K147" s="476" t="str">
        <f t="shared" si="14"/>
        <v>DTE</v>
      </c>
      <c r="L147" s="477">
        <f t="shared" si="15"/>
        <v>23280.031203300001</v>
      </c>
      <c r="M147" s="478">
        <f t="shared" si="16"/>
        <v>3.3820274457724654E-2</v>
      </c>
      <c r="N147" s="478">
        <f t="shared" si="17"/>
        <v>6.5000000000000002E-2</v>
      </c>
      <c r="O147" s="479">
        <f t="shared" si="18"/>
        <v>9.9919433377600703E-2</v>
      </c>
      <c r="P147" s="480">
        <f t="shared" si="19"/>
        <v>6.3182521673668733E-4</v>
      </c>
      <c r="Q147" s="481">
        <f t="shared" si="20"/>
        <v>6.313161765000955E-5</v>
      </c>
    </row>
    <row r="148" spans="1:17" x14ac:dyDescent="0.35">
      <c r="A148" s="376" t="s">
        <v>2013</v>
      </c>
      <c r="B148" s="376" t="s">
        <v>2014</v>
      </c>
      <c r="C148" s="376" t="s">
        <v>1477</v>
      </c>
      <c r="D148" s="376">
        <v>71710710000</v>
      </c>
      <c r="E148" s="376">
        <v>4.3930760133318998</v>
      </c>
      <c r="F148" s="376">
        <v>6.12</v>
      </c>
      <c r="G148" s="376">
        <v>771</v>
      </c>
      <c r="H148" s="376">
        <v>93.01</v>
      </c>
      <c r="I148" s="474"/>
      <c r="J148" s="475" t="str">
        <f t="shared" si="14"/>
        <v>Duke Energy Corp</v>
      </c>
      <c r="K148" s="476" t="str">
        <f t="shared" si="14"/>
        <v>DUK</v>
      </c>
      <c r="L148" s="477">
        <f t="shared" si="15"/>
        <v>71710.710000000006</v>
      </c>
      <c r="M148" s="478">
        <f t="shared" si="16"/>
        <v>4.3930760133319001E-2</v>
      </c>
      <c r="N148" s="478">
        <f t="shared" si="17"/>
        <v>6.1200000000000004E-2</v>
      </c>
      <c r="O148" s="479">
        <f t="shared" si="18"/>
        <v>0.10647504139339856</v>
      </c>
      <c r="P148" s="480">
        <f t="shared" si="19"/>
        <v>1.9462445944517946E-3</v>
      </c>
      <c r="Q148" s="481">
        <f t="shared" si="20"/>
        <v>2.0722647375593303E-4</v>
      </c>
    </row>
    <row r="149" spans="1:17" x14ac:dyDescent="0.35">
      <c r="A149" s="376" t="s">
        <v>2015</v>
      </c>
      <c r="B149" s="376" t="s">
        <v>2016</v>
      </c>
      <c r="C149" s="376" t="s">
        <v>2017</v>
      </c>
      <c r="D149" s="376">
        <v>9409217999.9999981</v>
      </c>
      <c r="E149" s="376">
        <v>1.956815114709852</v>
      </c>
      <c r="F149" s="376">
        <v>14.6</v>
      </c>
      <c r="G149" s="376">
        <v>90.7</v>
      </c>
      <c r="H149" s="376">
        <v>103.74</v>
      </c>
      <c r="I149" s="474"/>
      <c r="J149" s="475" t="str">
        <f t="shared" si="14"/>
        <v>DaVita Inc</v>
      </c>
      <c r="K149" s="476" t="str">
        <f t="shared" si="14"/>
        <v>DVA</v>
      </c>
      <c r="L149" s="477">
        <f t="shared" si="15"/>
        <v>9409.2179999999989</v>
      </c>
      <c r="M149" s="478">
        <f t="shared" si="16"/>
        <v>1.956815114709852E-2</v>
      </c>
      <c r="N149" s="478">
        <f t="shared" si="17"/>
        <v>0.14599999999999999</v>
      </c>
      <c r="O149" s="479">
        <f t="shared" si="18"/>
        <v>0.16699662618083672</v>
      </c>
      <c r="P149" s="480">
        <f t="shared" si="19"/>
        <v>2.5536826605842449E-4</v>
      </c>
      <c r="Q149" s="481">
        <f t="shared" si="20"/>
        <v>4.2645638865407166E-5</v>
      </c>
    </row>
    <row r="150" spans="1:17" x14ac:dyDescent="0.35">
      <c r="A150" s="376" t="s">
        <v>2018</v>
      </c>
      <c r="B150" s="376" t="s">
        <v>2019</v>
      </c>
      <c r="C150" s="376" t="s">
        <v>2020</v>
      </c>
      <c r="D150" s="376">
        <v>31379130000</v>
      </c>
      <c r="E150" s="376">
        <v>1.9570552147239264</v>
      </c>
      <c r="F150" s="376">
        <v>20.675000000000001</v>
      </c>
      <c r="G150" s="376">
        <v>641.69999999999993</v>
      </c>
      <c r="H150" s="376">
        <v>48.9</v>
      </c>
      <c r="I150" s="474"/>
      <c r="J150" s="475" t="str">
        <f t="shared" si="14"/>
        <v>Devon Energy Corp</v>
      </c>
      <c r="K150" s="476" t="str">
        <f t="shared" si="14"/>
        <v>DVN</v>
      </c>
      <c r="L150" s="477">
        <f t="shared" si="15"/>
        <v>31379.13</v>
      </c>
      <c r="M150" s="478">
        <f t="shared" si="16"/>
        <v>1.9570552147239264E-2</v>
      </c>
      <c r="N150" s="478">
        <f t="shared" si="17"/>
        <v>0.20675000000000002</v>
      </c>
      <c r="O150" s="479">
        <f t="shared" si="18"/>
        <v>0.22834365797546013</v>
      </c>
      <c r="P150" s="480">
        <f t="shared" si="19"/>
        <v>8.516365566747302E-4</v>
      </c>
      <c r="Q150" s="481">
        <f t="shared" si="20"/>
        <v>1.9446580661673315E-4</v>
      </c>
    </row>
    <row r="151" spans="1:17" x14ac:dyDescent="0.35">
      <c r="A151" s="376" t="s">
        <v>2021</v>
      </c>
      <c r="B151" s="376" t="s">
        <v>2022</v>
      </c>
      <c r="C151" s="376" t="s">
        <v>2023</v>
      </c>
      <c r="D151" s="376">
        <v>5825363222.9199991</v>
      </c>
      <c r="E151" s="376">
        <v>0.7212405337179949</v>
      </c>
      <c r="F151" s="376">
        <v>11.42</v>
      </c>
      <c r="G151" s="376">
        <v>210.0744</v>
      </c>
      <c r="H151" s="376">
        <v>27.73</v>
      </c>
      <c r="I151" s="474"/>
      <c r="J151" s="475" t="str">
        <f t="shared" si="14"/>
        <v>DXC Technology Co</v>
      </c>
      <c r="K151" s="476" t="str">
        <f t="shared" si="14"/>
        <v>DXC</v>
      </c>
      <c r="L151" s="477">
        <f t="shared" si="15"/>
        <v>5825.3632229199993</v>
      </c>
      <c r="M151" s="478">
        <f t="shared" si="16"/>
        <v>7.2124053371799487E-3</v>
      </c>
      <c r="N151" s="478">
        <f t="shared" si="17"/>
        <v>0.1142</v>
      </c>
      <c r="O151" s="479">
        <f t="shared" si="18"/>
        <v>0.12182423368193292</v>
      </c>
      <c r="P151" s="480">
        <f t="shared" si="19"/>
        <v>1.581016515291277E-4</v>
      </c>
      <c r="Q151" s="481">
        <f t="shared" si="20"/>
        <v>1.9260612541383981E-5</v>
      </c>
    </row>
    <row r="152" spans="1:17" x14ac:dyDescent="0.35">
      <c r="A152" s="376" t="s">
        <v>2024</v>
      </c>
      <c r="B152" s="376" t="s">
        <v>2025</v>
      </c>
      <c r="C152" s="376" t="s">
        <v>2026</v>
      </c>
      <c r="D152" s="376">
        <v>53230123750.360001</v>
      </c>
      <c r="E152" s="376">
        <v>0</v>
      </c>
      <c r="F152" s="376">
        <v>27.2</v>
      </c>
      <c r="G152" s="376">
        <v>387.63560000000001</v>
      </c>
      <c r="H152" s="376">
        <v>137.32</v>
      </c>
      <c r="I152" s="474"/>
      <c r="J152" s="475" t="str">
        <f t="shared" si="14"/>
        <v>Dexcom Inc</v>
      </c>
      <c r="K152" s="476" t="str">
        <f t="shared" si="14"/>
        <v>DXCM</v>
      </c>
      <c r="L152" s="477">
        <f t="shared" si="15"/>
        <v>53230.123750359999</v>
      </c>
      <c r="M152" s="478">
        <f t="shared" si="16"/>
        <v>0</v>
      </c>
      <c r="N152" s="478">
        <f t="shared" si="17"/>
        <v>0.27200000000000002</v>
      </c>
      <c r="O152" s="479">
        <f t="shared" si="18"/>
        <v>0.27200000000000002</v>
      </c>
      <c r="P152" s="480">
        <f t="shared" si="19"/>
        <v>1.4446773795872086E-3</v>
      </c>
      <c r="Q152" s="481">
        <f t="shared" si="20"/>
        <v>3.9295224724772074E-4</v>
      </c>
    </row>
    <row r="153" spans="1:17" x14ac:dyDescent="0.35">
      <c r="A153" s="376" t="s">
        <v>2027</v>
      </c>
      <c r="B153" s="376" t="s">
        <v>2028</v>
      </c>
      <c r="C153" s="376" t="s">
        <v>2029</v>
      </c>
      <c r="D153" s="376">
        <v>37372546582.560005</v>
      </c>
      <c r="E153" s="376">
        <v>0.4987621960099024</v>
      </c>
      <c r="F153" s="376">
        <v>7.2650000000000006</v>
      </c>
      <c r="G153" s="376">
        <v>272.11699999999996</v>
      </c>
      <c r="H153" s="376">
        <v>137.34</v>
      </c>
      <c r="I153" s="474"/>
      <c r="J153" s="475" t="str">
        <f t="shared" si="14"/>
        <v>Electronic Arts Inc</v>
      </c>
      <c r="K153" s="476" t="str">
        <f t="shared" si="14"/>
        <v>EA</v>
      </c>
      <c r="L153" s="477">
        <f t="shared" si="15"/>
        <v>37372.546582560004</v>
      </c>
      <c r="M153" s="478">
        <f t="shared" si="16"/>
        <v>4.987621960099024E-3</v>
      </c>
      <c r="N153" s="478">
        <f t="shared" si="17"/>
        <v>7.2650000000000006E-2</v>
      </c>
      <c r="O153" s="479">
        <f t="shared" si="18"/>
        <v>7.781879732779963E-2</v>
      </c>
      <c r="P153" s="480">
        <f t="shared" si="19"/>
        <v>1.0142992137046935E-3</v>
      </c>
      <c r="Q153" s="481">
        <f t="shared" si="20"/>
        <v>7.8931544941032071E-5</v>
      </c>
    </row>
    <row r="154" spans="1:17" x14ac:dyDescent="0.35">
      <c r="A154" s="376" t="s">
        <v>2030</v>
      </c>
      <c r="B154" s="376" t="s">
        <v>2031</v>
      </c>
      <c r="C154" s="376" t="s">
        <v>2032</v>
      </c>
      <c r="D154" s="376">
        <v>24854395591.500008</v>
      </c>
      <c r="E154" s="376">
        <v>2.1784946236559142</v>
      </c>
      <c r="F154" s="376">
        <v>2.23</v>
      </c>
      <c r="G154" s="376">
        <v>534.50310000000002</v>
      </c>
      <c r="H154" s="376">
        <v>46.5</v>
      </c>
      <c r="I154" s="474"/>
      <c r="J154" s="475" t="str">
        <f t="shared" si="14"/>
        <v>eBay Inc</v>
      </c>
      <c r="K154" s="476" t="str">
        <f t="shared" si="14"/>
        <v>EBAY</v>
      </c>
      <c r="L154" s="477">
        <f t="shared" si="15"/>
        <v>24854.395591500008</v>
      </c>
      <c r="M154" s="478">
        <f t="shared" si="16"/>
        <v>2.1784946236559143E-2</v>
      </c>
      <c r="N154" s="478">
        <f t="shared" si="17"/>
        <v>2.23E-2</v>
      </c>
      <c r="O154" s="479">
        <f t="shared" si="18"/>
        <v>4.4327848387096774E-2</v>
      </c>
      <c r="P154" s="480">
        <f t="shared" si="19"/>
        <v>6.7455381585712095E-4</v>
      </c>
      <c r="Q154" s="481">
        <f t="shared" si="20"/>
        <v>2.9901519278252055E-5</v>
      </c>
    </row>
    <row r="155" spans="1:17" x14ac:dyDescent="0.35">
      <c r="A155" s="376" t="s">
        <v>2033</v>
      </c>
      <c r="B155" s="376" t="s">
        <v>2034</v>
      </c>
      <c r="C155" s="376" t="s">
        <v>2035</v>
      </c>
      <c r="D155" s="376">
        <v>53658512121.600014</v>
      </c>
      <c r="E155" s="376">
        <v>1.1376419399342035</v>
      </c>
      <c r="F155" s="376">
        <v>14</v>
      </c>
      <c r="G155" s="376">
        <v>284.721</v>
      </c>
      <c r="H155" s="376">
        <v>188.46</v>
      </c>
      <c r="I155" s="474"/>
      <c r="J155" s="475" t="str">
        <f t="shared" si="14"/>
        <v>Ecolab Inc</v>
      </c>
      <c r="K155" s="476" t="str">
        <f t="shared" si="14"/>
        <v>ECL</v>
      </c>
      <c r="L155" s="477">
        <f t="shared" si="15"/>
        <v>53658.512121600012</v>
      </c>
      <c r="M155" s="478">
        <f t="shared" si="16"/>
        <v>1.1376419399342036E-2</v>
      </c>
      <c r="N155" s="478">
        <f t="shared" si="17"/>
        <v>0.14000000000000001</v>
      </c>
      <c r="O155" s="479">
        <f t="shared" si="18"/>
        <v>0.15217276875729599</v>
      </c>
      <c r="P155" s="480">
        <f t="shared" si="19"/>
        <v>1.4563039351163879E-3</v>
      </c>
      <c r="Q155" s="481">
        <f t="shared" si="20"/>
        <v>2.2160980195880627E-4</v>
      </c>
    </row>
    <row r="156" spans="1:17" x14ac:dyDescent="0.35">
      <c r="A156" s="376" t="s">
        <v>2036</v>
      </c>
      <c r="B156" s="376" t="s">
        <v>2037</v>
      </c>
      <c r="C156" s="376" t="s">
        <v>1478</v>
      </c>
      <c r="D156" s="376">
        <v>32255961816.000004</v>
      </c>
      <c r="E156" s="376">
        <v>3.4808766652342071</v>
      </c>
      <c r="F156" s="376">
        <v>4</v>
      </c>
      <c r="G156" s="376">
        <v>346.54019999999997</v>
      </c>
      <c r="H156" s="376">
        <v>93.08</v>
      </c>
      <c r="I156" s="474"/>
      <c r="J156" s="475" t="str">
        <f t="shared" si="14"/>
        <v>Consolidated Edison Inc</v>
      </c>
      <c r="K156" s="476" t="str">
        <f t="shared" si="14"/>
        <v>ED</v>
      </c>
      <c r="L156" s="477">
        <f t="shared" si="15"/>
        <v>32255.961816000003</v>
      </c>
      <c r="M156" s="478">
        <f t="shared" si="16"/>
        <v>3.4808766652342074E-2</v>
      </c>
      <c r="N156" s="478">
        <f t="shared" si="17"/>
        <v>0.04</v>
      </c>
      <c r="O156" s="479">
        <f t="shared" si="18"/>
        <v>7.5504941985388915E-2</v>
      </c>
      <c r="P156" s="480">
        <f t="shared" si="19"/>
        <v>8.7543396688212255E-4</v>
      </c>
      <c r="Q156" s="481">
        <f t="shared" si="20"/>
        <v>6.6099590881473543E-5</v>
      </c>
    </row>
    <row r="157" spans="1:17" x14ac:dyDescent="0.35">
      <c r="A157" s="376" t="s">
        <v>2038</v>
      </c>
      <c r="B157" s="376" t="s">
        <v>2039</v>
      </c>
      <c r="C157" s="376" t="s">
        <v>2040</v>
      </c>
      <c r="D157" s="376">
        <v>29007700696.080002</v>
      </c>
      <c r="E157" s="376">
        <v>0.65956367326230336</v>
      </c>
      <c r="F157" s="376">
        <v>11.6</v>
      </c>
      <c r="G157" s="376">
        <v>122.6438</v>
      </c>
      <c r="H157" s="376">
        <v>236.52</v>
      </c>
      <c r="I157" s="474"/>
      <c r="J157" s="475" t="str">
        <f t="shared" si="14"/>
        <v>Equifax Inc</v>
      </c>
      <c r="K157" s="476" t="str">
        <f t="shared" si="14"/>
        <v>EFX</v>
      </c>
      <c r="L157" s="477">
        <f t="shared" si="15"/>
        <v>29007.700696080003</v>
      </c>
      <c r="M157" s="478">
        <f t="shared" si="16"/>
        <v>6.5956367326230336E-3</v>
      </c>
      <c r="N157" s="478">
        <f t="shared" si="17"/>
        <v>0.11599999999999999</v>
      </c>
      <c r="O157" s="479">
        <f t="shared" si="18"/>
        <v>0.12297818366311516</v>
      </c>
      <c r="P157" s="480">
        <f t="shared" si="19"/>
        <v>7.8727543873462224E-4</v>
      </c>
      <c r="Q157" s="481">
        <f t="shared" si="20"/>
        <v>9.6817703498165949E-5</v>
      </c>
    </row>
    <row r="158" spans="1:17" x14ac:dyDescent="0.35">
      <c r="A158" s="376" t="s">
        <v>2041</v>
      </c>
      <c r="B158" s="376" t="s">
        <v>2042</v>
      </c>
      <c r="C158" s="376" t="s">
        <v>2043</v>
      </c>
      <c r="D158" s="376">
        <v>15310812895.839998</v>
      </c>
      <c r="E158" s="376">
        <v>1.9369931378665002</v>
      </c>
      <c r="F158" s="376">
        <v>31.990000000000002</v>
      </c>
      <c r="G158" s="376">
        <v>43.415219999999998</v>
      </c>
      <c r="H158" s="376">
        <v>352.66</v>
      </c>
      <c r="I158" s="474"/>
      <c r="J158" s="475" t="str">
        <f t="shared" si="14"/>
        <v>Everest Group Ltd</v>
      </c>
      <c r="K158" s="476" t="str">
        <f t="shared" si="14"/>
        <v>EG</v>
      </c>
      <c r="L158" s="477">
        <f t="shared" si="15"/>
        <v>15310.812895839998</v>
      </c>
      <c r="M158" s="478">
        <f t="shared" si="16"/>
        <v>1.9369931378665002E-2</v>
      </c>
      <c r="N158" s="478">
        <f t="shared" si="17"/>
        <v>0.31990000000000002</v>
      </c>
      <c r="O158" s="479">
        <f t="shared" si="18"/>
        <v>0.34236815190268249</v>
      </c>
      <c r="P158" s="480">
        <f t="shared" si="19"/>
        <v>4.1553886211963904E-4</v>
      </c>
      <c r="Q158" s="481">
        <f t="shared" si="20"/>
        <v>1.4226727226764442E-4</v>
      </c>
    </row>
    <row r="159" spans="1:17" x14ac:dyDescent="0.35">
      <c r="A159" s="376" t="s">
        <v>2044</v>
      </c>
      <c r="B159" s="376" t="s">
        <v>2045</v>
      </c>
      <c r="C159" s="376" t="s">
        <v>1480</v>
      </c>
      <c r="D159" s="376">
        <v>26988813630.810001</v>
      </c>
      <c r="E159" s="376">
        <v>4.1549595572584082</v>
      </c>
      <c r="F159" s="376">
        <v>4.915</v>
      </c>
      <c r="G159" s="376">
        <v>382.983</v>
      </c>
      <c r="H159" s="376">
        <v>70.47</v>
      </c>
      <c r="I159" s="474"/>
      <c r="J159" s="475" t="str">
        <f t="shared" si="14"/>
        <v>Edison International</v>
      </c>
      <c r="K159" s="476" t="str">
        <f t="shared" si="14"/>
        <v>EIX</v>
      </c>
      <c r="L159" s="477">
        <f t="shared" si="15"/>
        <v>26988.81363081</v>
      </c>
      <c r="M159" s="478">
        <f t="shared" si="16"/>
        <v>4.1549595572584079E-2</v>
      </c>
      <c r="N159" s="478">
        <f t="shared" si="17"/>
        <v>4.9149999999999999E-2</v>
      </c>
      <c r="O159" s="479">
        <f t="shared" si="18"/>
        <v>9.1720676883780328E-2</v>
      </c>
      <c r="P159" s="480">
        <f t="shared" si="19"/>
        <v>7.3248239544178089E-4</v>
      </c>
      <c r="Q159" s="481">
        <f t="shared" si="20"/>
        <v>6.7183781115372996E-5</v>
      </c>
    </row>
    <row r="160" spans="1:17" x14ac:dyDescent="0.35">
      <c r="A160" s="376" t="s">
        <v>2046</v>
      </c>
      <c r="B160" s="376" t="s">
        <v>2047</v>
      </c>
      <c r="C160" s="376" t="s">
        <v>2048</v>
      </c>
      <c r="D160" s="376">
        <v>69205882868.970001</v>
      </c>
      <c r="E160" s="376">
        <v>1.3334710530393017</v>
      </c>
      <c r="F160" s="376">
        <v>18.893000000000001</v>
      </c>
      <c r="G160" s="376">
        <v>231.87099999999998</v>
      </c>
      <c r="H160" s="376">
        <v>193.63</v>
      </c>
      <c r="I160" s="474"/>
      <c r="J160" s="475" t="str">
        <f t="shared" si="14"/>
        <v>Estee Lauder Cos Inc/The</v>
      </c>
      <c r="K160" s="476" t="str">
        <f t="shared" si="14"/>
        <v>EL</v>
      </c>
      <c r="L160" s="477">
        <f t="shared" si="15"/>
        <v>69205.882868970002</v>
      </c>
      <c r="M160" s="478">
        <f t="shared" si="16"/>
        <v>1.3334710530393017E-2</v>
      </c>
      <c r="N160" s="478">
        <f t="shared" si="17"/>
        <v>0.18893000000000001</v>
      </c>
      <c r="O160" s="479">
        <f t="shared" si="18"/>
        <v>0.2035243739606466</v>
      </c>
      <c r="P160" s="480">
        <f t="shared" si="19"/>
        <v>1.8782630298597924E-3</v>
      </c>
      <c r="Q160" s="481">
        <f t="shared" si="20"/>
        <v>3.822723072856415E-4</v>
      </c>
    </row>
    <row r="161" spans="1:17" x14ac:dyDescent="0.35">
      <c r="A161" s="376" t="s">
        <v>2049</v>
      </c>
      <c r="B161" s="376" t="s">
        <v>2050</v>
      </c>
      <c r="C161" s="376" t="s">
        <v>2051</v>
      </c>
      <c r="D161" s="376">
        <v>104003493327.64999</v>
      </c>
      <c r="E161" s="376">
        <v>1.3461582294349599</v>
      </c>
      <c r="F161" s="376">
        <v>10.377000000000001</v>
      </c>
      <c r="G161" s="376">
        <v>237.05579999999998</v>
      </c>
      <c r="H161" s="376">
        <v>438.73</v>
      </c>
      <c r="I161" s="474"/>
      <c r="J161" s="475" t="str">
        <f t="shared" si="14"/>
        <v>Elevance Health Inc</v>
      </c>
      <c r="K161" s="476" t="str">
        <f t="shared" si="14"/>
        <v>ELV</v>
      </c>
      <c r="L161" s="477">
        <f t="shared" si="15"/>
        <v>104003.49332764999</v>
      </c>
      <c r="M161" s="478">
        <f t="shared" si="16"/>
        <v>1.3461582294349598E-2</v>
      </c>
      <c r="N161" s="478">
        <f t="shared" si="17"/>
        <v>0.10377</v>
      </c>
      <c r="O161" s="479">
        <f t="shared" si="18"/>
        <v>0.11793003649169193</v>
      </c>
      <c r="P161" s="480">
        <f t="shared" si="19"/>
        <v>2.8226779053371815E-3</v>
      </c>
      <c r="Q161" s="481">
        <f t="shared" si="20"/>
        <v>3.3287850838070634E-4</v>
      </c>
    </row>
    <row r="162" spans="1:17" x14ac:dyDescent="0.35">
      <c r="A162" s="376" t="s">
        <v>2052</v>
      </c>
      <c r="B162" s="376" t="s">
        <v>2053</v>
      </c>
      <c r="C162" s="376" t="s">
        <v>2054</v>
      </c>
      <c r="D162" s="376">
        <v>10355477133</v>
      </c>
      <c r="E162" s="376">
        <v>3.635526921306949</v>
      </c>
      <c r="F162" s="376">
        <v>8.5</v>
      </c>
      <c r="G162" s="376">
        <v>119.13799999999999</v>
      </c>
      <c r="H162" s="376">
        <v>86.92</v>
      </c>
      <c r="I162" s="474"/>
      <c r="J162" s="475" t="str">
        <f t="shared" si="14"/>
        <v>Eastman Chemical Co</v>
      </c>
      <c r="K162" s="476" t="str">
        <f t="shared" si="14"/>
        <v>EMN</v>
      </c>
      <c r="L162" s="477">
        <f t="shared" si="15"/>
        <v>10355.477133</v>
      </c>
      <c r="M162" s="478">
        <f t="shared" si="16"/>
        <v>3.6355269213069488E-2</v>
      </c>
      <c r="N162" s="478">
        <f t="shared" si="17"/>
        <v>8.5000000000000006E-2</v>
      </c>
      <c r="O162" s="479">
        <f t="shared" si="18"/>
        <v>0.12290036815462495</v>
      </c>
      <c r="P162" s="480">
        <f t="shared" si="19"/>
        <v>2.8104994906716748E-4</v>
      </c>
      <c r="Q162" s="481">
        <f t="shared" si="20"/>
        <v>3.4541142210193471E-5</v>
      </c>
    </row>
    <row r="163" spans="1:17" x14ac:dyDescent="0.35">
      <c r="A163" s="376" t="s">
        <v>2055</v>
      </c>
      <c r="B163" s="376" t="s">
        <v>2056</v>
      </c>
      <c r="C163" s="376" t="s">
        <v>2057</v>
      </c>
      <c r="D163" s="376">
        <v>52629435000.000008</v>
      </c>
      <c r="E163" s="376">
        <v>2.2706048430882833</v>
      </c>
      <c r="F163" s="376">
        <v>10.31</v>
      </c>
      <c r="G163" s="376">
        <v>571.5</v>
      </c>
      <c r="H163" s="376">
        <v>92.09</v>
      </c>
      <c r="I163" s="474"/>
      <c r="J163" s="475" t="str">
        <f t="shared" si="14"/>
        <v>Emerson Electric Co</v>
      </c>
      <c r="K163" s="476" t="str">
        <f t="shared" si="14"/>
        <v>EMR</v>
      </c>
      <c r="L163" s="477">
        <f t="shared" si="15"/>
        <v>52629.435000000005</v>
      </c>
      <c r="M163" s="478">
        <f t="shared" si="16"/>
        <v>2.2706048430882832E-2</v>
      </c>
      <c r="N163" s="478">
        <f t="shared" si="17"/>
        <v>0.10310000000000001</v>
      </c>
      <c r="O163" s="479">
        <f t="shared" si="18"/>
        <v>0.12697654522749485</v>
      </c>
      <c r="P163" s="480">
        <f t="shared" si="19"/>
        <v>1.4283745535053564E-3</v>
      </c>
      <c r="Q163" s="481">
        <f t="shared" si="20"/>
        <v>1.8137006609497566E-4</v>
      </c>
    </row>
    <row r="164" spans="1:17" x14ac:dyDescent="0.35">
      <c r="A164" s="376" t="s">
        <v>2058</v>
      </c>
      <c r="B164" s="376" t="s">
        <v>2059</v>
      </c>
      <c r="C164" s="376" t="s">
        <v>2060</v>
      </c>
      <c r="D164" s="376">
        <v>24385560604.439999</v>
      </c>
      <c r="E164" s="376">
        <v>0</v>
      </c>
      <c r="F164" s="376">
        <v>25.32</v>
      </c>
      <c r="G164" s="376">
        <v>137.0437</v>
      </c>
      <c r="H164" s="376">
        <v>177.94</v>
      </c>
      <c r="I164" s="474"/>
      <c r="J164" s="475" t="str">
        <f t="shared" si="14"/>
        <v>Enphase Energy Inc</v>
      </c>
      <c r="K164" s="476" t="str">
        <f t="shared" si="14"/>
        <v>ENPH</v>
      </c>
      <c r="L164" s="477">
        <f t="shared" si="15"/>
        <v>24385.560604439997</v>
      </c>
      <c r="M164" s="478">
        <f t="shared" si="16"/>
        <v>0</v>
      </c>
      <c r="N164" s="478">
        <f t="shared" si="17"/>
        <v>0.25319999999999998</v>
      </c>
      <c r="O164" s="479">
        <f t="shared" si="18"/>
        <v>0.25319999999999998</v>
      </c>
      <c r="P164" s="480">
        <f t="shared" si="19"/>
        <v>6.6182953019246324E-4</v>
      </c>
      <c r="Q164" s="481">
        <f t="shared" si="20"/>
        <v>1.6757523704473168E-4</v>
      </c>
    </row>
    <row r="165" spans="1:17" x14ac:dyDescent="0.35">
      <c r="A165" s="376" t="s">
        <v>2061</v>
      </c>
      <c r="B165" s="376" t="s">
        <v>2062</v>
      </c>
      <c r="C165" s="376" t="s">
        <v>2063</v>
      </c>
      <c r="D165" s="376">
        <v>69557238174.12999</v>
      </c>
      <c r="E165" s="376">
        <v>4.2764651475657951</v>
      </c>
      <c r="F165" s="376">
        <v>10.825000000000001</v>
      </c>
      <c r="G165" s="376">
        <v>584.85860000000002</v>
      </c>
      <c r="H165" s="376">
        <v>118.93</v>
      </c>
      <c r="I165" s="474"/>
      <c r="J165" s="475" t="str">
        <f t="shared" si="14"/>
        <v>EOG Resources Inc</v>
      </c>
      <c r="K165" s="476" t="str">
        <f t="shared" si="14"/>
        <v>EOG</v>
      </c>
      <c r="L165" s="477">
        <f t="shared" si="15"/>
        <v>69557.238174129991</v>
      </c>
      <c r="M165" s="478">
        <f t="shared" si="16"/>
        <v>4.2764651475657951E-2</v>
      </c>
      <c r="N165" s="478">
        <f t="shared" si="17"/>
        <v>0.10825000000000001</v>
      </c>
      <c r="O165" s="479">
        <f t="shared" si="18"/>
        <v>0.15332928823677794</v>
      </c>
      <c r="P165" s="480">
        <f t="shared" si="19"/>
        <v>1.8877988908685536E-3</v>
      </c>
      <c r="Q165" s="481">
        <f t="shared" si="20"/>
        <v>2.8945486027105418E-4</v>
      </c>
    </row>
    <row r="166" spans="1:17" x14ac:dyDescent="0.35">
      <c r="A166" s="376" t="s">
        <v>2064</v>
      </c>
      <c r="B166" s="376" t="s">
        <v>2065</v>
      </c>
      <c r="C166" s="376" t="s">
        <v>2066</v>
      </c>
      <c r="D166" s="376">
        <v>14009666105.659998</v>
      </c>
      <c r="E166" s="376">
        <v>0</v>
      </c>
      <c r="F166" s="376">
        <v>4.3899999999999997</v>
      </c>
      <c r="G166" s="376">
        <v>57.905539999999995</v>
      </c>
      <c r="H166" s="376">
        <v>241.94</v>
      </c>
      <c r="I166" s="474"/>
      <c r="J166" s="475" t="str">
        <f t="shared" si="14"/>
        <v>EPAM Systems Inc</v>
      </c>
      <c r="K166" s="476" t="str">
        <f t="shared" si="14"/>
        <v>EPAM</v>
      </c>
      <c r="L166" s="477">
        <f t="shared" si="15"/>
        <v>14009.666105659999</v>
      </c>
      <c r="M166" s="478">
        <f t="shared" si="16"/>
        <v>0</v>
      </c>
      <c r="N166" s="478">
        <f t="shared" si="17"/>
        <v>4.3899999999999995E-2</v>
      </c>
      <c r="O166" s="479">
        <f t="shared" si="18"/>
        <v>4.3899999999999995E-2</v>
      </c>
      <c r="P166" s="480">
        <f t="shared" si="19"/>
        <v>3.802254492838698E-4</v>
      </c>
      <c r="Q166" s="481">
        <f t="shared" si="20"/>
        <v>1.6691897223561882E-5</v>
      </c>
    </row>
    <row r="167" spans="1:17" x14ac:dyDescent="0.35">
      <c r="A167" s="376" t="s">
        <v>2067</v>
      </c>
      <c r="B167" s="376" t="s">
        <v>2068</v>
      </c>
      <c r="C167" s="376" t="s">
        <v>2069</v>
      </c>
      <c r="D167" s="376">
        <v>75354493862.610001</v>
      </c>
      <c r="E167" s="376">
        <v>1.6957293386121901</v>
      </c>
      <c r="F167" s="376">
        <v>14.955</v>
      </c>
      <c r="G167" s="376">
        <v>93.523259999999993</v>
      </c>
      <c r="H167" s="376">
        <v>805.73</v>
      </c>
      <c r="I167" s="474"/>
      <c r="J167" s="475" t="str">
        <f t="shared" si="14"/>
        <v>Equinix Inc</v>
      </c>
      <c r="K167" s="476" t="str">
        <f t="shared" si="14"/>
        <v>EQIX</v>
      </c>
      <c r="L167" s="477">
        <f t="shared" si="15"/>
        <v>75354.493862610005</v>
      </c>
      <c r="M167" s="478">
        <f t="shared" si="16"/>
        <v>1.69572933861219E-2</v>
      </c>
      <c r="N167" s="478">
        <f t="shared" si="17"/>
        <v>0.14954999999999999</v>
      </c>
      <c r="O167" s="479">
        <f t="shared" si="18"/>
        <v>0.16777527499906916</v>
      </c>
      <c r="P167" s="480">
        <f t="shared" si="19"/>
        <v>2.0451376976710401E-3</v>
      </c>
      <c r="Q167" s="481">
        <f t="shared" si="20"/>
        <v>3.4312353963772191E-4</v>
      </c>
    </row>
    <row r="168" spans="1:17" x14ac:dyDescent="0.35">
      <c r="A168" s="376" t="s">
        <v>2070</v>
      </c>
      <c r="B168" s="376" t="s">
        <v>2071</v>
      </c>
      <c r="C168" s="376" t="s">
        <v>2072</v>
      </c>
      <c r="D168" s="376">
        <v>25958758873.189999</v>
      </c>
      <c r="E168" s="376">
        <v>3.859290614508831</v>
      </c>
      <c r="F168" s="376">
        <v>4.99</v>
      </c>
      <c r="G168" s="376">
        <v>378.90469999999999</v>
      </c>
      <c r="H168" s="376">
        <v>68.510000000000005</v>
      </c>
      <c r="I168" s="474"/>
      <c r="J168" s="475" t="str">
        <f t="shared" si="14"/>
        <v>Equity Residential</v>
      </c>
      <c r="K168" s="476" t="str">
        <f t="shared" si="14"/>
        <v>EQR</v>
      </c>
      <c r="L168" s="477">
        <f t="shared" si="15"/>
        <v>25958.75887319</v>
      </c>
      <c r="M168" s="478">
        <f t="shared" si="16"/>
        <v>3.8592906145088313E-2</v>
      </c>
      <c r="N168" s="478">
        <f t="shared" si="17"/>
        <v>4.99E-2</v>
      </c>
      <c r="O168" s="479">
        <f t="shared" si="18"/>
        <v>8.9455799153408261E-2</v>
      </c>
      <c r="P168" s="480">
        <f t="shared" si="19"/>
        <v>7.0452648057205949E-4</v>
      </c>
      <c r="Q168" s="481">
        <f t="shared" si="20"/>
        <v>6.3023979344311738E-5</v>
      </c>
    </row>
    <row r="169" spans="1:17" x14ac:dyDescent="0.35">
      <c r="A169" s="376" t="s">
        <v>2073</v>
      </c>
      <c r="B169" s="376" t="s">
        <v>2074</v>
      </c>
      <c r="C169" s="376" t="s">
        <v>2075</v>
      </c>
      <c r="D169" s="376">
        <v>13818366267.859999</v>
      </c>
      <c r="E169" s="376">
        <v>1.5467155194975135</v>
      </c>
      <c r="F169" s="376">
        <v>29.41</v>
      </c>
      <c r="G169" s="376">
        <v>361.64269999999999</v>
      </c>
      <c r="H169" s="376">
        <v>38.21</v>
      </c>
      <c r="I169" s="474"/>
      <c r="J169" s="475" t="str">
        <f t="shared" si="14"/>
        <v>EQT Corp</v>
      </c>
      <c r="K169" s="476" t="str">
        <f t="shared" si="14"/>
        <v>EQT</v>
      </c>
      <c r="L169" s="477">
        <f t="shared" si="15"/>
        <v>13818.366267859999</v>
      </c>
      <c r="M169" s="478">
        <f t="shared" si="16"/>
        <v>1.5467155194975135E-2</v>
      </c>
      <c r="N169" s="478">
        <f t="shared" si="17"/>
        <v>0.29410000000000003</v>
      </c>
      <c r="O169" s="479">
        <f t="shared" si="18"/>
        <v>0.31184160036639624</v>
      </c>
      <c r="P169" s="480">
        <f t="shared" si="19"/>
        <v>3.7503352920334411E-4</v>
      </c>
      <c r="Q169" s="481">
        <f t="shared" si="20"/>
        <v>1.1695105593782842E-4</v>
      </c>
    </row>
    <row r="170" spans="1:17" x14ac:dyDescent="0.35">
      <c r="A170" s="376" t="s">
        <v>2076</v>
      </c>
      <c r="B170" s="376" t="s">
        <v>789</v>
      </c>
      <c r="C170" s="376" t="s">
        <v>1481</v>
      </c>
      <c r="D170" s="376">
        <v>25402662788.799999</v>
      </c>
      <c r="E170" s="376">
        <v>3.7297445756660266</v>
      </c>
      <c r="F170" s="376">
        <v>6.96</v>
      </c>
      <c r="G170" s="376">
        <v>348.84179999999998</v>
      </c>
      <c r="H170" s="376">
        <v>72.819999999999993</v>
      </c>
      <c r="I170" s="474"/>
      <c r="J170" s="475" t="str">
        <f t="shared" si="14"/>
        <v>Eversource Energy</v>
      </c>
      <c r="K170" s="476" t="str">
        <f t="shared" si="14"/>
        <v>ES</v>
      </c>
      <c r="L170" s="477">
        <f t="shared" si="15"/>
        <v>25402.6627888</v>
      </c>
      <c r="M170" s="478">
        <f t="shared" si="16"/>
        <v>3.7297445756660268E-2</v>
      </c>
      <c r="N170" s="478">
        <f t="shared" si="17"/>
        <v>6.9599999999999995E-2</v>
      </c>
      <c r="O170" s="479">
        <f t="shared" si="18"/>
        <v>0.10819539686899204</v>
      </c>
      <c r="P170" s="480">
        <f t="shared" si="19"/>
        <v>6.894339093474845E-4</v>
      </c>
      <c r="Q170" s="481">
        <f t="shared" si="20"/>
        <v>7.4593575436791772E-5</v>
      </c>
    </row>
    <row r="171" spans="1:17" x14ac:dyDescent="0.35">
      <c r="A171" s="376" t="s">
        <v>2077</v>
      </c>
      <c r="B171" s="376" t="s">
        <v>2078</v>
      </c>
      <c r="C171" s="376" t="s">
        <v>2079</v>
      </c>
      <c r="D171" s="376">
        <v>15752735340.16</v>
      </c>
      <c r="E171" s="376">
        <v>3.7605932203389831</v>
      </c>
      <c r="F171" s="376">
        <v>6.45</v>
      </c>
      <c r="G171" s="376">
        <v>64.181609999999992</v>
      </c>
      <c r="H171" s="376">
        <v>245.44</v>
      </c>
      <c r="I171" s="474"/>
      <c r="J171" s="475" t="str">
        <f t="shared" si="14"/>
        <v>Essex Property Trust Inc</v>
      </c>
      <c r="K171" s="476" t="str">
        <f t="shared" si="14"/>
        <v>ESS</v>
      </c>
      <c r="L171" s="477">
        <f t="shared" si="15"/>
        <v>15752.735340159999</v>
      </c>
      <c r="M171" s="478">
        <f t="shared" si="16"/>
        <v>3.7605932203389834E-2</v>
      </c>
      <c r="N171" s="478">
        <f t="shared" si="17"/>
        <v>6.4500000000000002E-2</v>
      </c>
      <c r="O171" s="479">
        <f t="shared" si="18"/>
        <v>0.10331872351694915</v>
      </c>
      <c r="P171" s="480">
        <f t="shared" si="19"/>
        <v>4.2753273539776905E-4</v>
      </c>
      <c r="Q171" s="481">
        <f t="shared" si="20"/>
        <v>4.4172136483007082E-5</v>
      </c>
    </row>
    <row r="172" spans="1:17" x14ac:dyDescent="0.35">
      <c r="A172" s="376" t="s">
        <v>2080</v>
      </c>
      <c r="B172" s="376" t="s">
        <v>2081</v>
      </c>
      <c r="C172" s="376" t="s">
        <v>2082</v>
      </c>
      <c r="D172" s="376">
        <v>81099156000</v>
      </c>
      <c r="E172" s="376">
        <v>1.6740391231691734</v>
      </c>
      <c r="F172" s="376">
        <v>15</v>
      </c>
      <c r="G172" s="376">
        <v>398.59999999999997</v>
      </c>
      <c r="H172" s="376">
        <v>203.46</v>
      </c>
      <c r="I172" s="474"/>
      <c r="J172" s="475" t="str">
        <f t="shared" si="14"/>
        <v>Eaton Corp PLC</v>
      </c>
      <c r="K172" s="476" t="str">
        <f t="shared" si="14"/>
        <v>ETN</v>
      </c>
      <c r="L172" s="477">
        <f t="shared" si="15"/>
        <v>81099.156000000003</v>
      </c>
      <c r="M172" s="478">
        <f t="shared" si="16"/>
        <v>1.6740391231691732E-2</v>
      </c>
      <c r="N172" s="478">
        <f t="shared" si="17"/>
        <v>0.15</v>
      </c>
      <c r="O172" s="479">
        <f t="shared" si="18"/>
        <v>0.16799592057406859</v>
      </c>
      <c r="P172" s="480">
        <f t="shared" si="19"/>
        <v>2.2010491038173072E-3</v>
      </c>
      <c r="Q172" s="481">
        <f t="shared" si="20"/>
        <v>3.6976727042451721E-4</v>
      </c>
    </row>
    <row r="173" spans="1:17" x14ac:dyDescent="0.35">
      <c r="A173" s="376" t="s">
        <v>2083</v>
      </c>
      <c r="B173" s="376" t="s">
        <v>2084</v>
      </c>
      <c r="C173" s="376" t="s">
        <v>1482</v>
      </c>
      <c r="D173" s="376">
        <v>21119291501.879997</v>
      </c>
      <c r="E173" s="376">
        <v>4.3181818181818183</v>
      </c>
      <c r="F173" s="376">
        <v>6.3449999999999998</v>
      </c>
      <c r="G173" s="376">
        <v>211.44669999999999</v>
      </c>
      <c r="H173" s="376">
        <v>99.88</v>
      </c>
      <c r="I173" s="474"/>
      <c r="J173" s="475" t="str">
        <f t="shared" si="14"/>
        <v>Entergy Corp</v>
      </c>
      <c r="K173" s="476" t="str">
        <f t="shared" si="14"/>
        <v>ETR</v>
      </c>
      <c r="L173" s="477">
        <f t="shared" si="15"/>
        <v>21119.291501879998</v>
      </c>
      <c r="M173" s="478">
        <f t="shared" si="16"/>
        <v>4.3181818181818182E-2</v>
      </c>
      <c r="N173" s="478">
        <f t="shared" si="17"/>
        <v>6.3449999999999993E-2</v>
      </c>
      <c r="O173" s="479">
        <f t="shared" si="18"/>
        <v>0.10800176136363636</v>
      </c>
      <c r="P173" s="480">
        <f t="shared" si="19"/>
        <v>5.7318226139701676E-4</v>
      </c>
      <c r="Q173" s="481">
        <f t="shared" si="20"/>
        <v>6.1904693813270042E-5</v>
      </c>
    </row>
    <row r="174" spans="1:17" x14ac:dyDescent="0.35">
      <c r="A174" s="376" t="s">
        <v>2085</v>
      </c>
      <c r="B174" s="376" t="s">
        <v>2086</v>
      </c>
      <c r="C174" s="376" t="s">
        <v>2087</v>
      </c>
      <c r="D174" s="376">
        <v>11379213605.25</v>
      </c>
      <c r="E174" s="376">
        <v>0</v>
      </c>
      <c r="F174" s="376">
        <v>15.56</v>
      </c>
      <c r="G174" s="376">
        <v>123.3519</v>
      </c>
      <c r="H174" s="376">
        <v>92.25</v>
      </c>
      <c r="I174" s="474"/>
      <c r="J174" s="475" t="str">
        <f t="shared" si="14"/>
        <v>Etsy Inc</v>
      </c>
      <c r="K174" s="476" t="str">
        <f t="shared" si="14"/>
        <v>ETSY</v>
      </c>
      <c r="L174" s="477">
        <f t="shared" si="15"/>
        <v>11379.213605249999</v>
      </c>
      <c r="M174" s="478">
        <f t="shared" si="16"/>
        <v>0</v>
      </c>
      <c r="N174" s="478">
        <f t="shared" si="17"/>
        <v>0.15560000000000002</v>
      </c>
      <c r="O174" s="479">
        <f t="shared" si="18"/>
        <v>0.15560000000000002</v>
      </c>
      <c r="P174" s="480">
        <f t="shared" si="19"/>
        <v>3.08834384268823E-4</v>
      </c>
      <c r="Q174" s="481">
        <f t="shared" si="20"/>
        <v>4.8054630192228863E-5</v>
      </c>
    </row>
    <row r="175" spans="1:17" x14ac:dyDescent="0.35">
      <c r="A175" s="376" t="s">
        <v>2088</v>
      </c>
      <c r="B175" s="376" t="s">
        <v>2089</v>
      </c>
      <c r="C175" s="376" t="s">
        <v>1484</v>
      </c>
      <c r="D175" s="376">
        <v>13811721341.439999</v>
      </c>
      <c r="E175" s="376">
        <v>4.1223404255319149</v>
      </c>
      <c r="F175" s="376">
        <v>4.7350000000000003</v>
      </c>
      <c r="G175" s="376">
        <v>229.5831</v>
      </c>
      <c r="H175" s="376">
        <v>60.16</v>
      </c>
      <c r="I175" s="474"/>
      <c r="J175" s="475" t="str">
        <f t="shared" si="14"/>
        <v>Evergy Inc</v>
      </c>
      <c r="K175" s="476" t="str">
        <f t="shared" si="14"/>
        <v>EVRG</v>
      </c>
      <c r="L175" s="477">
        <f t="shared" si="15"/>
        <v>13811.721341439999</v>
      </c>
      <c r="M175" s="478">
        <f t="shared" si="16"/>
        <v>4.1223404255319146E-2</v>
      </c>
      <c r="N175" s="478">
        <f t="shared" si="17"/>
        <v>4.7350000000000003E-2</v>
      </c>
      <c r="O175" s="479">
        <f t="shared" si="18"/>
        <v>8.9549368351063835E-2</v>
      </c>
      <c r="P175" s="480">
        <f t="shared" si="19"/>
        <v>3.7485318442464295E-4</v>
      </c>
      <c r="Q175" s="481">
        <f t="shared" si="20"/>
        <v>3.3567865889611618E-5</v>
      </c>
    </row>
    <row r="176" spans="1:17" x14ac:dyDescent="0.35">
      <c r="A176" s="376" t="s">
        <v>2090</v>
      </c>
      <c r="B176" s="376" t="s">
        <v>2091</v>
      </c>
      <c r="C176" s="376" t="s">
        <v>2092</v>
      </c>
      <c r="D176" s="376">
        <v>56608656916.699997</v>
      </c>
      <c r="E176" s="376">
        <v>0</v>
      </c>
      <c r="F176" s="376">
        <v>10.41</v>
      </c>
      <c r="G176" s="376">
        <v>606.21820000000002</v>
      </c>
      <c r="H176" s="376">
        <v>93.38</v>
      </c>
      <c r="I176" s="474"/>
      <c r="J176" s="475" t="str">
        <f t="shared" si="14"/>
        <v>Edwards Lifesciences Corp</v>
      </c>
      <c r="K176" s="476" t="str">
        <f t="shared" si="14"/>
        <v>EW</v>
      </c>
      <c r="L176" s="477">
        <f t="shared" si="15"/>
        <v>56608.656916699998</v>
      </c>
      <c r="M176" s="478">
        <f t="shared" si="16"/>
        <v>0</v>
      </c>
      <c r="N176" s="478">
        <f t="shared" si="17"/>
        <v>0.1041</v>
      </c>
      <c r="O176" s="479">
        <f t="shared" si="18"/>
        <v>0.1041</v>
      </c>
      <c r="P176" s="480">
        <f t="shared" si="19"/>
        <v>1.5363715200045231E-3</v>
      </c>
      <c r="Q176" s="481">
        <f t="shared" si="20"/>
        <v>1.5993627523247086E-4</v>
      </c>
    </row>
    <row r="177" spans="1:17" x14ac:dyDescent="0.35">
      <c r="A177" s="376" t="s">
        <v>2093</v>
      </c>
      <c r="B177" s="376" t="s">
        <v>2094</v>
      </c>
      <c r="C177" s="376" t="s">
        <v>1486</v>
      </c>
      <c r="D177" s="376">
        <v>41780443895.959999</v>
      </c>
      <c r="E177" s="376">
        <v>3.4221799143265104</v>
      </c>
      <c r="F177" s="376">
        <v>5.68</v>
      </c>
      <c r="G177" s="376">
        <v>994.29899999999998</v>
      </c>
      <c r="H177" s="376">
        <v>42.02</v>
      </c>
      <c r="I177" s="474"/>
      <c r="J177" s="475" t="str">
        <f t="shared" si="14"/>
        <v>Exelon Corp</v>
      </c>
      <c r="K177" s="476" t="str">
        <f t="shared" si="14"/>
        <v>EXC</v>
      </c>
      <c r="L177" s="477">
        <f t="shared" si="15"/>
        <v>41780.443895960001</v>
      </c>
      <c r="M177" s="478">
        <f t="shared" si="16"/>
        <v>3.4221799143265105E-2</v>
      </c>
      <c r="N177" s="478">
        <f t="shared" si="17"/>
        <v>5.6799999999999996E-2</v>
      </c>
      <c r="O177" s="479">
        <f t="shared" si="18"/>
        <v>9.199369823893383E-2</v>
      </c>
      <c r="P177" s="480">
        <f t="shared" si="19"/>
        <v>1.1339305256677645E-3</v>
      </c>
      <c r="Q177" s="481">
        <f t="shared" si="20"/>
        <v>1.0431446260219595E-4</v>
      </c>
    </row>
    <row r="178" spans="1:17" x14ac:dyDescent="0.35">
      <c r="A178" s="376" t="s">
        <v>2095</v>
      </c>
      <c r="B178" s="376" t="s">
        <v>2096</v>
      </c>
      <c r="C178" s="376" t="s">
        <v>2097</v>
      </c>
      <c r="D178" s="376">
        <v>18579529209.599998</v>
      </c>
      <c r="E178" s="376">
        <v>1.1233552631578949</v>
      </c>
      <c r="F178" s="376" t="s">
        <v>1612</v>
      </c>
      <c r="G178" s="376">
        <v>152.79219999999998</v>
      </c>
      <c r="H178" s="376">
        <v>121.6</v>
      </c>
      <c r="I178" s="474"/>
      <c r="J178" s="475" t="str">
        <f t="shared" si="14"/>
        <v>Expeditors International of Washington Inc</v>
      </c>
      <c r="K178" s="476" t="str">
        <f t="shared" si="14"/>
        <v>EXPD</v>
      </c>
      <c r="L178" s="477">
        <f t="shared" si="15"/>
        <v>18579.529209599998</v>
      </c>
      <c r="M178" s="478">
        <f t="shared" si="16"/>
        <v>1.123355263157895E-2</v>
      </c>
      <c r="N178" s="478" t="str">
        <f t="shared" si="17"/>
        <v>N/A</v>
      </c>
      <c r="O178" s="479" t="str">
        <f t="shared" si="18"/>
        <v>N/A</v>
      </c>
      <c r="P178" s="480" t="str">
        <f t="shared" si="19"/>
        <v>N/A</v>
      </c>
      <c r="Q178" s="481" t="str">
        <f t="shared" si="20"/>
        <v>N/A</v>
      </c>
    </row>
    <row r="179" spans="1:17" x14ac:dyDescent="0.35">
      <c r="A179" s="376" t="s">
        <v>2098</v>
      </c>
      <c r="B179" s="376" t="s">
        <v>2099</v>
      </c>
      <c r="C179" s="376" t="s">
        <v>2100</v>
      </c>
      <c r="D179" s="376">
        <v>17563130264.899994</v>
      </c>
      <c r="E179" s="376">
        <v>0</v>
      </c>
      <c r="F179" s="376">
        <v>17.5</v>
      </c>
      <c r="G179" s="376">
        <v>142.6011</v>
      </c>
      <c r="H179" s="376">
        <v>118.57</v>
      </c>
      <c r="I179" s="474"/>
      <c r="J179" s="475" t="str">
        <f t="shared" si="14"/>
        <v>Expedia Group Inc</v>
      </c>
      <c r="K179" s="476" t="str">
        <f t="shared" si="14"/>
        <v>EXPE</v>
      </c>
      <c r="L179" s="477">
        <f t="shared" si="15"/>
        <v>17563.130264899995</v>
      </c>
      <c r="M179" s="478">
        <f t="shared" si="16"/>
        <v>0</v>
      </c>
      <c r="N179" s="478">
        <f t="shared" si="17"/>
        <v>0.17499999999999999</v>
      </c>
      <c r="O179" s="479">
        <f t="shared" si="18"/>
        <v>0.17499999999999999</v>
      </c>
      <c r="P179" s="480">
        <f t="shared" si="19"/>
        <v>4.7666725569603662E-4</v>
      </c>
      <c r="Q179" s="481">
        <f t="shared" si="20"/>
        <v>8.3416769746806404E-5</v>
      </c>
    </row>
    <row r="180" spans="1:17" x14ac:dyDescent="0.35">
      <c r="A180" s="376" t="s">
        <v>2101</v>
      </c>
      <c r="B180" s="376" t="s">
        <v>2102</v>
      </c>
      <c r="C180" s="376" t="s">
        <v>2103</v>
      </c>
      <c r="D180" s="376">
        <v>21035314948.560001</v>
      </c>
      <c r="E180" s="376">
        <v>4.1795069337442223</v>
      </c>
      <c r="F180" s="376">
        <v>3.96</v>
      </c>
      <c r="G180" s="376">
        <v>135.04949999999999</v>
      </c>
      <c r="H180" s="376">
        <v>155.76</v>
      </c>
      <c r="I180" s="474"/>
      <c r="J180" s="475" t="str">
        <f t="shared" si="14"/>
        <v>Extra Space Storage Inc</v>
      </c>
      <c r="K180" s="476" t="str">
        <f t="shared" si="14"/>
        <v>EXR</v>
      </c>
      <c r="L180" s="477">
        <f t="shared" si="15"/>
        <v>21035.314948560001</v>
      </c>
      <c r="M180" s="478">
        <f t="shared" si="16"/>
        <v>4.1795069337442224E-2</v>
      </c>
      <c r="N180" s="478">
        <f t="shared" si="17"/>
        <v>3.9599999999999996E-2</v>
      </c>
      <c r="O180" s="479">
        <f t="shared" si="18"/>
        <v>8.2222611710323579E-2</v>
      </c>
      <c r="P180" s="480">
        <f t="shared" si="19"/>
        <v>5.7090311909094099E-4</v>
      </c>
      <c r="Q180" s="481">
        <f t="shared" si="20"/>
        <v>4.6941145485227059E-5</v>
      </c>
    </row>
    <row r="181" spans="1:17" x14ac:dyDescent="0.35">
      <c r="A181" s="376" t="s">
        <v>2104</v>
      </c>
      <c r="B181" s="376" t="s">
        <v>2105</v>
      </c>
      <c r="C181" s="376" t="s">
        <v>2106</v>
      </c>
      <c r="D181" s="376">
        <v>59931539483.480003</v>
      </c>
      <c r="E181" s="376">
        <v>8.3377837116154883</v>
      </c>
      <c r="F181" s="376">
        <v>9.4700000000000006</v>
      </c>
      <c r="G181" s="376">
        <v>3929.9179999999997</v>
      </c>
      <c r="H181" s="376">
        <v>14.98</v>
      </c>
      <c r="I181" s="474"/>
      <c r="J181" s="475" t="str">
        <f t="shared" si="14"/>
        <v>Ford Motor Co</v>
      </c>
      <c r="K181" s="476" t="str">
        <f t="shared" si="14"/>
        <v>F</v>
      </c>
      <c r="L181" s="477">
        <f t="shared" si="15"/>
        <v>59931.539483480003</v>
      </c>
      <c r="M181" s="478">
        <f t="shared" si="16"/>
        <v>8.3377837116154888E-2</v>
      </c>
      <c r="N181" s="478">
        <f t="shared" si="17"/>
        <v>9.4700000000000006E-2</v>
      </c>
      <c r="O181" s="479">
        <f t="shared" si="18"/>
        <v>0.18202577770360484</v>
      </c>
      <c r="P181" s="480">
        <f t="shared" si="19"/>
        <v>1.6265552907912535E-3</v>
      </c>
      <c r="Q181" s="481">
        <f t="shared" si="20"/>
        <v>2.9607499178419103E-4</v>
      </c>
    </row>
    <row r="182" spans="1:17" x14ac:dyDescent="0.35">
      <c r="A182" s="376" t="s">
        <v>2107</v>
      </c>
      <c r="B182" s="376" t="s">
        <v>2108</v>
      </c>
      <c r="C182" s="376" t="s">
        <v>2109</v>
      </c>
      <c r="D182" s="376">
        <v>24567143938.679996</v>
      </c>
      <c r="E182" s="376">
        <v>4.5783576588530153</v>
      </c>
      <c r="F182" s="376">
        <v>8.6470000000000002</v>
      </c>
      <c r="G182" s="376">
        <v>181.09350000000001</v>
      </c>
      <c r="H182" s="376">
        <v>135.66</v>
      </c>
      <c r="I182" s="474"/>
      <c r="J182" s="475" t="str">
        <f t="shared" si="14"/>
        <v>Diamondback Energy Inc</v>
      </c>
      <c r="K182" s="476" t="str">
        <f t="shared" si="14"/>
        <v>FANG</v>
      </c>
      <c r="L182" s="477">
        <f t="shared" si="15"/>
        <v>24567.143938679998</v>
      </c>
      <c r="M182" s="478">
        <f t="shared" si="16"/>
        <v>4.5783576588530155E-2</v>
      </c>
      <c r="N182" s="478">
        <f t="shared" si="17"/>
        <v>8.6470000000000005E-2</v>
      </c>
      <c r="O182" s="479">
        <f t="shared" si="18"/>
        <v>0.13423302952233526</v>
      </c>
      <c r="P182" s="480">
        <f t="shared" si="19"/>
        <v>6.6675774220859214E-4</v>
      </c>
      <c r="Q182" s="481">
        <f t="shared" si="20"/>
        <v>8.9500911694131546E-5</v>
      </c>
    </row>
    <row r="183" spans="1:17" x14ac:dyDescent="0.35">
      <c r="A183" s="376" t="s">
        <v>2110</v>
      </c>
      <c r="B183" s="376" t="s">
        <v>2111</v>
      </c>
      <c r="C183" s="376" t="s">
        <v>2112</v>
      </c>
      <c r="D183" s="376">
        <v>32837681948.400002</v>
      </c>
      <c r="E183" s="376">
        <v>2.3886569241475297</v>
      </c>
      <c r="F183" s="376" t="s">
        <v>1612</v>
      </c>
      <c r="G183" s="376">
        <v>571.28879999999992</v>
      </c>
      <c r="H183" s="376">
        <v>57.48</v>
      </c>
      <c r="I183" s="474"/>
      <c r="J183" s="475" t="str">
        <f t="shared" si="14"/>
        <v>Fastenal Co</v>
      </c>
      <c r="K183" s="476" t="str">
        <f t="shared" si="14"/>
        <v>FAST</v>
      </c>
      <c r="L183" s="477">
        <f t="shared" si="15"/>
        <v>32837.681948400001</v>
      </c>
      <c r="M183" s="478">
        <f t="shared" si="16"/>
        <v>2.3886569241475298E-2</v>
      </c>
      <c r="N183" s="478" t="str">
        <f t="shared" si="17"/>
        <v>N/A</v>
      </c>
      <c r="O183" s="479" t="str">
        <f t="shared" si="18"/>
        <v>N/A</v>
      </c>
      <c r="P183" s="480" t="str">
        <f t="shared" si="19"/>
        <v>N/A</v>
      </c>
      <c r="Q183" s="481" t="str">
        <f t="shared" si="20"/>
        <v>N/A</v>
      </c>
    </row>
    <row r="184" spans="1:17" x14ac:dyDescent="0.35">
      <c r="A184" s="376" t="s">
        <v>2113</v>
      </c>
      <c r="B184" s="376" t="s">
        <v>2114</v>
      </c>
      <c r="C184" s="376" t="s">
        <v>2115</v>
      </c>
      <c r="D184" s="376">
        <v>58879400382.399994</v>
      </c>
      <c r="E184" s="376">
        <v>1.428919182083739</v>
      </c>
      <c r="F184" s="376">
        <v>-13.66</v>
      </c>
      <c r="G184" s="376">
        <v>1433.2859999999998</v>
      </c>
      <c r="H184" s="376">
        <v>41.08</v>
      </c>
      <c r="I184" s="474"/>
      <c r="J184" s="475" t="str">
        <f t="shared" si="14"/>
        <v>Freeport-McMoRan Inc</v>
      </c>
      <c r="K184" s="476" t="str">
        <f t="shared" si="14"/>
        <v>FCX</v>
      </c>
      <c r="L184" s="477">
        <f t="shared" si="15"/>
        <v>58879.400382399996</v>
      </c>
      <c r="M184" s="478">
        <f t="shared" si="16"/>
        <v>1.4289191820837391E-2</v>
      </c>
      <c r="N184" s="478">
        <f t="shared" si="17"/>
        <v>-0.1366</v>
      </c>
      <c r="O184" s="479">
        <f t="shared" si="18"/>
        <v>-0.1232867599805258</v>
      </c>
      <c r="P184" s="480">
        <f t="shared" si="19"/>
        <v>1.5980000019356789E-3</v>
      </c>
      <c r="Q184" s="481">
        <f t="shared" si="20"/>
        <v>-1.9701224268752379E-4</v>
      </c>
    </row>
    <row r="185" spans="1:17" x14ac:dyDescent="0.35">
      <c r="A185" s="376" t="s">
        <v>2116</v>
      </c>
      <c r="B185" s="376" t="s">
        <v>2117</v>
      </c>
      <c r="C185" s="376" t="s">
        <v>2118</v>
      </c>
      <c r="D185" s="376">
        <v>15667801047.900002</v>
      </c>
      <c r="E185" s="376">
        <v>0.90375672582962052</v>
      </c>
      <c r="F185" s="376">
        <v>11.97</v>
      </c>
      <c r="G185" s="376">
        <v>38.146229999999996</v>
      </c>
      <c r="H185" s="376">
        <v>410.73</v>
      </c>
      <c r="I185" s="474"/>
      <c r="J185" s="475" t="str">
        <f t="shared" si="14"/>
        <v>FactSet Research Systems Inc</v>
      </c>
      <c r="K185" s="476" t="str">
        <f t="shared" si="14"/>
        <v>FDS</v>
      </c>
      <c r="L185" s="477">
        <f t="shared" si="15"/>
        <v>15667.801047900002</v>
      </c>
      <c r="M185" s="478">
        <f t="shared" si="16"/>
        <v>9.0375672582962054E-3</v>
      </c>
      <c r="N185" s="478">
        <f t="shared" si="17"/>
        <v>0.1197</v>
      </c>
      <c r="O185" s="479">
        <f t="shared" si="18"/>
        <v>0.12927846565870524</v>
      </c>
      <c r="P185" s="480">
        <f t="shared" si="19"/>
        <v>4.2522759984417306E-4</v>
      </c>
      <c r="Q185" s="481">
        <f t="shared" si="20"/>
        <v>5.497277166358858E-5</v>
      </c>
    </row>
    <row r="186" spans="1:17" x14ac:dyDescent="0.35">
      <c r="A186" s="376" t="s">
        <v>2119</v>
      </c>
      <c r="B186" s="376" t="s">
        <v>2120</v>
      </c>
      <c r="C186" s="376" t="s">
        <v>2121</v>
      </c>
      <c r="D186" s="376">
        <v>64710556180.649994</v>
      </c>
      <c r="E186" s="376">
        <v>1.9444552340260246</v>
      </c>
      <c r="F186" s="376">
        <v>13</v>
      </c>
      <c r="G186" s="376">
        <v>251.3519</v>
      </c>
      <c r="H186" s="376">
        <v>257.45</v>
      </c>
      <c r="I186" s="474"/>
      <c r="J186" s="475" t="str">
        <f t="shared" si="14"/>
        <v>FedEx Corp</v>
      </c>
      <c r="K186" s="476" t="str">
        <f t="shared" si="14"/>
        <v>FDX</v>
      </c>
      <c r="L186" s="477">
        <f t="shared" si="15"/>
        <v>64710.556180649997</v>
      </c>
      <c r="M186" s="478">
        <f t="shared" si="16"/>
        <v>1.9444552340260247E-2</v>
      </c>
      <c r="N186" s="478">
        <f t="shared" si="17"/>
        <v>0.13</v>
      </c>
      <c r="O186" s="479">
        <f t="shared" si="18"/>
        <v>0.15070844824237717</v>
      </c>
      <c r="P186" s="480">
        <f t="shared" si="19"/>
        <v>1.7562588652456407E-3</v>
      </c>
      <c r="Q186" s="481">
        <f t="shared" si="20"/>
        <v>2.646830482930887E-4</v>
      </c>
    </row>
    <row r="187" spans="1:17" x14ac:dyDescent="0.35">
      <c r="A187" s="376" t="s">
        <v>2122</v>
      </c>
      <c r="B187" s="376" t="s">
        <v>2123</v>
      </c>
      <c r="C187" s="376" t="s">
        <v>1487</v>
      </c>
      <c r="D187" s="376">
        <v>22770266059.499996</v>
      </c>
      <c r="E187" s="376">
        <v>3.959748427672956</v>
      </c>
      <c r="F187" s="376">
        <v>-0.33</v>
      </c>
      <c r="G187" s="376">
        <v>572.83690000000001</v>
      </c>
      <c r="H187" s="376">
        <v>39.75</v>
      </c>
      <c r="I187" s="474"/>
      <c r="J187" s="475" t="str">
        <f t="shared" si="14"/>
        <v>FirstEnergy Corp</v>
      </c>
      <c r="K187" s="476" t="str">
        <f t="shared" si="14"/>
        <v>FE</v>
      </c>
      <c r="L187" s="477">
        <f t="shared" si="15"/>
        <v>22770.266059499998</v>
      </c>
      <c r="M187" s="478">
        <f t="shared" si="16"/>
        <v>3.9597484276729558E-2</v>
      </c>
      <c r="N187" s="478">
        <f t="shared" si="17"/>
        <v>-3.3E-3</v>
      </c>
      <c r="O187" s="479">
        <f t="shared" si="18"/>
        <v>3.6232148427672958E-2</v>
      </c>
      <c r="P187" s="480">
        <f t="shared" si="19"/>
        <v>6.1799007752860117E-4</v>
      </c>
      <c r="Q187" s="481">
        <f t="shared" si="20"/>
        <v>2.2391108215845396E-5</v>
      </c>
    </row>
    <row r="188" spans="1:17" x14ac:dyDescent="0.35">
      <c r="A188" s="376" t="s">
        <v>2124</v>
      </c>
      <c r="B188" s="376" t="s">
        <v>2125</v>
      </c>
      <c r="C188" s="376" t="s">
        <v>2126</v>
      </c>
      <c r="D188" s="376">
        <v>8880331801.7399998</v>
      </c>
      <c r="E188" s="376">
        <v>0</v>
      </c>
      <c r="F188" s="376">
        <v>10.73</v>
      </c>
      <c r="G188" s="376">
        <v>60.46801</v>
      </c>
      <c r="H188" s="376">
        <v>146.86000000000001</v>
      </c>
      <c r="I188" s="474"/>
      <c r="J188" s="475" t="str">
        <f t="shared" si="14"/>
        <v>F5 Inc</v>
      </c>
      <c r="K188" s="476" t="str">
        <f t="shared" si="14"/>
        <v>FFIV</v>
      </c>
      <c r="L188" s="477">
        <f t="shared" si="15"/>
        <v>8880.3318017399997</v>
      </c>
      <c r="M188" s="478">
        <f t="shared" si="16"/>
        <v>0</v>
      </c>
      <c r="N188" s="478">
        <f t="shared" si="17"/>
        <v>0.10730000000000001</v>
      </c>
      <c r="O188" s="479">
        <f t="shared" si="18"/>
        <v>0.10730000000000001</v>
      </c>
      <c r="P188" s="480">
        <f t="shared" si="19"/>
        <v>2.4101417718601362E-4</v>
      </c>
      <c r="Q188" s="481">
        <f t="shared" si="20"/>
        <v>2.5860821212059261E-5</v>
      </c>
    </row>
    <row r="189" spans="1:17" x14ac:dyDescent="0.35">
      <c r="A189" s="376" t="s">
        <v>2127</v>
      </c>
      <c r="B189" s="376" t="s">
        <v>2128</v>
      </c>
      <c r="C189" s="376" t="s">
        <v>2129</v>
      </c>
      <c r="D189" s="376">
        <v>79015669119.999985</v>
      </c>
      <c r="E189" s="376">
        <v>0</v>
      </c>
      <c r="F189" s="376">
        <v>13.21</v>
      </c>
      <c r="G189" s="376">
        <v>617.30989999999997</v>
      </c>
      <c r="H189" s="376">
        <v>128</v>
      </c>
      <c r="I189" s="474"/>
      <c r="J189" s="475" t="str">
        <f t="shared" si="14"/>
        <v>Fiserv Inc</v>
      </c>
      <c r="K189" s="476" t="str">
        <f t="shared" si="14"/>
        <v>FI</v>
      </c>
      <c r="L189" s="477">
        <f t="shared" si="15"/>
        <v>79015.669119999991</v>
      </c>
      <c r="M189" s="478">
        <f t="shared" si="16"/>
        <v>0</v>
      </c>
      <c r="N189" s="478">
        <f t="shared" si="17"/>
        <v>0.1321</v>
      </c>
      <c r="O189" s="479">
        <f t="shared" si="18"/>
        <v>0.1321</v>
      </c>
      <c r="P189" s="480">
        <f t="shared" si="19"/>
        <v>2.1445028072067836E-3</v>
      </c>
      <c r="Q189" s="481">
        <f t="shared" si="20"/>
        <v>2.832888208320161E-4</v>
      </c>
    </row>
    <row r="190" spans="1:17" x14ac:dyDescent="0.35">
      <c r="A190" s="376" t="s">
        <v>2130</v>
      </c>
      <c r="B190" s="376" t="s">
        <v>2131</v>
      </c>
      <c r="C190" s="376" t="s">
        <v>2132</v>
      </c>
      <c r="D190" s="376">
        <v>20605574486.200005</v>
      </c>
      <c r="E190" s="376" t="s">
        <v>1612</v>
      </c>
      <c r="F190" s="376" t="s">
        <v>1612</v>
      </c>
      <c r="G190" s="376">
        <v>24.993119999999998</v>
      </c>
      <c r="H190" s="376">
        <v>824.45</v>
      </c>
      <c r="I190" s="474"/>
      <c r="J190" s="475" t="str">
        <f t="shared" si="14"/>
        <v>Fair Isaac Corp</v>
      </c>
      <c r="K190" s="476" t="str">
        <f t="shared" si="14"/>
        <v>FICO</v>
      </c>
      <c r="L190" s="477">
        <f t="shared" si="15"/>
        <v>20605.574486200003</v>
      </c>
      <c r="M190" s="478" t="str">
        <f t="shared" si="16"/>
        <v>0.00%</v>
      </c>
      <c r="N190" s="478" t="str">
        <f t="shared" si="17"/>
        <v>N/A</v>
      </c>
      <c r="O190" s="479" t="str">
        <f t="shared" si="18"/>
        <v>N/A</v>
      </c>
      <c r="P190" s="480" t="str">
        <f t="shared" si="19"/>
        <v>N/A</v>
      </c>
      <c r="Q190" s="481" t="str">
        <f t="shared" si="20"/>
        <v>N/A</v>
      </c>
    </row>
    <row r="191" spans="1:17" x14ac:dyDescent="0.35">
      <c r="A191" s="376" t="s">
        <v>2133</v>
      </c>
      <c r="B191" s="376" t="s">
        <v>2134</v>
      </c>
      <c r="C191" s="376" t="s">
        <v>2135</v>
      </c>
      <c r="D191" s="376">
        <v>35054468770.059998</v>
      </c>
      <c r="E191" s="376">
        <v>3.4392428595572078</v>
      </c>
      <c r="F191" s="376">
        <v>3.11</v>
      </c>
      <c r="G191" s="376">
        <v>592.43650000000002</v>
      </c>
      <c r="H191" s="376">
        <v>59.17</v>
      </c>
      <c r="I191" s="474"/>
      <c r="J191" s="475" t="str">
        <f t="shared" si="14"/>
        <v>Fidelity National Information Services Inc</v>
      </c>
      <c r="K191" s="476" t="str">
        <f t="shared" si="14"/>
        <v>FIS</v>
      </c>
      <c r="L191" s="477">
        <f t="shared" si="15"/>
        <v>35054.468770059997</v>
      </c>
      <c r="M191" s="478">
        <f t="shared" si="16"/>
        <v>3.439242859557208E-2</v>
      </c>
      <c r="N191" s="478">
        <f t="shared" si="17"/>
        <v>3.1099999999999999E-2</v>
      </c>
      <c r="O191" s="479">
        <f t="shared" si="18"/>
        <v>6.6027230860233224E-2</v>
      </c>
      <c r="P191" s="480">
        <f t="shared" si="19"/>
        <v>9.51386067089679E-4</v>
      </c>
      <c r="Q191" s="481">
        <f t="shared" si="20"/>
        <v>6.2817387488939568E-5</v>
      </c>
    </row>
    <row r="192" spans="1:17" x14ac:dyDescent="0.35">
      <c r="A192" s="376" t="s">
        <v>2136</v>
      </c>
      <c r="B192" s="376" t="s">
        <v>2137</v>
      </c>
      <c r="C192" s="376" t="s">
        <v>2138</v>
      </c>
      <c r="D192" s="376">
        <v>18365718381.480003</v>
      </c>
      <c r="E192" s="376">
        <v>4.9851742031134174</v>
      </c>
      <c r="F192" s="376">
        <v>25</v>
      </c>
      <c r="G192" s="376">
        <v>680.71600000000001</v>
      </c>
      <c r="H192" s="376">
        <v>26.98</v>
      </c>
      <c r="I192" s="474"/>
      <c r="J192" s="475" t="str">
        <f t="shared" si="14"/>
        <v>Fifth Third Bancorp</v>
      </c>
      <c r="K192" s="476" t="str">
        <f t="shared" si="14"/>
        <v>FITB</v>
      </c>
      <c r="L192" s="477">
        <f t="shared" si="15"/>
        <v>18365.718381480005</v>
      </c>
      <c r="M192" s="478">
        <f t="shared" si="16"/>
        <v>4.9851742031134176E-2</v>
      </c>
      <c r="N192" s="478">
        <f t="shared" si="17"/>
        <v>0.25</v>
      </c>
      <c r="O192" s="479">
        <f t="shared" si="18"/>
        <v>0.30608320978502596</v>
      </c>
      <c r="P192" s="480">
        <f t="shared" si="19"/>
        <v>4.984496754136086E-4</v>
      </c>
      <c r="Q192" s="481">
        <f t="shared" si="20"/>
        <v>1.5256707656690165E-4</v>
      </c>
    </row>
    <row r="193" spans="1:17" x14ac:dyDescent="0.35">
      <c r="A193" s="376" t="s">
        <v>2139</v>
      </c>
      <c r="B193" s="376" t="s">
        <v>2140</v>
      </c>
      <c r="C193" s="376" t="s">
        <v>2141</v>
      </c>
      <c r="D193" s="376">
        <v>19122319458</v>
      </c>
      <c r="E193" s="376">
        <v>0</v>
      </c>
      <c r="F193" s="376">
        <v>12.18</v>
      </c>
      <c r="G193" s="376">
        <v>73.834199999999996</v>
      </c>
      <c r="H193" s="376">
        <v>258.99</v>
      </c>
      <c r="I193" s="474"/>
      <c r="J193" s="475" t="str">
        <f t="shared" si="14"/>
        <v>FleetCor Technologies Inc</v>
      </c>
      <c r="K193" s="476" t="str">
        <f t="shared" si="14"/>
        <v>FLT</v>
      </c>
      <c r="L193" s="477">
        <f t="shared" si="15"/>
        <v>19122.319458000002</v>
      </c>
      <c r="M193" s="478">
        <f t="shared" si="16"/>
        <v>0</v>
      </c>
      <c r="N193" s="478">
        <f t="shared" si="17"/>
        <v>0.12179999999999999</v>
      </c>
      <c r="O193" s="479">
        <f t="shared" si="18"/>
        <v>0.12179999999999999</v>
      </c>
      <c r="P193" s="480">
        <f t="shared" si="19"/>
        <v>5.189839966514468E-4</v>
      </c>
      <c r="Q193" s="481">
        <f t="shared" si="20"/>
        <v>6.321225079214621E-5</v>
      </c>
    </row>
    <row r="194" spans="1:17" x14ac:dyDescent="0.35">
      <c r="A194" s="376" t="s">
        <v>2142</v>
      </c>
      <c r="B194" s="376" t="s">
        <v>2143</v>
      </c>
      <c r="C194" s="376" t="s">
        <v>2144</v>
      </c>
      <c r="D194" s="376">
        <v>11907482158.929998</v>
      </c>
      <c r="E194" s="376">
        <v>2.4225559172529665</v>
      </c>
      <c r="F194" s="376">
        <v>8</v>
      </c>
      <c r="G194" s="376">
        <v>125.03919999999999</v>
      </c>
      <c r="H194" s="376">
        <v>95.23</v>
      </c>
      <c r="I194" s="474"/>
      <c r="J194" s="475" t="str">
        <f t="shared" si="14"/>
        <v>FMC Corp</v>
      </c>
      <c r="K194" s="476" t="str">
        <f t="shared" si="14"/>
        <v>FMC</v>
      </c>
      <c r="L194" s="477">
        <f t="shared" si="15"/>
        <v>11907.482158929999</v>
      </c>
      <c r="M194" s="478">
        <f t="shared" si="16"/>
        <v>2.4225559172529665E-2</v>
      </c>
      <c r="N194" s="478">
        <f t="shared" si="17"/>
        <v>0.08</v>
      </c>
      <c r="O194" s="479">
        <f t="shared" si="18"/>
        <v>0.10519458153943086</v>
      </c>
      <c r="P194" s="480">
        <f t="shared" si="19"/>
        <v>3.2317171013017013E-4</v>
      </c>
      <c r="Q194" s="481">
        <f t="shared" si="20"/>
        <v>3.3995912812525493E-5</v>
      </c>
    </row>
    <row r="195" spans="1:17" x14ac:dyDescent="0.35">
      <c r="A195" s="376" t="s">
        <v>2145</v>
      </c>
      <c r="B195" s="376" t="s">
        <v>2146</v>
      </c>
      <c r="C195" s="376" t="s">
        <v>2147</v>
      </c>
      <c r="D195" s="376">
        <v>16263623074.289999</v>
      </c>
      <c r="E195" s="376">
        <v>1.5968665260620669</v>
      </c>
      <c r="F195" s="376">
        <v>10.835000000000001</v>
      </c>
      <c r="G195" s="376">
        <v>269.05649999999997</v>
      </c>
      <c r="H195" s="376">
        <v>33.19</v>
      </c>
      <c r="I195" s="474"/>
      <c r="J195" s="475" t="str">
        <f t="shared" si="14"/>
        <v>Fox Corp</v>
      </c>
      <c r="K195" s="476" t="str">
        <f t="shared" si="14"/>
        <v>FOXA</v>
      </c>
      <c r="L195" s="477">
        <f t="shared" si="15"/>
        <v>16263.623074289999</v>
      </c>
      <c r="M195" s="478">
        <f t="shared" si="16"/>
        <v>1.5968665260620671E-2</v>
      </c>
      <c r="N195" s="478">
        <f t="shared" si="17"/>
        <v>0.10835</v>
      </c>
      <c r="O195" s="479">
        <f t="shared" si="18"/>
        <v>0.12518376770111481</v>
      </c>
      <c r="P195" s="480">
        <f t="shared" si="19"/>
        <v>4.413983419567089E-4</v>
      </c>
      <c r="Q195" s="481">
        <f t="shared" si="20"/>
        <v>5.5255907503165882E-5</v>
      </c>
    </row>
    <row r="196" spans="1:17" x14ac:dyDescent="0.35">
      <c r="A196" s="376" t="s">
        <v>2148</v>
      </c>
      <c r="B196" s="376" t="s">
        <v>2149</v>
      </c>
      <c r="C196" s="376" t="s">
        <v>2150</v>
      </c>
      <c r="D196" s="376">
        <v>8173548857.1899986</v>
      </c>
      <c r="E196" s="376">
        <v>4.3492570060835742</v>
      </c>
      <c r="F196" s="376">
        <v>6.2</v>
      </c>
      <c r="G196" s="376">
        <v>81.5154</v>
      </c>
      <c r="H196" s="376">
        <v>100.27</v>
      </c>
      <c r="I196" s="474"/>
      <c r="J196" s="475" t="str">
        <f t="shared" ref="J196:K259" si="21">B196</f>
        <v>Federal Realty Investment Trust</v>
      </c>
      <c r="K196" s="476" t="str">
        <f t="shared" si="21"/>
        <v>FRT</v>
      </c>
      <c r="L196" s="477">
        <f t="shared" ref="L196:L259" si="22">D196/1000000</f>
        <v>8173.5488571899987</v>
      </c>
      <c r="M196" s="478">
        <f t="shared" ref="M196:M259" si="23">IFERROR(E196/100,"0.00%")</f>
        <v>4.349257006083574E-2</v>
      </c>
      <c r="N196" s="478">
        <f t="shared" ref="N196:N259" si="24">IFERROR(F196/100,"N/A")</f>
        <v>6.2E-2</v>
      </c>
      <c r="O196" s="479">
        <f t="shared" ref="O196:O259" si="25">IFERROR(M196*(1+0.5*N196)+N196,"N/A")</f>
        <v>0.10684083973272165</v>
      </c>
      <c r="P196" s="480">
        <f t="shared" ref="P196:P259" si="26">IF(O196="N/A","N/A",L196/$L$504)</f>
        <v>2.2183193111313047E-4</v>
      </c>
      <c r="Q196" s="481">
        <f t="shared" ref="Q196:Q259" si="27">IF(AND(ISNUMBER(L196),ISNUMBER(O196)),O196*P196,"N/A")</f>
        <v>2.3700709799658123E-5</v>
      </c>
    </row>
    <row r="197" spans="1:17" x14ac:dyDescent="0.35">
      <c r="A197" s="376" t="s">
        <v>2151</v>
      </c>
      <c r="B197" s="376" t="s">
        <v>2152</v>
      </c>
      <c r="C197" s="376" t="s">
        <v>2153</v>
      </c>
      <c r="D197" s="376">
        <v>20435751436.200001</v>
      </c>
      <c r="E197" s="376">
        <v>0</v>
      </c>
      <c r="F197" s="376">
        <v>45.164999999999999</v>
      </c>
      <c r="G197" s="376">
        <v>106.8257</v>
      </c>
      <c r="H197" s="376">
        <v>191.3</v>
      </c>
      <c r="I197" s="474"/>
      <c r="J197" s="475" t="str">
        <f t="shared" si="21"/>
        <v>First Solar Inc</v>
      </c>
      <c r="K197" s="476" t="str">
        <f t="shared" si="21"/>
        <v>FSLR</v>
      </c>
      <c r="L197" s="477">
        <f t="shared" si="22"/>
        <v>20435.7514362</v>
      </c>
      <c r="M197" s="478">
        <f t="shared" si="23"/>
        <v>0</v>
      </c>
      <c r="N197" s="478">
        <f t="shared" si="24"/>
        <v>0.45165</v>
      </c>
      <c r="O197" s="479">
        <f t="shared" si="25"/>
        <v>0.45165</v>
      </c>
      <c r="P197" s="480">
        <f t="shared" si="26"/>
        <v>5.5463083221829414E-4</v>
      </c>
      <c r="Q197" s="481">
        <f t="shared" si="27"/>
        <v>2.5049901537139253E-4</v>
      </c>
    </row>
    <row r="198" spans="1:17" x14ac:dyDescent="0.35">
      <c r="A198" s="376" t="s">
        <v>2154</v>
      </c>
      <c r="B198" s="376" t="s">
        <v>2155</v>
      </c>
      <c r="C198" s="376" t="s">
        <v>2156</v>
      </c>
      <c r="D198" s="376">
        <v>61967680394.759995</v>
      </c>
      <c r="E198" s="376">
        <v>0</v>
      </c>
      <c r="F198" s="376">
        <v>17.5</v>
      </c>
      <c r="G198" s="376">
        <v>785.19619999999998</v>
      </c>
      <c r="H198" s="376">
        <v>78.92</v>
      </c>
      <c r="I198" s="474"/>
      <c r="J198" s="475" t="str">
        <f t="shared" si="21"/>
        <v>Fortinet Inc</v>
      </c>
      <c r="K198" s="476" t="str">
        <f t="shared" si="21"/>
        <v>FTNT</v>
      </c>
      <c r="L198" s="477">
        <f t="shared" si="22"/>
        <v>61967.680394759991</v>
      </c>
      <c r="M198" s="478">
        <f t="shared" si="23"/>
        <v>0</v>
      </c>
      <c r="N198" s="478">
        <f t="shared" si="24"/>
        <v>0.17499999999999999</v>
      </c>
      <c r="O198" s="479">
        <f t="shared" si="25"/>
        <v>0.17499999999999999</v>
      </c>
      <c r="P198" s="480">
        <f t="shared" si="26"/>
        <v>1.6818166072964287E-3</v>
      </c>
      <c r="Q198" s="481">
        <f t="shared" si="27"/>
        <v>2.9431790627687499E-4</v>
      </c>
    </row>
    <row r="199" spans="1:17" x14ac:dyDescent="0.35">
      <c r="A199" s="376" t="s">
        <v>2157</v>
      </c>
      <c r="B199" s="376" t="s">
        <v>2158</v>
      </c>
      <c r="C199" s="376" t="s">
        <v>2159</v>
      </c>
      <c r="D199" s="376">
        <v>26088717935.619999</v>
      </c>
      <c r="E199" s="376">
        <v>0.38290413913981397</v>
      </c>
      <c r="F199" s="376">
        <v>7.84</v>
      </c>
      <c r="G199" s="376">
        <v>351.74219999999997</v>
      </c>
      <c r="H199" s="376">
        <v>74.17</v>
      </c>
      <c r="I199" s="474"/>
      <c r="J199" s="475" t="str">
        <f t="shared" si="21"/>
        <v>Fortive Corp</v>
      </c>
      <c r="K199" s="476" t="str">
        <f t="shared" si="21"/>
        <v>FTV</v>
      </c>
      <c r="L199" s="477">
        <f t="shared" si="22"/>
        <v>26088.717935619999</v>
      </c>
      <c r="M199" s="478">
        <f t="shared" si="23"/>
        <v>3.8290413913981396E-3</v>
      </c>
      <c r="N199" s="478">
        <f t="shared" si="24"/>
        <v>7.8399999999999997E-2</v>
      </c>
      <c r="O199" s="479">
        <f t="shared" si="25"/>
        <v>8.2379139813940946E-2</v>
      </c>
      <c r="P199" s="480">
        <f t="shared" si="26"/>
        <v>7.0805359838687981E-4</v>
      </c>
      <c r="Q199" s="481">
        <f t="shared" si="27"/>
        <v>5.8328846377276764E-5</v>
      </c>
    </row>
    <row r="200" spans="1:17" x14ac:dyDescent="0.35">
      <c r="A200" s="376" t="s">
        <v>2160</v>
      </c>
      <c r="B200" s="376" t="s">
        <v>2161</v>
      </c>
      <c r="C200" s="376" t="s">
        <v>2162</v>
      </c>
      <c r="D200" s="376">
        <v>59069941607.32</v>
      </c>
      <c r="E200" s="376">
        <v>2.4451978450678062</v>
      </c>
      <c r="F200" s="376">
        <v>10.9</v>
      </c>
      <c r="G200" s="376">
        <v>274.3356</v>
      </c>
      <c r="H200" s="376">
        <v>215.32</v>
      </c>
      <c r="I200" s="474"/>
      <c r="J200" s="475" t="str">
        <f t="shared" si="21"/>
        <v>General Dynamics Corp</v>
      </c>
      <c r="K200" s="476" t="str">
        <f t="shared" si="21"/>
        <v>GD</v>
      </c>
      <c r="L200" s="477">
        <f t="shared" si="22"/>
        <v>59069.941607319997</v>
      </c>
      <c r="M200" s="478">
        <f t="shared" si="23"/>
        <v>2.4451978450678064E-2</v>
      </c>
      <c r="N200" s="478">
        <f t="shared" si="24"/>
        <v>0.109</v>
      </c>
      <c r="O200" s="479">
        <f t="shared" si="25"/>
        <v>0.13478461127624003</v>
      </c>
      <c r="P200" s="480">
        <f t="shared" si="26"/>
        <v>1.6031713330941736E-3</v>
      </c>
      <c r="Q200" s="481">
        <f t="shared" si="27"/>
        <v>2.160828249403097E-4</v>
      </c>
    </row>
    <row r="201" spans="1:17" x14ac:dyDescent="0.35">
      <c r="A201" s="376" t="s">
        <v>2163</v>
      </c>
      <c r="B201" s="376" t="s">
        <v>2164</v>
      </c>
      <c r="C201" s="376" t="s">
        <v>2165</v>
      </c>
      <c r="D201" s="376">
        <v>120090511998.11998</v>
      </c>
      <c r="E201" s="376">
        <v>0.29017047515415306</v>
      </c>
      <c r="F201" s="376">
        <v>7</v>
      </c>
      <c r="G201" s="376">
        <v>1088.96</v>
      </c>
      <c r="H201" s="376">
        <v>110.28</v>
      </c>
      <c r="I201" s="474"/>
      <c r="J201" s="475" t="str">
        <f t="shared" si="21"/>
        <v>General Electric Co</v>
      </c>
      <c r="K201" s="476" t="str">
        <f t="shared" si="21"/>
        <v>GE</v>
      </c>
      <c r="L201" s="477">
        <f t="shared" si="22"/>
        <v>120090.51199811998</v>
      </c>
      <c r="M201" s="478">
        <f t="shared" si="23"/>
        <v>2.9017047515415306E-3</v>
      </c>
      <c r="N201" s="478">
        <f t="shared" si="24"/>
        <v>7.0000000000000007E-2</v>
      </c>
      <c r="O201" s="479">
        <f t="shared" si="25"/>
        <v>7.3003264417845493E-2</v>
      </c>
      <c r="P201" s="480">
        <f t="shared" si="26"/>
        <v>3.2592831645550488E-3</v>
      </c>
      <c r="Q201" s="481">
        <f t="shared" si="27"/>
        <v>2.3793831067464444E-4</v>
      </c>
    </row>
    <row r="202" spans="1:17" x14ac:dyDescent="0.35">
      <c r="A202" s="376" t="s">
        <v>2166</v>
      </c>
      <c r="B202" s="376" t="s">
        <v>2167</v>
      </c>
      <c r="C202" s="376" t="s">
        <v>2168</v>
      </c>
      <c r="D202" s="376">
        <v>37201691449.519997</v>
      </c>
      <c r="E202" s="376">
        <v>0.13444145685651432</v>
      </c>
      <c r="F202" s="376" t="s">
        <v>1612</v>
      </c>
      <c r="G202" s="376">
        <v>454.67719999999997</v>
      </c>
      <c r="H202" s="376">
        <v>81.819999999999993</v>
      </c>
      <c r="I202" s="474"/>
      <c r="J202" s="475" t="str">
        <f t="shared" si="21"/>
        <v>GE HealthCare Technologies Inc</v>
      </c>
      <c r="K202" s="476" t="str">
        <f t="shared" si="21"/>
        <v>GEHC</v>
      </c>
      <c r="L202" s="477">
        <f t="shared" si="22"/>
        <v>37201.691449519996</v>
      </c>
      <c r="M202" s="478">
        <f t="shared" si="23"/>
        <v>1.3444145685651433E-3</v>
      </c>
      <c r="N202" s="478" t="str">
        <f t="shared" si="24"/>
        <v>N/A</v>
      </c>
      <c r="O202" s="479" t="str">
        <f t="shared" si="25"/>
        <v>N/A</v>
      </c>
      <c r="P202" s="480" t="str">
        <f t="shared" si="26"/>
        <v>N/A</v>
      </c>
      <c r="Q202" s="481" t="str">
        <f t="shared" si="27"/>
        <v>N/A</v>
      </c>
    </row>
    <row r="203" spans="1:17" x14ac:dyDescent="0.35">
      <c r="A203" s="376" t="s">
        <v>2169</v>
      </c>
      <c r="B203" s="376" t="s">
        <v>2170</v>
      </c>
      <c r="C203" s="376" t="s">
        <v>2171</v>
      </c>
      <c r="D203" s="376">
        <v>12181050018.480003</v>
      </c>
      <c r="E203" s="376">
        <v>2.6301946344029457</v>
      </c>
      <c r="F203" s="376" t="s">
        <v>1612</v>
      </c>
      <c r="G203" s="376">
        <v>640.77059999999994</v>
      </c>
      <c r="H203" s="376">
        <v>19.010000000000002</v>
      </c>
      <c r="I203" s="474"/>
      <c r="J203" s="475" t="str">
        <f t="shared" si="21"/>
        <v>Gen Digital Inc</v>
      </c>
      <c r="K203" s="476" t="str">
        <f t="shared" si="21"/>
        <v>GEN</v>
      </c>
      <c r="L203" s="477">
        <f t="shared" si="22"/>
        <v>12181.050018480004</v>
      </c>
      <c r="M203" s="478">
        <f t="shared" si="23"/>
        <v>2.6301946344029457E-2</v>
      </c>
      <c r="N203" s="478" t="str">
        <f t="shared" si="24"/>
        <v>N/A</v>
      </c>
      <c r="O203" s="479" t="str">
        <f t="shared" si="25"/>
        <v>N/A</v>
      </c>
      <c r="P203" s="480" t="str">
        <f t="shared" si="26"/>
        <v>N/A</v>
      </c>
      <c r="Q203" s="481" t="str">
        <f t="shared" si="27"/>
        <v>N/A</v>
      </c>
    </row>
    <row r="204" spans="1:17" x14ac:dyDescent="0.35">
      <c r="A204" s="376" t="s">
        <v>2172</v>
      </c>
      <c r="B204" s="376" t="s">
        <v>2173</v>
      </c>
      <c r="C204" s="376" t="s">
        <v>2174</v>
      </c>
      <c r="D204" s="376">
        <v>96396111131.069992</v>
      </c>
      <c r="E204" s="376">
        <v>3.881331778727815</v>
      </c>
      <c r="F204" s="376">
        <v>0.28500000000000003</v>
      </c>
      <c r="G204" s="376">
        <v>1248.816</v>
      </c>
      <c r="H204" s="376">
        <v>77.19</v>
      </c>
      <c r="I204" s="474"/>
      <c r="J204" s="475" t="str">
        <f t="shared" si="21"/>
        <v>Gilead Sciences Inc</v>
      </c>
      <c r="K204" s="476" t="str">
        <f t="shared" si="21"/>
        <v>GILD</v>
      </c>
      <c r="L204" s="477">
        <f t="shared" si="22"/>
        <v>96396.111131069993</v>
      </c>
      <c r="M204" s="478">
        <f t="shared" si="23"/>
        <v>3.8813317787278152E-2</v>
      </c>
      <c r="N204" s="478">
        <f t="shared" si="24"/>
        <v>2.8500000000000001E-3</v>
      </c>
      <c r="O204" s="479">
        <f t="shared" si="25"/>
        <v>4.1718626765125021E-2</v>
      </c>
      <c r="P204" s="480">
        <f t="shared" si="26"/>
        <v>2.6162118631236453E-3</v>
      </c>
      <c r="Q204" s="481">
        <f t="shared" si="27"/>
        <v>1.0914476625614771E-4</v>
      </c>
    </row>
    <row r="205" spans="1:17" x14ac:dyDescent="0.35">
      <c r="A205" s="376" t="s">
        <v>2175</v>
      </c>
      <c r="B205" s="376" t="s">
        <v>2176</v>
      </c>
      <c r="C205" s="376" t="s">
        <v>2177</v>
      </c>
      <c r="D205" s="376">
        <v>43894557702.450005</v>
      </c>
      <c r="E205" s="376">
        <v>3.1275829889348086</v>
      </c>
      <c r="F205" s="376">
        <v>8</v>
      </c>
      <c r="G205" s="376">
        <v>585.18269999999995</v>
      </c>
      <c r="H205" s="376">
        <v>75.010000000000005</v>
      </c>
      <c r="I205" s="474"/>
      <c r="J205" s="475" t="str">
        <f t="shared" si="21"/>
        <v>General Mills Inc</v>
      </c>
      <c r="K205" s="476" t="str">
        <f t="shared" si="21"/>
        <v>GIS</v>
      </c>
      <c r="L205" s="477">
        <f t="shared" si="22"/>
        <v>43894.557702450002</v>
      </c>
      <c r="M205" s="478">
        <f t="shared" si="23"/>
        <v>3.1275829889348086E-2</v>
      </c>
      <c r="N205" s="478">
        <f t="shared" si="24"/>
        <v>0.08</v>
      </c>
      <c r="O205" s="479">
        <f t="shared" si="25"/>
        <v>0.11252686308492202</v>
      </c>
      <c r="P205" s="480">
        <f t="shared" si="26"/>
        <v>1.191308043864657E-3</v>
      </c>
      <c r="Q205" s="481">
        <f t="shared" si="27"/>
        <v>1.3405415714392454E-4</v>
      </c>
    </row>
    <row r="206" spans="1:17" x14ac:dyDescent="0.35">
      <c r="A206" s="376" t="s">
        <v>2178</v>
      </c>
      <c r="B206" s="376" t="s">
        <v>2179</v>
      </c>
      <c r="C206" s="376" t="s">
        <v>2180</v>
      </c>
      <c r="D206" s="376">
        <v>10497655161.84</v>
      </c>
      <c r="E206" s="376">
        <v>0.79828873111232479</v>
      </c>
      <c r="F206" s="376" t="s">
        <v>1612</v>
      </c>
      <c r="G206" s="376">
        <v>95.554839999999999</v>
      </c>
      <c r="H206" s="376">
        <v>109.86</v>
      </c>
      <c r="I206" s="474"/>
      <c r="J206" s="475" t="str">
        <f t="shared" si="21"/>
        <v>Globe Life Inc</v>
      </c>
      <c r="K206" s="476" t="str">
        <f t="shared" si="21"/>
        <v>GL</v>
      </c>
      <c r="L206" s="477">
        <f t="shared" si="22"/>
        <v>10497.655161840001</v>
      </c>
      <c r="M206" s="478">
        <f t="shared" si="23"/>
        <v>7.982887311123248E-3</v>
      </c>
      <c r="N206" s="478" t="str">
        <f t="shared" si="24"/>
        <v>N/A</v>
      </c>
      <c r="O206" s="479" t="str">
        <f t="shared" si="25"/>
        <v>N/A</v>
      </c>
      <c r="P206" s="480" t="str">
        <f t="shared" si="26"/>
        <v>N/A</v>
      </c>
      <c r="Q206" s="481" t="str">
        <f t="shared" si="27"/>
        <v>N/A</v>
      </c>
    </row>
    <row r="207" spans="1:17" x14ac:dyDescent="0.35">
      <c r="A207" s="376" t="s">
        <v>2181</v>
      </c>
      <c r="B207" s="376" t="s">
        <v>2182</v>
      </c>
      <c r="C207" s="376" t="s">
        <v>2183</v>
      </c>
      <c r="D207" s="376">
        <v>28530379412.200005</v>
      </c>
      <c r="E207" s="376">
        <v>3.3104886769964241</v>
      </c>
      <c r="F207" s="376">
        <v>7.69</v>
      </c>
      <c r="G207" s="376">
        <v>850.13049999999998</v>
      </c>
      <c r="H207" s="376">
        <v>33.56</v>
      </c>
      <c r="I207" s="474"/>
      <c r="J207" s="475" t="str">
        <f t="shared" si="21"/>
        <v>Corning Inc</v>
      </c>
      <c r="K207" s="476" t="str">
        <f t="shared" si="21"/>
        <v>GLW</v>
      </c>
      <c r="L207" s="477">
        <f t="shared" si="22"/>
        <v>28530.379412200004</v>
      </c>
      <c r="M207" s="478">
        <f t="shared" si="23"/>
        <v>3.3104886769964238E-2</v>
      </c>
      <c r="N207" s="478">
        <f t="shared" si="24"/>
        <v>7.690000000000001E-2</v>
      </c>
      <c r="O207" s="479">
        <f t="shared" si="25"/>
        <v>0.11127776966626937</v>
      </c>
      <c r="P207" s="480">
        <f t="shared" si="26"/>
        <v>7.7432083308968805E-4</v>
      </c>
      <c r="Q207" s="481">
        <f t="shared" si="27"/>
        <v>8.6164695312348114E-5</v>
      </c>
    </row>
    <row r="208" spans="1:17" x14ac:dyDescent="0.35">
      <c r="A208" s="376" t="s">
        <v>2184</v>
      </c>
      <c r="B208" s="376" t="s">
        <v>2185</v>
      </c>
      <c r="C208" s="376" t="s">
        <v>2186</v>
      </c>
      <c r="D208" s="376">
        <v>55604939960</v>
      </c>
      <c r="E208" s="376">
        <v>1.2425000000000002</v>
      </c>
      <c r="F208" s="376">
        <v>-3.145</v>
      </c>
      <c r="G208" s="376">
        <v>1390.123</v>
      </c>
      <c r="H208" s="376">
        <v>40</v>
      </c>
      <c r="I208" s="474"/>
      <c r="J208" s="475" t="str">
        <f t="shared" si="21"/>
        <v>General Motors Co</v>
      </c>
      <c r="K208" s="476" t="str">
        <f t="shared" si="21"/>
        <v>GM</v>
      </c>
      <c r="L208" s="477">
        <f t="shared" si="22"/>
        <v>55604.939960000003</v>
      </c>
      <c r="M208" s="478">
        <f t="shared" si="23"/>
        <v>1.2425000000000002E-2</v>
      </c>
      <c r="N208" s="478">
        <f t="shared" si="24"/>
        <v>-3.1449999999999999E-2</v>
      </c>
      <c r="O208" s="479">
        <f t="shared" si="25"/>
        <v>-1.9220383124999997E-2</v>
      </c>
      <c r="P208" s="480">
        <f t="shared" si="26"/>
        <v>1.5091304189006995E-3</v>
      </c>
      <c r="Q208" s="481">
        <f t="shared" si="27"/>
        <v>-2.9006064836863183E-5</v>
      </c>
    </row>
    <row r="209" spans="1:17" x14ac:dyDescent="0.35">
      <c r="A209" s="376" t="s">
        <v>2187</v>
      </c>
      <c r="B209" s="376" t="s">
        <v>2188</v>
      </c>
      <c r="C209" s="376" t="s">
        <v>2189</v>
      </c>
      <c r="D209" s="376">
        <v>8886185419.3599987</v>
      </c>
      <c r="E209" s="376">
        <v>0</v>
      </c>
      <c r="F209" s="376">
        <v>8</v>
      </c>
      <c r="G209" s="376">
        <v>62.193349999999995</v>
      </c>
      <c r="H209" s="376">
        <v>142.88</v>
      </c>
      <c r="I209" s="474"/>
      <c r="J209" s="475" t="str">
        <f t="shared" si="21"/>
        <v>Generac Holdings Inc</v>
      </c>
      <c r="K209" s="476" t="str">
        <f t="shared" si="21"/>
        <v>GNRC</v>
      </c>
      <c r="L209" s="477">
        <f t="shared" si="22"/>
        <v>8886.1854193599993</v>
      </c>
      <c r="M209" s="478">
        <f t="shared" si="23"/>
        <v>0</v>
      </c>
      <c r="N209" s="478">
        <f t="shared" si="24"/>
        <v>0.08</v>
      </c>
      <c r="O209" s="479">
        <f t="shared" si="25"/>
        <v>0.08</v>
      </c>
      <c r="P209" s="480">
        <f t="shared" si="26"/>
        <v>2.4117304566815404E-4</v>
      </c>
      <c r="Q209" s="481">
        <f t="shared" si="27"/>
        <v>1.9293843653452325E-5</v>
      </c>
    </row>
    <row r="210" spans="1:17" x14ac:dyDescent="0.35">
      <c r="A210" s="376" t="s">
        <v>2190</v>
      </c>
      <c r="B210" s="376" t="s">
        <v>2191</v>
      </c>
      <c r="C210" s="376" t="s">
        <v>2192</v>
      </c>
      <c r="D210" s="376">
        <v>1594225940000</v>
      </c>
      <c r="E210" s="376">
        <v>0</v>
      </c>
      <c r="F210" s="376">
        <v>15.815</v>
      </c>
      <c r="G210" s="376">
        <v>5874</v>
      </c>
      <c r="H210" s="376">
        <v>125.7</v>
      </c>
      <c r="I210" s="474"/>
      <c r="J210" s="475" t="str">
        <f t="shared" si="21"/>
        <v>Alphabet Inc</v>
      </c>
      <c r="K210" s="476" t="str">
        <f t="shared" si="21"/>
        <v>GOOG</v>
      </c>
      <c r="L210" s="477">
        <f t="shared" si="22"/>
        <v>1594225.94</v>
      </c>
      <c r="M210" s="478">
        <f t="shared" si="23"/>
        <v>0</v>
      </c>
      <c r="N210" s="478">
        <f t="shared" si="24"/>
        <v>0.15814999999999999</v>
      </c>
      <c r="O210" s="479">
        <f t="shared" si="25"/>
        <v>0.15814999999999999</v>
      </c>
      <c r="P210" s="480">
        <f t="shared" si="26"/>
        <v>4.3267646047010701E-2</v>
      </c>
      <c r="Q210" s="481">
        <f t="shared" si="27"/>
        <v>6.8427782223347416E-3</v>
      </c>
    </row>
    <row r="211" spans="1:17" x14ac:dyDescent="0.35">
      <c r="A211" s="376" t="s">
        <v>2193</v>
      </c>
      <c r="B211" s="376" t="s">
        <v>2194</v>
      </c>
      <c r="C211" s="376" t="s">
        <v>2195</v>
      </c>
      <c r="D211" s="376">
        <v>23317165301.600002</v>
      </c>
      <c r="E211" s="376">
        <v>2.2857659394962035</v>
      </c>
      <c r="F211" s="376">
        <v>8.92</v>
      </c>
      <c r="G211" s="376">
        <v>140.51560000000001</v>
      </c>
      <c r="H211" s="376">
        <v>165.94</v>
      </c>
      <c r="I211" s="474"/>
      <c r="J211" s="475" t="str">
        <f t="shared" si="21"/>
        <v>Genuine Parts Co</v>
      </c>
      <c r="K211" s="476" t="str">
        <f t="shared" si="21"/>
        <v>GPC</v>
      </c>
      <c r="L211" s="477">
        <f t="shared" si="22"/>
        <v>23317.165301600002</v>
      </c>
      <c r="M211" s="478">
        <f t="shared" si="23"/>
        <v>2.2857659394962034E-2</v>
      </c>
      <c r="N211" s="478">
        <f t="shared" si="24"/>
        <v>8.9200000000000002E-2</v>
      </c>
      <c r="O211" s="479">
        <f t="shared" si="25"/>
        <v>0.11307711100397734</v>
      </c>
      <c r="P211" s="480">
        <f t="shared" si="26"/>
        <v>6.3283304441105032E-4</v>
      </c>
      <c r="Q211" s="481">
        <f t="shared" si="27"/>
        <v>7.1558932409853261E-5</v>
      </c>
    </row>
    <row r="212" spans="1:17" x14ac:dyDescent="0.35">
      <c r="A212" s="376" t="s">
        <v>2196</v>
      </c>
      <c r="B212" s="376" t="s">
        <v>2197</v>
      </c>
      <c r="C212" s="376" t="s">
        <v>2198</v>
      </c>
      <c r="D212" s="376">
        <v>29328273218.519997</v>
      </c>
      <c r="E212" s="376">
        <v>0.95659163987138263</v>
      </c>
      <c r="F212" s="376">
        <v>13.69</v>
      </c>
      <c r="G212" s="376">
        <v>261.95310000000001</v>
      </c>
      <c r="H212" s="376">
        <v>111.96</v>
      </c>
      <c r="I212" s="474"/>
      <c r="J212" s="475" t="str">
        <f t="shared" si="21"/>
        <v>Global Payments Inc</v>
      </c>
      <c r="K212" s="476" t="str">
        <f t="shared" si="21"/>
        <v>GPN</v>
      </c>
      <c r="L212" s="477">
        <f t="shared" si="22"/>
        <v>29328.273218519997</v>
      </c>
      <c r="M212" s="478">
        <f t="shared" si="23"/>
        <v>9.5659163987138265E-3</v>
      </c>
      <c r="N212" s="478">
        <f t="shared" si="24"/>
        <v>0.13689999999999999</v>
      </c>
      <c r="O212" s="479">
        <f t="shared" si="25"/>
        <v>0.14712070337620578</v>
      </c>
      <c r="P212" s="480">
        <f t="shared" si="26"/>
        <v>7.9597584818432105E-4</v>
      </c>
      <c r="Q212" s="481">
        <f t="shared" si="27"/>
        <v>1.171045266553493E-4</v>
      </c>
    </row>
    <row r="213" spans="1:17" x14ac:dyDescent="0.35">
      <c r="A213" s="376" t="s">
        <v>2199</v>
      </c>
      <c r="B213" s="376" t="s">
        <v>2200</v>
      </c>
      <c r="C213" s="376" t="s">
        <v>2201</v>
      </c>
      <c r="D213" s="376">
        <v>20408781951.34</v>
      </c>
      <c r="E213" s="376">
        <v>2.7565844971412505</v>
      </c>
      <c r="F213" s="376">
        <v>5.6000000000000005</v>
      </c>
      <c r="G213" s="376">
        <v>191.29049999999998</v>
      </c>
      <c r="H213" s="376">
        <v>106.69</v>
      </c>
      <c r="I213" s="474"/>
      <c r="J213" s="475" t="str">
        <f t="shared" si="21"/>
        <v>Garmin Ltd</v>
      </c>
      <c r="K213" s="476" t="str">
        <f t="shared" si="21"/>
        <v>GRMN</v>
      </c>
      <c r="L213" s="477">
        <f t="shared" si="22"/>
        <v>20408.781951339999</v>
      </c>
      <c r="M213" s="478">
        <f t="shared" si="23"/>
        <v>2.7565844971412505E-2</v>
      </c>
      <c r="N213" s="478">
        <f t="shared" si="24"/>
        <v>5.6000000000000008E-2</v>
      </c>
      <c r="O213" s="479">
        <f t="shared" si="25"/>
        <v>8.4337688630612057E-2</v>
      </c>
      <c r="P213" s="480">
        <f t="shared" si="26"/>
        <v>5.5389887440998446E-4</v>
      </c>
      <c r="Q213" s="481">
        <f t="shared" si="27"/>
        <v>4.6714550802835762E-5</v>
      </c>
    </row>
    <row r="214" spans="1:17" x14ac:dyDescent="0.35">
      <c r="A214" s="376" t="s">
        <v>2202</v>
      </c>
      <c r="B214" s="376" t="s">
        <v>2203</v>
      </c>
      <c r="C214" s="376" t="s">
        <v>2204</v>
      </c>
      <c r="D214" s="376">
        <v>113204076405</v>
      </c>
      <c r="E214" s="376">
        <v>3.1846469848861094</v>
      </c>
      <c r="F214" s="376">
        <v>8.5299999999999994</v>
      </c>
      <c r="G214" s="376">
        <v>332.44810000000001</v>
      </c>
      <c r="H214" s="376">
        <v>326.19</v>
      </c>
      <c r="I214" s="474"/>
      <c r="J214" s="475" t="str">
        <f t="shared" si="21"/>
        <v>Goldman Sachs Group Inc/The</v>
      </c>
      <c r="K214" s="476" t="str">
        <f t="shared" si="21"/>
        <v>GS</v>
      </c>
      <c r="L214" s="477">
        <f t="shared" si="22"/>
        <v>113204.076405</v>
      </c>
      <c r="M214" s="478">
        <f t="shared" si="23"/>
        <v>3.1846469848861095E-2</v>
      </c>
      <c r="N214" s="478">
        <f t="shared" si="24"/>
        <v>8.5299999999999987E-2</v>
      </c>
      <c r="O214" s="479">
        <f t="shared" si="25"/>
        <v>0.11850472178791502</v>
      </c>
      <c r="P214" s="480">
        <f t="shared" si="26"/>
        <v>3.0723837732625878E-3</v>
      </c>
      <c r="Q214" s="481">
        <f t="shared" si="27"/>
        <v>3.6409198427618755E-4</v>
      </c>
    </row>
    <row r="215" spans="1:17" x14ac:dyDescent="0.35">
      <c r="A215" s="376" t="s">
        <v>2205</v>
      </c>
      <c r="B215" s="376" t="s">
        <v>2206</v>
      </c>
      <c r="C215" s="376" t="s">
        <v>2207</v>
      </c>
      <c r="D215" s="376">
        <v>38294951969.400002</v>
      </c>
      <c r="E215" s="376">
        <v>0.93770878365101207</v>
      </c>
      <c r="F215" s="376" t="s">
        <v>1612</v>
      </c>
      <c r="G215" s="376">
        <v>50.166959999999996</v>
      </c>
      <c r="H215" s="376">
        <v>763.35</v>
      </c>
      <c r="I215" s="474"/>
      <c r="J215" s="475" t="str">
        <f t="shared" si="21"/>
        <v>WW Grainger Inc</v>
      </c>
      <c r="K215" s="476" t="str">
        <f t="shared" si="21"/>
        <v>GWW</v>
      </c>
      <c r="L215" s="477">
        <f t="shared" si="22"/>
        <v>38294.951969400005</v>
      </c>
      <c r="M215" s="478">
        <f t="shared" si="23"/>
        <v>9.3770878365101208E-3</v>
      </c>
      <c r="N215" s="478" t="str">
        <f t="shared" si="24"/>
        <v>N/A</v>
      </c>
      <c r="O215" s="479" t="str">
        <f t="shared" si="25"/>
        <v>N/A</v>
      </c>
      <c r="P215" s="480" t="str">
        <f t="shared" si="26"/>
        <v>N/A</v>
      </c>
      <c r="Q215" s="481" t="str">
        <f t="shared" si="27"/>
        <v>N/A</v>
      </c>
    </row>
    <row r="216" spans="1:17" x14ac:dyDescent="0.35">
      <c r="A216" s="376" t="s">
        <v>2208</v>
      </c>
      <c r="B216" s="376" t="s">
        <v>2209</v>
      </c>
      <c r="C216" s="376" t="s">
        <v>2210</v>
      </c>
      <c r="D216" s="376">
        <v>33281969861.000004</v>
      </c>
      <c r="E216" s="376">
        <v>1.7348875033884521</v>
      </c>
      <c r="F216" s="376">
        <v>25.61</v>
      </c>
      <c r="G216" s="376">
        <v>902.19489999999996</v>
      </c>
      <c r="H216" s="376">
        <v>36.89</v>
      </c>
      <c r="I216" s="474"/>
      <c r="J216" s="475" t="str">
        <f t="shared" si="21"/>
        <v>Halliburton Co</v>
      </c>
      <c r="K216" s="476" t="str">
        <f t="shared" si="21"/>
        <v>HAL</v>
      </c>
      <c r="L216" s="477">
        <f t="shared" si="22"/>
        <v>33281.969861000005</v>
      </c>
      <c r="M216" s="478">
        <f t="shared" si="23"/>
        <v>1.734887503388452E-2</v>
      </c>
      <c r="N216" s="478">
        <f t="shared" si="24"/>
        <v>0.25609999999999999</v>
      </c>
      <c r="O216" s="479">
        <f t="shared" si="25"/>
        <v>0.27567039848197344</v>
      </c>
      <c r="P216" s="480">
        <f t="shared" si="26"/>
        <v>9.0328005307266932E-4</v>
      </c>
      <c r="Q216" s="481">
        <f t="shared" si="27"/>
        <v>2.4900757217136089E-4</v>
      </c>
    </row>
    <row r="217" spans="1:17" x14ac:dyDescent="0.35">
      <c r="A217" s="376" t="s">
        <v>2211</v>
      </c>
      <c r="B217" s="376" t="s">
        <v>2212</v>
      </c>
      <c r="C217" s="376" t="s">
        <v>2213</v>
      </c>
      <c r="D217" s="376">
        <v>8884822862.0999985</v>
      </c>
      <c r="E217" s="376">
        <v>4.4243369734789386</v>
      </c>
      <c r="F217" s="376">
        <v>2.48</v>
      </c>
      <c r="G217" s="376">
        <v>138.6088</v>
      </c>
      <c r="H217" s="376">
        <v>64.099999999999994</v>
      </c>
      <c r="I217" s="474"/>
      <c r="J217" s="475" t="str">
        <f t="shared" si="21"/>
        <v>Hasbro Inc</v>
      </c>
      <c r="K217" s="476" t="str">
        <f t="shared" si="21"/>
        <v>HAS</v>
      </c>
      <c r="L217" s="477">
        <f t="shared" si="22"/>
        <v>8884.822862099998</v>
      </c>
      <c r="M217" s="478">
        <f t="shared" si="23"/>
        <v>4.4243369734789387E-2</v>
      </c>
      <c r="N217" s="478">
        <f t="shared" si="24"/>
        <v>2.4799999999999999E-2</v>
      </c>
      <c r="O217" s="479">
        <f t="shared" si="25"/>
        <v>6.959198751950077E-2</v>
      </c>
      <c r="P217" s="480">
        <f t="shared" si="26"/>
        <v>2.4113606556152968E-4</v>
      </c>
      <c r="Q217" s="481">
        <f t="shared" si="27"/>
        <v>1.6781138065059494E-5</v>
      </c>
    </row>
    <row r="218" spans="1:17" x14ac:dyDescent="0.35">
      <c r="A218" s="376" t="s">
        <v>2214</v>
      </c>
      <c r="B218" s="376" t="s">
        <v>2215</v>
      </c>
      <c r="C218" s="376" t="s">
        <v>2216</v>
      </c>
      <c r="D218" s="376">
        <v>16240668367.499998</v>
      </c>
      <c r="E218" s="376">
        <v>5.5733333333333333</v>
      </c>
      <c r="F218" s="376">
        <v>-5.8500000000000005</v>
      </c>
      <c r="G218" s="376">
        <v>1443.615</v>
      </c>
      <c r="H218" s="376">
        <v>11.25</v>
      </c>
      <c r="I218" s="474"/>
      <c r="J218" s="475" t="str">
        <f t="shared" si="21"/>
        <v>Huntington Bancshares Inc/OH</v>
      </c>
      <c r="K218" s="476" t="str">
        <f t="shared" si="21"/>
        <v>HBAN</v>
      </c>
      <c r="L218" s="477">
        <f t="shared" si="22"/>
        <v>16240.668367499999</v>
      </c>
      <c r="M218" s="478">
        <f t="shared" si="23"/>
        <v>5.5733333333333329E-2</v>
      </c>
      <c r="N218" s="478">
        <f t="shared" si="24"/>
        <v>-5.8500000000000003E-2</v>
      </c>
      <c r="O218" s="479">
        <f t="shared" si="25"/>
        <v>-4.3968666666666725E-3</v>
      </c>
      <c r="P218" s="480">
        <f t="shared" si="26"/>
        <v>4.4077534611679513E-4</v>
      </c>
      <c r="Q218" s="481">
        <f t="shared" si="27"/>
        <v>-1.9380304268294019E-6</v>
      </c>
    </row>
    <row r="219" spans="1:17" x14ac:dyDescent="0.35">
      <c r="A219" s="376" t="s">
        <v>2217</v>
      </c>
      <c r="B219" s="376" t="s">
        <v>2218</v>
      </c>
      <c r="C219" s="376" t="s">
        <v>2219</v>
      </c>
      <c r="D219" s="376">
        <v>81610287088</v>
      </c>
      <c r="E219" s="376">
        <v>0.71621257081197731</v>
      </c>
      <c r="F219" s="376">
        <v>8.35</v>
      </c>
      <c r="G219" s="376">
        <v>275.18979999999999</v>
      </c>
      <c r="H219" s="376">
        <v>296.56</v>
      </c>
      <c r="I219" s="474"/>
      <c r="J219" s="475" t="str">
        <f t="shared" si="21"/>
        <v>HCA Healthcare Inc</v>
      </c>
      <c r="K219" s="476" t="str">
        <f t="shared" si="21"/>
        <v>HCA</v>
      </c>
      <c r="L219" s="477">
        <f t="shared" si="22"/>
        <v>81610.287087999997</v>
      </c>
      <c r="M219" s="478">
        <f t="shared" si="23"/>
        <v>7.162125708119773E-3</v>
      </c>
      <c r="N219" s="478">
        <f t="shared" si="24"/>
        <v>8.3499999999999991E-2</v>
      </c>
      <c r="O219" s="479">
        <f t="shared" si="25"/>
        <v>9.096114445643376E-2</v>
      </c>
      <c r="P219" s="480">
        <f t="shared" si="26"/>
        <v>2.2149213150543215E-3</v>
      </c>
      <c r="Q219" s="481">
        <f t="shared" si="27"/>
        <v>2.0147177769829037E-4</v>
      </c>
    </row>
    <row r="220" spans="1:17" x14ac:dyDescent="0.35">
      <c r="A220" s="376" t="s">
        <v>2220</v>
      </c>
      <c r="B220" s="376" t="s">
        <v>2221</v>
      </c>
      <c r="C220" s="376" t="s">
        <v>2222</v>
      </c>
      <c r="D220" s="376">
        <v>318201545145.00006</v>
      </c>
      <c r="E220" s="376">
        <v>2.6341232227488152</v>
      </c>
      <c r="F220" s="376">
        <v>0.55500000000000005</v>
      </c>
      <c r="G220" s="376">
        <v>1005.376</v>
      </c>
      <c r="H220" s="376">
        <v>316.5</v>
      </c>
      <c r="I220" s="474"/>
      <c r="J220" s="475" t="str">
        <f t="shared" si="21"/>
        <v>Home Depot Inc/The</v>
      </c>
      <c r="K220" s="476" t="str">
        <f t="shared" si="21"/>
        <v>HD</v>
      </c>
      <c r="L220" s="477">
        <f t="shared" si="22"/>
        <v>318201.54514500004</v>
      </c>
      <c r="M220" s="478">
        <f t="shared" si="23"/>
        <v>2.6341232227488152E-2</v>
      </c>
      <c r="N220" s="478">
        <f t="shared" si="24"/>
        <v>5.5500000000000002E-3</v>
      </c>
      <c r="O220" s="479">
        <f t="shared" si="25"/>
        <v>3.1964329146919435E-2</v>
      </c>
      <c r="P220" s="480">
        <f t="shared" si="26"/>
        <v>8.6360605993813892E-3</v>
      </c>
      <c r="Q220" s="481">
        <f t="shared" si="27"/>
        <v>2.7604588353136904E-4</v>
      </c>
    </row>
    <row r="221" spans="1:17" x14ac:dyDescent="0.35">
      <c r="A221" s="376" t="s">
        <v>2223</v>
      </c>
      <c r="B221" s="376" t="s">
        <v>2224</v>
      </c>
      <c r="C221" s="376" t="s">
        <v>2225</v>
      </c>
      <c r="D221" s="376">
        <v>41531838506.139992</v>
      </c>
      <c r="E221" s="376">
        <v>1.2982404258465179</v>
      </c>
      <c r="F221" s="376" t="s">
        <v>1612</v>
      </c>
      <c r="G221" s="376">
        <v>307.05189999999999</v>
      </c>
      <c r="H221" s="376">
        <v>135.26</v>
      </c>
      <c r="I221" s="474"/>
      <c r="J221" s="475" t="str">
        <f t="shared" si="21"/>
        <v>Hess Corp</v>
      </c>
      <c r="K221" s="476" t="str">
        <f t="shared" si="21"/>
        <v>HES</v>
      </c>
      <c r="L221" s="477">
        <f t="shared" si="22"/>
        <v>41531.838506139989</v>
      </c>
      <c r="M221" s="478">
        <f t="shared" si="23"/>
        <v>1.2982404258465179E-2</v>
      </c>
      <c r="N221" s="478" t="str">
        <f t="shared" si="24"/>
        <v>N/A</v>
      </c>
      <c r="O221" s="479" t="str">
        <f t="shared" si="25"/>
        <v>N/A</v>
      </c>
      <c r="P221" s="480" t="str">
        <f t="shared" si="26"/>
        <v>N/A</v>
      </c>
      <c r="Q221" s="481" t="str">
        <f t="shared" si="27"/>
        <v>N/A</v>
      </c>
    </row>
    <row r="222" spans="1:17" x14ac:dyDescent="0.35">
      <c r="A222" s="376" t="s">
        <v>2226</v>
      </c>
      <c r="B222" s="376" t="s">
        <v>2227</v>
      </c>
      <c r="C222" s="376" t="s">
        <v>2228</v>
      </c>
      <c r="D222" s="376">
        <v>21871548042</v>
      </c>
      <c r="E222" s="376">
        <v>2.4099290780141844</v>
      </c>
      <c r="F222" s="376">
        <v>7</v>
      </c>
      <c r="G222" s="376">
        <v>310.23469999999998</v>
      </c>
      <c r="H222" s="376">
        <v>70.5</v>
      </c>
      <c r="I222" s="474"/>
      <c r="J222" s="475" t="str">
        <f t="shared" si="21"/>
        <v>Hartford Financial Services Group Inc/The</v>
      </c>
      <c r="K222" s="476" t="str">
        <f t="shared" si="21"/>
        <v>HIG</v>
      </c>
      <c r="L222" s="477">
        <f t="shared" si="22"/>
        <v>21871.548041999999</v>
      </c>
      <c r="M222" s="478">
        <f t="shared" si="23"/>
        <v>2.4099290780141846E-2</v>
      </c>
      <c r="N222" s="478">
        <f t="shared" si="24"/>
        <v>7.0000000000000007E-2</v>
      </c>
      <c r="O222" s="479">
        <f t="shared" si="25"/>
        <v>9.4942765957446815E-2</v>
      </c>
      <c r="P222" s="480">
        <f t="shared" si="26"/>
        <v>5.9359867095215243E-4</v>
      </c>
      <c r="Q222" s="481">
        <f t="shared" si="27"/>
        <v>5.6357899688861689E-5</v>
      </c>
    </row>
    <row r="223" spans="1:17" x14ac:dyDescent="0.35">
      <c r="A223" s="376" t="s">
        <v>2229</v>
      </c>
      <c r="B223" s="376" t="s">
        <v>2230</v>
      </c>
      <c r="C223" s="376" t="s">
        <v>2231</v>
      </c>
      <c r="D223" s="376">
        <v>9109034951.1999989</v>
      </c>
      <c r="E223" s="376">
        <v>2.2001313772717319</v>
      </c>
      <c r="F223" s="376">
        <v>40</v>
      </c>
      <c r="G223" s="376">
        <v>39.89067</v>
      </c>
      <c r="H223" s="376">
        <v>228.35</v>
      </c>
      <c r="I223" s="474"/>
      <c r="J223" s="475" t="str">
        <f t="shared" si="21"/>
        <v>Huntington Ingalls Industries Inc</v>
      </c>
      <c r="K223" s="476" t="str">
        <f t="shared" si="21"/>
        <v>HII</v>
      </c>
      <c r="L223" s="477">
        <f t="shared" si="22"/>
        <v>9109.0349511999993</v>
      </c>
      <c r="M223" s="478">
        <f t="shared" si="23"/>
        <v>2.2001313772717319E-2</v>
      </c>
      <c r="N223" s="478">
        <f t="shared" si="24"/>
        <v>0.4</v>
      </c>
      <c r="O223" s="479">
        <f t="shared" si="25"/>
        <v>0.42640157652726079</v>
      </c>
      <c r="P223" s="480">
        <f t="shared" si="26"/>
        <v>2.4722123145127785E-4</v>
      </c>
      <c r="Q223" s="481">
        <f t="shared" si="27"/>
        <v>1.0541552284183571E-4</v>
      </c>
    </row>
    <row r="224" spans="1:17" x14ac:dyDescent="0.35">
      <c r="A224" s="376" t="s">
        <v>2232</v>
      </c>
      <c r="B224" s="376" t="s">
        <v>2233</v>
      </c>
      <c r="C224" s="376" t="s">
        <v>2234</v>
      </c>
      <c r="D224" s="376">
        <v>39106509342.300003</v>
      </c>
      <c r="E224" s="376">
        <v>0.44728650696982003</v>
      </c>
      <c r="F224" s="376">
        <v>38.71</v>
      </c>
      <c r="G224" s="376">
        <v>264.62649999999996</v>
      </c>
      <c r="H224" s="376">
        <v>147.78</v>
      </c>
      <c r="I224" s="474"/>
      <c r="J224" s="475" t="str">
        <f t="shared" si="21"/>
        <v>Hilton Worldwide Holdings Inc</v>
      </c>
      <c r="K224" s="476" t="str">
        <f t="shared" si="21"/>
        <v>HLT</v>
      </c>
      <c r="L224" s="477">
        <f t="shared" si="22"/>
        <v>39106.5093423</v>
      </c>
      <c r="M224" s="478">
        <f t="shared" si="23"/>
        <v>4.4728650696982007E-3</v>
      </c>
      <c r="N224" s="478">
        <f t="shared" si="24"/>
        <v>0.3871</v>
      </c>
      <c r="O224" s="479">
        <f t="shared" si="25"/>
        <v>0.39243858810393828</v>
      </c>
      <c r="P224" s="480">
        <f t="shared" si="26"/>
        <v>1.061359348071299E-3</v>
      </c>
      <c r="Q224" s="481">
        <f t="shared" si="27"/>
        <v>4.1651836402801698E-4</v>
      </c>
    </row>
    <row r="225" spans="1:17" x14ac:dyDescent="0.35">
      <c r="A225" s="376" t="s">
        <v>2235</v>
      </c>
      <c r="B225" s="376" t="s">
        <v>2236</v>
      </c>
      <c r="C225" s="376" t="s">
        <v>2237</v>
      </c>
      <c r="D225" s="376">
        <v>19768213181.439999</v>
      </c>
      <c r="E225" s="376">
        <v>0</v>
      </c>
      <c r="F225" s="376">
        <v>-26.065000000000001</v>
      </c>
      <c r="G225" s="376">
        <v>246.1182</v>
      </c>
      <c r="H225" s="376">
        <v>80.319999999999993</v>
      </c>
      <c r="I225" s="474"/>
      <c r="J225" s="475" t="str">
        <f t="shared" si="21"/>
        <v>Hologic Inc</v>
      </c>
      <c r="K225" s="476" t="str">
        <f t="shared" si="21"/>
        <v>HOLX</v>
      </c>
      <c r="L225" s="477">
        <f t="shared" si="22"/>
        <v>19768.213181439998</v>
      </c>
      <c r="M225" s="478">
        <f t="shared" si="23"/>
        <v>0</v>
      </c>
      <c r="N225" s="478">
        <f t="shared" si="24"/>
        <v>-0.26064999999999999</v>
      </c>
      <c r="O225" s="479">
        <f t="shared" si="25"/>
        <v>-0.26064999999999999</v>
      </c>
      <c r="P225" s="480">
        <f t="shared" si="26"/>
        <v>5.3651369574151905E-4</v>
      </c>
      <c r="Q225" s="481">
        <f t="shared" si="27"/>
        <v>-1.3984229479502692E-4</v>
      </c>
    </row>
    <row r="226" spans="1:17" x14ac:dyDescent="0.35">
      <c r="A226" s="376" t="s">
        <v>2238</v>
      </c>
      <c r="B226" s="376" t="s">
        <v>2239</v>
      </c>
      <c r="C226" s="376" t="s">
        <v>2240</v>
      </c>
      <c r="D226" s="376">
        <v>137222605038.86</v>
      </c>
      <c r="E226" s="376">
        <v>2.0204715242068501</v>
      </c>
      <c r="F226" s="376">
        <v>9.5</v>
      </c>
      <c r="G226" s="376">
        <v>665.67669999999998</v>
      </c>
      <c r="H226" s="376">
        <v>206.14</v>
      </c>
      <c r="I226" s="474"/>
      <c r="J226" s="475" t="str">
        <f t="shared" si="21"/>
        <v>Honeywell International Inc</v>
      </c>
      <c r="K226" s="476" t="str">
        <f t="shared" si="21"/>
        <v>HON</v>
      </c>
      <c r="L226" s="477">
        <f t="shared" si="22"/>
        <v>137222.60503886</v>
      </c>
      <c r="M226" s="478">
        <f t="shared" si="23"/>
        <v>2.0204715242068502E-2</v>
      </c>
      <c r="N226" s="478">
        <f t="shared" si="24"/>
        <v>9.5000000000000001E-2</v>
      </c>
      <c r="O226" s="479">
        <f t="shared" si="25"/>
        <v>0.11616443921606676</v>
      </c>
      <c r="P226" s="480">
        <f t="shared" si="26"/>
        <v>3.7242519742654179E-3</v>
      </c>
      <c r="Q226" s="481">
        <f t="shared" si="27"/>
        <v>4.3262564208987174E-4</v>
      </c>
    </row>
    <row r="227" spans="1:17" x14ac:dyDescent="0.35">
      <c r="A227" s="376" t="s">
        <v>2241</v>
      </c>
      <c r="B227" s="376" t="s">
        <v>2242</v>
      </c>
      <c r="C227" s="376" t="s">
        <v>2243</v>
      </c>
      <c r="D227" s="376">
        <v>21787911004.930004</v>
      </c>
      <c r="E227" s="376">
        <v>2.8571428571428568</v>
      </c>
      <c r="F227" s="376">
        <v>3.72</v>
      </c>
      <c r="G227" s="376">
        <v>1291.518</v>
      </c>
      <c r="H227" s="376">
        <v>16.87</v>
      </c>
      <c r="I227" s="474"/>
      <c r="J227" s="475" t="str">
        <f t="shared" si="21"/>
        <v>Hewlett Packard Enterprise Co</v>
      </c>
      <c r="K227" s="476" t="str">
        <f t="shared" si="21"/>
        <v>HPE</v>
      </c>
      <c r="L227" s="477">
        <f t="shared" si="22"/>
        <v>21787.911004930003</v>
      </c>
      <c r="M227" s="478">
        <f t="shared" si="23"/>
        <v>2.8571428571428567E-2</v>
      </c>
      <c r="N227" s="478">
        <f t="shared" si="24"/>
        <v>3.7200000000000004E-2</v>
      </c>
      <c r="O227" s="479">
        <f t="shared" si="25"/>
        <v>6.6302857142857136E-2</v>
      </c>
      <c r="P227" s="480">
        <f t="shared" si="26"/>
        <v>5.913287431924992E-4</v>
      </c>
      <c r="Q227" s="481">
        <f t="shared" si="27"/>
        <v>3.9206785184357532E-5</v>
      </c>
    </row>
    <row r="228" spans="1:17" x14ac:dyDescent="0.35">
      <c r="A228" s="376" t="s">
        <v>2244</v>
      </c>
      <c r="B228" s="376" t="s">
        <v>2245</v>
      </c>
      <c r="C228" s="376" t="s">
        <v>2246</v>
      </c>
      <c r="D228" s="376">
        <v>32329500978.059998</v>
      </c>
      <c r="E228" s="376">
        <v>3.2113449222323878</v>
      </c>
      <c r="F228" s="376">
        <v>-4.4400000000000004</v>
      </c>
      <c r="G228" s="376">
        <v>985.95609999999999</v>
      </c>
      <c r="H228" s="376">
        <v>32.79</v>
      </c>
      <c r="I228" s="474"/>
      <c r="J228" s="475" t="str">
        <f t="shared" si="21"/>
        <v>HP Inc</v>
      </c>
      <c r="K228" s="476" t="str">
        <f t="shared" si="21"/>
        <v>HPQ</v>
      </c>
      <c r="L228" s="477">
        <f t="shared" si="22"/>
        <v>32329.500978059998</v>
      </c>
      <c r="M228" s="478">
        <f t="shared" si="23"/>
        <v>3.2113449222323877E-2</v>
      </c>
      <c r="N228" s="478">
        <f t="shared" si="24"/>
        <v>-4.4400000000000002E-2</v>
      </c>
      <c r="O228" s="479">
        <f t="shared" si="25"/>
        <v>-1.2999469350411713E-2</v>
      </c>
      <c r="P228" s="480">
        <f t="shared" si="26"/>
        <v>8.7742983607153339E-4</v>
      </c>
      <c r="Q228" s="481">
        <f t="shared" si="27"/>
        <v>-1.1406122261148671E-5</v>
      </c>
    </row>
    <row r="229" spans="1:17" x14ac:dyDescent="0.35">
      <c r="A229" s="376" t="s">
        <v>2247</v>
      </c>
      <c r="B229" s="376" t="s">
        <v>2248</v>
      </c>
      <c r="C229" s="376" t="s">
        <v>2249</v>
      </c>
      <c r="D229" s="376">
        <v>21921743588.34</v>
      </c>
      <c r="E229" s="376">
        <v>2.7385995514577619</v>
      </c>
      <c r="F229" s="376">
        <v>2.5</v>
      </c>
      <c r="G229" s="376">
        <v>546.26819999999998</v>
      </c>
      <c r="H229" s="376">
        <v>40.130000000000003</v>
      </c>
      <c r="I229" s="474"/>
      <c r="J229" s="475" t="str">
        <f t="shared" si="21"/>
        <v>Hormel Foods Corp</v>
      </c>
      <c r="K229" s="476" t="str">
        <f t="shared" si="21"/>
        <v>HRL</v>
      </c>
      <c r="L229" s="477">
        <f t="shared" si="22"/>
        <v>21921.743588339999</v>
      </c>
      <c r="M229" s="478">
        <f t="shared" si="23"/>
        <v>2.738599551457762E-2</v>
      </c>
      <c r="N229" s="478">
        <f t="shared" si="24"/>
        <v>2.5000000000000001E-2</v>
      </c>
      <c r="O229" s="479">
        <f t="shared" si="25"/>
        <v>5.2728320458509836E-2</v>
      </c>
      <c r="P229" s="480">
        <f t="shared" si="26"/>
        <v>5.949609892269231E-4</v>
      </c>
      <c r="Q229" s="481">
        <f t="shared" si="27"/>
        <v>3.1371293700269219E-5</v>
      </c>
    </row>
    <row r="230" spans="1:17" x14ac:dyDescent="0.35">
      <c r="A230" s="376" t="s">
        <v>2250</v>
      </c>
      <c r="B230" s="376" t="s">
        <v>2251</v>
      </c>
      <c r="C230" s="376" t="s">
        <v>2252</v>
      </c>
      <c r="D230" s="376">
        <v>10531347408.779999</v>
      </c>
      <c r="E230" s="376" t="s">
        <v>1612</v>
      </c>
      <c r="F230" s="376">
        <v>5.04</v>
      </c>
      <c r="G230" s="376">
        <v>131.00319999999999</v>
      </c>
      <c r="H230" s="376">
        <v>80.39</v>
      </c>
      <c r="I230" s="474"/>
      <c r="J230" s="475" t="str">
        <f t="shared" si="21"/>
        <v>Henry Schein Inc</v>
      </c>
      <c r="K230" s="476" t="str">
        <f t="shared" si="21"/>
        <v>HSIC</v>
      </c>
      <c r="L230" s="477">
        <f t="shared" si="22"/>
        <v>10531.347408779999</v>
      </c>
      <c r="M230" s="478" t="str">
        <f t="shared" si="23"/>
        <v>0.00%</v>
      </c>
      <c r="N230" s="478">
        <f t="shared" si="24"/>
        <v>5.04E-2</v>
      </c>
      <c r="O230" s="479">
        <f t="shared" si="25"/>
        <v>5.04E-2</v>
      </c>
      <c r="P230" s="480">
        <f t="shared" si="26"/>
        <v>2.8582310740797275E-4</v>
      </c>
      <c r="Q230" s="481">
        <f t="shared" si="27"/>
        <v>1.4405484613361827E-5</v>
      </c>
    </row>
    <row r="231" spans="1:17" x14ac:dyDescent="0.35">
      <c r="A231" s="376" t="s">
        <v>2253</v>
      </c>
      <c r="B231" s="376" t="s">
        <v>2254</v>
      </c>
      <c r="C231" s="376" t="s">
        <v>2255</v>
      </c>
      <c r="D231" s="376">
        <v>12375589345.799999</v>
      </c>
      <c r="E231" s="376">
        <v>3.4195402298850577</v>
      </c>
      <c r="F231" s="376" t="s">
        <v>1612</v>
      </c>
      <c r="G231" s="376">
        <v>711.24079999999992</v>
      </c>
      <c r="H231" s="376">
        <v>17.399999999999999</v>
      </c>
      <c r="I231" s="474"/>
      <c r="J231" s="475" t="str">
        <f t="shared" si="21"/>
        <v>Host Hotels &amp; Resorts Inc</v>
      </c>
      <c r="K231" s="476" t="str">
        <f t="shared" si="21"/>
        <v>HST</v>
      </c>
      <c r="L231" s="477">
        <f t="shared" si="22"/>
        <v>12375.589345799999</v>
      </c>
      <c r="M231" s="478">
        <f t="shared" si="23"/>
        <v>3.4195402298850576E-2</v>
      </c>
      <c r="N231" s="478" t="str">
        <f t="shared" si="24"/>
        <v>N/A</v>
      </c>
      <c r="O231" s="479" t="str">
        <f t="shared" si="25"/>
        <v>N/A</v>
      </c>
      <c r="P231" s="480" t="str">
        <f t="shared" si="26"/>
        <v>N/A</v>
      </c>
      <c r="Q231" s="481" t="str">
        <f t="shared" si="27"/>
        <v>N/A</v>
      </c>
    </row>
    <row r="232" spans="1:17" x14ac:dyDescent="0.35">
      <c r="A232" s="376" t="s">
        <v>2256</v>
      </c>
      <c r="B232" s="376" t="s">
        <v>2257</v>
      </c>
      <c r="C232" s="376" t="s">
        <v>2258</v>
      </c>
      <c r="D232" s="376">
        <v>48824732040.07</v>
      </c>
      <c r="E232" s="376">
        <v>1.777117260434546</v>
      </c>
      <c r="F232" s="376">
        <v>9.5</v>
      </c>
      <c r="G232" s="376">
        <v>147.285</v>
      </c>
      <c r="H232" s="376">
        <v>238.87</v>
      </c>
      <c r="I232" s="474"/>
      <c r="J232" s="475" t="str">
        <f t="shared" si="21"/>
        <v>Hershey Co/The</v>
      </c>
      <c r="K232" s="476" t="str">
        <f t="shared" si="21"/>
        <v>HSY</v>
      </c>
      <c r="L232" s="477">
        <f t="shared" si="22"/>
        <v>48824.732040069997</v>
      </c>
      <c r="M232" s="478">
        <f t="shared" si="23"/>
        <v>1.7771172604345461E-2</v>
      </c>
      <c r="N232" s="478">
        <f t="shared" si="24"/>
        <v>9.5000000000000001E-2</v>
      </c>
      <c r="O232" s="479">
        <f t="shared" si="25"/>
        <v>0.11361530330305188</v>
      </c>
      <c r="P232" s="480">
        <f t="shared" si="26"/>
        <v>1.3251140702489708E-3</v>
      </c>
      <c r="Q232" s="481">
        <f t="shared" si="27"/>
        <v>1.505532370024784E-4</v>
      </c>
    </row>
    <row r="233" spans="1:17" x14ac:dyDescent="0.35">
      <c r="A233" s="376" t="s">
        <v>2259</v>
      </c>
      <c r="B233" s="376" t="s">
        <v>2260</v>
      </c>
      <c r="C233" s="376" t="s">
        <v>2261</v>
      </c>
      <c r="D233" s="376">
        <v>54342326240.419998</v>
      </c>
      <c r="E233" s="376">
        <v>0.80265789897224848</v>
      </c>
      <c r="F233" s="376">
        <v>13.815</v>
      </c>
      <c r="G233" s="376">
        <v>124.94499999999999</v>
      </c>
      <c r="H233" s="376">
        <v>434.93</v>
      </c>
      <c r="I233" s="474"/>
      <c r="J233" s="475" t="str">
        <f t="shared" si="21"/>
        <v>Humana Inc</v>
      </c>
      <c r="K233" s="476" t="str">
        <f t="shared" si="21"/>
        <v>HUM</v>
      </c>
      <c r="L233" s="477">
        <f t="shared" si="22"/>
        <v>54342.32624042</v>
      </c>
      <c r="M233" s="478">
        <f t="shared" si="23"/>
        <v>8.026578989722484E-3</v>
      </c>
      <c r="N233" s="478">
        <f t="shared" si="24"/>
        <v>0.13815</v>
      </c>
      <c r="O233" s="479">
        <f t="shared" si="25"/>
        <v>0.14673101493343757</v>
      </c>
      <c r="P233" s="480">
        <f t="shared" si="26"/>
        <v>1.4748628021581899E-3</v>
      </c>
      <c r="Q233" s="481">
        <f t="shared" si="27"/>
        <v>2.1640811584824494E-4</v>
      </c>
    </row>
    <row r="234" spans="1:17" x14ac:dyDescent="0.35">
      <c r="A234" s="376" t="s">
        <v>2262</v>
      </c>
      <c r="B234" s="376" t="s">
        <v>2263</v>
      </c>
      <c r="C234" s="376" t="s">
        <v>2264</v>
      </c>
      <c r="D234" s="376">
        <v>20416577030.199997</v>
      </c>
      <c r="E234" s="376">
        <v>0.33603238866396767</v>
      </c>
      <c r="F234" s="376">
        <v>16.690000000000001</v>
      </c>
      <c r="G234" s="376">
        <v>413.291</v>
      </c>
      <c r="H234" s="376">
        <v>49.4</v>
      </c>
      <c r="I234" s="474"/>
      <c r="J234" s="475" t="str">
        <f t="shared" si="21"/>
        <v>Howmet Aerospace Inc</v>
      </c>
      <c r="K234" s="476" t="str">
        <f t="shared" si="21"/>
        <v>HWM</v>
      </c>
      <c r="L234" s="477">
        <f t="shared" si="22"/>
        <v>20416.577030199998</v>
      </c>
      <c r="M234" s="478">
        <f t="shared" si="23"/>
        <v>3.3603238866396767E-3</v>
      </c>
      <c r="N234" s="478">
        <f t="shared" si="24"/>
        <v>0.16690000000000002</v>
      </c>
      <c r="O234" s="479">
        <f t="shared" si="25"/>
        <v>0.17054074291497978</v>
      </c>
      <c r="P234" s="480">
        <f t="shared" si="26"/>
        <v>5.541104345813257E-4</v>
      </c>
      <c r="Q234" s="481">
        <f t="shared" si="27"/>
        <v>9.4498405170441593E-5</v>
      </c>
    </row>
    <row r="235" spans="1:17" x14ac:dyDescent="0.35">
      <c r="A235" s="376" t="s">
        <v>2265</v>
      </c>
      <c r="B235" s="376" t="s">
        <v>2266</v>
      </c>
      <c r="C235" s="376" t="s">
        <v>2267</v>
      </c>
      <c r="D235" s="376">
        <v>121133258227.60002</v>
      </c>
      <c r="E235" s="376">
        <v>5.0869565217391308</v>
      </c>
      <c r="F235" s="376">
        <v>3.15</v>
      </c>
      <c r="G235" s="376">
        <v>908.04539999999997</v>
      </c>
      <c r="H235" s="376">
        <v>133.4</v>
      </c>
      <c r="I235" s="474"/>
      <c r="J235" s="475" t="str">
        <f t="shared" si="21"/>
        <v>International Business Machines Corp</v>
      </c>
      <c r="K235" s="476" t="str">
        <f t="shared" si="21"/>
        <v>IBM</v>
      </c>
      <c r="L235" s="477">
        <f t="shared" si="22"/>
        <v>121133.25822760002</v>
      </c>
      <c r="M235" s="478">
        <f t="shared" si="23"/>
        <v>5.0869565217391305E-2</v>
      </c>
      <c r="N235" s="478">
        <f t="shared" si="24"/>
        <v>3.15E-2</v>
      </c>
      <c r="O235" s="479">
        <f t="shared" si="25"/>
        <v>8.3170760869565208E-2</v>
      </c>
      <c r="P235" s="480">
        <f t="shared" si="26"/>
        <v>3.287583528789492E-3</v>
      </c>
      <c r="Q235" s="481">
        <f t="shared" si="27"/>
        <v>2.7343082351167217E-4</v>
      </c>
    </row>
    <row r="236" spans="1:17" x14ac:dyDescent="0.35">
      <c r="A236" s="376" t="s">
        <v>2268</v>
      </c>
      <c r="B236" s="376" t="s">
        <v>2269</v>
      </c>
      <c r="C236" s="376" t="s">
        <v>2270</v>
      </c>
      <c r="D236" s="376">
        <v>65789966469.599998</v>
      </c>
      <c r="E236" s="376">
        <v>1.4288145689728533</v>
      </c>
      <c r="F236" s="376">
        <v>11.21</v>
      </c>
      <c r="G236" s="376">
        <v>559.86699999999996</v>
      </c>
      <c r="H236" s="376">
        <v>117.51</v>
      </c>
      <c r="I236" s="474"/>
      <c r="J236" s="475" t="str">
        <f t="shared" si="21"/>
        <v>Intercontinental Exchange Inc</v>
      </c>
      <c r="K236" s="476" t="str">
        <f t="shared" si="21"/>
        <v>ICE</v>
      </c>
      <c r="L236" s="477">
        <f t="shared" si="22"/>
        <v>65789.966469599996</v>
      </c>
      <c r="M236" s="478">
        <f t="shared" si="23"/>
        <v>1.4288145689728533E-2</v>
      </c>
      <c r="N236" s="478">
        <f t="shared" si="24"/>
        <v>0.11210000000000001</v>
      </c>
      <c r="O236" s="479">
        <f t="shared" si="25"/>
        <v>0.12718899625563782</v>
      </c>
      <c r="P236" s="480">
        <f t="shared" si="26"/>
        <v>1.7855543001962162E-3</v>
      </c>
      <c r="Q236" s="481">
        <f t="shared" si="27"/>
        <v>2.2710285920189452E-4</v>
      </c>
    </row>
    <row r="237" spans="1:17" x14ac:dyDescent="0.35">
      <c r="A237" s="376" t="s">
        <v>2271</v>
      </c>
      <c r="B237" s="376" t="s">
        <v>2272</v>
      </c>
      <c r="C237" s="376" t="s">
        <v>2273</v>
      </c>
      <c r="D237" s="376">
        <v>44564520089.040001</v>
      </c>
      <c r="E237" s="376">
        <v>0</v>
      </c>
      <c r="F237" s="376">
        <v>17.27</v>
      </c>
      <c r="G237" s="376">
        <v>83.004939999999991</v>
      </c>
      <c r="H237" s="376">
        <v>536.89</v>
      </c>
      <c r="I237" s="474"/>
      <c r="J237" s="475" t="str">
        <f t="shared" si="21"/>
        <v>IDEXX Laboratories Inc</v>
      </c>
      <c r="K237" s="476" t="str">
        <f t="shared" si="21"/>
        <v>IDXX</v>
      </c>
      <c r="L237" s="477">
        <f t="shared" si="22"/>
        <v>44564.520089040001</v>
      </c>
      <c r="M237" s="478">
        <f t="shared" si="23"/>
        <v>0</v>
      </c>
      <c r="N237" s="478">
        <f t="shared" si="24"/>
        <v>0.17269999999999999</v>
      </c>
      <c r="O237" s="479">
        <f t="shared" si="25"/>
        <v>0.17269999999999999</v>
      </c>
      <c r="P237" s="480">
        <f t="shared" si="26"/>
        <v>1.2094909718176337E-3</v>
      </c>
      <c r="Q237" s="481">
        <f t="shared" si="27"/>
        <v>2.0887909083290533E-4</v>
      </c>
    </row>
    <row r="238" spans="1:17" x14ac:dyDescent="0.35">
      <c r="A238" s="376" t="s">
        <v>2274</v>
      </c>
      <c r="B238" s="376" t="s">
        <v>2275</v>
      </c>
      <c r="C238" s="376" t="s">
        <v>2276</v>
      </c>
      <c r="D238" s="376">
        <v>15840050549.939999</v>
      </c>
      <c r="E238" s="376">
        <v>1.1765828522353166</v>
      </c>
      <c r="F238" s="376">
        <v>13</v>
      </c>
      <c r="G238" s="376">
        <v>75.576369999999997</v>
      </c>
      <c r="H238" s="376">
        <v>209.59</v>
      </c>
      <c r="I238" s="474"/>
      <c r="J238" s="475" t="str">
        <f t="shared" si="21"/>
        <v>IDEX Corp</v>
      </c>
      <c r="K238" s="476" t="str">
        <f t="shared" si="21"/>
        <v>IEX</v>
      </c>
      <c r="L238" s="477">
        <f t="shared" si="22"/>
        <v>15840.050549939999</v>
      </c>
      <c r="M238" s="478">
        <f t="shared" si="23"/>
        <v>1.1765828522353165E-2</v>
      </c>
      <c r="N238" s="478">
        <f t="shared" si="24"/>
        <v>0.13</v>
      </c>
      <c r="O238" s="479">
        <f t="shared" si="25"/>
        <v>0.14253060737630613</v>
      </c>
      <c r="P238" s="480">
        <f t="shared" si="26"/>
        <v>4.2990248958159664E-4</v>
      </c>
      <c r="Q238" s="481">
        <f t="shared" si="27"/>
        <v>6.1274262952651091E-5</v>
      </c>
    </row>
    <row r="239" spans="1:17" x14ac:dyDescent="0.35">
      <c r="A239" s="376" t="s">
        <v>2277</v>
      </c>
      <c r="B239" s="376" t="s">
        <v>2278</v>
      </c>
      <c r="C239" s="376" t="s">
        <v>2279</v>
      </c>
      <c r="D239" s="376">
        <v>20432817775.799999</v>
      </c>
      <c r="E239" s="376">
        <v>4.0898876404494384</v>
      </c>
      <c r="F239" s="376">
        <v>21.71</v>
      </c>
      <c r="G239" s="376">
        <v>255.09139999999999</v>
      </c>
      <c r="H239" s="376">
        <v>80.099999999999994</v>
      </c>
      <c r="I239" s="474"/>
      <c r="J239" s="475" t="str">
        <f t="shared" si="21"/>
        <v>International Flavors &amp; Fragrances Inc</v>
      </c>
      <c r="K239" s="476" t="str">
        <f t="shared" si="21"/>
        <v>IFF</v>
      </c>
      <c r="L239" s="477">
        <f t="shared" si="22"/>
        <v>20432.817775799998</v>
      </c>
      <c r="M239" s="478">
        <f t="shared" si="23"/>
        <v>4.0898876404494383E-2</v>
      </c>
      <c r="N239" s="478">
        <f t="shared" si="24"/>
        <v>0.21710000000000002</v>
      </c>
      <c r="O239" s="479">
        <f t="shared" si="25"/>
        <v>0.26243844943820227</v>
      </c>
      <c r="P239" s="480">
        <f t="shared" si="26"/>
        <v>5.5455121202354967E-4</v>
      </c>
      <c r="Q239" s="481">
        <f t="shared" si="27"/>
        <v>1.4553556021753612E-4</v>
      </c>
    </row>
    <row r="240" spans="1:17" x14ac:dyDescent="0.35">
      <c r="A240" s="376" t="s">
        <v>2280</v>
      </c>
      <c r="B240" s="376" t="s">
        <v>2281</v>
      </c>
      <c r="C240" s="376" t="s">
        <v>2282</v>
      </c>
      <c r="D240" s="376">
        <v>29588415000.000004</v>
      </c>
      <c r="E240" s="376">
        <v>0</v>
      </c>
      <c r="F240" s="376">
        <v>22.2</v>
      </c>
      <c r="G240" s="376">
        <v>158.1</v>
      </c>
      <c r="H240" s="376">
        <v>187.15</v>
      </c>
      <c r="I240" s="474"/>
      <c r="J240" s="475" t="str">
        <f t="shared" si="21"/>
        <v>Illumina Inc</v>
      </c>
      <c r="K240" s="476" t="str">
        <f t="shared" si="21"/>
        <v>ILMN</v>
      </c>
      <c r="L240" s="477">
        <f t="shared" si="22"/>
        <v>29588.415000000005</v>
      </c>
      <c r="M240" s="478">
        <f t="shared" si="23"/>
        <v>0</v>
      </c>
      <c r="N240" s="478">
        <f t="shared" si="24"/>
        <v>0.222</v>
      </c>
      <c r="O240" s="479">
        <f t="shared" si="25"/>
        <v>0.222</v>
      </c>
      <c r="P240" s="480">
        <f t="shared" si="26"/>
        <v>8.0303615390429689E-4</v>
      </c>
      <c r="Q240" s="481">
        <f t="shared" si="27"/>
        <v>1.782740261667539E-4</v>
      </c>
    </row>
    <row r="241" spans="1:17" x14ac:dyDescent="0.35">
      <c r="A241" s="376" t="s">
        <v>2283</v>
      </c>
      <c r="B241" s="376" t="s">
        <v>2284</v>
      </c>
      <c r="C241" s="376" t="s">
        <v>2285</v>
      </c>
      <c r="D241" s="376">
        <v>13777933778.559998</v>
      </c>
      <c r="E241" s="376" t="s">
        <v>1612</v>
      </c>
      <c r="F241" s="376">
        <v>66.930000000000007</v>
      </c>
      <c r="G241" s="376">
        <v>223.0883</v>
      </c>
      <c r="H241" s="376">
        <v>61.76</v>
      </c>
      <c r="I241" s="474"/>
      <c r="J241" s="475" t="str">
        <f t="shared" si="21"/>
        <v>Incyte Corp</v>
      </c>
      <c r="K241" s="476" t="str">
        <f t="shared" si="21"/>
        <v>INCY</v>
      </c>
      <c r="L241" s="477">
        <f t="shared" si="22"/>
        <v>13777.933778559998</v>
      </c>
      <c r="M241" s="478" t="str">
        <f t="shared" si="23"/>
        <v>0.00%</v>
      </c>
      <c r="N241" s="478">
        <f t="shared" si="24"/>
        <v>0.66930000000000012</v>
      </c>
      <c r="O241" s="479">
        <f t="shared" si="25"/>
        <v>0.66930000000000012</v>
      </c>
      <c r="P241" s="480">
        <f t="shared" si="26"/>
        <v>3.7393618246475577E-4</v>
      </c>
      <c r="Q241" s="481">
        <f t="shared" si="27"/>
        <v>2.5027548692366106E-4</v>
      </c>
    </row>
    <row r="242" spans="1:17" x14ac:dyDescent="0.35">
      <c r="A242" s="376" t="s">
        <v>2286</v>
      </c>
      <c r="B242" s="376" t="s">
        <v>2287</v>
      </c>
      <c r="C242" s="376" t="s">
        <v>2288</v>
      </c>
      <c r="D242" s="376">
        <v>138268650000</v>
      </c>
      <c r="E242" s="376">
        <v>2.274509803921569</v>
      </c>
      <c r="F242" s="376">
        <v>0.82500000000000007</v>
      </c>
      <c r="G242" s="376">
        <v>4171</v>
      </c>
      <c r="H242" s="376">
        <v>33.15</v>
      </c>
      <c r="I242" s="474"/>
      <c r="J242" s="475" t="str">
        <f t="shared" si="21"/>
        <v>Intel Corp</v>
      </c>
      <c r="K242" s="476" t="str">
        <f t="shared" si="21"/>
        <v>INTC</v>
      </c>
      <c r="L242" s="477">
        <f t="shared" si="22"/>
        <v>138268.65</v>
      </c>
      <c r="M242" s="478">
        <f t="shared" si="23"/>
        <v>2.2745098039215692E-2</v>
      </c>
      <c r="N242" s="478">
        <f t="shared" si="24"/>
        <v>8.2500000000000004E-3</v>
      </c>
      <c r="O242" s="479">
        <f t="shared" si="25"/>
        <v>3.1088921568627456E-2</v>
      </c>
      <c r="P242" s="480">
        <f t="shared" si="26"/>
        <v>3.7526418668096732E-3</v>
      </c>
      <c r="Q242" s="481">
        <f t="shared" si="27"/>
        <v>1.1666558867239365E-4</v>
      </c>
    </row>
    <row r="243" spans="1:17" x14ac:dyDescent="0.35">
      <c r="A243" s="376" t="s">
        <v>2289</v>
      </c>
      <c r="B243" s="376" t="s">
        <v>2290</v>
      </c>
      <c r="C243" s="376" t="s">
        <v>2291</v>
      </c>
      <c r="D243" s="376">
        <v>135546104850.77998</v>
      </c>
      <c r="E243" s="376">
        <v>0.6407157172668857</v>
      </c>
      <c r="F243" s="376">
        <v>15.94</v>
      </c>
      <c r="G243" s="376">
        <v>280.05969999999996</v>
      </c>
      <c r="H243" s="376">
        <v>483.99</v>
      </c>
      <c r="I243" s="474"/>
      <c r="J243" s="475" t="str">
        <f t="shared" si="21"/>
        <v>Intuit Inc</v>
      </c>
      <c r="K243" s="476" t="str">
        <f t="shared" si="21"/>
        <v>INTU</v>
      </c>
      <c r="L243" s="477">
        <f t="shared" si="22"/>
        <v>135546.10485077999</v>
      </c>
      <c r="M243" s="478">
        <f t="shared" si="23"/>
        <v>6.4071571726688568E-3</v>
      </c>
      <c r="N243" s="478">
        <f t="shared" si="24"/>
        <v>0.15939999999999999</v>
      </c>
      <c r="O243" s="479">
        <f t="shared" si="25"/>
        <v>0.16631780759933054</v>
      </c>
      <c r="P243" s="480">
        <f t="shared" si="26"/>
        <v>3.6787513868545814E-3</v>
      </c>
      <c r="Q243" s="481">
        <f t="shared" si="27"/>
        <v>6.1184186536465072E-4</v>
      </c>
    </row>
    <row r="244" spans="1:17" x14ac:dyDescent="0.35">
      <c r="A244" s="376" t="s">
        <v>2292</v>
      </c>
      <c r="B244" s="376" t="s">
        <v>2293</v>
      </c>
      <c r="C244" s="376" t="s">
        <v>2294</v>
      </c>
      <c r="D244" s="376">
        <v>21661913413.200001</v>
      </c>
      <c r="E244" s="376">
        <v>2.9378531073446328</v>
      </c>
      <c r="F244" s="376">
        <v>7.16</v>
      </c>
      <c r="G244" s="376">
        <v>611.91849999999999</v>
      </c>
      <c r="H244" s="376">
        <v>35.4</v>
      </c>
      <c r="I244" s="474"/>
      <c r="J244" s="475" t="str">
        <f t="shared" si="21"/>
        <v>Invitation Homes Inc</v>
      </c>
      <c r="K244" s="476" t="str">
        <f t="shared" si="21"/>
        <v>INVH</v>
      </c>
      <c r="L244" s="477">
        <f t="shared" si="22"/>
        <v>21661.9134132</v>
      </c>
      <c r="M244" s="478">
        <f t="shared" si="23"/>
        <v>2.9378531073446328E-2</v>
      </c>
      <c r="N244" s="478">
        <f t="shared" si="24"/>
        <v>7.1599999999999997E-2</v>
      </c>
      <c r="O244" s="479">
        <f t="shared" si="25"/>
        <v>0.1020302824858757</v>
      </c>
      <c r="P244" s="480">
        <f t="shared" si="26"/>
        <v>5.8790914057221463E-4</v>
      </c>
      <c r="Q244" s="481">
        <f t="shared" si="27"/>
        <v>5.9984535688611464E-5</v>
      </c>
    </row>
    <row r="245" spans="1:17" x14ac:dyDescent="0.35">
      <c r="A245" s="376" t="s">
        <v>2295</v>
      </c>
      <c r="B245" s="376" t="s">
        <v>2296</v>
      </c>
      <c r="C245" s="376" t="s">
        <v>2297</v>
      </c>
      <c r="D245" s="376">
        <v>10897588010.199999</v>
      </c>
      <c r="E245" s="376">
        <v>5.8885350318471339</v>
      </c>
      <c r="F245" s="376">
        <v>-2</v>
      </c>
      <c r="G245" s="376">
        <v>347.05689999999998</v>
      </c>
      <c r="H245" s="376">
        <v>31.4</v>
      </c>
      <c r="I245" s="474"/>
      <c r="J245" s="475" t="str">
        <f t="shared" si="21"/>
        <v>International Paper Co</v>
      </c>
      <c r="K245" s="476" t="str">
        <f t="shared" si="21"/>
        <v>IP</v>
      </c>
      <c r="L245" s="477">
        <f t="shared" si="22"/>
        <v>10897.588010199999</v>
      </c>
      <c r="M245" s="478">
        <f t="shared" si="23"/>
        <v>5.8885350318471336E-2</v>
      </c>
      <c r="N245" s="478">
        <f t="shared" si="24"/>
        <v>-0.02</v>
      </c>
      <c r="O245" s="479">
        <f t="shared" si="25"/>
        <v>3.8296496815286615E-2</v>
      </c>
      <c r="P245" s="480">
        <f t="shared" si="26"/>
        <v>2.9576295866286131E-4</v>
      </c>
      <c r="Q245" s="481">
        <f t="shared" si="27"/>
        <v>1.1326685204512016E-5</v>
      </c>
    </row>
    <row r="246" spans="1:17" x14ac:dyDescent="0.35">
      <c r="A246" s="376" t="s">
        <v>2298</v>
      </c>
      <c r="B246" s="376" t="s">
        <v>2299</v>
      </c>
      <c r="C246" s="376" t="s">
        <v>2300</v>
      </c>
      <c r="D246" s="376">
        <v>15178809066.879999</v>
      </c>
      <c r="E246" s="376">
        <v>3.1561546286876911</v>
      </c>
      <c r="F246" s="376">
        <v>8.07</v>
      </c>
      <c r="G246" s="376">
        <v>386.03280000000001</v>
      </c>
      <c r="H246" s="376">
        <v>39.32</v>
      </c>
      <c r="I246" s="474"/>
      <c r="J246" s="475" t="str">
        <f t="shared" si="21"/>
        <v>Interpublic Group of Cos Inc/The</v>
      </c>
      <c r="K246" s="476" t="str">
        <f t="shared" si="21"/>
        <v>IPG</v>
      </c>
      <c r="L246" s="477">
        <f t="shared" si="22"/>
        <v>15178.80906688</v>
      </c>
      <c r="M246" s="478">
        <f t="shared" si="23"/>
        <v>3.1561546286876914E-2</v>
      </c>
      <c r="N246" s="478">
        <f t="shared" si="24"/>
        <v>8.0700000000000008E-2</v>
      </c>
      <c r="O246" s="479">
        <f t="shared" si="25"/>
        <v>0.11353505467955241</v>
      </c>
      <c r="P246" s="480">
        <f t="shared" si="26"/>
        <v>4.1195624888710607E-4</v>
      </c>
      <c r="Q246" s="481">
        <f t="shared" si="27"/>
        <v>4.677147524298089E-5</v>
      </c>
    </row>
    <row r="247" spans="1:17" x14ac:dyDescent="0.35">
      <c r="A247" s="376" t="s">
        <v>2301</v>
      </c>
      <c r="B247" s="376" t="s">
        <v>2302</v>
      </c>
      <c r="C247" s="376" t="s">
        <v>2303</v>
      </c>
      <c r="D247" s="376">
        <v>41024912200.799995</v>
      </c>
      <c r="E247" s="376" t="s">
        <v>1612</v>
      </c>
      <c r="F247" s="376">
        <v>10.725</v>
      </c>
      <c r="G247" s="376">
        <v>185.54909999999998</v>
      </c>
      <c r="H247" s="376">
        <v>221.1</v>
      </c>
      <c r="I247" s="474"/>
      <c r="J247" s="475" t="str">
        <f t="shared" si="21"/>
        <v>IQVIA Holdings Inc</v>
      </c>
      <c r="K247" s="476" t="str">
        <f t="shared" si="21"/>
        <v>IQV</v>
      </c>
      <c r="L247" s="477">
        <f t="shared" si="22"/>
        <v>41024.912200799998</v>
      </c>
      <c r="M247" s="478" t="str">
        <f t="shared" si="23"/>
        <v>0.00%</v>
      </c>
      <c r="N247" s="478">
        <f t="shared" si="24"/>
        <v>0.10725</v>
      </c>
      <c r="O247" s="479">
        <f t="shared" si="25"/>
        <v>0.10725</v>
      </c>
      <c r="P247" s="480">
        <f t="shared" si="26"/>
        <v>1.113425227677518E-3</v>
      </c>
      <c r="Q247" s="481">
        <f t="shared" si="27"/>
        <v>1.194148556684138E-4</v>
      </c>
    </row>
    <row r="248" spans="1:17" x14ac:dyDescent="0.35">
      <c r="A248" s="376" t="s">
        <v>2304</v>
      </c>
      <c r="B248" s="376" t="s">
        <v>2305</v>
      </c>
      <c r="C248" s="376" t="s">
        <v>2306</v>
      </c>
      <c r="D248" s="376">
        <v>26746829604.48</v>
      </c>
      <c r="E248" s="376">
        <v>0.12250453720508166</v>
      </c>
      <c r="F248" s="376" t="s">
        <v>1612</v>
      </c>
      <c r="G248" s="376">
        <v>404.51949999999999</v>
      </c>
      <c r="H248" s="376">
        <v>66.12</v>
      </c>
      <c r="I248" s="474"/>
      <c r="J248" s="475" t="str">
        <f t="shared" si="21"/>
        <v>Ingersoll Rand Inc</v>
      </c>
      <c r="K248" s="476" t="str">
        <f t="shared" si="21"/>
        <v>IR</v>
      </c>
      <c r="L248" s="477">
        <f t="shared" si="22"/>
        <v>26746.829604480001</v>
      </c>
      <c r="M248" s="478">
        <f t="shared" si="23"/>
        <v>1.2250453720508165E-3</v>
      </c>
      <c r="N248" s="478" t="str">
        <f t="shared" si="24"/>
        <v>N/A</v>
      </c>
      <c r="O248" s="479" t="str">
        <f t="shared" si="25"/>
        <v>N/A</v>
      </c>
      <c r="P248" s="480" t="str">
        <f t="shared" si="26"/>
        <v>N/A</v>
      </c>
      <c r="Q248" s="481" t="str">
        <f t="shared" si="27"/>
        <v>N/A</v>
      </c>
    </row>
    <row r="249" spans="1:17" x14ac:dyDescent="0.35">
      <c r="A249" s="376" t="s">
        <v>2307</v>
      </c>
      <c r="B249" s="376" t="s">
        <v>2308</v>
      </c>
      <c r="C249" s="376" t="s">
        <v>2309</v>
      </c>
      <c r="D249" s="376">
        <v>17354500797.700001</v>
      </c>
      <c r="E249" s="376">
        <v>4.2060157956645945</v>
      </c>
      <c r="F249" s="376">
        <v>4</v>
      </c>
      <c r="G249" s="376">
        <v>291.62329999999997</v>
      </c>
      <c r="H249" s="376">
        <v>59.51</v>
      </c>
      <c r="I249" s="474"/>
      <c r="J249" s="475" t="str">
        <f t="shared" si="21"/>
        <v>Iron Mountain Inc</v>
      </c>
      <c r="K249" s="476" t="str">
        <f t="shared" si="21"/>
        <v>IRM</v>
      </c>
      <c r="L249" s="477">
        <f t="shared" si="22"/>
        <v>17354.500797700002</v>
      </c>
      <c r="M249" s="478">
        <f t="shared" si="23"/>
        <v>4.2060157956645944E-2</v>
      </c>
      <c r="N249" s="478">
        <f t="shared" si="24"/>
        <v>0.04</v>
      </c>
      <c r="O249" s="479">
        <f t="shared" si="25"/>
        <v>8.2901361115778865E-2</v>
      </c>
      <c r="P249" s="480">
        <f t="shared" si="26"/>
        <v>4.710050056251428E-4</v>
      </c>
      <c r="Q249" s="481">
        <f t="shared" si="27"/>
        <v>3.9046956058669419E-5</v>
      </c>
    </row>
    <row r="250" spans="1:17" x14ac:dyDescent="0.35">
      <c r="A250" s="376" t="s">
        <v>2310</v>
      </c>
      <c r="B250" s="376" t="s">
        <v>2311</v>
      </c>
      <c r="C250" s="376" t="s">
        <v>2312</v>
      </c>
      <c r="D250" s="376">
        <v>124040916072</v>
      </c>
      <c r="E250" s="376">
        <v>0</v>
      </c>
      <c r="F250" s="376">
        <v>14.657</v>
      </c>
      <c r="G250" s="376">
        <v>350.3981</v>
      </c>
      <c r="H250" s="376">
        <v>354</v>
      </c>
      <c r="I250" s="474"/>
      <c r="J250" s="475" t="str">
        <f t="shared" si="21"/>
        <v>Intuitive Surgical Inc</v>
      </c>
      <c r="K250" s="476" t="str">
        <f t="shared" si="21"/>
        <v>ISRG</v>
      </c>
      <c r="L250" s="477">
        <f t="shared" si="22"/>
        <v>124040.91607200001</v>
      </c>
      <c r="M250" s="478">
        <f t="shared" si="23"/>
        <v>0</v>
      </c>
      <c r="N250" s="478">
        <f t="shared" si="24"/>
        <v>0.14657000000000001</v>
      </c>
      <c r="O250" s="479">
        <f t="shared" si="25"/>
        <v>0.14657000000000001</v>
      </c>
      <c r="P250" s="480">
        <f t="shared" si="26"/>
        <v>3.3664980084004014E-3</v>
      </c>
      <c r="Q250" s="481">
        <f t="shared" si="27"/>
        <v>4.9342761309124688E-4</v>
      </c>
    </row>
    <row r="251" spans="1:17" x14ac:dyDescent="0.35">
      <c r="A251" s="376" t="s">
        <v>2313</v>
      </c>
      <c r="B251" s="376" t="s">
        <v>2314</v>
      </c>
      <c r="C251" s="376" t="s">
        <v>2315</v>
      </c>
      <c r="D251" s="376">
        <v>28666179910.830006</v>
      </c>
      <c r="E251" s="376" t="s">
        <v>1612</v>
      </c>
      <c r="F251" s="376">
        <v>7.53</v>
      </c>
      <c r="G251" s="376">
        <v>79.042050000000003</v>
      </c>
      <c r="H251" s="376">
        <v>362.67</v>
      </c>
      <c r="I251" s="474"/>
      <c r="J251" s="475" t="str">
        <f t="shared" si="21"/>
        <v>Gartner Inc</v>
      </c>
      <c r="K251" s="476" t="str">
        <f t="shared" si="21"/>
        <v>IT</v>
      </c>
      <c r="L251" s="477">
        <f t="shared" si="22"/>
        <v>28666.179910830007</v>
      </c>
      <c r="M251" s="478" t="str">
        <f t="shared" si="23"/>
        <v>0.00%</v>
      </c>
      <c r="N251" s="478">
        <f t="shared" si="24"/>
        <v>7.5300000000000006E-2</v>
      </c>
      <c r="O251" s="479">
        <f t="shared" si="25"/>
        <v>7.5300000000000006E-2</v>
      </c>
      <c r="P251" s="480">
        <f t="shared" si="26"/>
        <v>7.7800648878020493E-4</v>
      </c>
      <c r="Q251" s="481">
        <f t="shared" si="27"/>
        <v>5.8583888605149435E-5</v>
      </c>
    </row>
    <row r="252" spans="1:17" x14ac:dyDescent="0.35">
      <c r="A252" s="376" t="s">
        <v>2316</v>
      </c>
      <c r="B252" s="376" t="s">
        <v>2317</v>
      </c>
      <c r="C252" s="376" t="s">
        <v>2318</v>
      </c>
      <c r="D252" s="376">
        <v>75845017054.170013</v>
      </c>
      <c r="E252" s="376">
        <v>2.0771727371078255</v>
      </c>
      <c r="F252" s="376">
        <v>3.75</v>
      </c>
      <c r="G252" s="376">
        <v>303.90280000000001</v>
      </c>
      <c r="H252" s="376">
        <v>249.57</v>
      </c>
      <c r="I252" s="474"/>
      <c r="J252" s="475" t="str">
        <f t="shared" si="21"/>
        <v>Illinois Tool Works Inc</v>
      </c>
      <c r="K252" s="476" t="str">
        <f t="shared" si="21"/>
        <v>ITW</v>
      </c>
      <c r="L252" s="477">
        <f t="shared" si="22"/>
        <v>75845.017054170006</v>
      </c>
      <c r="M252" s="478">
        <f t="shared" si="23"/>
        <v>2.0771727371078255E-2</v>
      </c>
      <c r="N252" s="478">
        <f t="shared" si="24"/>
        <v>3.7499999999999999E-2</v>
      </c>
      <c r="O252" s="479">
        <f t="shared" si="25"/>
        <v>5.8661197259285973E-2</v>
      </c>
      <c r="P252" s="480">
        <f t="shared" si="26"/>
        <v>2.0584506060222041E-3</v>
      </c>
      <c r="Q252" s="481">
        <f t="shared" si="27"/>
        <v>1.2075117704836526E-4</v>
      </c>
    </row>
    <row r="253" spans="1:17" x14ac:dyDescent="0.35">
      <c r="A253" s="376" t="s">
        <v>2319</v>
      </c>
      <c r="B253" s="376" t="s">
        <v>2320</v>
      </c>
      <c r="C253" s="376" t="s">
        <v>2321</v>
      </c>
      <c r="D253" s="376">
        <v>8123334331.0500002</v>
      </c>
      <c r="E253" s="376">
        <v>4.4782853919909762</v>
      </c>
      <c r="F253" s="376">
        <v>7.4050000000000002</v>
      </c>
      <c r="G253" s="376">
        <v>458.16889999999995</v>
      </c>
      <c r="H253" s="376">
        <v>17.73</v>
      </c>
      <c r="I253" s="474"/>
      <c r="J253" s="475" t="str">
        <f t="shared" si="21"/>
        <v>Invesco Ltd</v>
      </c>
      <c r="K253" s="476" t="str">
        <f t="shared" si="21"/>
        <v>IVZ</v>
      </c>
      <c r="L253" s="477">
        <f t="shared" si="22"/>
        <v>8123.3343310500004</v>
      </c>
      <c r="M253" s="478">
        <f t="shared" si="23"/>
        <v>4.4782853919909764E-2</v>
      </c>
      <c r="N253" s="478">
        <f t="shared" si="24"/>
        <v>7.4050000000000005E-2</v>
      </c>
      <c r="O253" s="479">
        <f t="shared" si="25"/>
        <v>0.12049093908629444</v>
      </c>
      <c r="P253" s="480">
        <f t="shared" si="26"/>
        <v>2.2046909772237297E-4</v>
      </c>
      <c r="Q253" s="481">
        <f t="shared" si="27"/>
        <v>2.6564528624076738E-5</v>
      </c>
    </row>
    <row r="254" spans="1:17" x14ac:dyDescent="0.35">
      <c r="A254" s="376" t="s">
        <v>2322</v>
      </c>
      <c r="B254" s="376" t="s">
        <v>2323</v>
      </c>
      <c r="C254" s="376" t="s">
        <v>2324</v>
      </c>
      <c r="D254" s="376">
        <v>15630457000</v>
      </c>
      <c r="E254" s="376">
        <v>0.81155656549261479</v>
      </c>
      <c r="F254" s="376">
        <v>9.26</v>
      </c>
      <c r="G254" s="376">
        <v>126.85</v>
      </c>
      <c r="H254" s="376">
        <v>123.22</v>
      </c>
      <c r="I254" s="474"/>
      <c r="J254" s="475" t="str">
        <f t="shared" si="21"/>
        <v>Jacobs Solutions Inc</v>
      </c>
      <c r="K254" s="476" t="str">
        <f t="shared" si="21"/>
        <v>J</v>
      </c>
      <c r="L254" s="477">
        <f t="shared" si="22"/>
        <v>15630.457</v>
      </c>
      <c r="M254" s="478">
        <f t="shared" si="23"/>
        <v>8.115565654926148E-3</v>
      </c>
      <c r="N254" s="478">
        <f t="shared" si="24"/>
        <v>9.2600000000000002E-2</v>
      </c>
      <c r="O254" s="479">
        <f t="shared" si="25"/>
        <v>0.10109131634474923</v>
      </c>
      <c r="P254" s="480">
        <f t="shared" si="26"/>
        <v>4.242140740910418E-4</v>
      </c>
      <c r="Q254" s="481">
        <f t="shared" si="27"/>
        <v>4.2884359161832394E-5</v>
      </c>
    </row>
    <row r="255" spans="1:17" x14ac:dyDescent="0.35">
      <c r="A255" s="376" t="s">
        <v>2325</v>
      </c>
      <c r="B255" s="376" t="s">
        <v>2326</v>
      </c>
      <c r="C255" s="376" t="s">
        <v>2327</v>
      </c>
      <c r="D255" s="376">
        <v>18998629092.300003</v>
      </c>
      <c r="E255" s="376">
        <v>0.91325695581014732</v>
      </c>
      <c r="F255" s="376">
        <v>27</v>
      </c>
      <c r="G255" s="376">
        <v>103.6477</v>
      </c>
      <c r="H255" s="376">
        <v>183.3</v>
      </c>
      <c r="I255" s="474"/>
      <c r="J255" s="475" t="str">
        <f t="shared" si="21"/>
        <v>JB Hunt Transport Services Inc</v>
      </c>
      <c r="K255" s="476" t="str">
        <f t="shared" si="21"/>
        <v>JBHT</v>
      </c>
      <c r="L255" s="477">
        <f t="shared" si="22"/>
        <v>18998.629092300002</v>
      </c>
      <c r="M255" s="478">
        <f t="shared" si="23"/>
        <v>9.1325695581014731E-3</v>
      </c>
      <c r="N255" s="478">
        <f t="shared" si="24"/>
        <v>0.27</v>
      </c>
      <c r="O255" s="479">
        <f t="shared" si="25"/>
        <v>0.28036546644844518</v>
      </c>
      <c r="P255" s="480">
        <f t="shared" si="26"/>
        <v>5.1562701265799038E-4</v>
      </c>
      <c r="Q255" s="481">
        <f t="shared" si="27"/>
        <v>1.4456400791727582E-4</v>
      </c>
    </row>
    <row r="256" spans="1:17" x14ac:dyDescent="0.35">
      <c r="A256" s="376" t="s">
        <v>2328</v>
      </c>
      <c r="B256" s="376" t="s">
        <v>2329</v>
      </c>
      <c r="C256" s="376" t="s">
        <v>2330</v>
      </c>
      <c r="D256" s="376">
        <v>47141850540.589996</v>
      </c>
      <c r="E256" s="376">
        <v>2.0593800029107845</v>
      </c>
      <c r="F256" s="376">
        <v>14.69</v>
      </c>
      <c r="G256" s="376">
        <v>686.09879999999998</v>
      </c>
      <c r="H256" s="376">
        <v>68.709999999999994</v>
      </c>
      <c r="I256" s="474"/>
      <c r="J256" s="475" t="str">
        <f t="shared" si="21"/>
        <v>Johnson Controls International plc</v>
      </c>
      <c r="K256" s="476" t="str">
        <f t="shared" si="21"/>
        <v>JCI</v>
      </c>
      <c r="L256" s="477">
        <f t="shared" si="22"/>
        <v>47141.85054059</v>
      </c>
      <c r="M256" s="478">
        <f t="shared" si="23"/>
        <v>2.0593800029107844E-2</v>
      </c>
      <c r="N256" s="478">
        <f t="shared" si="24"/>
        <v>0.1469</v>
      </c>
      <c r="O256" s="479">
        <f t="shared" si="25"/>
        <v>0.16900641464124583</v>
      </c>
      <c r="P256" s="480">
        <f t="shared" si="26"/>
        <v>1.2794402926296182E-3</v>
      </c>
      <c r="Q256" s="481">
        <f t="shared" si="27"/>
        <v>2.1623361660487816E-4</v>
      </c>
    </row>
    <row r="257" spans="1:17" x14ac:dyDescent="0.35">
      <c r="A257" s="376" t="s">
        <v>2331</v>
      </c>
      <c r="B257" s="376" t="s">
        <v>2332</v>
      </c>
      <c r="C257" s="376" t="s">
        <v>2333</v>
      </c>
      <c r="D257" s="376">
        <v>12151957108.749998</v>
      </c>
      <c r="E257" s="376">
        <v>1.2035982008995503</v>
      </c>
      <c r="F257" s="376">
        <v>5.62</v>
      </c>
      <c r="G257" s="376">
        <v>72.875309999999999</v>
      </c>
      <c r="H257" s="376">
        <v>166.75</v>
      </c>
      <c r="I257" s="474"/>
      <c r="J257" s="475" t="str">
        <f t="shared" si="21"/>
        <v>Jack Henry &amp; Associates Inc</v>
      </c>
      <c r="K257" s="476" t="str">
        <f t="shared" si="21"/>
        <v>JKHY</v>
      </c>
      <c r="L257" s="477">
        <f t="shared" si="22"/>
        <v>12151.957108749999</v>
      </c>
      <c r="M257" s="478">
        <f t="shared" si="23"/>
        <v>1.2035982008995503E-2</v>
      </c>
      <c r="N257" s="478">
        <f t="shared" si="24"/>
        <v>5.62E-2</v>
      </c>
      <c r="O257" s="479">
        <f t="shared" si="25"/>
        <v>6.8574193103448283E-2</v>
      </c>
      <c r="P257" s="480">
        <f t="shared" si="26"/>
        <v>3.2980681455970444E-4</v>
      </c>
      <c r="Q257" s="481">
        <f t="shared" si="27"/>
        <v>2.261623618845033E-5</v>
      </c>
    </row>
    <row r="258" spans="1:17" x14ac:dyDescent="0.35">
      <c r="A258" s="376" t="s">
        <v>2334</v>
      </c>
      <c r="B258" s="376" t="s">
        <v>2335</v>
      </c>
      <c r="C258" s="376" t="s">
        <v>2336</v>
      </c>
      <c r="D258" s="376">
        <v>415459616570.25</v>
      </c>
      <c r="E258" s="376">
        <v>2.9342590855069743</v>
      </c>
      <c r="F258" s="376">
        <v>4.74</v>
      </c>
      <c r="G258" s="376">
        <v>2598.7339999999999</v>
      </c>
      <c r="H258" s="376">
        <v>159.87</v>
      </c>
      <c r="I258" s="474"/>
      <c r="J258" s="475" t="str">
        <f t="shared" si="21"/>
        <v>Johnson &amp; Johnson</v>
      </c>
      <c r="K258" s="476" t="str">
        <f t="shared" si="21"/>
        <v>JNJ</v>
      </c>
      <c r="L258" s="477">
        <f t="shared" si="22"/>
        <v>415459.61657025001</v>
      </c>
      <c r="M258" s="478">
        <f t="shared" si="23"/>
        <v>2.9342590855069742E-2</v>
      </c>
      <c r="N258" s="478">
        <f t="shared" si="24"/>
        <v>4.7400000000000005E-2</v>
      </c>
      <c r="O258" s="479">
        <f t="shared" si="25"/>
        <v>7.7438010258334897E-2</v>
      </c>
      <c r="P258" s="480">
        <f t="shared" si="26"/>
        <v>1.1275666256307659E-2</v>
      </c>
      <c r="Q258" s="481">
        <f t="shared" si="27"/>
        <v>8.7316515922551317E-4</v>
      </c>
    </row>
    <row r="259" spans="1:17" x14ac:dyDescent="0.35">
      <c r="A259" s="376" t="s">
        <v>2337</v>
      </c>
      <c r="B259" s="376" t="s">
        <v>2338</v>
      </c>
      <c r="C259" s="376" t="s">
        <v>2339</v>
      </c>
      <c r="D259" s="376">
        <v>9396921337.3199997</v>
      </c>
      <c r="E259" s="376">
        <v>2.9808350444900751</v>
      </c>
      <c r="F259" s="376">
        <v>7.82</v>
      </c>
      <c r="G259" s="376">
        <v>321.59209999999996</v>
      </c>
      <c r="H259" s="376">
        <v>29.22</v>
      </c>
      <c r="I259" s="474"/>
      <c r="J259" s="475" t="str">
        <f t="shared" si="21"/>
        <v>Juniper Networks Inc</v>
      </c>
      <c r="K259" s="476" t="str">
        <f t="shared" si="21"/>
        <v>JNPR</v>
      </c>
      <c r="L259" s="477">
        <f t="shared" si="22"/>
        <v>9396.92133732</v>
      </c>
      <c r="M259" s="478">
        <f t="shared" si="23"/>
        <v>2.9808350444900752E-2</v>
      </c>
      <c r="N259" s="478">
        <f t="shared" si="24"/>
        <v>7.8200000000000006E-2</v>
      </c>
      <c r="O259" s="479">
        <f t="shared" si="25"/>
        <v>0.10917385694729638</v>
      </c>
      <c r="P259" s="480">
        <f t="shared" si="26"/>
        <v>2.5503453190252583E-4</v>
      </c>
      <c r="Q259" s="481">
        <f t="shared" si="27"/>
        <v>2.7843103502547049E-5</v>
      </c>
    </row>
    <row r="260" spans="1:17" x14ac:dyDescent="0.35">
      <c r="A260" s="376" t="s">
        <v>2340</v>
      </c>
      <c r="B260" s="376" t="s">
        <v>2341</v>
      </c>
      <c r="C260" s="376" t="s">
        <v>2342</v>
      </c>
      <c r="D260" s="376">
        <v>437671149992.92999</v>
      </c>
      <c r="E260" s="376">
        <v>2.7428724043533412</v>
      </c>
      <c r="F260" s="376">
        <v>0</v>
      </c>
      <c r="G260" s="376">
        <v>2922.2889999999998</v>
      </c>
      <c r="H260" s="376">
        <v>149.77000000000001</v>
      </c>
      <c r="I260" s="474"/>
      <c r="J260" s="475" t="str">
        <f t="shared" ref="J260:K323" si="28">B260</f>
        <v>JPMorgan Chase &amp; Co</v>
      </c>
      <c r="K260" s="476" t="str">
        <f t="shared" si="28"/>
        <v>JPM</v>
      </c>
      <c r="L260" s="477">
        <f t="shared" ref="L260:L323" si="29">D260/1000000</f>
        <v>437671.14999293</v>
      </c>
      <c r="M260" s="478">
        <f t="shared" ref="M260:M323" si="30">IFERROR(E260/100,"0.00%")</f>
        <v>2.7428724043533411E-2</v>
      </c>
      <c r="N260" s="478">
        <f t="shared" ref="N260:N323" si="31">IFERROR(F260/100,"N/A")</f>
        <v>0</v>
      </c>
      <c r="O260" s="479">
        <f t="shared" ref="O260:O323" si="32">IFERROR(M260*(1+0.5*N260)+N260,"N/A")</f>
        <v>2.7428724043533411E-2</v>
      </c>
      <c r="P260" s="480">
        <f t="shared" ref="P260:P323" si="33">IF(O260="N/A","N/A",L260/$L$504)</f>
        <v>1.1878492205993227E-2</v>
      </c>
      <c r="Q260" s="481">
        <f t="shared" ref="Q260:Q323" si="34">IF(AND(ISNUMBER(L260),ISNUMBER(O260)),O260*P260,"N/A")</f>
        <v>3.2581188477145067E-4</v>
      </c>
    </row>
    <row r="261" spans="1:17" x14ac:dyDescent="0.35">
      <c r="A261" s="376" t="s">
        <v>2343</v>
      </c>
      <c r="B261" s="376" t="s">
        <v>2344</v>
      </c>
      <c r="C261" s="376" t="s">
        <v>2345</v>
      </c>
      <c r="D261" s="376">
        <v>23156758922.759998</v>
      </c>
      <c r="E261" s="376">
        <v>3.528715216104203</v>
      </c>
      <c r="F261" s="376">
        <v>2.4</v>
      </c>
      <c r="G261" s="376">
        <v>342.75839999999999</v>
      </c>
      <c r="H261" s="376">
        <v>67.56</v>
      </c>
      <c r="I261" s="474"/>
      <c r="J261" s="475" t="str">
        <f t="shared" si="28"/>
        <v>Kellogg Co</v>
      </c>
      <c r="K261" s="476" t="str">
        <f t="shared" si="28"/>
        <v>K</v>
      </c>
      <c r="L261" s="477">
        <f t="shared" si="29"/>
        <v>23156.75892276</v>
      </c>
      <c r="M261" s="478">
        <f t="shared" si="30"/>
        <v>3.5287152161042029E-2</v>
      </c>
      <c r="N261" s="478">
        <f t="shared" si="31"/>
        <v>2.4E-2</v>
      </c>
      <c r="O261" s="479">
        <f t="shared" si="32"/>
        <v>5.9710597986974534E-2</v>
      </c>
      <c r="P261" s="480">
        <f t="shared" si="33"/>
        <v>6.2847957966731896E-4</v>
      </c>
      <c r="Q261" s="481">
        <f t="shared" si="34"/>
        <v>3.7526891524538018E-5</v>
      </c>
    </row>
    <row r="262" spans="1:17" x14ac:dyDescent="0.35">
      <c r="A262" s="376" t="s">
        <v>2346</v>
      </c>
      <c r="B262" s="376" t="s">
        <v>2347</v>
      </c>
      <c r="C262" s="376" t="s">
        <v>2348</v>
      </c>
      <c r="D262" s="376">
        <v>44443561077.279999</v>
      </c>
      <c r="E262" s="376">
        <v>2.5615919140871766</v>
      </c>
      <c r="F262" s="376">
        <v>6.8449999999999998</v>
      </c>
      <c r="G262" s="376">
        <v>1403.7759999999998</v>
      </c>
      <c r="H262" s="376">
        <v>31.66</v>
      </c>
      <c r="I262" s="474"/>
      <c r="J262" s="475" t="str">
        <f t="shared" si="28"/>
        <v>Keurig Dr Pepper Inc</v>
      </c>
      <c r="K262" s="476" t="str">
        <f t="shared" si="28"/>
        <v>KDP</v>
      </c>
      <c r="L262" s="477">
        <f t="shared" si="29"/>
        <v>44443.561077279999</v>
      </c>
      <c r="M262" s="478">
        <f t="shared" si="30"/>
        <v>2.5615919140871767E-2</v>
      </c>
      <c r="N262" s="478">
        <f t="shared" si="31"/>
        <v>6.8449999999999997E-2</v>
      </c>
      <c r="O262" s="479">
        <f t="shared" si="32"/>
        <v>9.4942623973468102E-2</v>
      </c>
      <c r="P262" s="480">
        <f t="shared" si="33"/>
        <v>1.2062081173766703E-3</v>
      </c>
      <c r="Q262" s="481">
        <f t="shared" si="34"/>
        <v>1.1452056372183808E-4</v>
      </c>
    </row>
    <row r="263" spans="1:17" x14ac:dyDescent="0.35">
      <c r="A263" s="376" t="s">
        <v>2349</v>
      </c>
      <c r="B263" s="376" t="s">
        <v>2350</v>
      </c>
      <c r="C263" s="376" t="s">
        <v>2351</v>
      </c>
      <c r="D263" s="376">
        <v>9502286730.7200012</v>
      </c>
      <c r="E263" s="376">
        <v>8.1496062992125999</v>
      </c>
      <c r="F263" s="376">
        <v>7.0650000000000004</v>
      </c>
      <c r="G263" s="376">
        <v>935.26439999999991</v>
      </c>
      <c r="H263" s="376">
        <v>10.16</v>
      </c>
      <c r="I263" s="474"/>
      <c r="J263" s="475" t="str">
        <f t="shared" si="28"/>
        <v>KeyCorp</v>
      </c>
      <c r="K263" s="476" t="str">
        <f t="shared" si="28"/>
        <v>KEY</v>
      </c>
      <c r="L263" s="477">
        <f t="shared" si="29"/>
        <v>9502.2867307200013</v>
      </c>
      <c r="M263" s="478">
        <f t="shared" si="30"/>
        <v>8.1496062992126E-2</v>
      </c>
      <c r="N263" s="478">
        <f t="shared" si="31"/>
        <v>7.0650000000000004E-2</v>
      </c>
      <c r="O263" s="479">
        <f t="shared" si="32"/>
        <v>0.15502491141732286</v>
      </c>
      <c r="P263" s="480">
        <f t="shared" si="33"/>
        <v>2.5789417207826862E-4</v>
      </c>
      <c r="Q263" s="481">
        <f t="shared" si="34"/>
        <v>3.998002118147741E-5</v>
      </c>
    </row>
    <row r="264" spans="1:17" x14ac:dyDescent="0.35">
      <c r="A264" s="376" t="s">
        <v>2352</v>
      </c>
      <c r="B264" s="376" t="s">
        <v>2353</v>
      </c>
      <c r="C264" s="376" t="s">
        <v>2354</v>
      </c>
      <c r="D264" s="376">
        <v>29789199096.569996</v>
      </c>
      <c r="E264" s="376">
        <v>0</v>
      </c>
      <c r="F264" s="376">
        <v>6.74</v>
      </c>
      <c r="G264" s="376">
        <v>178.36779999999999</v>
      </c>
      <c r="H264" s="376">
        <v>167.01</v>
      </c>
      <c r="I264" s="474"/>
      <c r="J264" s="475" t="str">
        <f t="shared" si="28"/>
        <v>Keysight Technologies Inc</v>
      </c>
      <c r="K264" s="476" t="str">
        <f t="shared" si="28"/>
        <v>KEYS</v>
      </c>
      <c r="L264" s="477">
        <f t="shared" si="29"/>
        <v>29789.199096569995</v>
      </c>
      <c r="M264" s="478">
        <f t="shared" si="30"/>
        <v>0</v>
      </c>
      <c r="N264" s="478">
        <f t="shared" si="31"/>
        <v>6.7400000000000002E-2</v>
      </c>
      <c r="O264" s="479">
        <f t="shared" si="32"/>
        <v>6.7400000000000002E-2</v>
      </c>
      <c r="P264" s="480">
        <f t="shared" si="33"/>
        <v>8.0848547887404313E-4</v>
      </c>
      <c r="Q264" s="481">
        <f t="shared" si="34"/>
        <v>5.4491921276110511E-5</v>
      </c>
    </row>
    <row r="265" spans="1:17" x14ac:dyDescent="0.35">
      <c r="A265" s="376" t="s">
        <v>2355</v>
      </c>
      <c r="B265" s="376" t="s">
        <v>2356</v>
      </c>
      <c r="C265" s="376" t="s">
        <v>2357</v>
      </c>
      <c r="D265" s="376">
        <v>43996463801.400002</v>
      </c>
      <c r="E265" s="376">
        <v>4.485355648535565</v>
      </c>
      <c r="F265" s="376">
        <v>3.92</v>
      </c>
      <c r="G265" s="376">
        <v>1227.2369999999999</v>
      </c>
      <c r="H265" s="376">
        <v>35.85</v>
      </c>
      <c r="I265" s="474"/>
      <c r="J265" s="475" t="str">
        <f t="shared" si="28"/>
        <v>Kraft Heinz Co/The</v>
      </c>
      <c r="K265" s="476" t="str">
        <f t="shared" si="28"/>
        <v>KHC</v>
      </c>
      <c r="L265" s="477">
        <f t="shared" si="29"/>
        <v>43996.463801400001</v>
      </c>
      <c r="M265" s="478">
        <f t="shared" si="30"/>
        <v>4.4853556485355647E-2</v>
      </c>
      <c r="N265" s="478">
        <f t="shared" si="31"/>
        <v>3.9199999999999999E-2</v>
      </c>
      <c r="O265" s="479">
        <f t="shared" si="32"/>
        <v>8.4932686192468618E-2</v>
      </c>
      <c r="P265" s="480">
        <f t="shared" si="33"/>
        <v>1.1940737980208089E-3</v>
      </c>
      <c r="Q265" s="481">
        <f t="shared" si="34"/>
        <v>1.0141589517795051E-4</v>
      </c>
    </row>
    <row r="266" spans="1:17" x14ac:dyDescent="0.35">
      <c r="A266" s="376" t="s">
        <v>2358</v>
      </c>
      <c r="B266" s="376" t="s">
        <v>2359</v>
      </c>
      <c r="C266" s="376" t="s">
        <v>2360</v>
      </c>
      <c r="D266" s="376">
        <v>12713981002.59</v>
      </c>
      <c r="E266" s="376">
        <v>4.5880058508044854</v>
      </c>
      <c r="F266" s="376">
        <v>4.29</v>
      </c>
      <c r="G266" s="376">
        <v>619.89179999999999</v>
      </c>
      <c r="H266" s="376">
        <v>20.51</v>
      </c>
      <c r="I266" s="474"/>
      <c r="J266" s="475" t="str">
        <f t="shared" si="28"/>
        <v>Kimco Realty Corp</v>
      </c>
      <c r="K266" s="476" t="str">
        <f t="shared" si="28"/>
        <v>KIM</v>
      </c>
      <c r="L266" s="477">
        <f t="shared" si="29"/>
        <v>12713.981002590001</v>
      </c>
      <c r="M266" s="478">
        <f t="shared" si="30"/>
        <v>4.5880058508044858E-2</v>
      </c>
      <c r="N266" s="478">
        <f t="shared" si="31"/>
        <v>4.2900000000000001E-2</v>
      </c>
      <c r="O266" s="479">
        <f t="shared" si="32"/>
        <v>8.9764185763042417E-2</v>
      </c>
      <c r="P266" s="480">
        <f t="shared" si="33"/>
        <v>3.4506026784916224E-4</v>
      </c>
      <c r="Q266" s="481">
        <f t="shared" si="34"/>
        <v>3.0974053982657373E-5</v>
      </c>
    </row>
    <row r="267" spans="1:17" x14ac:dyDescent="0.35">
      <c r="A267" s="376" t="s">
        <v>2361</v>
      </c>
      <c r="B267" s="376" t="s">
        <v>2362</v>
      </c>
      <c r="C267" s="376" t="s">
        <v>2363</v>
      </c>
      <c r="D267" s="376">
        <v>65140666680.580002</v>
      </c>
      <c r="E267" s="376">
        <v>1.0855325512331766</v>
      </c>
      <c r="F267" s="376">
        <v>2.82</v>
      </c>
      <c r="G267" s="376">
        <v>137.19889999999998</v>
      </c>
      <c r="H267" s="376">
        <v>474.79</v>
      </c>
      <c r="I267" s="474"/>
      <c r="J267" s="475" t="str">
        <f t="shared" si="28"/>
        <v>KLA Corp</v>
      </c>
      <c r="K267" s="476" t="str">
        <f t="shared" si="28"/>
        <v>KLAC</v>
      </c>
      <c r="L267" s="477">
        <f t="shared" si="29"/>
        <v>65140.666680580005</v>
      </c>
      <c r="M267" s="478">
        <f t="shared" si="30"/>
        <v>1.0855325512331766E-2</v>
      </c>
      <c r="N267" s="478">
        <f t="shared" si="31"/>
        <v>2.8199999999999999E-2</v>
      </c>
      <c r="O267" s="479">
        <f t="shared" si="32"/>
        <v>3.920838560205564E-2</v>
      </c>
      <c r="P267" s="480">
        <f t="shared" si="33"/>
        <v>1.7679321597299058E-3</v>
      </c>
      <c r="Q267" s="481">
        <f t="shared" si="34"/>
        <v>6.9317765836965175E-5</v>
      </c>
    </row>
    <row r="268" spans="1:17" x14ac:dyDescent="0.35">
      <c r="A268" s="376" t="s">
        <v>2364</v>
      </c>
      <c r="B268" s="376" t="s">
        <v>2365</v>
      </c>
      <c r="C268" s="376" t="s">
        <v>2366</v>
      </c>
      <c r="D268" s="376">
        <v>45590300745.979996</v>
      </c>
      <c r="E268" s="376">
        <v>3.4825723377488349</v>
      </c>
      <c r="F268" s="376">
        <v>8.52</v>
      </c>
      <c r="G268" s="376">
        <v>337.38099999999997</v>
      </c>
      <c r="H268" s="376">
        <v>135.13</v>
      </c>
      <c r="I268" s="474"/>
      <c r="J268" s="475" t="str">
        <f t="shared" si="28"/>
        <v>Kimberly-Clark Corp</v>
      </c>
      <c r="K268" s="476" t="str">
        <f t="shared" si="28"/>
        <v>KMB</v>
      </c>
      <c r="L268" s="477">
        <f t="shared" si="29"/>
        <v>45590.300745979999</v>
      </c>
      <c r="M268" s="478">
        <f t="shared" si="30"/>
        <v>3.4825723377488349E-2</v>
      </c>
      <c r="N268" s="478">
        <f t="shared" si="31"/>
        <v>8.5199999999999998E-2</v>
      </c>
      <c r="O268" s="479">
        <f t="shared" si="32"/>
        <v>0.12150929919336935</v>
      </c>
      <c r="P268" s="480">
        <f t="shared" si="33"/>
        <v>1.2373308866457352E-3</v>
      </c>
      <c r="Q268" s="481">
        <f t="shared" si="34"/>
        <v>1.5034720890663361E-4</v>
      </c>
    </row>
    <row r="269" spans="1:17" x14ac:dyDescent="0.35">
      <c r="A269" s="376" t="s">
        <v>2367</v>
      </c>
      <c r="B269" s="376" t="s">
        <v>2368</v>
      </c>
      <c r="C269" s="376" t="s">
        <v>2369</v>
      </c>
      <c r="D269" s="376">
        <v>38571287673.739998</v>
      </c>
      <c r="E269" s="376">
        <v>6.5659500290528765</v>
      </c>
      <c r="F269" s="376">
        <v>3</v>
      </c>
      <c r="G269" s="376">
        <v>2241.2139999999999</v>
      </c>
      <c r="H269" s="376">
        <v>17.21</v>
      </c>
      <c r="I269" s="474"/>
      <c r="J269" s="475" t="str">
        <f t="shared" si="28"/>
        <v>Kinder Morgan Inc</v>
      </c>
      <c r="K269" s="476" t="str">
        <f t="shared" si="28"/>
        <v>KMI</v>
      </c>
      <c r="L269" s="477">
        <f t="shared" si="29"/>
        <v>38571.28767374</v>
      </c>
      <c r="M269" s="478">
        <f t="shared" si="30"/>
        <v>6.5659500290528763E-2</v>
      </c>
      <c r="N269" s="478">
        <f t="shared" si="31"/>
        <v>0.03</v>
      </c>
      <c r="O269" s="479">
        <f t="shared" si="32"/>
        <v>9.6644392794886694E-2</v>
      </c>
      <c r="P269" s="480">
        <f t="shared" si="33"/>
        <v>1.0468333131280056E-3</v>
      </c>
      <c r="Q269" s="481">
        <f t="shared" si="34"/>
        <v>1.0117056990471559E-4</v>
      </c>
    </row>
    <row r="270" spans="1:17" x14ac:dyDescent="0.35">
      <c r="A270" s="376" t="s">
        <v>2370</v>
      </c>
      <c r="B270" s="376" t="s">
        <v>2371</v>
      </c>
      <c r="C270" s="376" t="s">
        <v>2372</v>
      </c>
      <c r="D270" s="376">
        <v>13194682558.200001</v>
      </c>
      <c r="E270" s="376" t="s">
        <v>1612</v>
      </c>
      <c r="F270" s="376">
        <v>15.540000000000001</v>
      </c>
      <c r="G270" s="376">
        <v>158.20959999999999</v>
      </c>
      <c r="H270" s="376">
        <v>83.4</v>
      </c>
      <c r="I270" s="474"/>
      <c r="J270" s="475" t="str">
        <f t="shared" si="28"/>
        <v>CarMax Inc</v>
      </c>
      <c r="K270" s="476" t="str">
        <f t="shared" si="28"/>
        <v>KMX</v>
      </c>
      <c r="L270" s="477">
        <f t="shared" si="29"/>
        <v>13194.6825582</v>
      </c>
      <c r="M270" s="478" t="str">
        <f t="shared" si="30"/>
        <v>0.00%</v>
      </c>
      <c r="N270" s="478">
        <f t="shared" si="31"/>
        <v>0.15540000000000001</v>
      </c>
      <c r="O270" s="479">
        <f t="shared" si="32"/>
        <v>0.15540000000000001</v>
      </c>
      <c r="P270" s="480">
        <f t="shared" si="33"/>
        <v>3.5810661481951753E-4</v>
      </c>
      <c r="Q270" s="481">
        <f t="shared" si="34"/>
        <v>5.5649767942953025E-5</v>
      </c>
    </row>
    <row r="271" spans="1:17" x14ac:dyDescent="0.35">
      <c r="A271" s="376" t="s">
        <v>2373</v>
      </c>
      <c r="B271" s="376" t="s">
        <v>2374</v>
      </c>
      <c r="C271" s="376" t="s">
        <v>2375</v>
      </c>
      <c r="D271" s="376">
        <v>263366811710.09998</v>
      </c>
      <c r="E271" s="376">
        <v>3.0098522167487682</v>
      </c>
      <c r="F271" s="376">
        <v>6.7750000000000004</v>
      </c>
      <c r="G271" s="376">
        <v>4324.5779999999995</v>
      </c>
      <c r="H271" s="376">
        <v>60.9</v>
      </c>
      <c r="I271" s="474"/>
      <c r="J271" s="475" t="str">
        <f t="shared" si="28"/>
        <v>Coca-Cola Co/The</v>
      </c>
      <c r="K271" s="476" t="str">
        <f t="shared" si="28"/>
        <v>KO</v>
      </c>
      <c r="L271" s="477">
        <f t="shared" si="29"/>
        <v>263366.81171009998</v>
      </c>
      <c r="M271" s="478">
        <f t="shared" si="30"/>
        <v>3.0098522167487683E-2</v>
      </c>
      <c r="N271" s="478">
        <f t="shared" si="31"/>
        <v>6.7750000000000005E-2</v>
      </c>
      <c r="O271" s="479">
        <f t="shared" si="32"/>
        <v>9.8868109605911331E-2</v>
      </c>
      <c r="P271" s="480">
        <f t="shared" si="33"/>
        <v>7.147833756614398E-3</v>
      </c>
      <c r="Q271" s="481">
        <f t="shared" si="34"/>
        <v>7.0669281129378527E-4</v>
      </c>
    </row>
    <row r="272" spans="1:17" x14ac:dyDescent="0.35">
      <c r="A272" s="376" t="s">
        <v>2376</v>
      </c>
      <c r="B272" s="376" t="s">
        <v>2377</v>
      </c>
      <c r="C272" s="376" t="s">
        <v>2378</v>
      </c>
      <c r="D272" s="376">
        <v>33332101948.800011</v>
      </c>
      <c r="E272" s="376">
        <v>2.3212747631352286</v>
      </c>
      <c r="F272" s="376">
        <v>5.6029999999999998</v>
      </c>
      <c r="G272" s="376">
        <v>717.74549999999999</v>
      </c>
      <c r="H272" s="376">
        <v>46.44</v>
      </c>
      <c r="I272" s="474"/>
      <c r="J272" s="475" t="str">
        <f t="shared" si="28"/>
        <v>Kroger Co/The</v>
      </c>
      <c r="K272" s="476" t="str">
        <f t="shared" si="28"/>
        <v>KR</v>
      </c>
      <c r="L272" s="477">
        <f t="shared" si="29"/>
        <v>33332.101948800009</v>
      </c>
      <c r="M272" s="478">
        <f t="shared" si="30"/>
        <v>2.3212747631352285E-2</v>
      </c>
      <c r="N272" s="478">
        <f t="shared" si="31"/>
        <v>5.6029999999999996E-2</v>
      </c>
      <c r="O272" s="479">
        <f t="shared" si="32"/>
        <v>7.9893052756244615E-2</v>
      </c>
      <c r="P272" s="480">
        <f t="shared" si="33"/>
        <v>9.0464064906857207E-4</v>
      </c>
      <c r="Q272" s="481">
        <f t="shared" si="34"/>
        <v>7.2274503101478805E-5</v>
      </c>
    </row>
    <row r="273" spans="1:17" x14ac:dyDescent="0.35">
      <c r="A273" s="376" t="s">
        <v>2379</v>
      </c>
      <c r="B273" s="376" t="s">
        <v>2380</v>
      </c>
      <c r="C273" s="376" t="s">
        <v>2381</v>
      </c>
      <c r="D273" s="376">
        <v>13546268175.839998</v>
      </c>
      <c r="E273" s="376" t="s">
        <v>1612</v>
      </c>
      <c r="F273" s="376" t="s">
        <v>1612</v>
      </c>
      <c r="G273" s="376">
        <v>227.8982</v>
      </c>
      <c r="H273" s="376">
        <v>59.44</v>
      </c>
      <c r="I273" s="474"/>
      <c r="J273" s="475" t="str">
        <f t="shared" si="28"/>
        <v>Loews Corp</v>
      </c>
      <c r="K273" s="476" t="str">
        <f t="shared" si="28"/>
        <v>L</v>
      </c>
      <c r="L273" s="477">
        <f t="shared" si="29"/>
        <v>13546.268175839998</v>
      </c>
      <c r="M273" s="478" t="str">
        <f t="shared" si="30"/>
        <v>0.00%</v>
      </c>
      <c r="N273" s="478" t="str">
        <f t="shared" si="31"/>
        <v>N/A</v>
      </c>
      <c r="O273" s="479" t="str">
        <f t="shared" si="32"/>
        <v>N/A</v>
      </c>
      <c r="P273" s="480" t="str">
        <f t="shared" si="33"/>
        <v>N/A</v>
      </c>
      <c r="Q273" s="481" t="str">
        <f t="shared" si="34"/>
        <v>N/A</v>
      </c>
    </row>
    <row r="274" spans="1:17" x14ac:dyDescent="0.35">
      <c r="A274" s="376" t="s">
        <v>2382</v>
      </c>
      <c r="B274" s="376" t="s">
        <v>2383</v>
      </c>
      <c r="C274" s="376" t="s">
        <v>2384</v>
      </c>
      <c r="D274" s="376">
        <v>12321735325.119999</v>
      </c>
      <c r="E274" s="376">
        <v>1.6508961371479463</v>
      </c>
      <c r="F274" s="376">
        <v>5.9450000000000003</v>
      </c>
      <c r="G274" s="376">
        <v>137.16729999999998</v>
      </c>
      <c r="H274" s="376">
        <v>89.83</v>
      </c>
      <c r="I274" s="474"/>
      <c r="J274" s="475" t="str">
        <f t="shared" si="28"/>
        <v>Leidos Holdings Inc</v>
      </c>
      <c r="K274" s="476" t="str">
        <f t="shared" si="28"/>
        <v>LDOS</v>
      </c>
      <c r="L274" s="477">
        <f t="shared" si="29"/>
        <v>12321.735325119998</v>
      </c>
      <c r="M274" s="478">
        <f t="shared" si="30"/>
        <v>1.6508961371479461E-2</v>
      </c>
      <c r="N274" s="478">
        <f t="shared" si="31"/>
        <v>5.9450000000000003E-2</v>
      </c>
      <c r="O274" s="479">
        <f t="shared" si="32"/>
        <v>7.6449690248246688E-2</v>
      </c>
      <c r="P274" s="480">
        <f t="shared" si="33"/>
        <v>3.3441463305523708E-4</v>
      </c>
      <c r="Q274" s="481">
        <f t="shared" si="34"/>
        <v>2.5565895111553953E-5</v>
      </c>
    </row>
    <row r="275" spans="1:17" x14ac:dyDescent="0.35">
      <c r="A275" s="376" t="s">
        <v>2385</v>
      </c>
      <c r="B275" s="376" t="s">
        <v>2386</v>
      </c>
      <c r="C275" s="376" t="s">
        <v>2387</v>
      </c>
      <c r="D275" s="376">
        <v>37865923695.510002</v>
      </c>
      <c r="E275" s="376">
        <v>1.1295406784749324</v>
      </c>
      <c r="F275" s="376">
        <v>-3.15</v>
      </c>
      <c r="G275" s="376">
        <v>252.52549999999999</v>
      </c>
      <c r="H275" s="376">
        <v>133.24</v>
      </c>
      <c r="I275" s="474"/>
      <c r="J275" s="475" t="str">
        <f t="shared" si="28"/>
        <v>Lennar Corp</v>
      </c>
      <c r="K275" s="476" t="str">
        <f t="shared" si="28"/>
        <v>LEN</v>
      </c>
      <c r="L275" s="477">
        <f t="shared" si="29"/>
        <v>37865.923695509999</v>
      </c>
      <c r="M275" s="478">
        <f t="shared" si="30"/>
        <v>1.1295406784749324E-2</v>
      </c>
      <c r="N275" s="478">
        <f t="shared" si="31"/>
        <v>-3.15E-2</v>
      </c>
      <c r="O275" s="479">
        <f t="shared" si="32"/>
        <v>-2.0382495872110478E-2</v>
      </c>
      <c r="P275" s="480">
        <f t="shared" si="33"/>
        <v>1.0276895781161622E-3</v>
      </c>
      <c r="Q275" s="481">
        <f t="shared" si="34"/>
        <v>-2.0946878583763636E-5</v>
      </c>
    </row>
    <row r="276" spans="1:17" x14ac:dyDescent="0.35">
      <c r="A276" s="376" t="s">
        <v>2388</v>
      </c>
      <c r="B276" s="376" t="s">
        <v>2389</v>
      </c>
      <c r="C276" s="376" t="s">
        <v>2390</v>
      </c>
      <c r="D276" s="376">
        <v>18851422000</v>
      </c>
      <c r="E276" s="376">
        <v>1.3206749071767636</v>
      </c>
      <c r="F276" s="376">
        <v>-26.555</v>
      </c>
      <c r="G276" s="376">
        <v>88.6</v>
      </c>
      <c r="H276" s="376">
        <v>212.77</v>
      </c>
      <c r="I276" s="474"/>
      <c r="J276" s="475" t="str">
        <f t="shared" si="28"/>
        <v>Laboratory Corp of America Holdings</v>
      </c>
      <c r="K276" s="476" t="str">
        <f t="shared" si="28"/>
        <v>LH</v>
      </c>
      <c r="L276" s="477">
        <f t="shared" si="29"/>
        <v>18851.421999999999</v>
      </c>
      <c r="M276" s="478">
        <f t="shared" si="30"/>
        <v>1.3206749071767636E-2</v>
      </c>
      <c r="N276" s="478">
        <f t="shared" si="31"/>
        <v>-0.26555000000000001</v>
      </c>
      <c r="O276" s="479">
        <f t="shared" si="32"/>
        <v>-0.25409677703623634</v>
      </c>
      <c r="P276" s="480">
        <f t="shared" si="33"/>
        <v>5.1163177948216709E-4</v>
      </c>
      <c r="Q276" s="481">
        <f t="shared" si="34"/>
        <v>-1.3000398619573305E-4</v>
      </c>
    </row>
    <row r="277" spans="1:17" x14ac:dyDescent="0.35">
      <c r="A277" s="376" t="s">
        <v>2391</v>
      </c>
      <c r="B277" s="376" t="s">
        <v>2392</v>
      </c>
      <c r="C277" s="376" t="s">
        <v>2393</v>
      </c>
      <c r="D277" s="376">
        <v>37074131736.509995</v>
      </c>
      <c r="E277" s="376">
        <v>2.4564362001124231</v>
      </c>
      <c r="F277" s="376">
        <v>2.58</v>
      </c>
      <c r="G277" s="376">
        <v>189.45339999999999</v>
      </c>
      <c r="H277" s="376">
        <v>195.69</v>
      </c>
      <c r="I277" s="474"/>
      <c r="J277" s="475" t="str">
        <f t="shared" si="28"/>
        <v>L3Harris Technologies Inc</v>
      </c>
      <c r="K277" s="476" t="str">
        <f t="shared" si="28"/>
        <v>LHX</v>
      </c>
      <c r="L277" s="477">
        <f t="shared" si="29"/>
        <v>37074.131736509997</v>
      </c>
      <c r="M277" s="478">
        <f t="shared" si="30"/>
        <v>2.4564362001124232E-2</v>
      </c>
      <c r="N277" s="478">
        <f t="shared" si="31"/>
        <v>2.58E-2</v>
      </c>
      <c r="O277" s="479">
        <f t="shared" si="32"/>
        <v>5.0681242270938731E-2</v>
      </c>
      <c r="P277" s="480">
        <f t="shared" si="33"/>
        <v>1.0062001685128526E-3</v>
      </c>
      <c r="Q277" s="481">
        <f t="shared" si="34"/>
        <v>5.0995474513459262E-5</v>
      </c>
    </row>
    <row r="278" spans="1:17" x14ac:dyDescent="0.35">
      <c r="A278" s="376" t="s">
        <v>2394</v>
      </c>
      <c r="B278" s="376" t="s">
        <v>2395</v>
      </c>
      <c r="C278" s="376" t="s">
        <v>2396</v>
      </c>
      <c r="D278" s="376">
        <v>185794560259.75998</v>
      </c>
      <c r="E278" s="376">
        <v>1.3481958899043798</v>
      </c>
      <c r="F278" s="376">
        <v>13.5</v>
      </c>
      <c r="G278" s="376">
        <v>490.767</v>
      </c>
      <c r="H278" s="376">
        <v>378.58</v>
      </c>
      <c r="I278" s="474"/>
      <c r="J278" s="475" t="str">
        <f t="shared" si="28"/>
        <v>Linde PLC</v>
      </c>
      <c r="K278" s="476" t="str">
        <f t="shared" si="28"/>
        <v>LIN</v>
      </c>
      <c r="L278" s="477">
        <f t="shared" si="29"/>
        <v>185794.56025975998</v>
      </c>
      <c r="M278" s="478">
        <f t="shared" si="30"/>
        <v>1.3481958899043798E-2</v>
      </c>
      <c r="N278" s="478">
        <f t="shared" si="31"/>
        <v>0.13500000000000001</v>
      </c>
      <c r="O278" s="479">
        <f t="shared" si="32"/>
        <v>0.14939199112472926</v>
      </c>
      <c r="P278" s="480">
        <f t="shared" si="33"/>
        <v>5.042505625507069E-3</v>
      </c>
      <c r="Q278" s="481">
        <f t="shared" si="34"/>
        <v>7.533099556521494E-4</v>
      </c>
    </row>
    <row r="279" spans="1:17" x14ac:dyDescent="0.35">
      <c r="A279" s="376" t="s">
        <v>2397</v>
      </c>
      <c r="B279" s="376" t="s">
        <v>2398</v>
      </c>
      <c r="C279" s="376" t="s">
        <v>2399</v>
      </c>
      <c r="D279" s="376">
        <v>15553587468.429998</v>
      </c>
      <c r="E279" s="376">
        <v>1.8903591682419663</v>
      </c>
      <c r="F279" s="376" t="s">
        <v>1612</v>
      </c>
      <c r="G279" s="376">
        <v>267.28969999999998</v>
      </c>
      <c r="H279" s="376">
        <v>58.19</v>
      </c>
      <c r="I279" s="474"/>
      <c r="J279" s="475" t="str">
        <f t="shared" si="28"/>
        <v>LKQ Corp</v>
      </c>
      <c r="K279" s="476" t="str">
        <f t="shared" si="28"/>
        <v>LKQ</v>
      </c>
      <c r="L279" s="477">
        <f t="shared" si="29"/>
        <v>15553.587468429998</v>
      </c>
      <c r="M279" s="478">
        <f t="shared" si="30"/>
        <v>1.8903591682419663E-2</v>
      </c>
      <c r="N279" s="478" t="str">
        <f t="shared" si="31"/>
        <v>N/A</v>
      </c>
      <c r="O279" s="479" t="str">
        <f t="shared" si="32"/>
        <v>N/A</v>
      </c>
      <c r="P279" s="480" t="str">
        <f t="shared" si="33"/>
        <v>N/A</v>
      </c>
      <c r="Q279" s="481" t="str">
        <f t="shared" si="34"/>
        <v>N/A</v>
      </c>
    </row>
    <row r="280" spans="1:17" x14ac:dyDescent="0.35">
      <c r="A280" s="376" t="s">
        <v>2400</v>
      </c>
      <c r="B280" s="376" t="s">
        <v>2401</v>
      </c>
      <c r="C280" s="376" t="s">
        <v>2402</v>
      </c>
      <c r="D280" s="376">
        <v>426660212466.17999</v>
      </c>
      <c r="E280" s="376">
        <v>1.0009789525208028</v>
      </c>
      <c r="F280" s="376">
        <v>21.86</v>
      </c>
      <c r="G280" s="376">
        <v>949.27289999999994</v>
      </c>
      <c r="H280" s="376">
        <v>449.46</v>
      </c>
      <c r="I280" s="474"/>
      <c r="J280" s="475" t="str">
        <f t="shared" si="28"/>
        <v>Eli Lilly &amp; Co</v>
      </c>
      <c r="K280" s="476" t="str">
        <f t="shared" si="28"/>
        <v>LLY</v>
      </c>
      <c r="L280" s="477">
        <f t="shared" si="29"/>
        <v>426660.21246617998</v>
      </c>
      <c r="M280" s="478">
        <f t="shared" si="30"/>
        <v>1.0009789525208028E-2</v>
      </c>
      <c r="N280" s="478">
        <f t="shared" si="31"/>
        <v>0.21859999999999999</v>
      </c>
      <c r="O280" s="479">
        <f t="shared" si="32"/>
        <v>0.22970385952031325</v>
      </c>
      <c r="P280" s="480">
        <f t="shared" si="33"/>
        <v>1.1579652916279269E-2</v>
      </c>
      <c r="Q280" s="481">
        <f t="shared" si="34"/>
        <v>2.6598909667749989E-3</v>
      </c>
    </row>
    <row r="281" spans="1:17" x14ac:dyDescent="0.35">
      <c r="A281" s="376" t="s">
        <v>2403</v>
      </c>
      <c r="B281" s="376" t="s">
        <v>2404</v>
      </c>
      <c r="C281" s="376" t="s">
        <v>2405</v>
      </c>
      <c r="D281" s="376">
        <v>117587692883.42999</v>
      </c>
      <c r="E281" s="376">
        <v>2.6316469600051686</v>
      </c>
      <c r="F281" s="376">
        <v>6.65</v>
      </c>
      <c r="G281" s="376">
        <v>253.2526</v>
      </c>
      <c r="H281" s="376">
        <v>464.31</v>
      </c>
      <c r="I281" s="474"/>
      <c r="J281" s="475" t="str">
        <f t="shared" si="28"/>
        <v>Lockheed Martin Corp</v>
      </c>
      <c r="K281" s="476" t="str">
        <f t="shared" si="28"/>
        <v>LMT</v>
      </c>
      <c r="L281" s="477">
        <f t="shared" si="29"/>
        <v>117587.69288342999</v>
      </c>
      <c r="M281" s="478">
        <f t="shared" si="30"/>
        <v>2.6316469600051687E-2</v>
      </c>
      <c r="N281" s="478">
        <f t="shared" si="31"/>
        <v>6.6500000000000004E-2</v>
      </c>
      <c r="O281" s="479">
        <f t="shared" si="32"/>
        <v>9.3691492214253408E-2</v>
      </c>
      <c r="P281" s="480">
        <f t="shared" si="33"/>
        <v>3.191356097972442E-3</v>
      </c>
      <c r="Q281" s="481">
        <f t="shared" si="34"/>
        <v>2.9900291500609518E-4</v>
      </c>
    </row>
    <row r="282" spans="1:17" x14ac:dyDescent="0.35">
      <c r="A282" s="376" t="s">
        <v>2406</v>
      </c>
      <c r="B282" s="376" t="s">
        <v>2407</v>
      </c>
      <c r="C282" s="376" t="s">
        <v>2408</v>
      </c>
      <c r="D282" s="376">
        <v>4469565776.7599993</v>
      </c>
      <c r="E282" s="376">
        <v>6.9613050075872538</v>
      </c>
      <c r="F282" s="376">
        <v>111.86</v>
      </c>
      <c r="G282" s="376">
        <v>169.55859999999998</v>
      </c>
      <c r="H282" s="376">
        <v>26.36</v>
      </c>
      <c r="I282" s="474"/>
      <c r="J282" s="475" t="str">
        <f t="shared" si="28"/>
        <v>Lincoln National Corp</v>
      </c>
      <c r="K282" s="476" t="str">
        <f t="shared" si="28"/>
        <v>LNC</v>
      </c>
      <c r="L282" s="477">
        <f t="shared" si="29"/>
        <v>4469.5657767599996</v>
      </c>
      <c r="M282" s="478">
        <f t="shared" si="30"/>
        <v>6.961305007587254E-2</v>
      </c>
      <c r="N282" s="478">
        <f t="shared" si="31"/>
        <v>1.1186</v>
      </c>
      <c r="O282" s="479">
        <f t="shared" si="32"/>
        <v>1.2271476289833081</v>
      </c>
      <c r="P282" s="480">
        <f t="shared" si="33"/>
        <v>1.2130500775359615E-4</v>
      </c>
      <c r="Q282" s="481">
        <f t="shared" si="34"/>
        <v>1.4885915264862732E-4</v>
      </c>
    </row>
    <row r="283" spans="1:17" x14ac:dyDescent="0.35">
      <c r="A283" s="376" t="s">
        <v>2409</v>
      </c>
      <c r="B283" s="376" t="s">
        <v>2410</v>
      </c>
      <c r="C283" s="376" t="s">
        <v>1489</v>
      </c>
      <c r="D283" s="376">
        <v>13615162598.08</v>
      </c>
      <c r="E283" s="376">
        <v>3.3530280649926145</v>
      </c>
      <c r="F283" s="376">
        <v>6.4750000000000005</v>
      </c>
      <c r="G283" s="376">
        <v>251.3878</v>
      </c>
      <c r="H283" s="376">
        <v>54.16</v>
      </c>
      <c r="I283" s="474"/>
      <c r="J283" s="475" t="str">
        <f t="shared" si="28"/>
        <v>Alliant Energy Corp</v>
      </c>
      <c r="K283" s="476" t="str">
        <f t="shared" si="28"/>
        <v>LNT</v>
      </c>
      <c r="L283" s="477">
        <f t="shared" si="29"/>
        <v>13615.16259808</v>
      </c>
      <c r="M283" s="478">
        <f t="shared" si="30"/>
        <v>3.3530280649926143E-2</v>
      </c>
      <c r="N283" s="478">
        <f t="shared" si="31"/>
        <v>6.4750000000000002E-2</v>
      </c>
      <c r="O283" s="479">
        <f t="shared" si="32"/>
        <v>9.9365823485967508E-2</v>
      </c>
      <c r="P283" s="480">
        <f t="shared" si="33"/>
        <v>3.6951853647935502E-4</v>
      </c>
      <c r="Q283" s="481">
        <f t="shared" si="34"/>
        <v>3.6717513670600637E-5</v>
      </c>
    </row>
    <row r="284" spans="1:17" x14ac:dyDescent="0.35">
      <c r="A284" s="376" t="s">
        <v>2411</v>
      </c>
      <c r="B284" s="376" t="s">
        <v>2412</v>
      </c>
      <c r="C284" s="376" t="s">
        <v>2413</v>
      </c>
      <c r="D284" s="376">
        <v>134037244303.42001</v>
      </c>
      <c r="E284" s="376">
        <v>1.9533094342922095</v>
      </c>
      <c r="F284" s="376">
        <v>20.625</v>
      </c>
      <c r="G284" s="376">
        <v>585.98079999999993</v>
      </c>
      <c r="H284" s="376">
        <v>228.74</v>
      </c>
      <c r="I284" s="474"/>
      <c r="J284" s="475" t="str">
        <f t="shared" si="28"/>
        <v>Lowe's Cos Inc</v>
      </c>
      <c r="K284" s="476" t="str">
        <f t="shared" si="28"/>
        <v>LOW</v>
      </c>
      <c r="L284" s="477">
        <f t="shared" si="29"/>
        <v>134037.24430342001</v>
      </c>
      <c r="M284" s="478">
        <f t="shared" si="30"/>
        <v>1.9533094342922094E-2</v>
      </c>
      <c r="N284" s="478">
        <f t="shared" si="31"/>
        <v>0.20624999999999999</v>
      </c>
      <c r="O284" s="479">
        <f t="shared" si="32"/>
        <v>0.22779744469703592</v>
      </c>
      <c r="P284" s="480">
        <f t="shared" si="33"/>
        <v>3.6378005765212167E-3</v>
      </c>
      <c r="Q284" s="481">
        <f t="shared" si="34"/>
        <v>8.2868167564893725E-4</v>
      </c>
    </row>
    <row r="285" spans="1:17" x14ac:dyDescent="0.35">
      <c r="A285" s="376" t="s">
        <v>2414</v>
      </c>
      <c r="B285" s="376" t="s">
        <v>2415</v>
      </c>
      <c r="C285" s="376" t="s">
        <v>2416</v>
      </c>
      <c r="D285" s="376">
        <v>85784453077.439987</v>
      </c>
      <c r="E285" s="376">
        <v>1.0573791029817088</v>
      </c>
      <c r="F285" s="376">
        <v>-0.72</v>
      </c>
      <c r="G285" s="376">
        <v>134.34049999999999</v>
      </c>
      <c r="H285" s="376">
        <v>638.55999999999995</v>
      </c>
      <c r="I285" s="474"/>
      <c r="J285" s="475" t="str">
        <f t="shared" si="28"/>
        <v>Lam Research Corp</v>
      </c>
      <c r="K285" s="476" t="str">
        <f t="shared" si="28"/>
        <v>LRCX</v>
      </c>
      <c r="L285" s="477">
        <f t="shared" si="29"/>
        <v>85784.45307743999</v>
      </c>
      <c r="M285" s="478">
        <f t="shared" si="30"/>
        <v>1.0573791029817087E-2</v>
      </c>
      <c r="N285" s="478">
        <f t="shared" si="31"/>
        <v>-7.1999999999999998E-3</v>
      </c>
      <c r="O285" s="479">
        <f t="shared" si="32"/>
        <v>3.3357253821097461E-3</v>
      </c>
      <c r="P285" s="480">
        <f t="shared" si="33"/>
        <v>2.3282091069795736E-3</v>
      </c>
      <c r="Q285" s="481">
        <f t="shared" si="34"/>
        <v>7.7662662130108283E-6</v>
      </c>
    </row>
    <row r="286" spans="1:17" x14ac:dyDescent="0.35">
      <c r="A286" s="376" t="s">
        <v>2417</v>
      </c>
      <c r="B286" s="376" t="s">
        <v>2418</v>
      </c>
      <c r="C286" s="376" t="s">
        <v>2419</v>
      </c>
      <c r="D286" s="376">
        <v>21636855952.559998</v>
      </c>
      <c r="E286" s="376">
        <v>1.9801980198019802</v>
      </c>
      <c r="F286" s="376">
        <v>58.03</v>
      </c>
      <c r="G286" s="376">
        <v>595.07299999999998</v>
      </c>
      <c r="H286" s="376">
        <v>36.36</v>
      </c>
      <c r="I286" s="474"/>
      <c r="J286" s="475" t="str">
        <f t="shared" si="28"/>
        <v>Southwest Airlines Co</v>
      </c>
      <c r="K286" s="476" t="str">
        <f t="shared" si="28"/>
        <v>LUV</v>
      </c>
      <c r="L286" s="477">
        <f t="shared" si="29"/>
        <v>21636.855952559996</v>
      </c>
      <c r="M286" s="478">
        <f t="shared" si="30"/>
        <v>1.9801980198019802E-2</v>
      </c>
      <c r="N286" s="478">
        <f t="shared" si="31"/>
        <v>0.58030000000000004</v>
      </c>
      <c r="O286" s="479">
        <f t="shared" si="32"/>
        <v>0.60584752475247527</v>
      </c>
      <c r="P286" s="480">
        <f t="shared" si="33"/>
        <v>5.8722907552584576E-4</v>
      </c>
      <c r="Q286" s="481">
        <f t="shared" si="34"/>
        <v>3.55771281870018E-4</v>
      </c>
    </row>
    <row r="287" spans="1:17" x14ac:dyDescent="0.35">
      <c r="A287" s="376" t="s">
        <v>2420</v>
      </c>
      <c r="B287" s="376" t="s">
        <v>2421</v>
      </c>
      <c r="C287" s="376" t="s">
        <v>2422</v>
      </c>
      <c r="D287" s="376">
        <v>46574698262.839996</v>
      </c>
      <c r="E287" s="376">
        <v>0.11486708237610767</v>
      </c>
      <c r="F287" s="376" t="s">
        <v>1612</v>
      </c>
      <c r="G287" s="376">
        <v>764.27139999999997</v>
      </c>
      <c r="H287" s="376">
        <v>60.94</v>
      </c>
      <c r="I287" s="474"/>
      <c r="J287" s="475" t="str">
        <f t="shared" si="28"/>
        <v>Las Vegas Sands Corp</v>
      </c>
      <c r="K287" s="476" t="str">
        <f t="shared" si="28"/>
        <v>LVS</v>
      </c>
      <c r="L287" s="477">
        <f t="shared" si="29"/>
        <v>46574.698262839993</v>
      </c>
      <c r="M287" s="478">
        <f t="shared" si="30"/>
        <v>1.1486708237610768E-3</v>
      </c>
      <c r="N287" s="478" t="str">
        <f t="shared" si="31"/>
        <v>N/A</v>
      </c>
      <c r="O287" s="479" t="str">
        <f t="shared" si="32"/>
        <v>N/A</v>
      </c>
      <c r="P287" s="480" t="str">
        <f t="shared" si="33"/>
        <v>N/A</v>
      </c>
      <c r="Q287" s="481" t="str">
        <f t="shared" si="34"/>
        <v>N/A</v>
      </c>
    </row>
    <row r="288" spans="1:17" x14ac:dyDescent="0.35">
      <c r="A288" s="376" t="s">
        <v>2423</v>
      </c>
      <c r="B288" s="376" t="s">
        <v>2424</v>
      </c>
      <c r="C288" s="376" t="s">
        <v>2425</v>
      </c>
      <c r="D288" s="376">
        <v>16422316662.569996</v>
      </c>
      <c r="E288" s="376">
        <v>0.89965397923875445</v>
      </c>
      <c r="F288" s="376">
        <v>42.74</v>
      </c>
      <c r="G288" s="376">
        <v>145.70419999999999</v>
      </c>
      <c r="H288" s="376">
        <v>112.71</v>
      </c>
      <c r="I288" s="474"/>
      <c r="J288" s="475" t="str">
        <f t="shared" si="28"/>
        <v>Lamb Weston Holdings Inc</v>
      </c>
      <c r="K288" s="476" t="str">
        <f t="shared" si="28"/>
        <v>LW</v>
      </c>
      <c r="L288" s="477">
        <f t="shared" si="29"/>
        <v>16422.316662569996</v>
      </c>
      <c r="M288" s="478">
        <f t="shared" si="30"/>
        <v>8.996539792387544E-3</v>
      </c>
      <c r="N288" s="478">
        <f t="shared" si="31"/>
        <v>0.4274</v>
      </c>
      <c r="O288" s="479">
        <f t="shared" si="32"/>
        <v>0.43831910034602078</v>
      </c>
      <c r="P288" s="480">
        <f t="shared" si="33"/>
        <v>4.4570532118427624E-4</v>
      </c>
      <c r="Q288" s="481">
        <f t="shared" si="34"/>
        <v>1.9536115540092619E-4</v>
      </c>
    </row>
    <row r="289" spans="1:17" x14ac:dyDescent="0.35">
      <c r="A289" s="376" t="s">
        <v>2426</v>
      </c>
      <c r="B289" s="376" t="s">
        <v>2427</v>
      </c>
      <c r="C289" s="376" t="s">
        <v>2428</v>
      </c>
      <c r="D289" s="376">
        <v>29599946830.999996</v>
      </c>
      <c r="E289" s="376">
        <v>5.2417582417582427</v>
      </c>
      <c r="F289" s="376">
        <v>13.5</v>
      </c>
      <c r="G289" s="376">
        <v>325.27409999999998</v>
      </c>
      <c r="H289" s="376">
        <v>91</v>
      </c>
      <c r="I289" s="474"/>
      <c r="J289" s="475" t="str">
        <f t="shared" si="28"/>
        <v>LyondellBasell Industries NV</v>
      </c>
      <c r="K289" s="476" t="str">
        <f t="shared" si="28"/>
        <v>LYB</v>
      </c>
      <c r="L289" s="477">
        <f t="shared" si="29"/>
        <v>29599.946830999997</v>
      </c>
      <c r="M289" s="478">
        <f t="shared" si="30"/>
        <v>5.2417582417582424E-2</v>
      </c>
      <c r="N289" s="478">
        <f t="shared" si="31"/>
        <v>0.13500000000000001</v>
      </c>
      <c r="O289" s="479">
        <f t="shared" si="32"/>
        <v>0.19095576923076923</v>
      </c>
      <c r="P289" s="480">
        <f t="shared" si="33"/>
        <v>8.0334913035855129E-4</v>
      </c>
      <c r="Q289" s="481">
        <f t="shared" si="34"/>
        <v>1.5340415114848668E-4</v>
      </c>
    </row>
    <row r="290" spans="1:17" x14ac:dyDescent="0.35">
      <c r="A290" s="376" t="s">
        <v>2429</v>
      </c>
      <c r="B290" s="376" t="s">
        <v>2430</v>
      </c>
      <c r="C290" s="376" t="s">
        <v>2431</v>
      </c>
      <c r="D290" s="376">
        <v>21715522468.619999</v>
      </c>
      <c r="E290" s="376">
        <v>0</v>
      </c>
      <c r="F290" s="376" t="s">
        <v>1612</v>
      </c>
      <c r="G290" s="376">
        <v>229.8912</v>
      </c>
      <c r="H290" s="376">
        <v>94.46</v>
      </c>
      <c r="I290" s="474"/>
      <c r="J290" s="475" t="str">
        <f t="shared" si="28"/>
        <v>Live Nation Entertainment Inc</v>
      </c>
      <c r="K290" s="476" t="str">
        <f t="shared" si="28"/>
        <v>LYV</v>
      </c>
      <c r="L290" s="477">
        <f t="shared" si="29"/>
        <v>21715.522468619998</v>
      </c>
      <c r="M290" s="478">
        <f t="shared" si="30"/>
        <v>0</v>
      </c>
      <c r="N290" s="478" t="str">
        <f t="shared" si="31"/>
        <v>N/A</v>
      </c>
      <c r="O290" s="479" t="str">
        <f t="shared" si="32"/>
        <v>N/A</v>
      </c>
      <c r="P290" s="480" t="str">
        <f t="shared" si="33"/>
        <v>N/A</v>
      </c>
      <c r="Q290" s="481" t="str">
        <f t="shared" si="34"/>
        <v>N/A</v>
      </c>
    </row>
    <row r="291" spans="1:17" x14ac:dyDescent="0.35">
      <c r="A291" s="376" t="s">
        <v>2432</v>
      </c>
      <c r="B291" s="376" t="s">
        <v>2433</v>
      </c>
      <c r="C291" s="376" t="s">
        <v>2434</v>
      </c>
      <c r="D291" s="376">
        <v>381430089218.5199</v>
      </c>
      <c r="E291" s="376">
        <v>0.55104221013142529</v>
      </c>
      <c r="F291" s="376">
        <v>17.975000000000001</v>
      </c>
      <c r="G291" s="376">
        <v>940.18049999999994</v>
      </c>
      <c r="H291" s="376">
        <v>402.51</v>
      </c>
      <c r="I291" s="474"/>
      <c r="J291" s="475" t="str">
        <f t="shared" si="28"/>
        <v>Mastercard Inc</v>
      </c>
      <c r="K291" s="476" t="str">
        <f t="shared" si="28"/>
        <v>MA</v>
      </c>
      <c r="L291" s="477">
        <f t="shared" si="29"/>
        <v>381430.08921851992</v>
      </c>
      <c r="M291" s="478">
        <f t="shared" si="30"/>
        <v>5.5104221013142531E-3</v>
      </c>
      <c r="N291" s="478">
        <f t="shared" si="31"/>
        <v>0.17975000000000002</v>
      </c>
      <c r="O291" s="479">
        <f t="shared" si="32"/>
        <v>0.1857556712876699</v>
      </c>
      <c r="P291" s="480">
        <f t="shared" si="33"/>
        <v>1.0352097326923831E-2</v>
      </c>
      <c r="Q291" s="481">
        <f t="shared" si="34"/>
        <v>1.9229607881980294E-3</v>
      </c>
    </row>
    <row r="292" spans="1:17" x14ac:dyDescent="0.35">
      <c r="A292" s="376" t="s">
        <v>2435</v>
      </c>
      <c r="B292" s="376" t="s">
        <v>2436</v>
      </c>
      <c r="C292" s="376" t="s">
        <v>2437</v>
      </c>
      <c r="D292" s="376">
        <v>18219910852.739998</v>
      </c>
      <c r="E292" s="376">
        <v>3.6099372518888457</v>
      </c>
      <c r="F292" s="376" t="s">
        <v>1612</v>
      </c>
      <c r="G292" s="376">
        <v>116.6597</v>
      </c>
      <c r="H292" s="376">
        <v>156.18</v>
      </c>
      <c r="I292" s="474"/>
      <c r="J292" s="475" t="str">
        <f t="shared" si="28"/>
        <v>Mid-America Apartment Communities Inc</v>
      </c>
      <c r="K292" s="476" t="str">
        <f t="shared" si="28"/>
        <v>MAA</v>
      </c>
      <c r="L292" s="477">
        <f t="shared" si="29"/>
        <v>18219.910852739999</v>
      </c>
      <c r="M292" s="478">
        <f t="shared" si="30"/>
        <v>3.6099372518888458E-2</v>
      </c>
      <c r="N292" s="478" t="str">
        <f t="shared" si="31"/>
        <v>N/A</v>
      </c>
      <c r="O292" s="479" t="str">
        <f t="shared" si="32"/>
        <v>N/A</v>
      </c>
      <c r="P292" s="480" t="str">
        <f t="shared" si="33"/>
        <v>N/A</v>
      </c>
      <c r="Q292" s="481" t="str">
        <f t="shared" si="34"/>
        <v>N/A</v>
      </c>
    </row>
    <row r="293" spans="1:17" x14ac:dyDescent="0.35">
      <c r="A293" s="376" t="s">
        <v>2438</v>
      </c>
      <c r="B293" s="376" t="s">
        <v>2439</v>
      </c>
      <c r="C293" s="376" t="s">
        <v>2440</v>
      </c>
      <c r="D293" s="376">
        <v>57452243794.229996</v>
      </c>
      <c r="E293" s="376">
        <v>0.88969850572891918</v>
      </c>
      <c r="F293" s="376">
        <v>15.57</v>
      </c>
      <c r="G293" s="376">
        <v>303.35419999999999</v>
      </c>
      <c r="H293" s="376">
        <v>189.39</v>
      </c>
      <c r="I293" s="474"/>
      <c r="J293" s="475" t="str">
        <f t="shared" si="28"/>
        <v>Marriott International Inc/MD</v>
      </c>
      <c r="K293" s="476" t="str">
        <f t="shared" si="28"/>
        <v>MAR</v>
      </c>
      <c r="L293" s="477">
        <f t="shared" si="29"/>
        <v>57452.243794229995</v>
      </c>
      <c r="M293" s="478">
        <f t="shared" si="30"/>
        <v>8.8969850572891921E-3</v>
      </c>
      <c r="N293" s="478">
        <f t="shared" si="31"/>
        <v>0.15570000000000001</v>
      </c>
      <c r="O293" s="479">
        <f t="shared" si="32"/>
        <v>0.16528961534399916</v>
      </c>
      <c r="P293" s="480">
        <f t="shared" si="33"/>
        <v>1.5592666551990182E-3</v>
      </c>
      <c r="Q293" s="481">
        <f t="shared" si="34"/>
        <v>2.5773058565656991E-4</v>
      </c>
    </row>
    <row r="294" spans="1:17" x14ac:dyDescent="0.35">
      <c r="A294" s="376" t="s">
        <v>2441</v>
      </c>
      <c r="B294" s="376" t="s">
        <v>2442</v>
      </c>
      <c r="C294" s="376" t="s">
        <v>2443</v>
      </c>
      <c r="D294" s="376">
        <v>13500809729.499996</v>
      </c>
      <c r="E294" s="376">
        <v>1.9023007669223075</v>
      </c>
      <c r="F294" s="376">
        <v>4.57</v>
      </c>
      <c r="G294" s="376">
        <v>225.08849999999998</v>
      </c>
      <c r="H294" s="376">
        <v>59.98</v>
      </c>
      <c r="I294" s="474"/>
      <c r="J294" s="475" t="str">
        <f t="shared" si="28"/>
        <v>Masco Corp</v>
      </c>
      <c r="K294" s="476" t="str">
        <f t="shared" si="28"/>
        <v>MAS</v>
      </c>
      <c r="L294" s="477">
        <f t="shared" si="29"/>
        <v>13500.809729499997</v>
      </c>
      <c r="M294" s="478">
        <f t="shared" si="30"/>
        <v>1.9023007669223074E-2</v>
      </c>
      <c r="N294" s="478">
        <f t="shared" si="31"/>
        <v>4.5700000000000005E-2</v>
      </c>
      <c r="O294" s="479">
        <f t="shared" si="32"/>
        <v>6.515768339446483E-2</v>
      </c>
      <c r="P294" s="480">
        <f t="shared" si="33"/>
        <v>3.6641497423134649E-4</v>
      </c>
      <c r="Q294" s="481">
        <f t="shared" si="34"/>
        <v>2.3874750881957065E-5</v>
      </c>
    </row>
    <row r="295" spans="1:17" x14ac:dyDescent="0.35">
      <c r="A295" s="376" t="s">
        <v>2444</v>
      </c>
      <c r="B295" s="376" t="s">
        <v>2445</v>
      </c>
      <c r="C295" s="376" t="s">
        <v>2446</v>
      </c>
      <c r="D295" s="376">
        <v>215333893686.23999</v>
      </c>
      <c r="E295" s="376">
        <v>2.0827965009832505</v>
      </c>
      <c r="F295" s="376">
        <v>8.8849999999999998</v>
      </c>
      <c r="G295" s="376">
        <v>730.09389999999996</v>
      </c>
      <c r="H295" s="376">
        <v>294.94</v>
      </c>
      <c r="I295" s="474"/>
      <c r="J295" s="475" t="str">
        <f t="shared" si="28"/>
        <v>McDonald's Corp</v>
      </c>
      <c r="K295" s="476" t="str">
        <f t="shared" si="28"/>
        <v>MCD</v>
      </c>
      <c r="L295" s="477">
        <f t="shared" si="29"/>
        <v>215333.89368623999</v>
      </c>
      <c r="M295" s="478">
        <f t="shared" si="30"/>
        <v>2.0827965009832507E-2</v>
      </c>
      <c r="N295" s="478">
        <f t="shared" si="31"/>
        <v>8.8849999999999998E-2</v>
      </c>
      <c r="O295" s="479">
        <f t="shared" si="32"/>
        <v>0.11060324735539431</v>
      </c>
      <c r="P295" s="480">
        <f t="shared" si="33"/>
        <v>5.8442096946063147E-3</v>
      </c>
      <c r="Q295" s="481">
        <f t="shared" si="34"/>
        <v>6.4638857044933568E-4</v>
      </c>
    </row>
    <row r="296" spans="1:17" x14ac:dyDescent="0.35">
      <c r="A296" s="376" t="s">
        <v>2447</v>
      </c>
      <c r="B296" s="376" t="s">
        <v>2448</v>
      </c>
      <c r="C296" s="376" t="s">
        <v>2449</v>
      </c>
      <c r="D296" s="376">
        <v>48931855620.199997</v>
      </c>
      <c r="E296" s="376">
        <v>1.8680338831921532</v>
      </c>
      <c r="F296" s="376">
        <v>13.76</v>
      </c>
      <c r="G296" s="376">
        <v>545.38400000000001</v>
      </c>
      <c r="H296" s="376">
        <v>89.72</v>
      </c>
      <c r="I296" s="474"/>
      <c r="J296" s="475" t="str">
        <f t="shared" si="28"/>
        <v>Microchip Technology Inc</v>
      </c>
      <c r="K296" s="476" t="str">
        <f t="shared" si="28"/>
        <v>MCHP</v>
      </c>
      <c r="L296" s="477">
        <f t="shared" si="29"/>
        <v>48931.855620199996</v>
      </c>
      <c r="M296" s="478">
        <f t="shared" si="30"/>
        <v>1.8680338831921533E-2</v>
      </c>
      <c r="N296" s="478">
        <f t="shared" si="31"/>
        <v>0.1376</v>
      </c>
      <c r="O296" s="479">
        <f t="shared" si="32"/>
        <v>0.15756554614355772</v>
      </c>
      <c r="P296" s="480">
        <f t="shared" si="33"/>
        <v>1.3280214280030123E-3</v>
      </c>
      <c r="Q296" s="481">
        <f t="shared" si="34"/>
        <v>2.0925042159364207E-4</v>
      </c>
    </row>
    <row r="297" spans="1:17" x14ac:dyDescent="0.35">
      <c r="A297" s="376" t="s">
        <v>2450</v>
      </c>
      <c r="B297" s="376" t="s">
        <v>2451</v>
      </c>
      <c r="C297" s="376" t="s">
        <v>2452</v>
      </c>
      <c r="D297" s="376">
        <v>55492571452.499992</v>
      </c>
      <c r="E297" s="376">
        <v>0.55970695970695972</v>
      </c>
      <c r="F297" s="376">
        <v>9.66</v>
      </c>
      <c r="G297" s="376">
        <v>135.51300000000001</v>
      </c>
      <c r="H297" s="376">
        <v>409.5</v>
      </c>
      <c r="I297" s="474"/>
      <c r="J297" s="475" t="str">
        <f t="shared" si="28"/>
        <v>McKesson Corp</v>
      </c>
      <c r="K297" s="476" t="str">
        <f t="shared" si="28"/>
        <v>MCK</v>
      </c>
      <c r="L297" s="477">
        <f t="shared" si="29"/>
        <v>55492.571452499993</v>
      </c>
      <c r="M297" s="478">
        <f t="shared" si="30"/>
        <v>5.5970695970695974E-3</v>
      </c>
      <c r="N297" s="478">
        <f t="shared" si="31"/>
        <v>9.6600000000000005E-2</v>
      </c>
      <c r="O297" s="479">
        <f t="shared" si="32"/>
        <v>0.10246740805860806</v>
      </c>
      <c r="P297" s="480">
        <f t="shared" si="33"/>
        <v>1.5060807126530762E-3</v>
      </c>
      <c r="Q297" s="481">
        <f t="shared" si="34"/>
        <v>1.5432418695262198E-4</v>
      </c>
    </row>
    <row r="298" spans="1:17" x14ac:dyDescent="0.35">
      <c r="A298" s="376" t="s">
        <v>2453</v>
      </c>
      <c r="B298" s="376" t="s">
        <v>2454</v>
      </c>
      <c r="C298" s="376" t="s">
        <v>2455</v>
      </c>
      <c r="D298" s="376">
        <v>64803024999.999992</v>
      </c>
      <c r="E298" s="376">
        <v>0.87130114682146398</v>
      </c>
      <c r="F298" s="376">
        <v>13.335000000000001</v>
      </c>
      <c r="G298" s="376">
        <v>183.5</v>
      </c>
      <c r="H298" s="376">
        <v>353.15</v>
      </c>
      <c r="I298" s="474"/>
      <c r="J298" s="475" t="str">
        <f t="shared" si="28"/>
        <v>Moody's Corp</v>
      </c>
      <c r="K298" s="476" t="str">
        <f t="shared" si="28"/>
        <v>MCO</v>
      </c>
      <c r="L298" s="477">
        <f t="shared" si="29"/>
        <v>64803.024999999994</v>
      </c>
      <c r="M298" s="478">
        <f t="shared" si="30"/>
        <v>8.7130114682146403E-3</v>
      </c>
      <c r="N298" s="478">
        <f t="shared" si="31"/>
        <v>0.13335</v>
      </c>
      <c r="O298" s="479">
        <f t="shared" si="32"/>
        <v>0.14264395150785786</v>
      </c>
      <c r="P298" s="480">
        <f t="shared" si="33"/>
        <v>1.7587684895376784E-3</v>
      </c>
      <c r="Q298" s="481">
        <f t="shared" si="34"/>
        <v>2.5087768713516099E-4</v>
      </c>
    </row>
    <row r="299" spans="1:17" x14ac:dyDescent="0.35">
      <c r="A299" s="376" t="s">
        <v>2456</v>
      </c>
      <c r="B299" s="376" t="s">
        <v>2457</v>
      </c>
      <c r="C299" s="376" t="s">
        <v>2458</v>
      </c>
      <c r="D299" s="376">
        <v>98434770763.159988</v>
      </c>
      <c r="E299" s="376">
        <v>2.1942446043165464</v>
      </c>
      <c r="F299" s="376">
        <v>8.5950000000000006</v>
      </c>
      <c r="G299" s="376">
        <v>1361.8529999999998</v>
      </c>
      <c r="H299" s="376">
        <v>72.28</v>
      </c>
      <c r="I299" s="474"/>
      <c r="J299" s="475" t="str">
        <f t="shared" si="28"/>
        <v>Mondelez International Inc</v>
      </c>
      <c r="K299" s="476" t="str">
        <f t="shared" si="28"/>
        <v>MDLZ</v>
      </c>
      <c r="L299" s="477">
        <f t="shared" si="29"/>
        <v>98434.770763159991</v>
      </c>
      <c r="M299" s="478">
        <f t="shared" si="30"/>
        <v>2.1942446043165465E-2</v>
      </c>
      <c r="N299" s="478">
        <f t="shared" si="31"/>
        <v>8.5950000000000013E-2</v>
      </c>
      <c r="O299" s="479">
        <f t="shared" si="32"/>
        <v>0.10883542266187052</v>
      </c>
      <c r="P299" s="480">
        <f t="shared" si="33"/>
        <v>2.6715415382709455E-3</v>
      </c>
      <c r="Q299" s="481">
        <f t="shared" si="34"/>
        <v>2.9075835247646209E-4</v>
      </c>
    </row>
    <row r="300" spans="1:17" x14ac:dyDescent="0.35">
      <c r="A300" s="376" t="s">
        <v>2459</v>
      </c>
      <c r="B300" s="376" t="s">
        <v>2460</v>
      </c>
      <c r="C300" s="376" t="s">
        <v>2461</v>
      </c>
      <c r="D300" s="376">
        <v>116610035764.20001</v>
      </c>
      <c r="E300" s="376">
        <v>3.0450656018254416</v>
      </c>
      <c r="F300" s="376">
        <v>3.23</v>
      </c>
      <c r="G300" s="376">
        <v>1330.405</v>
      </c>
      <c r="H300" s="376">
        <v>87.65</v>
      </c>
      <c r="I300" s="474"/>
      <c r="J300" s="475" t="str">
        <f t="shared" si="28"/>
        <v>Medtronic PLC</v>
      </c>
      <c r="K300" s="476" t="str">
        <f t="shared" si="28"/>
        <v>MDT</v>
      </c>
      <c r="L300" s="477">
        <f t="shared" si="29"/>
        <v>116610.03576420002</v>
      </c>
      <c r="M300" s="478">
        <f t="shared" si="30"/>
        <v>3.0450656018254415E-2</v>
      </c>
      <c r="N300" s="478">
        <f t="shared" si="31"/>
        <v>3.2300000000000002E-2</v>
      </c>
      <c r="O300" s="479">
        <f t="shared" si="32"/>
        <v>6.3242434112949233E-2</v>
      </c>
      <c r="P300" s="480">
        <f t="shared" si="33"/>
        <v>3.1648222666447552E-3</v>
      </c>
      <c r="Q300" s="481">
        <f t="shared" si="34"/>
        <v>2.0015106367747559E-4</v>
      </c>
    </row>
    <row r="301" spans="1:17" x14ac:dyDescent="0.35">
      <c r="A301" s="376" t="s">
        <v>2462</v>
      </c>
      <c r="B301" s="376" t="s">
        <v>2463</v>
      </c>
      <c r="C301" s="376" t="s">
        <v>2464</v>
      </c>
      <c r="D301" s="376">
        <v>44540142729.759995</v>
      </c>
      <c r="E301" s="376">
        <v>3.5436726272352135</v>
      </c>
      <c r="F301" s="376">
        <v>8.89</v>
      </c>
      <c r="G301" s="376">
        <v>765.82089999999994</v>
      </c>
      <c r="H301" s="376">
        <v>58.16</v>
      </c>
      <c r="I301" s="474"/>
      <c r="J301" s="475" t="str">
        <f t="shared" si="28"/>
        <v>MetLife Inc</v>
      </c>
      <c r="K301" s="476" t="str">
        <f t="shared" si="28"/>
        <v>MET</v>
      </c>
      <c r="L301" s="477">
        <f t="shared" si="29"/>
        <v>44540.142729759995</v>
      </c>
      <c r="M301" s="478">
        <f t="shared" si="30"/>
        <v>3.5436726272352136E-2</v>
      </c>
      <c r="N301" s="478">
        <f t="shared" si="31"/>
        <v>8.8900000000000007E-2</v>
      </c>
      <c r="O301" s="479">
        <f t="shared" si="32"/>
        <v>0.12591188875515819</v>
      </c>
      <c r="P301" s="480">
        <f t="shared" si="33"/>
        <v>1.2088293648732076E-3</v>
      </c>
      <c r="Q301" s="481">
        <f t="shared" si="34"/>
        <v>1.5220598851388385E-4</v>
      </c>
    </row>
    <row r="302" spans="1:17" x14ac:dyDescent="0.35">
      <c r="A302" s="376" t="s">
        <v>2465</v>
      </c>
      <c r="B302" s="376" t="s">
        <v>2466</v>
      </c>
      <c r="C302" s="376" t="s">
        <v>2467</v>
      </c>
      <c r="D302" s="376">
        <v>791551043341.57996</v>
      </c>
      <c r="E302" s="376">
        <v>0</v>
      </c>
      <c r="F302" s="376">
        <v>19.895</v>
      </c>
      <c r="G302" s="376">
        <v>2212.1529999999998</v>
      </c>
      <c r="H302" s="376">
        <v>308.87</v>
      </c>
      <c r="I302" s="474"/>
      <c r="J302" s="475" t="str">
        <f t="shared" si="28"/>
        <v>Meta Platforms Inc</v>
      </c>
      <c r="K302" s="476" t="str">
        <f t="shared" si="28"/>
        <v>META</v>
      </c>
      <c r="L302" s="477">
        <f t="shared" si="29"/>
        <v>791551.04334157996</v>
      </c>
      <c r="M302" s="478">
        <f t="shared" si="30"/>
        <v>0</v>
      </c>
      <c r="N302" s="478">
        <f t="shared" si="31"/>
        <v>0.19894999999999999</v>
      </c>
      <c r="O302" s="479">
        <f t="shared" si="32"/>
        <v>0.19894999999999999</v>
      </c>
      <c r="P302" s="480">
        <f t="shared" si="33"/>
        <v>2.1482871098839045E-2</v>
      </c>
      <c r="Q302" s="481">
        <f t="shared" si="34"/>
        <v>4.2740172051140279E-3</v>
      </c>
    </row>
    <row r="303" spans="1:17" x14ac:dyDescent="0.35">
      <c r="A303" s="376" t="s">
        <v>2468</v>
      </c>
      <c r="B303" s="376" t="s">
        <v>2469</v>
      </c>
      <c r="C303" s="376" t="s">
        <v>2470</v>
      </c>
      <c r="D303" s="376">
        <v>17556943118.200001</v>
      </c>
      <c r="E303" s="376">
        <v>4.1442188147534191E-3</v>
      </c>
      <c r="F303" s="376" t="s">
        <v>1612</v>
      </c>
      <c r="G303" s="376">
        <v>363.79910000000001</v>
      </c>
      <c r="H303" s="376">
        <v>48.26</v>
      </c>
      <c r="I303" s="474"/>
      <c r="J303" s="475" t="str">
        <f t="shared" si="28"/>
        <v>MGM Resorts International</v>
      </c>
      <c r="K303" s="476" t="str">
        <f t="shared" si="28"/>
        <v>MGM</v>
      </c>
      <c r="L303" s="477">
        <f t="shared" si="29"/>
        <v>17556.943118200001</v>
      </c>
      <c r="M303" s="478">
        <f t="shared" si="30"/>
        <v>4.1442188147534188E-5</v>
      </c>
      <c r="N303" s="478" t="str">
        <f t="shared" si="31"/>
        <v>N/A</v>
      </c>
      <c r="O303" s="479" t="str">
        <f t="shared" si="32"/>
        <v>N/A</v>
      </c>
      <c r="P303" s="480" t="str">
        <f t="shared" si="33"/>
        <v>N/A</v>
      </c>
      <c r="Q303" s="481" t="str">
        <f t="shared" si="34"/>
        <v>N/A</v>
      </c>
    </row>
    <row r="304" spans="1:17" x14ac:dyDescent="0.35">
      <c r="A304" s="376" t="s">
        <v>2471</v>
      </c>
      <c r="B304" s="376" t="s">
        <v>2472</v>
      </c>
      <c r="C304" s="376" t="s">
        <v>2473</v>
      </c>
      <c r="D304" s="376">
        <v>7153128344.7000008</v>
      </c>
      <c r="E304" s="376" t="s">
        <v>1612</v>
      </c>
      <c r="F304" s="376">
        <v>-3.54</v>
      </c>
      <c r="G304" s="376">
        <v>63.679589999999997</v>
      </c>
      <c r="H304" s="376">
        <v>112.33</v>
      </c>
      <c r="I304" s="474"/>
      <c r="J304" s="475" t="str">
        <f t="shared" si="28"/>
        <v>Mohawk Industries Inc</v>
      </c>
      <c r="K304" s="476" t="str">
        <f t="shared" si="28"/>
        <v>MHK</v>
      </c>
      <c r="L304" s="477">
        <f t="shared" si="29"/>
        <v>7153.1283447000005</v>
      </c>
      <c r="M304" s="478" t="str">
        <f t="shared" si="30"/>
        <v>0.00%</v>
      </c>
      <c r="N304" s="478">
        <f t="shared" si="31"/>
        <v>-3.5400000000000001E-2</v>
      </c>
      <c r="O304" s="479">
        <f t="shared" si="32"/>
        <v>-3.5400000000000001E-2</v>
      </c>
      <c r="P304" s="480">
        <f t="shared" si="33"/>
        <v>1.9413749179574835E-4</v>
      </c>
      <c r="Q304" s="481">
        <f t="shared" si="34"/>
        <v>-6.8724672095694914E-6</v>
      </c>
    </row>
    <row r="305" spans="1:17" x14ac:dyDescent="0.35">
      <c r="A305" s="376" t="s">
        <v>2474</v>
      </c>
      <c r="B305" s="376" t="s">
        <v>2475</v>
      </c>
      <c r="C305" s="376" t="s">
        <v>2476</v>
      </c>
      <c r="D305" s="376">
        <v>23027777923.121399</v>
      </c>
      <c r="E305" s="376">
        <v>1.8223154949282965</v>
      </c>
      <c r="F305" s="376">
        <v>7.01</v>
      </c>
      <c r="G305" s="376">
        <v>251.1001</v>
      </c>
      <c r="H305" s="376">
        <v>85.77</v>
      </c>
      <c r="I305" s="474"/>
      <c r="J305" s="475" t="str">
        <f t="shared" si="28"/>
        <v>McCormick &amp; Co Inc/MD</v>
      </c>
      <c r="K305" s="476" t="str">
        <f t="shared" si="28"/>
        <v>MKC</v>
      </c>
      <c r="L305" s="477">
        <f t="shared" si="29"/>
        <v>23027.777923121397</v>
      </c>
      <c r="M305" s="478">
        <f t="shared" si="30"/>
        <v>1.8223154949282963E-2</v>
      </c>
      <c r="N305" s="478">
        <f t="shared" si="31"/>
        <v>7.0099999999999996E-2</v>
      </c>
      <c r="O305" s="479">
        <f t="shared" si="32"/>
        <v>8.8961876530255335E-2</v>
      </c>
      <c r="P305" s="480">
        <f t="shared" si="33"/>
        <v>6.2497900669385912E-4</v>
      </c>
      <c r="Q305" s="481">
        <f t="shared" si="34"/>
        <v>5.5599305227500719E-5</v>
      </c>
    </row>
    <row r="306" spans="1:17" x14ac:dyDescent="0.35">
      <c r="A306" s="376" t="s">
        <v>2477</v>
      </c>
      <c r="B306" s="376" t="s">
        <v>2478</v>
      </c>
      <c r="C306" s="376" t="s">
        <v>2479</v>
      </c>
      <c r="D306" s="376">
        <v>9437681454.4000015</v>
      </c>
      <c r="E306" s="376">
        <v>1.1578989382932867</v>
      </c>
      <c r="F306" s="376" t="s">
        <v>1612</v>
      </c>
      <c r="G306" s="376">
        <v>37.669359999999998</v>
      </c>
      <c r="H306" s="376">
        <v>250.54</v>
      </c>
      <c r="I306" s="474"/>
      <c r="J306" s="475" t="str">
        <f t="shared" si="28"/>
        <v>MarketAxess Holdings Inc</v>
      </c>
      <c r="K306" s="476" t="str">
        <f t="shared" si="28"/>
        <v>MKTX</v>
      </c>
      <c r="L306" s="477">
        <f t="shared" si="29"/>
        <v>9437.6814544000008</v>
      </c>
      <c r="M306" s="478">
        <f t="shared" si="30"/>
        <v>1.1578989382932867E-2</v>
      </c>
      <c r="N306" s="478" t="str">
        <f t="shared" si="31"/>
        <v>N/A</v>
      </c>
      <c r="O306" s="479" t="str">
        <f t="shared" si="32"/>
        <v>N/A</v>
      </c>
      <c r="P306" s="480" t="str">
        <f t="shared" si="33"/>
        <v>N/A</v>
      </c>
      <c r="Q306" s="481" t="str">
        <f t="shared" si="34"/>
        <v>N/A</v>
      </c>
    </row>
    <row r="307" spans="1:17" x14ac:dyDescent="0.35">
      <c r="A307" s="376" t="s">
        <v>2480</v>
      </c>
      <c r="B307" s="376" t="s">
        <v>2481</v>
      </c>
      <c r="C307" s="376" t="s">
        <v>2482</v>
      </c>
      <c r="D307" s="376">
        <v>28367332220.519997</v>
      </c>
      <c r="E307" s="376">
        <v>0.57915901739662556</v>
      </c>
      <c r="F307" s="376">
        <v>15.700000000000001</v>
      </c>
      <c r="G307" s="376">
        <v>61.996969999999997</v>
      </c>
      <c r="H307" s="376">
        <v>457.56</v>
      </c>
      <c r="I307" s="474"/>
      <c r="J307" s="475" t="str">
        <f t="shared" si="28"/>
        <v>Martin Marietta Materials Inc</v>
      </c>
      <c r="K307" s="476" t="str">
        <f t="shared" si="28"/>
        <v>MLM</v>
      </c>
      <c r="L307" s="477">
        <f t="shared" si="29"/>
        <v>28367.332220519998</v>
      </c>
      <c r="M307" s="478">
        <f t="shared" si="30"/>
        <v>5.7915901739662556E-3</v>
      </c>
      <c r="N307" s="478">
        <f t="shared" si="31"/>
        <v>0.157</v>
      </c>
      <c r="O307" s="479">
        <f t="shared" si="32"/>
        <v>0.16324623000262262</v>
      </c>
      <c r="P307" s="480">
        <f t="shared" si="33"/>
        <v>7.6989569609902438E-4</v>
      </c>
      <c r="Q307" s="481">
        <f t="shared" si="34"/>
        <v>1.2568256988341057E-4</v>
      </c>
    </row>
    <row r="308" spans="1:17" x14ac:dyDescent="0.35">
      <c r="A308" s="376" t="s">
        <v>2483</v>
      </c>
      <c r="B308" s="376" t="s">
        <v>2484</v>
      </c>
      <c r="C308" s="376" t="s">
        <v>2485</v>
      </c>
      <c r="D308" s="376">
        <v>92437857512.639999</v>
      </c>
      <c r="E308" s="376">
        <v>1.3308697514995715</v>
      </c>
      <c r="F308" s="376">
        <v>10.365</v>
      </c>
      <c r="G308" s="376">
        <v>495.06139999999999</v>
      </c>
      <c r="H308" s="376">
        <v>186.72</v>
      </c>
      <c r="I308" s="474"/>
      <c r="J308" s="475" t="str">
        <f t="shared" si="28"/>
        <v>Marsh &amp; McLennan Cos Inc</v>
      </c>
      <c r="K308" s="476" t="str">
        <f t="shared" si="28"/>
        <v>MMC</v>
      </c>
      <c r="L308" s="477">
        <f t="shared" si="29"/>
        <v>92437.857512639996</v>
      </c>
      <c r="M308" s="478">
        <f t="shared" si="30"/>
        <v>1.3308697514995716E-2</v>
      </c>
      <c r="N308" s="478">
        <f t="shared" si="31"/>
        <v>0.10365000000000001</v>
      </c>
      <c r="O308" s="479">
        <f t="shared" si="32"/>
        <v>0.11764842076371038</v>
      </c>
      <c r="P308" s="480">
        <f t="shared" si="33"/>
        <v>2.5087839808960307E-3</v>
      </c>
      <c r="Q308" s="481">
        <f t="shared" si="34"/>
        <v>2.9515447338971258E-4</v>
      </c>
    </row>
    <row r="309" spans="1:17" x14ac:dyDescent="0.35">
      <c r="A309" s="376" t="s">
        <v>2486</v>
      </c>
      <c r="B309" s="376" t="s">
        <v>2487</v>
      </c>
      <c r="C309" s="376" t="s">
        <v>2488</v>
      </c>
      <c r="D309" s="376">
        <v>56436067799.099991</v>
      </c>
      <c r="E309" s="376">
        <v>5.9657869012707723</v>
      </c>
      <c r="F309" s="376">
        <v>10</v>
      </c>
      <c r="G309" s="376">
        <v>551.67219999999998</v>
      </c>
      <c r="H309" s="376">
        <v>102.3</v>
      </c>
      <c r="I309" s="474"/>
      <c r="J309" s="475" t="str">
        <f t="shared" si="28"/>
        <v>3M Co</v>
      </c>
      <c r="K309" s="476" t="str">
        <f t="shared" si="28"/>
        <v>MMM</v>
      </c>
      <c r="L309" s="477">
        <f t="shared" si="29"/>
        <v>56436.06779909999</v>
      </c>
      <c r="M309" s="478">
        <f t="shared" si="30"/>
        <v>5.9657869012707726E-2</v>
      </c>
      <c r="N309" s="478">
        <f t="shared" si="31"/>
        <v>0.1</v>
      </c>
      <c r="O309" s="479">
        <f t="shared" si="32"/>
        <v>0.16264076246334314</v>
      </c>
      <c r="P309" s="480">
        <f t="shared" si="33"/>
        <v>1.5316874130253814E-3</v>
      </c>
      <c r="Q309" s="481">
        <f t="shared" si="34"/>
        <v>2.4911480870995359E-4</v>
      </c>
    </row>
    <row r="310" spans="1:17" x14ac:dyDescent="0.35">
      <c r="A310" s="376" t="s">
        <v>2489</v>
      </c>
      <c r="B310" s="376" t="s">
        <v>2490</v>
      </c>
      <c r="C310" s="376" t="s">
        <v>2491</v>
      </c>
      <c r="D310" s="376">
        <v>59987060822.919998</v>
      </c>
      <c r="E310" s="376">
        <v>0</v>
      </c>
      <c r="F310" s="376">
        <v>22.92</v>
      </c>
      <c r="G310" s="376">
        <v>1046.712</v>
      </c>
      <c r="H310" s="376">
        <v>57.31</v>
      </c>
      <c r="I310" s="474"/>
      <c r="J310" s="475" t="str">
        <f t="shared" si="28"/>
        <v>Monster Beverage Corp</v>
      </c>
      <c r="K310" s="476" t="str">
        <f t="shared" si="28"/>
        <v>MNST</v>
      </c>
      <c r="L310" s="477">
        <f t="shared" si="29"/>
        <v>59987.060822920001</v>
      </c>
      <c r="M310" s="478">
        <f t="shared" si="30"/>
        <v>0</v>
      </c>
      <c r="N310" s="478">
        <f t="shared" si="31"/>
        <v>0.22920000000000001</v>
      </c>
      <c r="O310" s="479">
        <f t="shared" si="32"/>
        <v>0.22920000000000001</v>
      </c>
      <c r="P310" s="480">
        <f t="shared" si="33"/>
        <v>1.6280621522734757E-3</v>
      </c>
      <c r="Q310" s="481">
        <f t="shared" si="34"/>
        <v>3.7315184530108066E-4</v>
      </c>
    </row>
    <row r="311" spans="1:17" x14ac:dyDescent="0.35">
      <c r="A311" s="376" t="s">
        <v>2492</v>
      </c>
      <c r="B311" s="376" t="s">
        <v>2493</v>
      </c>
      <c r="C311" s="376" t="s">
        <v>780</v>
      </c>
      <c r="D311" s="376">
        <v>81201448492.639999</v>
      </c>
      <c r="E311" s="376">
        <v>8.4590019784568042</v>
      </c>
      <c r="F311" s="376">
        <v>6</v>
      </c>
      <c r="G311" s="376">
        <v>1785.04</v>
      </c>
      <c r="H311" s="376">
        <v>45.49</v>
      </c>
      <c r="I311" s="474"/>
      <c r="J311" s="475" t="str">
        <f t="shared" si="28"/>
        <v>Altria Group Inc</v>
      </c>
      <c r="K311" s="476" t="str">
        <f t="shared" si="28"/>
        <v>MO</v>
      </c>
      <c r="L311" s="477">
        <f t="shared" si="29"/>
        <v>81201.448492640004</v>
      </c>
      <c r="M311" s="478">
        <f t="shared" si="30"/>
        <v>8.4590019784568038E-2</v>
      </c>
      <c r="N311" s="478">
        <f t="shared" si="31"/>
        <v>0.06</v>
      </c>
      <c r="O311" s="479">
        <f t="shared" si="32"/>
        <v>0.14712772037810506</v>
      </c>
      <c r="P311" s="480">
        <f t="shared" si="33"/>
        <v>2.2038253447840138E-3</v>
      </c>
      <c r="Q311" s="481">
        <f t="shared" si="34"/>
        <v>3.2424379908956339E-4</v>
      </c>
    </row>
    <row r="312" spans="1:17" x14ac:dyDescent="0.35">
      <c r="A312" s="376" t="s">
        <v>2494</v>
      </c>
      <c r="B312" s="376" t="s">
        <v>2495</v>
      </c>
      <c r="C312" s="376" t="s">
        <v>2496</v>
      </c>
      <c r="D312" s="376">
        <v>17405465000</v>
      </c>
      <c r="E312" s="376" t="s">
        <v>1612</v>
      </c>
      <c r="F312" s="376">
        <v>13.19</v>
      </c>
      <c r="G312" s="376">
        <v>58.3</v>
      </c>
      <c r="H312" s="376">
        <v>298.55</v>
      </c>
      <c r="I312" s="474"/>
      <c r="J312" s="475" t="str">
        <f t="shared" si="28"/>
        <v>Molina Healthcare Inc</v>
      </c>
      <c r="K312" s="476" t="str">
        <f t="shared" si="28"/>
        <v>MOH</v>
      </c>
      <c r="L312" s="477">
        <f t="shared" si="29"/>
        <v>17405.465</v>
      </c>
      <c r="M312" s="478" t="str">
        <f t="shared" si="30"/>
        <v>0.00%</v>
      </c>
      <c r="N312" s="478">
        <f t="shared" si="31"/>
        <v>0.13189999999999999</v>
      </c>
      <c r="O312" s="479">
        <f t="shared" si="32"/>
        <v>0.13189999999999999</v>
      </c>
      <c r="P312" s="480">
        <f t="shared" si="33"/>
        <v>4.7238818539336599E-4</v>
      </c>
      <c r="Q312" s="481">
        <f t="shared" si="34"/>
        <v>6.2308001653384962E-5</v>
      </c>
    </row>
    <row r="313" spans="1:17" x14ac:dyDescent="0.35">
      <c r="A313" s="376" t="s">
        <v>2497</v>
      </c>
      <c r="B313" s="376" t="s">
        <v>2498</v>
      </c>
      <c r="C313" s="376" t="s">
        <v>2499</v>
      </c>
      <c r="D313" s="376">
        <v>11869582522.080002</v>
      </c>
      <c r="E313" s="376">
        <v>2.9378847229994403</v>
      </c>
      <c r="F313" s="376">
        <v>7</v>
      </c>
      <c r="G313" s="376">
        <v>332.10919999999999</v>
      </c>
      <c r="H313" s="376">
        <v>35.74</v>
      </c>
      <c r="I313" s="474"/>
      <c r="J313" s="475" t="str">
        <f t="shared" si="28"/>
        <v>Mosaic Co/The</v>
      </c>
      <c r="K313" s="476" t="str">
        <f t="shared" si="28"/>
        <v>MOS</v>
      </c>
      <c r="L313" s="477">
        <f t="shared" si="29"/>
        <v>11869.582522080002</v>
      </c>
      <c r="M313" s="478">
        <f t="shared" si="30"/>
        <v>2.9378847229994402E-2</v>
      </c>
      <c r="N313" s="478">
        <f t="shared" si="31"/>
        <v>7.0000000000000007E-2</v>
      </c>
      <c r="O313" s="479">
        <f t="shared" si="32"/>
        <v>0.10040710688304422</v>
      </c>
      <c r="P313" s="480">
        <f t="shared" si="33"/>
        <v>3.221431055695544E-4</v>
      </c>
      <c r="Q313" s="481">
        <f t="shared" si="34"/>
        <v>3.2345457232558045E-5</v>
      </c>
    </row>
    <row r="314" spans="1:17" x14ac:dyDescent="0.35">
      <c r="A314" s="376" t="s">
        <v>2500</v>
      </c>
      <c r="B314" s="376" t="s">
        <v>2501</v>
      </c>
      <c r="C314" s="376" t="s">
        <v>2502</v>
      </c>
      <c r="D314" s="376">
        <v>50239327768.919998</v>
      </c>
      <c r="E314" s="376">
        <v>2.554682881513386</v>
      </c>
      <c r="F314" s="376">
        <v>29.115000000000002</v>
      </c>
      <c r="G314" s="376">
        <v>424.28280000000001</v>
      </c>
      <c r="H314" s="376">
        <v>118.41</v>
      </c>
      <c r="I314" s="474"/>
      <c r="J314" s="475" t="str">
        <f t="shared" si="28"/>
        <v>Marathon Petroleum Corp</v>
      </c>
      <c r="K314" s="476" t="str">
        <f t="shared" si="28"/>
        <v>MPC</v>
      </c>
      <c r="L314" s="477">
        <f t="shared" si="29"/>
        <v>50239.327768919997</v>
      </c>
      <c r="M314" s="478">
        <f t="shared" si="30"/>
        <v>2.554682881513386E-2</v>
      </c>
      <c r="N314" s="478">
        <f t="shared" si="31"/>
        <v>0.29115000000000002</v>
      </c>
      <c r="O314" s="479">
        <f t="shared" si="32"/>
        <v>0.32041580841989697</v>
      </c>
      <c r="P314" s="480">
        <f t="shared" si="33"/>
        <v>1.3635065124742521E-3</v>
      </c>
      <c r="Q314" s="481">
        <f t="shared" si="34"/>
        <v>4.3688904148023183E-4</v>
      </c>
    </row>
    <row r="315" spans="1:17" x14ac:dyDescent="0.35">
      <c r="A315" s="376" t="s">
        <v>2503</v>
      </c>
      <c r="B315" s="376" t="s">
        <v>2504</v>
      </c>
      <c r="C315" s="376" t="s">
        <v>2505</v>
      </c>
      <c r="D315" s="376">
        <v>26794469230</v>
      </c>
      <c r="E315" s="376">
        <v>0.70795207164474971</v>
      </c>
      <c r="F315" s="376" t="s">
        <v>1612</v>
      </c>
      <c r="G315" s="376">
        <v>47.422999999999995</v>
      </c>
      <c r="H315" s="376">
        <v>565.01</v>
      </c>
      <c r="I315" s="474"/>
      <c r="J315" s="475" t="str">
        <f t="shared" si="28"/>
        <v>Monolithic Power Systems Inc</v>
      </c>
      <c r="K315" s="476" t="str">
        <f t="shared" si="28"/>
        <v>MPWR</v>
      </c>
      <c r="L315" s="477">
        <f t="shared" si="29"/>
        <v>26794.469229999999</v>
      </c>
      <c r="M315" s="478">
        <f t="shared" si="30"/>
        <v>7.0795207164474974E-3</v>
      </c>
      <c r="N315" s="478" t="str">
        <f t="shared" si="31"/>
        <v>N/A</v>
      </c>
      <c r="O315" s="479" t="str">
        <f t="shared" si="32"/>
        <v>N/A</v>
      </c>
      <c r="P315" s="480" t="str">
        <f t="shared" si="33"/>
        <v>N/A</v>
      </c>
      <c r="Q315" s="481" t="str">
        <f t="shared" si="34"/>
        <v>N/A</v>
      </c>
    </row>
    <row r="316" spans="1:17" x14ac:dyDescent="0.35">
      <c r="A316" s="376" t="s">
        <v>2506</v>
      </c>
      <c r="B316" s="376" t="s">
        <v>2507</v>
      </c>
      <c r="C316" s="376" t="s">
        <v>2508</v>
      </c>
      <c r="D316" s="376">
        <v>272368375302.35999</v>
      </c>
      <c r="E316" s="376">
        <v>2.7305757406372275</v>
      </c>
      <c r="F316" s="376">
        <v>14.273</v>
      </c>
      <c r="G316" s="376">
        <v>2537.4359999999997</v>
      </c>
      <c r="H316" s="376">
        <v>107.34</v>
      </c>
      <c r="I316" s="474"/>
      <c r="J316" s="475" t="str">
        <f t="shared" si="28"/>
        <v>Merck &amp; Co Inc</v>
      </c>
      <c r="K316" s="476" t="str">
        <f t="shared" si="28"/>
        <v>MRK</v>
      </c>
      <c r="L316" s="477">
        <f t="shared" si="29"/>
        <v>272368.37530235999</v>
      </c>
      <c r="M316" s="478">
        <f t="shared" si="30"/>
        <v>2.7305757406372276E-2</v>
      </c>
      <c r="N316" s="478">
        <f t="shared" si="31"/>
        <v>0.14273</v>
      </c>
      <c r="O316" s="479">
        <f t="shared" si="32"/>
        <v>0.17198443278367803</v>
      </c>
      <c r="P316" s="480">
        <f t="shared" si="33"/>
        <v>7.3921381915174984E-3</v>
      </c>
      <c r="Q316" s="481">
        <f t="shared" si="34"/>
        <v>1.2713326939267004E-3</v>
      </c>
    </row>
    <row r="317" spans="1:17" x14ac:dyDescent="0.35">
      <c r="A317" s="376" t="s">
        <v>2509</v>
      </c>
      <c r="B317" s="376" t="s">
        <v>2510</v>
      </c>
      <c r="C317" s="376" t="s">
        <v>2511</v>
      </c>
      <c r="D317" s="376">
        <v>46259753530.349998</v>
      </c>
      <c r="E317" s="376">
        <v>0</v>
      </c>
      <c r="F317" s="376">
        <v>-65.680000000000007</v>
      </c>
      <c r="G317" s="376">
        <v>381.20929999999998</v>
      </c>
      <c r="H317" s="376">
        <v>121.35</v>
      </c>
      <c r="I317" s="474"/>
      <c r="J317" s="475" t="str">
        <f t="shared" si="28"/>
        <v>Moderna Inc</v>
      </c>
      <c r="K317" s="476" t="str">
        <f t="shared" si="28"/>
        <v>MRNA</v>
      </c>
      <c r="L317" s="477">
        <f t="shared" si="29"/>
        <v>46259.753530349997</v>
      </c>
      <c r="M317" s="478">
        <f t="shared" si="30"/>
        <v>0</v>
      </c>
      <c r="N317" s="478">
        <f t="shared" si="31"/>
        <v>-0.65680000000000005</v>
      </c>
      <c r="O317" s="479">
        <f t="shared" si="32"/>
        <v>-0.65680000000000005</v>
      </c>
      <c r="P317" s="480">
        <f t="shared" si="33"/>
        <v>1.255499983881292E-3</v>
      </c>
      <c r="Q317" s="481">
        <f t="shared" si="34"/>
        <v>-8.2461238941323263E-4</v>
      </c>
    </row>
    <row r="318" spans="1:17" x14ac:dyDescent="0.35">
      <c r="A318" s="376" t="s">
        <v>2512</v>
      </c>
      <c r="B318" s="376" t="s">
        <v>2513</v>
      </c>
      <c r="C318" s="376" t="s">
        <v>2514</v>
      </c>
      <c r="D318" s="376">
        <v>14871911881.119997</v>
      </c>
      <c r="E318" s="376">
        <v>1.6652823920265782</v>
      </c>
      <c r="F318" s="376">
        <v>6</v>
      </c>
      <c r="G318" s="376">
        <v>617.60429999999997</v>
      </c>
      <c r="H318" s="376">
        <v>24.08</v>
      </c>
      <c r="I318" s="474"/>
      <c r="J318" s="475" t="str">
        <f t="shared" si="28"/>
        <v>Marathon Oil Corp</v>
      </c>
      <c r="K318" s="476" t="str">
        <f t="shared" si="28"/>
        <v>MRO</v>
      </c>
      <c r="L318" s="477">
        <f t="shared" si="29"/>
        <v>14871.911881119997</v>
      </c>
      <c r="M318" s="478">
        <f t="shared" si="30"/>
        <v>1.6652823920265781E-2</v>
      </c>
      <c r="N318" s="478">
        <f t="shared" si="31"/>
        <v>0.06</v>
      </c>
      <c r="O318" s="479">
        <f t="shared" si="32"/>
        <v>7.7152408637873759E-2</v>
      </c>
      <c r="P318" s="480">
        <f t="shared" si="33"/>
        <v>4.0362699111183272E-4</v>
      </c>
      <c r="Q318" s="481">
        <f t="shared" si="34"/>
        <v>3.1140794555535559E-5</v>
      </c>
    </row>
    <row r="319" spans="1:17" x14ac:dyDescent="0.35">
      <c r="A319" s="376" t="s">
        <v>2515</v>
      </c>
      <c r="B319" s="376" t="s">
        <v>2516</v>
      </c>
      <c r="C319" s="376" t="s">
        <v>2517</v>
      </c>
      <c r="D319" s="376">
        <v>143262352413.98001</v>
      </c>
      <c r="E319" s="376">
        <v>3.738633714152483</v>
      </c>
      <c r="F319" s="376">
        <v>3.15</v>
      </c>
      <c r="G319" s="376">
        <v>1670.114</v>
      </c>
      <c r="H319" s="376">
        <v>85.78</v>
      </c>
      <c r="I319" s="474"/>
      <c r="J319" s="475" t="str">
        <f t="shared" si="28"/>
        <v>Morgan Stanley</v>
      </c>
      <c r="K319" s="476" t="str">
        <f t="shared" si="28"/>
        <v>MS</v>
      </c>
      <c r="L319" s="477">
        <f t="shared" si="29"/>
        <v>143262.35241398</v>
      </c>
      <c r="M319" s="478">
        <f t="shared" si="30"/>
        <v>3.7386337141524832E-2</v>
      </c>
      <c r="N319" s="478">
        <f t="shared" si="31"/>
        <v>3.15E-2</v>
      </c>
      <c r="O319" s="479">
        <f t="shared" si="32"/>
        <v>6.947517195150385E-2</v>
      </c>
      <c r="P319" s="480">
        <f t="shared" si="33"/>
        <v>3.888172059294303E-3</v>
      </c>
      <c r="Q319" s="481">
        <f t="shared" si="34"/>
        <v>2.7013142239650455E-4</v>
      </c>
    </row>
    <row r="320" spans="1:17" x14ac:dyDescent="0.35">
      <c r="A320" s="376" t="s">
        <v>2518</v>
      </c>
      <c r="B320" s="376" t="s">
        <v>2519</v>
      </c>
      <c r="C320" s="376" t="s">
        <v>2520</v>
      </c>
      <c r="D320" s="376">
        <v>39805732283.599998</v>
      </c>
      <c r="E320" s="376">
        <v>1.1016130978719982</v>
      </c>
      <c r="F320" s="376">
        <v>14.745000000000001</v>
      </c>
      <c r="G320" s="376">
        <v>80.063019999999995</v>
      </c>
      <c r="H320" s="376">
        <v>497.18</v>
      </c>
      <c r="I320" s="474"/>
      <c r="J320" s="475" t="str">
        <f t="shared" si="28"/>
        <v>MSCI Inc</v>
      </c>
      <c r="K320" s="476" t="str">
        <f t="shared" si="28"/>
        <v>MSCI</v>
      </c>
      <c r="L320" s="477">
        <f t="shared" si="29"/>
        <v>39805.732283599995</v>
      </c>
      <c r="M320" s="478">
        <f t="shared" si="30"/>
        <v>1.1016130978719983E-2</v>
      </c>
      <c r="N320" s="478">
        <f t="shared" si="31"/>
        <v>0.14745</v>
      </c>
      <c r="O320" s="479">
        <f t="shared" si="32"/>
        <v>0.1592782952351261</v>
      </c>
      <c r="P320" s="480">
        <f t="shared" si="33"/>
        <v>1.0803364139771001E-3</v>
      </c>
      <c r="Q320" s="481">
        <f t="shared" si="34"/>
        <v>1.7207414229870196E-4</v>
      </c>
    </row>
    <row r="321" spans="1:17" x14ac:dyDescent="0.35">
      <c r="A321" s="376" t="s">
        <v>2521</v>
      </c>
      <c r="B321" s="376" t="s">
        <v>2522</v>
      </c>
      <c r="C321" s="376" t="s">
        <v>2523</v>
      </c>
      <c r="D321" s="376">
        <v>2567027730393</v>
      </c>
      <c r="E321" s="376">
        <v>0.75947167188043097</v>
      </c>
      <c r="F321" s="376">
        <v>15.435</v>
      </c>
      <c r="G321" s="376">
        <v>7435.4879999999994</v>
      </c>
      <c r="H321" s="376">
        <v>345.24</v>
      </c>
      <c r="I321" s="474"/>
      <c r="J321" s="475" t="str">
        <f t="shared" si="28"/>
        <v>Microsoft Corp</v>
      </c>
      <c r="K321" s="476" t="str">
        <f t="shared" si="28"/>
        <v>MSFT</v>
      </c>
      <c r="L321" s="477">
        <f t="shared" si="29"/>
        <v>2567027.7303929999</v>
      </c>
      <c r="M321" s="478">
        <f t="shared" si="30"/>
        <v>7.59471671880431E-3</v>
      </c>
      <c r="N321" s="478">
        <f t="shared" si="31"/>
        <v>0.15435000000000001</v>
      </c>
      <c r="O321" s="479">
        <f t="shared" si="32"/>
        <v>0.16253083898157805</v>
      </c>
      <c r="P321" s="480">
        <f t="shared" si="33"/>
        <v>6.9669702671821751E-2</v>
      </c>
      <c r="Q321" s="481">
        <f t="shared" si="34"/>
        <v>1.1323475226848279E-2</v>
      </c>
    </row>
    <row r="322" spans="1:17" x14ac:dyDescent="0.35">
      <c r="A322" s="376" t="s">
        <v>2524</v>
      </c>
      <c r="B322" s="376" t="s">
        <v>2525</v>
      </c>
      <c r="C322" s="376" t="s">
        <v>2526</v>
      </c>
      <c r="D322" s="376">
        <v>48815733886.920006</v>
      </c>
      <c r="E322" s="376">
        <v>1.1633340204768776</v>
      </c>
      <c r="F322" s="376" t="s">
        <v>1612</v>
      </c>
      <c r="G322" s="376">
        <v>167.71709999999999</v>
      </c>
      <c r="H322" s="376">
        <v>291.06</v>
      </c>
      <c r="I322" s="474"/>
      <c r="J322" s="475" t="str">
        <f t="shared" si="28"/>
        <v>Motorola Solutions Inc</v>
      </c>
      <c r="K322" s="476" t="str">
        <f t="shared" si="28"/>
        <v>MSI</v>
      </c>
      <c r="L322" s="477">
        <f t="shared" si="29"/>
        <v>48815.733886920003</v>
      </c>
      <c r="M322" s="478">
        <f t="shared" si="30"/>
        <v>1.1633340204768776E-2</v>
      </c>
      <c r="N322" s="478" t="str">
        <f t="shared" si="31"/>
        <v>N/A</v>
      </c>
      <c r="O322" s="479" t="str">
        <f t="shared" si="32"/>
        <v>N/A</v>
      </c>
      <c r="P322" s="480" t="str">
        <f t="shared" si="33"/>
        <v>N/A</v>
      </c>
      <c r="Q322" s="481" t="str">
        <f t="shared" si="34"/>
        <v>N/A</v>
      </c>
    </row>
    <row r="323" spans="1:17" x14ac:dyDescent="0.35">
      <c r="A323" s="376" t="s">
        <v>2527</v>
      </c>
      <c r="B323" s="376" t="s">
        <v>2528</v>
      </c>
      <c r="C323" s="376" t="s">
        <v>2529</v>
      </c>
      <c r="D323" s="376">
        <v>21694115327.279999</v>
      </c>
      <c r="E323" s="376">
        <v>3.9949537426408748</v>
      </c>
      <c r="F323" s="376">
        <v>12.965</v>
      </c>
      <c r="G323" s="376">
        <v>165.8698</v>
      </c>
      <c r="H323" s="376">
        <v>130.79</v>
      </c>
      <c r="I323" s="474"/>
      <c r="J323" s="475" t="str">
        <f t="shared" si="28"/>
        <v>M&amp;T Bank Corp</v>
      </c>
      <c r="K323" s="476" t="str">
        <f t="shared" si="28"/>
        <v>MTB</v>
      </c>
      <c r="L323" s="477">
        <f t="shared" si="29"/>
        <v>21694.11532728</v>
      </c>
      <c r="M323" s="478">
        <f t="shared" si="30"/>
        <v>3.9949537426408749E-2</v>
      </c>
      <c r="N323" s="478">
        <f t="shared" si="31"/>
        <v>0.12964999999999999</v>
      </c>
      <c r="O323" s="479">
        <f t="shared" si="32"/>
        <v>0.17218926619007568</v>
      </c>
      <c r="P323" s="480">
        <f t="shared" si="33"/>
        <v>5.8878310767153917E-4</v>
      </c>
      <c r="Q323" s="481">
        <f t="shared" si="34"/>
        <v>1.0138213125507465E-4</v>
      </c>
    </row>
    <row r="324" spans="1:17" x14ac:dyDescent="0.35">
      <c r="A324" s="376" t="s">
        <v>2530</v>
      </c>
      <c r="B324" s="376" t="s">
        <v>2531</v>
      </c>
      <c r="C324" s="376" t="s">
        <v>2532</v>
      </c>
      <c r="D324" s="376">
        <v>13385608300.569998</v>
      </c>
      <c r="E324" s="376">
        <v>0</v>
      </c>
      <c r="F324" s="376" t="s">
        <v>1612</v>
      </c>
      <c r="G324" s="376">
        <v>278.46080000000001</v>
      </c>
      <c r="H324" s="376">
        <v>48.07</v>
      </c>
      <c r="I324" s="474"/>
      <c r="J324" s="475" t="str">
        <f t="shared" ref="J324:K387" si="35">B324</f>
        <v>Match Group Inc</v>
      </c>
      <c r="K324" s="476" t="str">
        <f t="shared" si="35"/>
        <v>MTCH</v>
      </c>
      <c r="L324" s="477">
        <f t="shared" ref="L324:L387" si="36">D324/1000000</f>
        <v>13385.608300569998</v>
      </c>
      <c r="M324" s="478">
        <f t="shared" ref="M324:M387" si="37">IFERROR(E324/100,"0.00%")</f>
        <v>0</v>
      </c>
      <c r="N324" s="478" t="str">
        <f t="shared" ref="N324:N387" si="38">IFERROR(F324/100,"N/A")</f>
        <v>N/A</v>
      </c>
      <c r="O324" s="479" t="str">
        <f t="shared" ref="O324:O387" si="39">IFERROR(M324*(1+0.5*N324)+N324,"N/A")</f>
        <v>N/A</v>
      </c>
      <c r="P324" s="480" t="str">
        <f t="shared" ref="P324:P387" si="40">IF(O324="N/A","N/A",L324/$L$504)</f>
        <v>N/A</v>
      </c>
      <c r="Q324" s="481" t="str">
        <f t="shared" ref="Q324:Q387" si="41">IF(AND(ISNUMBER(L324),ISNUMBER(O324)),O324*P324,"N/A")</f>
        <v>N/A</v>
      </c>
    </row>
    <row r="325" spans="1:17" x14ac:dyDescent="0.35">
      <c r="A325" s="376" t="s">
        <v>2533</v>
      </c>
      <c r="B325" s="376" t="s">
        <v>2534</v>
      </c>
      <c r="C325" s="376" t="s">
        <v>2535</v>
      </c>
      <c r="D325" s="376">
        <v>29329404943.900005</v>
      </c>
      <c r="E325" s="376">
        <v>0</v>
      </c>
      <c r="F325" s="376">
        <v>12.64</v>
      </c>
      <c r="G325" s="376">
        <v>22.020229999999998</v>
      </c>
      <c r="H325" s="376">
        <v>1331.93</v>
      </c>
      <c r="I325" s="474"/>
      <c r="J325" s="475" t="str">
        <f t="shared" si="35"/>
        <v>Mettler-Toledo International Inc</v>
      </c>
      <c r="K325" s="476" t="str">
        <f t="shared" si="35"/>
        <v>MTD</v>
      </c>
      <c r="L325" s="477">
        <f t="shared" si="36"/>
        <v>29329.404943900005</v>
      </c>
      <c r="M325" s="478">
        <f t="shared" si="37"/>
        <v>0</v>
      </c>
      <c r="N325" s="478">
        <f t="shared" si="38"/>
        <v>0.12640000000000001</v>
      </c>
      <c r="O325" s="479">
        <f t="shared" si="39"/>
        <v>0.12640000000000001</v>
      </c>
      <c r="P325" s="480">
        <f t="shared" si="40"/>
        <v>7.9600656346246075E-4</v>
      </c>
      <c r="Q325" s="481">
        <f t="shared" si="41"/>
        <v>1.0061522962165505E-4</v>
      </c>
    </row>
    <row r="326" spans="1:17" x14ac:dyDescent="0.35">
      <c r="A326" s="376" t="s">
        <v>2536</v>
      </c>
      <c r="B326" s="376" t="s">
        <v>2537</v>
      </c>
      <c r="C326" s="376" t="s">
        <v>2538</v>
      </c>
      <c r="D326" s="376">
        <v>70186927040.639999</v>
      </c>
      <c r="E326" s="376">
        <v>0.71004993757802748</v>
      </c>
      <c r="F326" s="376">
        <v>-15.925000000000001</v>
      </c>
      <c r="G326" s="376">
        <v>1095.3019999999999</v>
      </c>
      <c r="H326" s="376">
        <v>64.08</v>
      </c>
      <c r="I326" s="474"/>
      <c r="J326" s="475" t="str">
        <f t="shared" si="35"/>
        <v>Micron Technology Inc</v>
      </c>
      <c r="K326" s="476" t="str">
        <f t="shared" si="35"/>
        <v>MU</v>
      </c>
      <c r="L326" s="477">
        <f t="shared" si="36"/>
        <v>70186.927040640003</v>
      </c>
      <c r="M326" s="478">
        <f t="shared" si="37"/>
        <v>7.1004993757802747E-3</v>
      </c>
      <c r="N326" s="478">
        <f t="shared" si="38"/>
        <v>-0.15925</v>
      </c>
      <c r="O326" s="479">
        <f t="shared" si="39"/>
        <v>-0.15271487788701624</v>
      </c>
      <c r="P326" s="480">
        <f t="shared" si="40"/>
        <v>1.9048887865428762E-3</v>
      </c>
      <c r="Q326" s="481">
        <f t="shared" si="41"/>
        <v>-2.9090485842524189E-4</v>
      </c>
    </row>
    <row r="327" spans="1:17" x14ac:dyDescent="0.35">
      <c r="A327" s="376" t="s">
        <v>2539</v>
      </c>
      <c r="B327" s="376" t="s">
        <v>2540</v>
      </c>
      <c r="C327" s="376" t="s">
        <v>2541</v>
      </c>
      <c r="D327" s="376">
        <v>8661452138.3800011</v>
      </c>
      <c r="E327" s="376">
        <v>0</v>
      </c>
      <c r="F327" s="376" t="s">
        <v>1612</v>
      </c>
      <c r="G327" s="376">
        <v>424.1651</v>
      </c>
      <c r="H327" s="376">
        <v>20.420000000000002</v>
      </c>
      <c r="I327" s="474"/>
      <c r="J327" s="475" t="str">
        <f t="shared" si="35"/>
        <v>Norwegian Cruise Line Holdings Ltd</v>
      </c>
      <c r="K327" s="476" t="str">
        <f t="shared" si="35"/>
        <v>NCLH</v>
      </c>
      <c r="L327" s="477">
        <f t="shared" si="36"/>
        <v>8661.4521383800002</v>
      </c>
      <c r="M327" s="478">
        <f t="shared" si="37"/>
        <v>0</v>
      </c>
      <c r="N327" s="478" t="str">
        <f t="shared" si="38"/>
        <v>N/A</v>
      </c>
      <c r="O327" s="479" t="str">
        <f t="shared" si="39"/>
        <v>N/A</v>
      </c>
      <c r="P327" s="480" t="str">
        <f t="shared" si="40"/>
        <v>N/A</v>
      </c>
      <c r="Q327" s="481" t="str">
        <f t="shared" si="41"/>
        <v>N/A</v>
      </c>
    </row>
    <row r="328" spans="1:17" x14ac:dyDescent="0.35">
      <c r="A328" s="376" t="s">
        <v>2542</v>
      </c>
      <c r="B328" s="376" t="s">
        <v>2543</v>
      </c>
      <c r="C328" s="376" t="s">
        <v>2544</v>
      </c>
      <c r="D328" s="376">
        <v>24837709367.519997</v>
      </c>
      <c r="E328" s="376">
        <v>1.6933412369097016</v>
      </c>
      <c r="F328" s="376">
        <v>0.5</v>
      </c>
      <c r="G328" s="376">
        <v>490.76679999999999</v>
      </c>
      <c r="H328" s="376">
        <v>50.61</v>
      </c>
      <c r="I328" s="474"/>
      <c r="J328" s="475" t="str">
        <f t="shared" si="35"/>
        <v>Nasdaq Inc</v>
      </c>
      <c r="K328" s="476" t="str">
        <f t="shared" si="35"/>
        <v>NDAQ</v>
      </c>
      <c r="L328" s="477">
        <f t="shared" si="36"/>
        <v>24837.709367519998</v>
      </c>
      <c r="M328" s="478">
        <f t="shared" si="37"/>
        <v>1.6933412369097015E-2</v>
      </c>
      <c r="N328" s="478">
        <f t="shared" si="38"/>
        <v>5.0000000000000001E-3</v>
      </c>
      <c r="O328" s="479">
        <f t="shared" si="39"/>
        <v>2.1975745900019758E-2</v>
      </c>
      <c r="P328" s="480">
        <f t="shared" si="40"/>
        <v>6.7410094803273452E-4</v>
      </c>
      <c r="Q328" s="481">
        <f t="shared" si="41"/>
        <v>1.4813871144929798E-5</v>
      </c>
    </row>
    <row r="329" spans="1:17" x14ac:dyDescent="0.35">
      <c r="A329" s="376" t="s">
        <v>2545</v>
      </c>
      <c r="B329" s="376" t="s">
        <v>2546</v>
      </c>
      <c r="C329" s="376" t="s">
        <v>2547</v>
      </c>
      <c r="D329" s="376">
        <v>14046019112.200001</v>
      </c>
      <c r="E329" s="376">
        <v>1.0744136979631584</v>
      </c>
      <c r="F329" s="376">
        <v>48</v>
      </c>
      <c r="G329" s="376">
        <v>56.991070000000001</v>
      </c>
      <c r="H329" s="376">
        <v>246.46</v>
      </c>
      <c r="I329" s="474"/>
      <c r="J329" s="475" t="str">
        <f t="shared" si="35"/>
        <v>Nordson Corp</v>
      </c>
      <c r="K329" s="476" t="str">
        <f t="shared" si="35"/>
        <v>NDSN</v>
      </c>
      <c r="L329" s="477">
        <f t="shared" si="36"/>
        <v>14046.019112200001</v>
      </c>
      <c r="M329" s="478">
        <f t="shared" si="37"/>
        <v>1.0744136979631584E-2</v>
      </c>
      <c r="N329" s="478">
        <f t="shared" si="38"/>
        <v>0.48</v>
      </c>
      <c r="O329" s="479">
        <f t="shared" si="39"/>
        <v>0.49332272985474312</v>
      </c>
      <c r="P329" s="480">
        <f t="shared" si="40"/>
        <v>3.8121207795440662E-4</v>
      </c>
      <c r="Q329" s="481">
        <f t="shared" si="41"/>
        <v>1.8806058295006703E-4</v>
      </c>
    </row>
    <row r="330" spans="1:17" x14ac:dyDescent="0.35">
      <c r="A330" s="376" t="s">
        <v>2548</v>
      </c>
      <c r="B330" s="376" t="s">
        <v>2549</v>
      </c>
      <c r="C330" s="376" t="s">
        <v>1490</v>
      </c>
      <c r="D330" s="376">
        <v>148114486374</v>
      </c>
      <c r="E330" s="376">
        <v>2.5560109289617485</v>
      </c>
      <c r="F330" s="376">
        <v>8.4749999999999996</v>
      </c>
      <c r="G330" s="376">
        <v>2023.4219999999998</v>
      </c>
      <c r="H330" s="376">
        <v>73.2</v>
      </c>
      <c r="I330" s="474"/>
      <c r="J330" s="475" t="str">
        <f t="shared" si="35"/>
        <v>NextEra Energy Inc</v>
      </c>
      <c r="K330" s="476" t="str">
        <f t="shared" si="35"/>
        <v>NEE</v>
      </c>
      <c r="L330" s="477">
        <f t="shared" si="36"/>
        <v>148114.486374</v>
      </c>
      <c r="M330" s="478">
        <f t="shared" si="37"/>
        <v>2.5560109289617484E-2</v>
      </c>
      <c r="N330" s="478">
        <f t="shared" si="38"/>
        <v>8.4749999999999992E-2</v>
      </c>
      <c r="O330" s="479">
        <f t="shared" si="39"/>
        <v>0.11139321892076502</v>
      </c>
      <c r="P330" s="480">
        <f t="shared" si="40"/>
        <v>4.0198600524998492E-3</v>
      </c>
      <c r="Q330" s="481">
        <f t="shared" si="41"/>
        <v>4.4778515085895366E-4</v>
      </c>
    </row>
    <row r="331" spans="1:17" x14ac:dyDescent="0.35">
      <c r="A331" s="376" t="s">
        <v>2550</v>
      </c>
      <c r="B331" s="376" t="s">
        <v>2551</v>
      </c>
      <c r="C331" s="376" t="s">
        <v>2552</v>
      </c>
      <c r="D331" s="376">
        <v>35747004203.299995</v>
      </c>
      <c r="E331" s="376">
        <v>3.6771898621609607</v>
      </c>
      <c r="F331" s="376">
        <v>13.01</v>
      </c>
      <c r="G331" s="376">
        <v>794.73109999999997</v>
      </c>
      <c r="H331" s="376">
        <v>44.98</v>
      </c>
      <c r="I331" s="474"/>
      <c r="J331" s="475" t="str">
        <f t="shared" si="35"/>
        <v>Newmont Corp</v>
      </c>
      <c r="K331" s="476" t="str">
        <f t="shared" si="35"/>
        <v>NEM</v>
      </c>
      <c r="L331" s="477">
        <f t="shared" si="36"/>
        <v>35747.004203299992</v>
      </c>
      <c r="M331" s="478">
        <f t="shared" si="37"/>
        <v>3.6771898621609608E-2</v>
      </c>
      <c r="N331" s="478">
        <f t="shared" si="38"/>
        <v>0.13009999999999999</v>
      </c>
      <c r="O331" s="479">
        <f t="shared" si="39"/>
        <v>0.16926391062694532</v>
      </c>
      <c r="P331" s="480">
        <f t="shared" si="40"/>
        <v>9.7018163254161314E-4</v>
      </c>
      <c r="Q331" s="481">
        <f t="shared" si="41"/>
        <v>1.6421673714242752E-4</v>
      </c>
    </row>
    <row r="332" spans="1:17" x14ac:dyDescent="0.35">
      <c r="A332" s="376" t="s">
        <v>2553</v>
      </c>
      <c r="B332" s="376" t="s">
        <v>2554</v>
      </c>
      <c r="C332" s="376" t="s">
        <v>2555</v>
      </c>
      <c r="D332" s="376">
        <v>196447164571.56003</v>
      </c>
      <c r="E332" s="376">
        <v>0</v>
      </c>
      <c r="F332" s="376">
        <v>30.775000000000002</v>
      </c>
      <c r="G332" s="376">
        <v>444.54109999999997</v>
      </c>
      <c r="H332" s="376">
        <v>441.91</v>
      </c>
      <c r="I332" s="474"/>
      <c r="J332" s="475" t="str">
        <f t="shared" si="35"/>
        <v>Netflix Inc</v>
      </c>
      <c r="K332" s="476" t="str">
        <f t="shared" si="35"/>
        <v>NFLX</v>
      </c>
      <c r="L332" s="477">
        <f t="shared" si="36"/>
        <v>196447.16457156002</v>
      </c>
      <c r="M332" s="478">
        <f t="shared" si="37"/>
        <v>0</v>
      </c>
      <c r="N332" s="478">
        <f t="shared" si="38"/>
        <v>0.30775000000000002</v>
      </c>
      <c r="O332" s="479">
        <f t="shared" si="39"/>
        <v>0.30775000000000002</v>
      </c>
      <c r="P332" s="480">
        <f t="shared" si="40"/>
        <v>5.3316196721909567E-3</v>
      </c>
      <c r="Q332" s="481">
        <f t="shared" si="41"/>
        <v>1.6408059541167671E-3</v>
      </c>
    </row>
    <row r="333" spans="1:17" x14ac:dyDescent="0.35">
      <c r="A333" s="376" t="s">
        <v>2556</v>
      </c>
      <c r="B333" s="376" t="s">
        <v>2557</v>
      </c>
      <c r="C333" s="376" t="s">
        <v>1491</v>
      </c>
      <c r="D333" s="376">
        <v>11540986338.860001</v>
      </c>
      <c r="E333" s="376">
        <v>3.5790980672870436</v>
      </c>
      <c r="F333" s="376">
        <v>7.5</v>
      </c>
      <c r="G333" s="376">
        <v>413.06319999999999</v>
      </c>
      <c r="H333" s="376">
        <v>27.94</v>
      </c>
      <c r="I333" s="474"/>
      <c r="J333" s="475" t="str">
        <f t="shared" si="35"/>
        <v>NiSource Inc</v>
      </c>
      <c r="K333" s="476" t="str">
        <f t="shared" si="35"/>
        <v>NI</v>
      </c>
      <c r="L333" s="477">
        <f t="shared" si="36"/>
        <v>11540.986338860001</v>
      </c>
      <c r="M333" s="478">
        <f t="shared" si="37"/>
        <v>3.5790980672870433E-2</v>
      </c>
      <c r="N333" s="478">
        <f t="shared" si="38"/>
        <v>7.4999999999999997E-2</v>
      </c>
      <c r="O333" s="479">
        <f t="shared" si="39"/>
        <v>0.11213314244810307</v>
      </c>
      <c r="P333" s="480">
        <f t="shared" si="40"/>
        <v>3.1322493218444332E-4</v>
      </c>
      <c r="Q333" s="481">
        <f t="shared" si="41"/>
        <v>3.512289593893561E-5</v>
      </c>
    </row>
    <row r="334" spans="1:17" x14ac:dyDescent="0.35">
      <c r="A334" s="376" t="s">
        <v>2558</v>
      </c>
      <c r="B334" s="376" t="s">
        <v>2559</v>
      </c>
      <c r="C334" s="376" t="s">
        <v>2560</v>
      </c>
      <c r="D334" s="376">
        <v>165917942687.20001</v>
      </c>
      <c r="E334" s="376">
        <v>1.3043075497915699</v>
      </c>
      <c r="F334" s="376">
        <v>15.34</v>
      </c>
      <c r="G334" s="376">
        <v>1232.0919999999999</v>
      </c>
      <c r="H334" s="376">
        <v>107.95</v>
      </c>
      <c r="I334" s="474"/>
      <c r="J334" s="475" t="str">
        <f t="shared" si="35"/>
        <v>NIKE Inc</v>
      </c>
      <c r="K334" s="476" t="str">
        <f t="shared" si="35"/>
        <v>NKE</v>
      </c>
      <c r="L334" s="477">
        <f t="shared" si="36"/>
        <v>165917.9426872</v>
      </c>
      <c r="M334" s="478">
        <f t="shared" si="37"/>
        <v>1.3043075497915699E-2</v>
      </c>
      <c r="N334" s="478">
        <f t="shared" si="38"/>
        <v>0.15340000000000001</v>
      </c>
      <c r="O334" s="479">
        <f t="shared" si="39"/>
        <v>0.16744347938860585</v>
      </c>
      <c r="P334" s="480">
        <f t="shared" si="40"/>
        <v>4.5030498105168067E-3</v>
      </c>
      <c r="Q334" s="481">
        <f t="shared" si="41"/>
        <v>7.5400632813313643E-4</v>
      </c>
    </row>
    <row r="335" spans="1:17" x14ac:dyDescent="0.35">
      <c r="A335" s="376" t="s">
        <v>2561</v>
      </c>
      <c r="B335" s="376" t="s">
        <v>2562</v>
      </c>
      <c r="C335" s="376" t="s">
        <v>2563</v>
      </c>
      <c r="D335" s="376">
        <v>68433940294.799988</v>
      </c>
      <c r="E335" s="376">
        <v>1.6290165098526541</v>
      </c>
      <c r="F335" s="376">
        <v>3.9</v>
      </c>
      <c r="G335" s="376">
        <v>151.85939999999999</v>
      </c>
      <c r="H335" s="376">
        <v>450.64</v>
      </c>
      <c r="I335" s="474"/>
      <c r="J335" s="475" t="str">
        <f t="shared" si="35"/>
        <v>Northrop Grumman Corp</v>
      </c>
      <c r="K335" s="476" t="str">
        <f t="shared" si="35"/>
        <v>NOC</v>
      </c>
      <c r="L335" s="477">
        <f t="shared" si="36"/>
        <v>68433.940294799992</v>
      </c>
      <c r="M335" s="478">
        <f t="shared" si="37"/>
        <v>1.629016509852654E-2</v>
      </c>
      <c r="N335" s="478">
        <f t="shared" si="38"/>
        <v>3.9E-2</v>
      </c>
      <c r="O335" s="479">
        <f t="shared" si="39"/>
        <v>5.5607823317947808E-2</v>
      </c>
      <c r="P335" s="480">
        <f t="shared" si="40"/>
        <v>1.8573123369687921E-3</v>
      </c>
      <c r="Q335" s="481">
        <f t="shared" si="41"/>
        <v>1.0328109628040534E-4</v>
      </c>
    </row>
    <row r="336" spans="1:17" x14ac:dyDescent="0.35">
      <c r="A336" s="376" t="s">
        <v>2564</v>
      </c>
      <c r="B336" s="376" t="s">
        <v>2565</v>
      </c>
      <c r="C336" s="376" t="s">
        <v>2566</v>
      </c>
      <c r="D336" s="376">
        <v>118246680979.14</v>
      </c>
      <c r="E336" s="376" t="s">
        <v>1612</v>
      </c>
      <c r="F336" s="376">
        <v>31.25</v>
      </c>
      <c r="G336" s="376">
        <v>203.74009999999998</v>
      </c>
      <c r="H336" s="376">
        <v>580.38</v>
      </c>
      <c r="I336" s="474"/>
      <c r="J336" s="475" t="str">
        <f t="shared" si="35"/>
        <v>ServiceNow Inc</v>
      </c>
      <c r="K336" s="476" t="str">
        <f t="shared" si="35"/>
        <v>NOW</v>
      </c>
      <c r="L336" s="477">
        <f t="shared" si="36"/>
        <v>118246.68097914</v>
      </c>
      <c r="M336" s="478" t="str">
        <f t="shared" si="37"/>
        <v>0.00%</v>
      </c>
      <c r="N336" s="478">
        <f t="shared" si="38"/>
        <v>0.3125</v>
      </c>
      <c r="O336" s="479">
        <f t="shared" si="39"/>
        <v>0.3125</v>
      </c>
      <c r="P336" s="480">
        <f t="shared" si="40"/>
        <v>3.2092411812338359E-3</v>
      </c>
      <c r="Q336" s="481">
        <f t="shared" si="41"/>
        <v>1.0028878691355737E-3</v>
      </c>
    </row>
    <row r="337" spans="1:17" x14ac:dyDescent="0.35">
      <c r="A337" s="376" t="s">
        <v>2567</v>
      </c>
      <c r="B337" s="376" t="s">
        <v>2568</v>
      </c>
      <c r="C337" s="376" t="s">
        <v>1493</v>
      </c>
      <c r="D337" s="376">
        <v>8391970032.3000002</v>
      </c>
      <c r="E337" s="376">
        <v>4.1399176954732511</v>
      </c>
      <c r="F337" s="376">
        <v>5.38</v>
      </c>
      <c r="G337" s="376">
        <v>230.23239999999998</v>
      </c>
      <c r="H337" s="376">
        <v>36.450000000000003</v>
      </c>
      <c r="I337" s="474"/>
      <c r="J337" s="475" t="str">
        <f t="shared" si="35"/>
        <v>NRG Energy Inc</v>
      </c>
      <c r="K337" s="476" t="str">
        <f t="shared" si="35"/>
        <v>NRG</v>
      </c>
      <c r="L337" s="477">
        <f t="shared" si="36"/>
        <v>8391.9700322999997</v>
      </c>
      <c r="M337" s="478">
        <f t="shared" si="37"/>
        <v>4.1399176954732511E-2</v>
      </c>
      <c r="N337" s="478">
        <f t="shared" si="38"/>
        <v>5.3800000000000001E-2</v>
      </c>
      <c r="O337" s="479">
        <f t="shared" si="39"/>
        <v>9.6312814814814823E-2</v>
      </c>
      <c r="P337" s="480">
        <f t="shared" si="40"/>
        <v>2.2775993031118121E-4</v>
      </c>
      <c r="Q337" s="481">
        <f t="shared" si="41"/>
        <v>2.1936199990295925E-5</v>
      </c>
    </row>
    <row r="338" spans="1:17" x14ac:dyDescent="0.35">
      <c r="A338" s="376" t="s">
        <v>2569</v>
      </c>
      <c r="B338" s="376" t="s">
        <v>2570</v>
      </c>
      <c r="C338" s="376" t="s">
        <v>2571</v>
      </c>
      <c r="D338" s="376">
        <v>53445225757.560005</v>
      </c>
      <c r="E338" s="376">
        <v>2.296618110571599</v>
      </c>
      <c r="F338" s="376">
        <v>3.1150000000000002</v>
      </c>
      <c r="G338" s="376">
        <v>227.6396</v>
      </c>
      <c r="H338" s="376">
        <v>234.78</v>
      </c>
      <c r="I338" s="474"/>
      <c r="J338" s="475" t="str">
        <f t="shared" si="35"/>
        <v>Norfolk Southern Corp</v>
      </c>
      <c r="K338" s="476" t="str">
        <f t="shared" si="35"/>
        <v>NSC</v>
      </c>
      <c r="L338" s="477">
        <f t="shared" si="36"/>
        <v>53445.225757560009</v>
      </c>
      <c r="M338" s="478">
        <f t="shared" si="37"/>
        <v>2.296618110571599E-2</v>
      </c>
      <c r="N338" s="478">
        <f t="shared" si="38"/>
        <v>3.1150000000000001E-2</v>
      </c>
      <c r="O338" s="479">
        <f t="shared" si="39"/>
        <v>5.4473879376437516E-2</v>
      </c>
      <c r="P338" s="480">
        <f t="shared" si="40"/>
        <v>1.4505152958310826E-3</v>
      </c>
      <c r="Q338" s="481">
        <f t="shared" si="41"/>
        <v>7.9015195258779972E-5</v>
      </c>
    </row>
    <row r="339" spans="1:17" x14ac:dyDescent="0.35">
      <c r="A339" s="376" t="s">
        <v>2572</v>
      </c>
      <c r="B339" s="376" t="s">
        <v>2573</v>
      </c>
      <c r="C339" s="376" t="s">
        <v>2574</v>
      </c>
      <c r="D339" s="376">
        <v>16541991457.550001</v>
      </c>
      <c r="E339" s="376">
        <v>2.5786567355849495</v>
      </c>
      <c r="F339" s="376">
        <v>7.3950000000000005</v>
      </c>
      <c r="G339" s="376">
        <v>212.43089999999998</v>
      </c>
      <c r="H339" s="376">
        <v>77.87</v>
      </c>
      <c r="I339" s="474"/>
      <c r="J339" s="475" t="str">
        <f t="shared" si="35"/>
        <v>NetApp Inc</v>
      </c>
      <c r="K339" s="476" t="str">
        <f t="shared" si="35"/>
        <v>NTAP</v>
      </c>
      <c r="L339" s="477">
        <f t="shared" si="36"/>
        <v>16541.991457550001</v>
      </c>
      <c r="M339" s="478">
        <f t="shared" si="37"/>
        <v>2.5786567355849496E-2</v>
      </c>
      <c r="N339" s="478">
        <f t="shared" si="38"/>
        <v>7.3950000000000002E-2</v>
      </c>
      <c r="O339" s="479">
        <f t="shared" si="39"/>
        <v>0.10069002568383204</v>
      </c>
      <c r="P339" s="480">
        <f t="shared" si="40"/>
        <v>4.4895332169663985E-4</v>
      </c>
      <c r="Q339" s="481">
        <f t="shared" si="41"/>
        <v>4.5205121492476369E-5</v>
      </c>
    </row>
    <row r="340" spans="1:17" x14ac:dyDescent="0.35">
      <c r="A340" s="376" t="s">
        <v>2575</v>
      </c>
      <c r="B340" s="376" t="s">
        <v>2576</v>
      </c>
      <c r="C340" s="376" t="s">
        <v>2577</v>
      </c>
      <c r="D340" s="376">
        <v>14831891754.119999</v>
      </c>
      <c r="E340" s="376">
        <v>4.2927377440651782</v>
      </c>
      <c r="F340" s="376">
        <v>13</v>
      </c>
      <c r="G340" s="376">
        <v>208.34229999999999</v>
      </c>
      <c r="H340" s="376">
        <v>71.19</v>
      </c>
      <c r="I340" s="474"/>
      <c r="J340" s="475" t="str">
        <f t="shared" si="35"/>
        <v>Northern Trust Corp</v>
      </c>
      <c r="K340" s="476" t="str">
        <f t="shared" si="35"/>
        <v>NTRS</v>
      </c>
      <c r="L340" s="477">
        <f t="shared" si="36"/>
        <v>14831.891754119999</v>
      </c>
      <c r="M340" s="478">
        <f t="shared" si="37"/>
        <v>4.2927377440651782E-2</v>
      </c>
      <c r="N340" s="478">
        <f t="shared" si="38"/>
        <v>0.13</v>
      </c>
      <c r="O340" s="479">
        <f t="shared" si="39"/>
        <v>0.17571765697429415</v>
      </c>
      <c r="P340" s="480">
        <f t="shared" si="40"/>
        <v>4.0254083597764117E-4</v>
      </c>
      <c r="Q340" s="481">
        <f t="shared" si="41"/>
        <v>7.0733532534464756E-5</v>
      </c>
    </row>
    <row r="341" spans="1:17" x14ac:dyDescent="0.35">
      <c r="A341" s="376" t="s">
        <v>2578</v>
      </c>
      <c r="B341" s="376" t="s">
        <v>2579</v>
      </c>
      <c r="C341" s="376" t="s">
        <v>2580</v>
      </c>
      <c r="D341" s="376">
        <v>41896444367.160004</v>
      </c>
      <c r="E341" s="376">
        <v>1.222042333753073</v>
      </c>
      <c r="F341" s="376">
        <v>-10.56</v>
      </c>
      <c r="G341" s="376">
        <v>251.22289999999998</v>
      </c>
      <c r="H341" s="376">
        <v>166.77</v>
      </c>
      <c r="I341" s="474"/>
      <c r="J341" s="475" t="str">
        <f t="shared" si="35"/>
        <v>Nucor Corp</v>
      </c>
      <c r="K341" s="476" t="str">
        <f t="shared" si="35"/>
        <v>NUE</v>
      </c>
      <c r="L341" s="477">
        <f t="shared" si="36"/>
        <v>41896.444367160002</v>
      </c>
      <c r="M341" s="478">
        <f t="shared" si="37"/>
        <v>1.222042333753073E-2</v>
      </c>
      <c r="N341" s="478">
        <f t="shared" si="38"/>
        <v>-0.1056</v>
      </c>
      <c r="O341" s="479">
        <f t="shared" si="39"/>
        <v>-9.4024815014690899E-2</v>
      </c>
      <c r="P341" s="480">
        <f t="shared" si="40"/>
        <v>1.1370788042167688E-3</v>
      </c>
      <c r="Q341" s="481">
        <f t="shared" si="41"/>
        <v>-1.0691362422360762E-4</v>
      </c>
    </row>
    <row r="342" spans="1:17" x14ac:dyDescent="0.35">
      <c r="A342" s="376" t="s">
        <v>2581</v>
      </c>
      <c r="B342" s="376" t="s">
        <v>2582</v>
      </c>
      <c r="C342" s="376" t="s">
        <v>2583</v>
      </c>
      <c r="D342" s="376">
        <v>1123084300000</v>
      </c>
      <c r="E342" s="376">
        <v>3.6508390331874467E-2</v>
      </c>
      <c r="F342" s="376">
        <v>44.035000000000004</v>
      </c>
      <c r="G342" s="376">
        <v>2470</v>
      </c>
      <c r="H342" s="376">
        <v>454.69</v>
      </c>
      <c r="I342" s="474"/>
      <c r="J342" s="475" t="str">
        <f t="shared" si="35"/>
        <v>NVIDIA Corp</v>
      </c>
      <c r="K342" s="476" t="str">
        <f t="shared" si="35"/>
        <v>NVDA</v>
      </c>
      <c r="L342" s="477">
        <f t="shared" si="36"/>
        <v>1123084.3</v>
      </c>
      <c r="M342" s="478">
        <f t="shared" si="37"/>
        <v>3.6508390331874466E-4</v>
      </c>
      <c r="N342" s="478">
        <f t="shared" si="38"/>
        <v>0.44035000000000002</v>
      </c>
      <c r="O342" s="479">
        <f t="shared" si="39"/>
        <v>0.44079546625173199</v>
      </c>
      <c r="P342" s="480">
        <f t="shared" si="40"/>
        <v>3.048075730931513E-2</v>
      </c>
      <c r="Q342" s="481">
        <f t="shared" si="41"/>
        <v>1.343577962986545E-2</v>
      </c>
    </row>
    <row r="343" spans="1:17" x14ac:dyDescent="0.35">
      <c r="A343" s="376" t="s">
        <v>2584</v>
      </c>
      <c r="B343" s="376" t="s">
        <v>2585</v>
      </c>
      <c r="C343" s="376" t="s">
        <v>2586</v>
      </c>
      <c r="D343" s="376">
        <v>20769252436.299999</v>
      </c>
      <c r="E343" s="376" t="s">
        <v>1612</v>
      </c>
      <c r="F343" s="376">
        <v>-3.0300000000000002</v>
      </c>
      <c r="G343" s="376">
        <v>3.2469399999999999</v>
      </c>
      <c r="H343" s="376">
        <v>6396.55</v>
      </c>
      <c r="I343" s="474"/>
      <c r="J343" s="475" t="str">
        <f t="shared" si="35"/>
        <v>NVR Inc</v>
      </c>
      <c r="K343" s="476" t="str">
        <f t="shared" si="35"/>
        <v>NVR</v>
      </c>
      <c r="L343" s="477">
        <f t="shared" si="36"/>
        <v>20769.252436299997</v>
      </c>
      <c r="M343" s="478" t="str">
        <f t="shared" si="37"/>
        <v>0.00%</v>
      </c>
      <c r="N343" s="478">
        <f t="shared" si="38"/>
        <v>-3.0300000000000004E-2</v>
      </c>
      <c r="O343" s="479">
        <f t="shared" si="39"/>
        <v>-3.0300000000000004E-2</v>
      </c>
      <c r="P343" s="480">
        <f t="shared" si="40"/>
        <v>5.6368212342275837E-4</v>
      </c>
      <c r="Q343" s="481">
        <f t="shared" si="41"/>
        <v>-1.7079568339709581E-5</v>
      </c>
    </row>
    <row r="344" spans="1:17" x14ac:dyDescent="0.35">
      <c r="A344" s="376" t="s">
        <v>2587</v>
      </c>
      <c r="B344" s="376" t="s">
        <v>2588</v>
      </c>
      <c r="C344" s="376" t="s">
        <v>2589</v>
      </c>
      <c r="D344" s="376">
        <v>4054038999.9999995</v>
      </c>
      <c r="E344" s="376">
        <v>8.0592441266598591</v>
      </c>
      <c r="F344" s="376">
        <v>-4</v>
      </c>
      <c r="G344" s="376">
        <v>414.09999999999997</v>
      </c>
      <c r="H344" s="376">
        <v>9.7899999999999991</v>
      </c>
      <c r="I344" s="474"/>
      <c r="J344" s="475" t="str">
        <f t="shared" si="35"/>
        <v>Newell Brands Inc</v>
      </c>
      <c r="K344" s="476" t="str">
        <f t="shared" si="35"/>
        <v>NWL</v>
      </c>
      <c r="L344" s="477">
        <f t="shared" si="36"/>
        <v>4054.0389999999993</v>
      </c>
      <c r="M344" s="478">
        <f t="shared" si="37"/>
        <v>8.0592441266598591E-2</v>
      </c>
      <c r="N344" s="478">
        <f t="shared" si="38"/>
        <v>-0.04</v>
      </c>
      <c r="O344" s="479">
        <f t="shared" si="39"/>
        <v>3.8980592441266622E-2</v>
      </c>
      <c r="P344" s="480">
        <f t="shared" si="40"/>
        <v>1.1002751875482417E-4</v>
      </c>
      <c r="Q344" s="481">
        <f t="shared" si="41"/>
        <v>4.2889378659056207E-6</v>
      </c>
    </row>
    <row r="345" spans="1:17" x14ac:dyDescent="0.35">
      <c r="A345" s="376" t="s">
        <v>2590</v>
      </c>
      <c r="B345" s="376" t="s">
        <v>2591</v>
      </c>
      <c r="C345" s="376" t="s">
        <v>2592</v>
      </c>
      <c r="D345" s="376">
        <v>11626277321.089998</v>
      </c>
      <c r="E345" s="376">
        <v>0.98960910440376049</v>
      </c>
      <c r="F345" s="376">
        <v>1.6</v>
      </c>
      <c r="G345" s="376">
        <v>380.94819999999999</v>
      </c>
      <c r="H345" s="376">
        <v>20.21</v>
      </c>
      <c r="I345" s="474"/>
      <c r="J345" s="475" t="str">
        <f t="shared" si="35"/>
        <v>News Corp</v>
      </c>
      <c r="K345" s="476" t="str">
        <f t="shared" si="35"/>
        <v>NWSA</v>
      </c>
      <c r="L345" s="477">
        <f t="shared" si="36"/>
        <v>11626.277321089998</v>
      </c>
      <c r="M345" s="478">
        <f t="shared" si="37"/>
        <v>9.8960910440376044E-3</v>
      </c>
      <c r="N345" s="478">
        <f t="shared" si="38"/>
        <v>1.6E-2</v>
      </c>
      <c r="O345" s="479">
        <f t="shared" si="39"/>
        <v>2.5975259772389906E-2</v>
      </c>
      <c r="P345" s="480">
        <f t="shared" si="40"/>
        <v>3.1553974838303647E-4</v>
      </c>
      <c r="Q345" s="481">
        <f t="shared" si="41"/>
        <v>8.1962269327639206E-6</v>
      </c>
    </row>
    <row r="346" spans="1:17" x14ac:dyDescent="0.35">
      <c r="A346" s="376" t="s">
        <v>2593</v>
      </c>
      <c r="B346" s="376" t="s">
        <v>2594</v>
      </c>
      <c r="C346" s="376" t="s">
        <v>2595</v>
      </c>
      <c r="D346" s="376">
        <v>55205687528.119995</v>
      </c>
      <c r="E346" s="376">
        <v>1.8109532323327375</v>
      </c>
      <c r="F346" s="376">
        <v>34</v>
      </c>
      <c r="G346" s="376">
        <v>259.74259999999998</v>
      </c>
      <c r="H346" s="376">
        <v>212.54</v>
      </c>
      <c r="I346" s="474"/>
      <c r="J346" s="475" t="str">
        <f t="shared" si="35"/>
        <v>NXP Semiconductors NV</v>
      </c>
      <c r="K346" s="476" t="str">
        <f t="shared" si="35"/>
        <v>NXPI</v>
      </c>
      <c r="L346" s="477">
        <f t="shared" si="36"/>
        <v>55205.687528119997</v>
      </c>
      <c r="M346" s="478">
        <f t="shared" si="37"/>
        <v>1.8109532323327376E-2</v>
      </c>
      <c r="N346" s="478">
        <f t="shared" si="38"/>
        <v>0.34</v>
      </c>
      <c r="O346" s="479">
        <f t="shared" si="39"/>
        <v>0.36118815281829303</v>
      </c>
      <c r="P346" s="480">
        <f t="shared" si="40"/>
        <v>1.4982946192360722E-3</v>
      </c>
      <c r="Q346" s="481">
        <f t="shared" si="41"/>
        <v>5.411662658994646E-4</v>
      </c>
    </row>
    <row r="347" spans="1:17" x14ac:dyDescent="0.35">
      <c r="A347" s="376" t="s">
        <v>2596</v>
      </c>
      <c r="B347" s="376" t="s">
        <v>2597</v>
      </c>
      <c r="C347" s="376" t="s">
        <v>2598</v>
      </c>
      <c r="D347" s="376">
        <v>40945391902.620003</v>
      </c>
      <c r="E347" s="376">
        <v>5.0115093719171329</v>
      </c>
      <c r="F347" s="376">
        <v>0.25</v>
      </c>
      <c r="G347" s="376">
        <v>673.22249999999997</v>
      </c>
      <c r="H347" s="376">
        <v>60.82</v>
      </c>
      <c r="I347" s="474"/>
      <c r="J347" s="475" t="str">
        <f t="shared" si="35"/>
        <v>Realty Income Corp</v>
      </c>
      <c r="K347" s="476" t="str">
        <f t="shared" si="35"/>
        <v>O</v>
      </c>
      <c r="L347" s="477">
        <f t="shared" si="36"/>
        <v>40945.391902620002</v>
      </c>
      <c r="M347" s="478">
        <f t="shared" si="37"/>
        <v>5.0115093719171326E-2</v>
      </c>
      <c r="N347" s="478">
        <f t="shared" si="38"/>
        <v>2.5000000000000001E-3</v>
      </c>
      <c r="O347" s="479">
        <f t="shared" si="39"/>
        <v>5.2677737586320293E-2</v>
      </c>
      <c r="P347" s="480">
        <f t="shared" si="40"/>
        <v>1.1112670291255581E-3</v>
      </c>
      <c r="Q347" s="481">
        <f t="shared" si="41"/>
        <v>5.8539032948605896E-5</v>
      </c>
    </row>
    <row r="348" spans="1:17" x14ac:dyDescent="0.35">
      <c r="A348" s="376" t="s">
        <v>2599</v>
      </c>
      <c r="B348" s="376" t="s">
        <v>2600</v>
      </c>
      <c r="C348" s="376" t="s">
        <v>2601</v>
      </c>
      <c r="D348" s="376">
        <v>41423057732.559998</v>
      </c>
      <c r="E348" s="376">
        <v>0.39097863779548409</v>
      </c>
      <c r="F348" s="376">
        <v>3.125</v>
      </c>
      <c r="G348" s="376">
        <v>109.6515</v>
      </c>
      <c r="H348" s="376">
        <v>377.77</v>
      </c>
      <c r="I348" s="474"/>
      <c r="J348" s="475" t="str">
        <f t="shared" si="35"/>
        <v>Old Dominion Freight Line Inc</v>
      </c>
      <c r="K348" s="476" t="str">
        <f t="shared" si="35"/>
        <v>ODFL</v>
      </c>
      <c r="L348" s="477">
        <f t="shared" si="36"/>
        <v>41423.057732559995</v>
      </c>
      <c r="M348" s="478">
        <f t="shared" si="37"/>
        <v>3.9097863779548412E-3</v>
      </c>
      <c r="N348" s="478">
        <f t="shared" si="38"/>
        <v>3.125E-2</v>
      </c>
      <c r="O348" s="479">
        <f t="shared" si="39"/>
        <v>3.5220876790110385E-2</v>
      </c>
      <c r="P348" s="480">
        <f t="shared" si="40"/>
        <v>1.1242309858270751E-3</v>
      </c>
      <c r="Q348" s="481">
        <f t="shared" si="41"/>
        <v>3.9596401035439745E-5</v>
      </c>
    </row>
    <row r="349" spans="1:17" x14ac:dyDescent="0.35">
      <c r="A349" s="376" t="s">
        <v>2602</v>
      </c>
      <c r="B349" s="376" t="s">
        <v>2603</v>
      </c>
      <c r="C349" s="376" t="s">
        <v>2604</v>
      </c>
      <c r="D349" s="376">
        <v>5233867048.4399996</v>
      </c>
      <c r="E349" s="376">
        <v>5.5068226120857711</v>
      </c>
      <c r="F349" s="376">
        <v>5.48</v>
      </c>
      <c r="G349" s="376">
        <v>255.0617</v>
      </c>
      <c r="H349" s="376">
        <v>20.52</v>
      </c>
      <c r="I349" s="474"/>
      <c r="J349" s="475" t="str">
        <f t="shared" si="35"/>
        <v>Organon &amp; Co</v>
      </c>
      <c r="K349" s="476" t="str">
        <f t="shared" si="35"/>
        <v>OGN</v>
      </c>
      <c r="L349" s="477">
        <f t="shared" si="36"/>
        <v>5233.86704844</v>
      </c>
      <c r="M349" s="478">
        <f t="shared" si="37"/>
        <v>5.5068226120857711E-2</v>
      </c>
      <c r="N349" s="478">
        <f t="shared" si="38"/>
        <v>5.4800000000000001E-2</v>
      </c>
      <c r="O349" s="479">
        <f t="shared" si="39"/>
        <v>0.11137709551656921</v>
      </c>
      <c r="P349" s="480">
        <f t="shared" si="40"/>
        <v>1.4204831399808646E-4</v>
      </c>
      <c r="Q349" s="481">
        <f t="shared" si="41"/>
        <v>1.582092863613249E-5</v>
      </c>
    </row>
    <row r="350" spans="1:17" x14ac:dyDescent="0.35">
      <c r="A350" s="376" t="s">
        <v>2605</v>
      </c>
      <c r="B350" s="376" t="s">
        <v>2606</v>
      </c>
      <c r="C350" s="376" t="s">
        <v>2607</v>
      </c>
      <c r="D350" s="376">
        <v>28515558768.609997</v>
      </c>
      <c r="E350" s="376">
        <v>5.9908991056017582</v>
      </c>
      <c r="F350" s="376">
        <v>8.7650000000000006</v>
      </c>
      <c r="G350" s="376">
        <v>447.44329999999997</v>
      </c>
      <c r="H350" s="376">
        <v>63.73</v>
      </c>
      <c r="I350" s="474"/>
      <c r="J350" s="475" t="str">
        <f t="shared" si="35"/>
        <v>ONEOK Inc</v>
      </c>
      <c r="K350" s="476" t="str">
        <f t="shared" si="35"/>
        <v>OKE</v>
      </c>
      <c r="L350" s="477">
        <f t="shared" si="36"/>
        <v>28515.558768609997</v>
      </c>
      <c r="M350" s="478">
        <f t="shared" si="37"/>
        <v>5.9908991056017581E-2</v>
      </c>
      <c r="N350" s="478">
        <f t="shared" si="38"/>
        <v>8.7650000000000006E-2</v>
      </c>
      <c r="O350" s="479">
        <f t="shared" si="39"/>
        <v>0.15018450258904756</v>
      </c>
      <c r="P350" s="480">
        <f t="shared" si="40"/>
        <v>7.739185975313824E-4</v>
      </c>
      <c r="Q350" s="481">
        <f t="shared" si="41"/>
        <v>1.1623057961466395E-4</v>
      </c>
    </row>
    <row r="351" spans="1:17" x14ac:dyDescent="0.35">
      <c r="A351" s="376" t="s">
        <v>2608</v>
      </c>
      <c r="B351" s="376" t="s">
        <v>2609</v>
      </c>
      <c r="C351" s="376" t="s">
        <v>2610</v>
      </c>
      <c r="D351" s="376">
        <v>19211275758.950001</v>
      </c>
      <c r="E351" s="376">
        <v>3.0480839131789383</v>
      </c>
      <c r="F351" s="376">
        <v>4.5600000000000005</v>
      </c>
      <c r="G351" s="376">
        <v>199.51479999999998</v>
      </c>
      <c r="H351" s="376">
        <v>96.29</v>
      </c>
      <c r="I351" s="474"/>
      <c r="J351" s="475" t="str">
        <f t="shared" si="35"/>
        <v>Omnicom Group Inc</v>
      </c>
      <c r="K351" s="476" t="str">
        <f t="shared" si="35"/>
        <v>OMC</v>
      </c>
      <c r="L351" s="477">
        <f t="shared" si="36"/>
        <v>19211.27575895</v>
      </c>
      <c r="M351" s="478">
        <f t="shared" si="37"/>
        <v>3.0480839131789384E-2</v>
      </c>
      <c r="N351" s="478">
        <f t="shared" si="38"/>
        <v>4.5600000000000002E-2</v>
      </c>
      <c r="O351" s="479">
        <f t="shared" si="39"/>
        <v>7.6775802263994178E-2</v>
      </c>
      <c r="P351" s="480">
        <f t="shared" si="40"/>
        <v>5.2139829041407111E-4</v>
      </c>
      <c r="Q351" s="481">
        <f t="shared" si="41"/>
        <v>4.0030772045615333E-5</v>
      </c>
    </row>
    <row r="352" spans="1:17" x14ac:dyDescent="0.35">
      <c r="A352" s="376" t="s">
        <v>2611</v>
      </c>
      <c r="B352" s="376" t="s">
        <v>2612</v>
      </c>
      <c r="C352" s="376" t="s">
        <v>2613</v>
      </c>
      <c r="D352" s="376">
        <v>43049083594.720001</v>
      </c>
      <c r="E352" s="376">
        <v>0</v>
      </c>
      <c r="F352" s="376">
        <v>4.9750000000000005</v>
      </c>
      <c r="G352" s="376">
        <v>431.87279999999998</v>
      </c>
      <c r="H352" s="376">
        <v>99.68</v>
      </c>
      <c r="I352" s="474"/>
      <c r="J352" s="475" t="str">
        <f t="shared" si="35"/>
        <v>ON Semiconductor Corp</v>
      </c>
      <c r="K352" s="476" t="str">
        <f t="shared" si="35"/>
        <v>ON</v>
      </c>
      <c r="L352" s="477">
        <f t="shared" si="36"/>
        <v>43049.083594720003</v>
      </c>
      <c r="M352" s="478">
        <f t="shared" si="37"/>
        <v>0</v>
      </c>
      <c r="N352" s="478">
        <f t="shared" si="38"/>
        <v>4.9750000000000003E-2</v>
      </c>
      <c r="O352" s="479">
        <f t="shared" si="39"/>
        <v>4.9750000000000003E-2</v>
      </c>
      <c r="P352" s="480">
        <f t="shared" si="40"/>
        <v>1.1683616888234301E-3</v>
      </c>
      <c r="Q352" s="481">
        <f t="shared" si="41"/>
        <v>5.8125994018965646E-5</v>
      </c>
    </row>
    <row r="353" spans="1:17" x14ac:dyDescent="0.35">
      <c r="A353" s="376" t="s">
        <v>2614</v>
      </c>
      <c r="B353" s="376" t="s">
        <v>2615</v>
      </c>
      <c r="C353" s="376" t="s">
        <v>2616</v>
      </c>
      <c r="D353" s="376">
        <v>323729670929.99994</v>
      </c>
      <c r="E353" s="376">
        <v>1.3104720382325814</v>
      </c>
      <c r="F353" s="376">
        <v>15</v>
      </c>
      <c r="G353" s="376">
        <v>2714.259</v>
      </c>
      <c r="H353" s="376">
        <v>119.27</v>
      </c>
      <c r="I353" s="474"/>
      <c r="J353" s="475" t="str">
        <f t="shared" si="35"/>
        <v>Oracle Corp</v>
      </c>
      <c r="K353" s="476" t="str">
        <f t="shared" si="35"/>
        <v>ORCL</v>
      </c>
      <c r="L353" s="477">
        <f t="shared" si="36"/>
        <v>323729.67092999996</v>
      </c>
      <c r="M353" s="478">
        <f t="shared" si="37"/>
        <v>1.3104720382325814E-2</v>
      </c>
      <c r="N353" s="478">
        <f t="shared" si="38"/>
        <v>0.15</v>
      </c>
      <c r="O353" s="479">
        <f t="shared" si="39"/>
        <v>0.16408757441100025</v>
      </c>
      <c r="P353" s="480">
        <f t="shared" si="40"/>
        <v>8.7860951608367942E-3</v>
      </c>
      <c r="Q353" s="481">
        <f t="shared" si="41"/>
        <v>1.4416890434859368E-3</v>
      </c>
    </row>
    <row r="354" spans="1:17" x14ac:dyDescent="0.35">
      <c r="A354" s="376" t="s">
        <v>2617</v>
      </c>
      <c r="B354" s="376" t="s">
        <v>2618</v>
      </c>
      <c r="C354" s="376" t="s">
        <v>2619</v>
      </c>
      <c r="D354" s="376">
        <v>58529621705.400009</v>
      </c>
      <c r="E354" s="376">
        <v>0</v>
      </c>
      <c r="F354" s="376">
        <v>11.265000000000001</v>
      </c>
      <c r="G354" s="376">
        <v>60.87894</v>
      </c>
      <c r="H354" s="376">
        <v>961.41</v>
      </c>
      <c r="I354" s="474"/>
      <c r="J354" s="475" t="str">
        <f t="shared" si="35"/>
        <v>O'Reilly Automotive Inc</v>
      </c>
      <c r="K354" s="476" t="str">
        <f t="shared" si="35"/>
        <v>ORLY</v>
      </c>
      <c r="L354" s="477">
        <f t="shared" si="36"/>
        <v>58529.621705400008</v>
      </c>
      <c r="M354" s="478">
        <f t="shared" si="37"/>
        <v>0</v>
      </c>
      <c r="N354" s="478">
        <f t="shared" si="38"/>
        <v>0.11265</v>
      </c>
      <c r="O354" s="479">
        <f t="shared" si="39"/>
        <v>0.11265</v>
      </c>
      <c r="P354" s="480">
        <f t="shared" si="40"/>
        <v>1.5885069309653076E-3</v>
      </c>
      <c r="Q354" s="481">
        <f t="shared" si="41"/>
        <v>1.7894530577324189E-4</v>
      </c>
    </row>
    <row r="355" spans="1:17" x14ac:dyDescent="0.35">
      <c r="A355" s="376" t="s">
        <v>2620</v>
      </c>
      <c r="B355" s="376" t="s">
        <v>2621</v>
      </c>
      <c r="C355" s="376" t="s">
        <v>2622</v>
      </c>
      <c r="D355" s="376">
        <v>36667207329.919998</v>
      </c>
      <c r="E355" s="376">
        <v>1.5441839495040577</v>
      </c>
      <c r="F355" s="376">
        <v>9</v>
      </c>
      <c r="G355" s="376">
        <v>413.29129999999998</v>
      </c>
      <c r="H355" s="376">
        <v>88.72</v>
      </c>
      <c r="I355" s="474"/>
      <c r="J355" s="475" t="str">
        <f t="shared" si="35"/>
        <v>Otis Worldwide Corp</v>
      </c>
      <c r="K355" s="476" t="str">
        <f t="shared" si="35"/>
        <v>OTIS</v>
      </c>
      <c r="L355" s="477">
        <f t="shared" si="36"/>
        <v>36667.207329919998</v>
      </c>
      <c r="M355" s="478">
        <f t="shared" si="37"/>
        <v>1.5441839495040577E-2</v>
      </c>
      <c r="N355" s="478">
        <f t="shared" si="38"/>
        <v>0.09</v>
      </c>
      <c r="O355" s="479">
        <f t="shared" si="39"/>
        <v>0.10613672227231739</v>
      </c>
      <c r="P355" s="480">
        <f t="shared" si="40"/>
        <v>9.9515614975085329E-4</v>
      </c>
      <c r="Q355" s="481">
        <f t="shared" si="41"/>
        <v>1.0562261188369501E-4</v>
      </c>
    </row>
    <row r="356" spans="1:17" x14ac:dyDescent="0.35">
      <c r="A356" s="376" t="s">
        <v>2623</v>
      </c>
      <c r="B356" s="376" t="s">
        <v>2624</v>
      </c>
      <c r="C356" s="376" t="s">
        <v>2625</v>
      </c>
      <c r="D356" s="376">
        <v>52951829204.059998</v>
      </c>
      <c r="E356" s="376">
        <v>1.1401145166722801</v>
      </c>
      <c r="F356" s="376">
        <v>-14</v>
      </c>
      <c r="G356" s="376">
        <v>891.74519999999995</v>
      </c>
      <c r="H356" s="376">
        <v>59.38</v>
      </c>
      <c r="I356" s="474"/>
      <c r="J356" s="475" t="str">
        <f t="shared" si="35"/>
        <v>Occidental Petroleum Corp</v>
      </c>
      <c r="K356" s="476" t="str">
        <f t="shared" si="35"/>
        <v>OXY</v>
      </c>
      <c r="L356" s="477">
        <f t="shared" si="36"/>
        <v>52951.829204059999</v>
      </c>
      <c r="M356" s="478">
        <f t="shared" si="37"/>
        <v>1.1401145166722802E-2</v>
      </c>
      <c r="N356" s="478">
        <f t="shared" si="38"/>
        <v>-0.14000000000000001</v>
      </c>
      <c r="O356" s="479">
        <f t="shared" si="39"/>
        <v>-0.12939693499494781</v>
      </c>
      <c r="P356" s="480">
        <f t="shared" si="40"/>
        <v>1.4371244037987693E-3</v>
      </c>
      <c r="Q356" s="481">
        <f t="shared" si="41"/>
        <v>-1.8595949305800247E-4</v>
      </c>
    </row>
    <row r="357" spans="1:17" x14ac:dyDescent="0.35">
      <c r="A357" s="376" t="s">
        <v>2626</v>
      </c>
      <c r="B357" s="376" t="s">
        <v>2627</v>
      </c>
      <c r="C357" s="376" t="s">
        <v>2628</v>
      </c>
      <c r="D357" s="376">
        <v>73790534838.23999</v>
      </c>
      <c r="E357" s="376">
        <v>0</v>
      </c>
      <c r="F357" s="376">
        <v>30</v>
      </c>
      <c r="G357" s="376">
        <v>305.85480000000001</v>
      </c>
      <c r="H357" s="376">
        <v>241.26</v>
      </c>
      <c r="I357" s="474"/>
      <c r="J357" s="475" t="str">
        <f t="shared" si="35"/>
        <v>Palo Alto Networks Inc</v>
      </c>
      <c r="K357" s="476" t="str">
        <f t="shared" si="35"/>
        <v>PANW</v>
      </c>
      <c r="L357" s="477">
        <f t="shared" si="36"/>
        <v>73790.534838239997</v>
      </c>
      <c r="M357" s="478">
        <f t="shared" si="37"/>
        <v>0</v>
      </c>
      <c r="N357" s="478">
        <f t="shared" si="38"/>
        <v>0.3</v>
      </c>
      <c r="O357" s="479">
        <f t="shared" si="39"/>
        <v>0.3</v>
      </c>
      <c r="P357" s="480">
        <f t="shared" si="40"/>
        <v>2.0026915024357089E-3</v>
      </c>
      <c r="Q357" s="481">
        <f t="shared" si="41"/>
        <v>6.008074507307127E-4</v>
      </c>
    </row>
    <row r="358" spans="1:17" x14ac:dyDescent="0.35">
      <c r="A358" s="376" t="s">
        <v>2629</v>
      </c>
      <c r="B358" s="376" t="s">
        <v>2630</v>
      </c>
      <c r="C358" s="376" t="s">
        <v>2631</v>
      </c>
      <c r="D358" s="376">
        <v>10496950868.57</v>
      </c>
      <c r="E358" s="376">
        <v>2.4686716791979948</v>
      </c>
      <c r="F358" s="376">
        <v>5.71</v>
      </c>
      <c r="G358" s="376">
        <v>610.85289999999998</v>
      </c>
      <c r="H358" s="376">
        <v>15.96</v>
      </c>
      <c r="I358" s="474"/>
      <c r="J358" s="475" t="str">
        <f t="shared" si="35"/>
        <v>Paramount Global</v>
      </c>
      <c r="K358" s="476" t="str">
        <f t="shared" si="35"/>
        <v>PARA</v>
      </c>
      <c r="L358" s="477">
        <f t="shared" si="36"/>
        <v>10496.95086857</v>
      </c>
      <c r="M358" s="478">
        <f t="shared" si="37"/>
        <v>2.4686716791979948E-2</v>
      </c>
      <c r="N358" s="478">
        <f t="shared" si="38"/>
        <v>5.7099999999999998E-2</v>
      </c>
      <c r="O358" s="479">
        <f t="shared" si="39"/>
        <v>8.2491522556390973E-2</v>
      </c>
      <c r="P358" s="480">
        <f t="shared" si="40"/>
        <v>2.8488957766811167E-4</v>
      </c>
      <c r="Q358" s="481">
        <f t="shared" si="41"/>
        <v>2.3500975022289732E-5</v>
      </c>
    </row>
    <row r="359" spans="1:17" x14ac:dyDescent="0.35">
      <c r="A359" s="376" t="s">
        <v>2632</v>
      </c>
      <c r="B359" s="376" t="s">
        <v>2633</v>
      </c>
      <c r="C359" s="376" t="s">
        <v>2634</v>
      </c>
      <c r="D359" s="376">
        <v>21404473795.939995</v>
      </c>
      <c r="E359" s="376">
        <v>0</v>
      </c>
      <c r="F359" s="376" t="s">
        <v>1612</v>
      </c>
      <c r="G359" s="376">
        <v>60.292589999999997</v>
      </c>
      <c r="H359" s="376">
        <v>355.01</v>
      </c>
      <c r="I359" s="474"/>
      <c r="J359" s="475" t="str">
        <f t="shared" si="35"/>
        <v>Paycom Software Inc</v>
      </c>
      <c r="K359" s="476" t="str">
        <f t="shared" si="35"/>
        <v>PAYC</v>
      </c>
      <c r="L359" s="477">
        <f t="shared" si="36"/>
        <v>21404.473795939994</v>
      </c>
      <c r="M359" s="478">
        <f t="shared" si="37"/>
        <v>0</v>
      </c>
      <c r="N359" s="478" t="str">
        <f t="shared" si="38"/>
        <v>N/A</v>
      </c>
      <c r="O359" s="479" t="str">
        <f t="shared" si="39"/>
        <v>N/A</v>
      </c>
      <c r="P359" s="480" t="str">
        <f t="shared" si="40"/>
        <v>N/A</v>
      </c>
      <c r="Q359" s="481" t="str">
        <f t="shared" si="41"/>
        <v>N/A</v>
      </c>
    </row>
    <row r="360" spans="1:17" x14ac:dyDescent="0.35">
      <c r="A360" s="376" t="s">
        <v>2635</v>
      </c>
      <c r="B360" s="376" t="s">
        <v>2636</v>
      </c>
      <c r="C360" s="376" t="s">
        <v>2637</v>
      </c>
      <c r="D360" s="376">
        <v>43575562970.800003</v>
      </c>
      <c r="E360" s="376">
        <v>2.9157703127585632</v>
      </c>
      <c r="F360" s="376">
        <v>7</v>
      </c>
      <c r="G360" s="376">
        <v>360.54579999999999</v>
      </c>
      <c r="H360" s="376">
        <v>120.86</v>
      </c>
      <c r="I360" s="474"/>
      <c r="J360" s="475" t="str">
        <f t="shared" si="35"/>
        <v>Paychex Inc</v>
      </c>
      <c r="K360" s="476" t="str">
        <f t="shared" si="35"/>
        <v>PAYX</v>
      </c>
      <c r="L360" s="477">
        <f t="shared" si="36"/>
        <v>43575.562970800005</v>
      </c>
      <c r="M360" s="478">
        <f t="shared" si="37"/>
        <v>2.9157703127585633E-2</v>
      </c>
      <c r="N360" s="478">
        <f t="shared" si="38"/>
        <v>7.0000000000000007E-2</v>
      </c>
      <c r="O360" s="479">
        <f t="shared" si="39"/>
        <v>0.10017822273705114</v>
      </c>
      <c r="P360" s="480">
        <f t="shared" si="40"/>
        <v>1.1826504560073843E-3</v>
      </c>
      <c r="Q360" s="481">
        <f t="shared" si="41"/>
        <v>1.1847582080198285E-4</v>
      </c>
    </row>
    <row r="361" spans="1:17" x14ac:dyDescent="0.35">
      <c r="A361" s="376" t="s">
        <v>2638</v>
      </c>
      <c r="B361" s="376" t="s">
        <v>2639</v>
      </c>
      <c r="C361" s="376" t="s">
        <v>2640</v>
      </c>
      <c r="D361" s="376">
        <v>44764120223.759995</v>
      </c>
      <c r="E361" s="376">
        <v>4.0579033387812284</v>
      </c>
      <c r="F361" s="376">
        <v>12</v>
      </c>
      <c r="G361" s="376">
        <v>522.57899999999995</v>
      </c>
      <c r="H361" s="376">
        <v>85.66</v>
      </c>
      <c r="I361" s="474"/>
      <c r="J361" s="475" t="str">
        <f t="shared" si="35"/>
        <v>PACCAR Inc</v>
      </c>
      <c r="K361" s="476" t="str">
        <f t="shared" si="35"/>
        <v>PCAR</v>
      </c>
      <c r="L361" s="477">
        <f t="shared" si="36"/>
        <v>44764.120223759994</v>
      </c>
      <c r="M361" s="478">
        <f t="shared" si="37"/>
        <v>4.0579033387812283E-2</v>
      </c>
      <c r="N361" s="478">
        <f t="shared" si="38"/>
        <v>0.12</v>
      </c>
      <c r="O361" s="479">
        <f t="shared" si="39"/>
        <v>0.16301377539108103</v>
      </c>
      <c r="P361" s="480">
        <f t="shared" si="40"/>
        <v>1.2149081637998444E-3</v>
      </c>
      <c r="Q361" s="481">
        <f t="shared" si="41"/>
        <v>1.980467665344585E-4</v>
      </c>
    </row>
    <row r="362" spans="1:17" x14ac:dyDescent="0.35">
      <c r="A362" s="376" t="s">
        <v>2641</v>
      </c>
      <c r="B362" s="376" t="s">
        <v>2642</v>
      </c>
      <c r="C362" s="376" t="s">
        <v>1495</v>
      </c>
      <c r="D362" s="376">
        <v>35564771194.920006</v>
      </c>
      <c r="E362" s="376">
        <v>0.39281705948372619</v>
      </c>
      <c r="F362" s="376">
        <v>6.2549999999999999</v>
      </c>
      <c r="G362" s="376">
        <v>1995.778</v>
      </c>
      <c r="H362" s="376">
        <v>17.82</v>
      </c>
      <c r="I362" s="474"/>
      <c r="J362" s="475" t="str">
        <f t="shared" si="35"/>
        <v>PG&amp;E Corp</v>
      </c>
      <c r="K362" s="476" t="str">
        <f t="shared" si="35"/>
        <v>PCG</v>
      </c>
      <c r="L362" s="477">
        <f t="shared" si="36"/>
        <v>35564.771194920009</v>
      </c>
      <c r="M362" s="478">
        <f t="shared" si="37"/>
        <v>3.9281705948372618E-3</v>
      </c>
      <c r="N362" s="478">
        <f t="shared" si="38"/>
        <v>6.2549999999999994E-2</v>
      </c>
      <c r="O362" s="479">
        <f t="shared" si="39"/>
        <v>6.6601024130190797E-2</v>
      </c>
      <c r="P362" s="480">
        <f t="shared" si="40"/>
        <v>9.6523578822504973E-4</v>
      </c>
      <c r="Q362" s="481">
        <f t="shared" si="41"/>
        <v>6.4285692022900273E-5</v>
      </c>
    </row>
    <row r="363" spans="1:17" x14ac:dyDescent="0.35">
      <c r="A363" s="376" t="s">
        <v>2643</v>
      </c>
      <c r="B363" s="376" t="s">
        <v>2644</v>
      </c>
      <c r="C363" s="376" t="s">
        <v>2645</v>
      </c>
      <c r="D363" s="376">
        <v>11705707680.4</v>
      </c>
      <c r="E363" s="376">
        <v>5.6401869158878508</v>
      </c>
      <c r="F363" s="376">
        <v>4.83</v>
      </c>
      <c r="G363" s="376">
        <v>546.99569999999994</v>
      </c>
      <c r="H363" s="376">
        <v>21.4</v>
      </c>
      <c r="I363" s="474"/>
      <c r="J363" s="475" t="str">
        <f t="shared" si="35"/>
        <v>Healthpeak Properties Inc</v>
      </c>
      <c r="K363" s="476" t="str">
        <f t="shared" si="35"/>
        <v>PEAK</v>
      </c>
      <c r="L363" s="477">
        <f t="shared" si="36"/>
        <v>11705.707680399999</v>
      </c>
      <c r="M363" s="478">
        <f t="shared" si="37"/>
        <v>5.6401869158878508E-2</v>
      </c>
      <c r="N363" s="478">
        <f t="shared" si="38"/>
        <v>4.8300000000000003E-2</v>
      </c>
      <c r="O363" s="479">
        <f t="shared" si="39"/>
        <v>0.10606397429906542</v>
      </c>
      <c r="P363" s="480">
        <f t="shared" si="40"/>
        <v>3.1769550597409162E-4</v>
      </c>
      <c r="Q363" s="481">
        <f t="shared" si="41"/>
        <v>3.3696047980564634E-5</v>
      </c>
    </row>
    <row r="364" spans="1:17" x14ac:dyDescent="0.35">
      <c r="A364" s="376" t="s">
        <v>2646</v>
      </c>
      <c r="B364" s="376" t="s">
        <v>2647</v>
      </c>
      <c r="C364" s="376" t="s">
        <v>1496</v>
      </c>
      <c r="D364" s="376">
        <v>31853934409.919998</v>
      </c>
      <c r="E364" s="376">
        <v>3.5651629072681708</v>
      </c>
      <c r="F364" s="376">
        <v>4.8769999999999998</v>
      </c>
      <c r="G364" s="376">
        <v>498.96509999999995</v>
      </c>
      <c r="H364" s="376">
        <v>63.84</v>
      </c>
      <c r="I364" s="474"/>
      <c r="J364" s="475" t="str">
        <f t="shared" si="35"/>
        <v>Public Service Enterprise Group Inc</v>
      </c>
      <c r="K364" s="476" t="str">
        <f t="shared" si="35"/>
        <v>PEG</v>
      </c>
      <c r="L364" s="477">
        <f t="shared" si="36"/>
        <v>31853.934409919999</v>
      </c>
      <c r="M364" s="478">
        <f t="shared" si="37"/>
        <v>3.5651629072681705E-2</v>
      </c>
      <c r="N364" s="478">
        <f t="shared" si="38"/>
        <v>4.8770000000000001E-2</v>
      </c>
      <c r="O364" s="479">
        <f t="shared" si="39"/>
        <v>8.5290994047619056E-2</v>
      </c>
      <c r="P364" s="480">
        <f t="shared" si="40"/>
        <v>8.6452285380145884E-4</v>
      </c>
      <c r="Q364" s="481">
        <f t="shared" si="41"/>
        <v>7.3736013577610865E-5</v>
      </c>
    </row>
    <row r="365" spans="1:17" x14ac:dyDescent="0.35">
      <c r="A365" s="376" t="s">
        <v>2648</v>
      </c>
      <c r="B365" s="376" t="s">
        <v>2649</v>
      </c>
      <c r="C365" s="376" t="s">
        <v>2650</v>
      </c>
      <c r="D365" s="376">
        <v>259086236796.31</v>
      </c>
      <c r="E365" s="376">
        <v>2.6178205196323256</v>
      </c>
      <c r="F365" s="376">
        <v>8.14</v>
      </c>
      <c r="G365" s="376">
        <v>1376.5809999999999</v>
      </c>
      <c r="H365" s="376">
        <v>188.21</v>
      </c>
      <c r="I365" s="474"/>
      <c r="J365" s="475" t="str">
        <f t="shared" si="35"/>
        <v>PepsiCo Inc</v>
      </c>
      <c r="K365" s="476" t="str">
        <f t="shared" si="35"/>
        <v>PEP</v>
      </c>
      <c r="L365" s="477">
        <f t="shared" si="36"/>
        <v>259086.23679631</v>
      </c>
      <c r="M365" s="478">
        <f t="shared" si="37"/>
        <v>2.6178205196323256E-2</v>
      </c>
      <c r="N365" s="478">
        <f t="shared" si="38"/>
        <v>8.14E-2</v>
      </c>
      <c r="O365" s="479">
        <f t="shared" si="39"/>
        <v>0.10864365814781361</v>
      </c>
      <c r="P365" s="480">
        <f t="shared" si="40"/>
        <v>7.0316580028516795E-3</v>
      </c>
      <c r="Q365" s="481">
        <f t="shared" si="41"/>
        <v>7.6394504827415565E-4</v>
      </c>
    </row>
    <row r="366" spans="1:17" x14ac:dyDescent="0.35">
      <c r="A366" s="376" t="s">
        <v>2651</v>
      </c>
      <c r="B366" s="376" t="s">
        <v>2652</v>
      </c>
      <c r="C366" s="376" t="s">
        <v>2653</v>
      </c>
      <c r="D366" s="376">
        <v>205037550966.40002</v>
      </c>
      <c r="E366" s="376">
        <v>4.537444933920705</v>
      </c>
      <c r="F366" s="376">
        <v>-5.3230000000000004</v>
      </c>
      <c r="G366" s="376">
        <v>5645.3069999999998</v>
      </c>
      <c r="H366" s="376">
        <v>36.32</v>
      </c>
      <c r="I366" s="474"/>
      <c r="J366" s="475" t="str">
        <f t="shared" si="35"/>
        <v>Pfizer Inc</v>
      </c>
      <c r="K366" s="476" t="str">
        <f t="shared" si="35"/>
        <v>PFE</v>
      </c>
      <c r="L366" s="477">
        <f t="shared" si="36"/>
        <v>205037.55096640001</v>
      </c>
      <c r="M366" s="478">
        <f t="shared" si="37"/>
        <v>4.5374449339207049E-2</v>
      </c>
      <c r="N366" s="478">
        <f t="shared" si="38"/>
        <v>-5.3230000000000006E-2</v>
      </c>
      <c r="O366" s="479">
        <f t="shared" si="39"/>
        <v>-9.0631916299559537E-3</v>
      </c>
      <c r="P366" s="480">
        <f t="shared" si="40"/>
        <v>5.564764666644499E-3</v>
      </c>
      <c r="Q366" s="481">
        <f t="shared" si="41"/>
        <v>-5.0434528549407053E-5</v>
      </c>
    </row>
    <row r="367" spans="1:17" x14ac:dyDescent="0.35">
      <c r="A367" s="376" t="s">
        <v>2654</v>
      </c>
      <c r="B367" s="376" t="s">
        <v>2655</v>
      </c>
      <c r="C367" s="376" t="s">
        <v>2656</v>
      </c>
      <c r="D367" s="376">
        <v>19213193319.299999</v>
      </c>
      <c r="E367" s="376">
        <v>3.2992165782158205</v>
      </c>
      <c r="F367" s="376">
        <v>8.8650000000000002</v>
      </c>
      <c r="G367" s="376">
        <v>242.7747</v>
      </c>
      <c r="H367" s="376">
        <v>79.14</v>
      </c>
      <c r="I367" s="474"/>
      <c r="J367" s="475" t="str">
        <f t="shared" si="35"/>
        <v>Principal Financial Group Inc</v>
      </c>
      <c r="K367" s="476" t="str">
        <f t="shared" si="35"/>
        <v>PFG</v>
      </c>
      <c r="L367" s="477">
        <f t="shared" si="36"/>
        <v>19213.1933193</v>
      </c>
      <c r="M367" s="478">
        <f t="shared" si="37"/>
        <v>3.2992165782158203E-2</v>
      </c>
      <c r="N367" s="478">
        <f t="shared" si="38"/>
        <v>8.8650000000000007E-2</v>
      </c>
      <c r="O367" s="479">
        <f t="shared" si="39"/>
        <v>0.12310454353045237</v>
      </c>
      <c r="P367" s="480">
        <f t="shared" si="40"/>
        <v>5.2145033342780958E-4</v>
      </c>
      <c r="Q367" s="481">
        <f t="shared" si="41"/>
        <v>6.4192905270432684E-5</v>
      </c>
    </row>
    <row r="368" spans="1:17" x14ac:dyDescent="0.35">
      <c r="A368" s="376" t="s">
        <v>2657</v>
      </c>
      <c r="B368" s="376" t="s">
        <v>2658</v>
      </c>
      <c r="C368" s="376" t="s">
        <v>2659</v>
      </c>
      <c r="D368" s="376">
        <v>353663246766.09998</v>
      </c>
      <c r="E368" s="376">
        <v>2.4685104965011662</v>
      </c>
      <c r="F368" s="376">
        <v>5.14</v>
      </c>
      <c r="G368" s="376">
        <v>2356.9690000000001</v>
      </c>
      <c r="H368" s="376">
        <v>150.05000000000001</v>
      </c>
      <c r="I368" s="474"/>
      <c r="J368" s="475" t="str">
        <f t="shared" si="35"/>
        <v>Procter &amp; Gamble Co/The</v>
      </c>
      <c r="K368" s="476" t="str">
        <f t="shared" si="35"/>
        <v>PG</v>
      </c>
      <c r="L368" s="477">
        <f t="shared" si="36"/>
        <v>353663.2467661</v>
      </c>
      <c r="M368" s="478">
        <f t="shared" si="37"/>
        <v>2.468510496501166E-2</v>
      </c>
      <c r="N368" s="478">
        <f t="shared" si="38"/>
        <v>5.1399999999999994E-2</v>
      </c>
      <c r="O368" s="479">
        <f t="shared" si="39"/>
        <v>7.6719512162612455E-2</v>
      </c>
      <c r="P368" s="480">
        <f t="shared" si="40"/>
        <v>9.5984990564839372E-3</v>
      </c>
      <c r="Q368" s="481">
        <f t="shared" si="41"/>
        <v>7.3639216510674359E-4</v>
      </c>
    </row>
    <row r="369" spans="1:17" x14ac:dyDescent="0.35">
      <c r="A369" s="376" t="s">
        <v>2660</v>
      </c>
      <c r="B369" s="376" t="s">
        <v>2661</v>
      </c>
      <c r="C369" s="376" t="s">
        <v>2662</v>
      </c>
      <c r="D369" s="376">
        <v>68357187000.000008</v>
      </c>
      <c r="E369" s="376">
        <v>1.0232040414419041</v>
      </c>
      <c r="F369" s="376">
        <v>38.28</v>
      </c>
      <c r="G369" s="376">
        <v>585.29999999999995</v>
      </c>
      <c r="H369" s="376">
        <v>116.79</v>
      </c>
      <c r="I369" s="474"/>
      <c r="J369" s="475" t="str">
        <f t="shared" si="35"/>
        <v>Progressive Corp/The</v>
      </c>
      <c r="K369" s="476" t="str">
        <f t="shared" si="35"/>
        <v>PGR</v>
      </c>
      <c r="L369" s="477">
        <f t="shared" si="36"/>
        <v>68357.187000000005</v>
      </c>
      <c r="M369" s="478">
        <f t="shared" si="37"/>
        <v>1.0232040414419042E-2</v>
      </c>
      <c r="N369" s="478">
        <f t="shared" si="38"/>
        <v>0.38280000000000003</v>
      </c>
      <c r="O369" s="479">
        <f t="shared" si="39"/>
        <v>0.39499045294973889</v>
      </c>
      <c r="P369" s="480">
        <f t="shared" si="40"/>
        <v>1.8552292355030441E-3</v>
      </c>
      <c r="Q369" s="481">
        <f t="shared" si="41"/>
        <v>7.3279783605694512E-4</v>
      </c>
    </row>
    <row r="370" spans="1:17" x14ac:dyDescent="0.35">
      <c r="A370" s="376" t="s">
        <v>2663</v>
      </c>
      <c r="B370" s="376" t="s">
        <v>2664</v>
      </c>
      <c r="C370" s="376" t="s">
        <v>2665</v>
      </c>
      <c r="D370" s="376">
        <v>50830916800.999992</v>
      </c>
      <c r="E370" s="376">
        <v>1.3725391216557294</v>
      </c>
      <c r="F370" s="376">
        <v>14.56</v>
      </c>
      <c r="G370" s="376">
        <v>128.2961</v>
      </c>
      <c r="H370" s="376">
        <v>396.2</v>
      </c>
      <c r="I370" s="474"/>
      <c r="J370" s="475" t="str">
        <f t="shared" si="35"/>
        <v>Parker-Hannifin Corp</v>
      </c>
      <c r="K370" s="476" t="str">
        <f t="shared" si="35"/>
        <v>PH</v>
      </c>
      <c r="L370" s="477">
        <f t="shared" si="36"/>
        <v>50830.916800999992</v>
      </c>
      <c r="M370" s="478">
        <f t="shared" si="37"/>
        <v>1.3725391216557295E-2</v>
      </c>
      <c r="N370" s="478">
        <f t="shared" si="38"/>
        <v>0.14560000000000001</v>
      </c>
      <c r="O370" s="479">
        <f t="shared" si="39"/>
        <v>0.16032459969712268</v>
      </c>
      <c r="P370" s="480">
        <f t="shared" si="40"/>
        <v>1.3795623701811784E-3</v>
      </c>
      <c r="Q370" s="481">
        <f t="shared" si="41"/>
        <v>2.2117778475651121E-4</v>
      </c>
    </row>
    <row r="371" spans="1:17" x14ac:dyDescent="0.35">
      <c r="A371" s="376" t="s">
        <v>2666</v>
      </c>
      <c r="B371" s="376" t="s">
        <v>2667</v>
      </c>
      <c r="C371" s="376" t="s">
        <v>2668</v>
      </c>
      <c r="D371" s="376">
        <v>18418231464.830002</v>
      </c>
      <c r="E371" s="376">
        <v>0.76717973578960119</v>
      </c>
      <c r="F371" s="376">
        <v>-9.5400000000000009</v>
      </c>
      <c r="G371" s="376">
        <v>223.2242</v>
      </c>
      <c r="H371" s="376">
        <v>82.51</v>
      </c>
      <c r="I371" s="474"/>
      <c r="J371" s="475" t="str">
        <f t="shared" si="35"/>
        <v>PulteGroup Inc</v>
      </c>
      <c r="K371" s="476" t="str">
        <f t="shared" si="35"/>
        <v>PHM</v>
      </c>
      <c r="L371" s="477">
        <f t="shared" si="36"/>
        <v>18418.231464830002</v>
      </c>
      <c r="M371" s="478">
        <f t="shared" si="37"/>
        <v>7.6717973578960116E-3</v>
      </c>
      <c r="N371" s="478">
        <f t="shared" si="38"/>
        <v>-9.5400000000000013E-2</v>
      </c>
      <c r="O371" s="479">
        <f t="shared" si="39"/>
        <v>-8.809414737607564E-2</v>
      </c>
      <c r="P371" s="480">
        <f t="shared" si="40"/>
        <v>4.9987489215749434E-4</v>
      </c>
      <c r="Q371" s="481">
        <f t="shared" si="41"/>
        <v>-4.4036052419322223E-5</v>
      </c>
    </row>
    <row r="372" spans="1:17" x14ac:dyDescent="0.35">
      <c r="A372" s="376" t="s">
        <v>2669</v>
      </c>
      <c r="B372" s="376" t="s">
        <v>2670</v>
      </c>
      <c r="C372" s="376" t="s">
        <v>2671</v>
      </c>
      <c r="D372" s="376">
        <v>12069798548.85</v>
      </c>
      <c r="E372" s="376">
        <v>3.7374264212800834</v>
      </c>
      <c r="F372" s="376">
        <v>5</v>
      </c>
      <c r="G372" s="376">
        <v>89.932180000000002</v>
      </c>
      <c r="H372" s="376">
        <v>134.21</v>
      </c>
      <c r="I372" s="474"/>
      <c r="J372" s="475" t="str">
        <f t="shared" si="35"/>
        <v>Packaging Corp of America</v>
      </c>
      <c r="K372" s="476" t="str">
        <f t="shared" si="35"/>
        <v>PKG</v>
      </c>
      <c r="L372" s="477">
        <f t="shared" si="36"/>
        <v>12069.79854885</v>
      </c>
      <c r="M372" s="478">
        <f t="shared" si="37"/>
        <v>3.7374264212800837E-2</v>
      </c>
      <c r="N372" s="478">
        <f t="shared" si="38"/>
        <v>0.05</v>
      </c>
      <c r="O372" s="479">
        <f t="shared" si="39"/>
        <v>8.8308620818120853E-2</v>
      </c>
      <c r="P372" s="480">
        <f t="shared" si="40"/>
        <v>3.2757701299877557E-4</v>
      </c>
      <c r="Q372" s="481">
        <f t="shared" si="41"/>
        <v>2.8927874229641518E-5</v>
      </c>
    </row>
    <row r="373" spans="1:17" x14ac:dyDescent="0.35">
      <c r="A373" s="376" t="s">
        <v>2672</v>
      </c>
      <c r="B373" s="376" t="s">
        <v>2673</v>
      </c>
      <c r="C373" s="376" t="s">
        <v>2674</v>
      </c>
      <c r="D373" s="376">
        <v>117970693043</v>
      </c>
      <c r="E373" s="376">
        <v>2.7240704500978472</v>
      </c>
      <c r="F373" s="376">
        <v>6.68</v>
      </c>
      <c r="G373" s="376">
        <v>923.44970000000001</v>
      </c>
      <c r="H373" s="376">
        <v>127.75</v>
      </c>
      <c r="I373" s="474"/>
      <c r="J373" s="475" t="str">
        <f t="shared" si="35"/>
        <v>Prologis Inc</v>
      </c>
      <c r="K373" s="476" t="str">
        <f t="shared" si="35"/>
        <v>PLD</v>
      </c>
      <c r="L373" s="477">
        <f t="shared" si="36"/>
        <v>117970.69304300001</v>
      </c>
      <c r="M373" s="478">
        <f t="shared" si="37"/>
        <v>2.7240704500978472E-2</v>
      </c>
      <c r="N373" s="478">
        <f t="shared" si="38"/>
        <v>6.6799999999999998E-2</v>
      </c>
      <c r="O373" s="479">
        <f t="shared" si="39"/>
        <v>9.4950544031311146E-2</v>
      </c>
      <c r="P373" s="480">
        <f t="shared" si="40"/>
        <v>3.2017508073573764E-3</v>
      </c>
      <c r="Q373" s="481">
        <f t="shared" si="41"/>
        <v>3.0400798101127256E-4</v>
      </c>
    </row>
    <row r="374" spans="1:17" x14ac:dyDescent="0.35">
      <c r="A374" s="376" t="s">
        <v>2675</v>
      </c>
      <c r="B374" s="376" t="s">
        <v>2676</v>
      </c>
      <c r="C374" s="376" t="s">
        <v>2677</v>
      </c>
      <c r="D374" s="376">
        <v>154443569859</v>
      </c>
      <c r="E374" s="376">
        <v>5.1708542713567835</v>
      </c>
      <c r="F374" s="376">
        <v>7.99</v>
      </c>
      <c r="G374" s="376">
        <v>1552.1969999999999</v>
      </c>
      <c r="H374" s="376">
        <v>99.5</v>
      </c>
      <c r="I374" s="474"/>
      <c r="J374" s="475" t="str">
        <f t="shared" si="35"/>
        <v>Philip Morris International Inc</v>
      </c>
      <c r="K374" s="476" t="str">
        <f t="shared" si="35"/>
        <v>PM</v>
      </c>
      <c r="L374" s="477">
        <f t="shared" si="36"/>
        <v>154443.56985900001</v>
      </c>
      <c r="M374" s="478">
        <f t="shared" si="37"/>
        <v>5.1708542713567833E-2</v>
      </c>
      <c r="N374" s="478">
        <f t="shared" si="38"/>
        <v>7.9899999999999999E-2</v>
      </c>
      <c r="O374" s="479">
        <f t="shared" si="39"/>
        <v>0.13367429899497485</v>
      </c>
      <c r="P374" s="480">
        <f t="shared" si="40"/>
        <v>4.1916327838047744E-3</v>
      </c>
      <c r="Q374" s="481">
        <f t="shared" si="41"/>
        <v>5.6031357401945816E-4</v>
      </c>
    </row>
    <row r="375" spans="1:17" x14ac:dyDescent="0.35">
      <c r="A375" s="376" t="s">
        <v>2678</v>
      </c>
      <c r="B375" s="376" t="s">
        <v>2679</v>
      </c>
      <c r="C375" s="376" t="s">
        <v>2680</v>
      </c>
      <c r="D375" s="376">
        <v>50203797710.009995</v>
      </c>
      <c r="E375" s="376">
        <v>4.9073853247475947</v>
      </c>
      <c r="F375" s="376">
        <v>15.44</v>
      </c>
      <c r="G375" s="376">
        <v>399.108</v>
      </c>
      <c r="H375" s="376">
        <v>125.79</v>
      </c>
      <c r="I375" s="474"/>
      <c r="J375" s="475" t="str">
        <f t="shared" si="35"/>
        <v>PNC Financial Services Group Inc/The</v>
      </c>
      <c r="K375" s="476" t="str">
        <f t="shared" si="35"/>
        <v>PNC</v>
      </c>
      <c r="L375" s="477">
        <f t="shared" si="36"/>
        <v>50203.797710009996</v>
      </c>
      <c r="M375" s="478">
        <f t="shared" si="37"/>
        <v>4.907385324747595E-2</v>
      </c>
      <c r="N375" s="478">
        <f t="shared" si="38"/>
        <v>0.15439999999999998</v>
      </c>
      <c r="O375" s="479">
        <f t="shared" si="39"/>
        <v>0.20726235471818108</v>
      </c>
      <c r="P375" s="480">
        <f t="shared" si="40"/>
        <v>1.3625422187851484E-3</v>
      </c>
      <c r="Q375" s="481">
        <f t="shared" si="41"/>
        <v>2.824037086683449E-4</v>
      </c>
    </row>
    <row r="376" spans="1:17" x14ac:dyDescent="0.35">
      <c r="A376" s="376" t="s">
        <v>2681</v>
      </c>
      <c r="B376" s="376" t="s">
        <v>2682</v>
      </c>
      <c r="C376" s="376" t="s">
        <v>2683</v>
      </c>
      <c r="D376" s="376">
        <v>10865276590.35</v>
      </c>
      <c r="E376" s="376">
        <v>1.3344466373159254</v>
      </c>
      <c r="F376" s="376">
        <v>5.49</v>
      </c>
      <c r="G376" s="376">
        <v>164.9503</v>
      </c>
      <c r="H376" s="376">
        <v>65.87</v>
      </c>
      <c r="I376" s="474"/>
      <c r="J376" s="475" t="str">
        <f t="shared" si="35"/>
        <v>Pentair PLC</v>
      </c>
      <c r="K376" s="476" t="str">
        <f t="shared" si="35"/>
        <v>PNR</v>
      </c>
      <c r="L376" s="477">
        <f t="shared" si="36"/>
        <v>10865.27659035</v>
      </c>
      <c r="M376" s="478">
        <f t="shared" si="37"/>
        <v>1.3344466373159255E-2</v>
      </c>
      <c r="N376" s="478">
        <f t="shared" si="38"/>
        <v>5.4900000000000004E-2</v>
      </c>
      <c r="O376" s="479">
        <f t="shared" si="39"/>
        <v>6.8610771975102486E-2</v>
      </c>
      <c r="P376" s="480">
        <f t="shared" si="40"/>
        <v>2.9488601955262071E-4</v>
      </c>
      <c r="Q376" s="481">
        <f t="shared" si="41"/>
        <v>2.0232357446170473E-5</v>
      </c>
    </row>
    <row r="377" spans="1:17" x14ac:dyDescent="0.35">
      <c r="A377" s="376" t="s">
        <v>2684</v>
      </c>
      <c r="B377" s="376" t="s">
        <v>2685</v>
      </c>
      <c r="C377" s="376" t="s">
        <v>1498</v>
      </c>
      <c r="D377" s="376">
        <v>9422899033.5999985</v>
      </c>
      <c r="E377" s="376">
        <v>4.1862980769230766</v>
      </c>
      <c r="F377" s="376">
        <v>6.16</v>
      </c>
      <c r="G377" s="376">
        <v>113.256</v>
      </c>
      <c r="H377" s="376">
        <v>83.2</v>
      </c>
      <c r="I377" s="474"/>
      <c r="J377" s="475" t="str">
        <f t="shared" si="35"/>
        <v>Pinnacle West Capital Corp</v>
      </c>
      <c r="K377" s="476" t="str">
        <f t="shared" si="35"/>
        <v>PNW</v>
      </c>
      <c r="L377" s="477">
        <f t="shared" si="36"/>
        <v>9422.8990335999988</v>
      </c>
      <c r="M377" s="478">
        <f t="shared" si="37"/>
        <v>4.1862980769230763E-2</v>
      </c>
      <c r="N377" s="478">
        <f t="shared" si="38"/>
        <v>6.1600000000000002E-2</v>
      </c>
      <c r="O377" s="479">
        <f t="shared" si="39"/>
        <v>0.10475236057692307</v>
      </c>
      <c r="P377" s="480">
        <f t="shared" si="40"/>
        <v>2.5573957234852415E-4</v>
      </c>
      <c r="Q377" s="481">
        <f t="shared" si="41"/>
        <v>2.6789323896440705E-5</v>
      </c>
    </row>
    <row r="378" spans="1:17" x14ac:dyDescent="0.35">
      <c r="A378" s="376" t="s">
        <v>2686</v>
      </c>
      <c r="B378" s="376" t="s">
        <v>2687</v>
      </c>
      <c r="C378" s="376" t="s">
        <v>2688</v>
      </c>
      <c r="D378" s="376">
        <v>20273819406.919998</v>
      </c>
      <c r="E378" s="376">
        <v>0</v>
      </c>
      <c r="F378" s="376">
        <v>35.050000000000004</v>
      </c>
      <c r="G378" s="376">
        <v>69.695830000000001</v>
      </c>
      <c r="H378" s="376">
        <v>290.89</v>
      </c>
      <c r="I378" s="474"/>
      <c r="J378" s="475" t="str">
        <f t="shared" si="35"/>
        <v>Insulet Corp</v>
      </c>
      <c r="K378" s="476" t="str">
        <f t="shared" si="35"/>
        <v>PODD</v>
      </c>
      <c r="L378" s="477">
        <f t="shared" si="36"/>
        <v>20273.81940692</v>
      </c>
      <c r="M378" s="478">
        <f t="shared" si="37"/>
        <v>0</v>
      </c>
      <c r="N378" s="478">
        <f t="shared" si="38"/>
        <v>0.35050000000000003</v>
      </c>
      <c r="O378" s="479">
        <f t="shared" si="39"/>
        <v>0.35050000000000003</v>
      </c>
      <c r="P378" s="480">
        <f t="shared" si="40"/>
        <v>5.5023596098281464E-4</v>
      </c>
      <c r="Q378" s="481">
        <f t="shared" si="41"/>
        <v>1.9285770432447656E-4</v>
      </c>
    </row>
    <row r="379" spans="1:17" x14ac:dyDescent="0.35">
      <c r="A379" s="376" t="s">
        <v>2689</v>
      </c>
      <c r="B379" s="376" t="s">
        <v>2690</v>
      </c>
      <c r="C379" s="376" t="s">
        <v>2691</v>
      </c>
      <c r="D379" s="376">
        <v>14210313382.500002</v>
      </c>
      <c r="E379" s="376">
        <v>1.1606823988351966</v>
      </c>
      <c r="F379" s="376">
        <v>-1.1100000000000001</v>
      </c>
      <c r="G379" s="376">
        <v>39.038249999999998</v>
      </c>
      <c r="H379" s="376">
        <v>364.01</v>
      </c>
      <c r="I379" s="474"/>
      <c r="J379" s="475" t="str">
        <f t="shared" si="35"/>
        <v>Pool Corp</v>
      </c>
      <c r="K379" s="476" t="str">
        <f t="shared" si="35"/>
        <v>POOL</v>
      </c>
      <c r="L379" s="477">
        <f t="shared" si="36"/>
        <v>14210.313382500002</v>
      </c>
      <c r="M379" s="478">
        <f t="shared" si="37"/>
        <v>1.1606823988351967E-2</v>
      </c>
      <c r="N379" s="478">
        <f t="shared" si="38"/>
        <v>-1.11E-2</v>
      </c>
      <c r="O379" s="479">
        <f t="shared" si="39"/>
        <v>4.4240611521661165E-4</v>
      </c>
      <c r="P379" s="480">
        <f t="shared" si="40"/>
        <v>3.8567106093576016E-4</v>
      </c>
      <c r="Q379" s="481">
        <f t="shared" si="41"/>
        <v>1.7062323582005877E-7</v>
      </c>
    </row>
    <row r="380" spans="1:17" x14ac:dyDescent="0.35">
      <c r="A380" s="376" t="s">
        <v>2692</v>
      </c>
      <c r="B380" s="376" t="s">
        <v>2693</v>
      </c>
      <c r="C380" s="376" t="s">
        <v>2694</v>
      </c>
      <c r="D380" s="376">
        <v>35242504374.419998</v>
      </c>
      <c r="E380" s="376">
        <v>1.6869240016027782</v>
      </c>
      <c r="F380" s="376">
        <v>12.82</v>
      </c>
      <c r="G380" s="376">
        <v>235.35799999999998</v>
      </c>
      <c r="H380" s="376">
        <v>149.74</v>
      </c>
      <c r="I380" s="474"/>
      <c r="J380" s="475" t="str">
        <f t="shared" si="35"/>
        <v>PPG Industries Inc</v>
      </c>
      <c r="K380" s="476" t="str">
        <f t="shared" si="35"/>
        <v>PPG</v>
      </c>
      <c r="L380" s="477">
        <f t="shared" si="36"/>
        <v>35242.504374420001</v>
      </c>
      <c r="M380" s="478">
        <f t="shared" si="37"/>
        <v>1.6869240016027784E-2</v>
      </c>
      <c r="N380" s="478">
        <f t="shared" si="38"/>
        <v>0.12820000000000001</v>
      </c>
      <c r="O380" s="479">
        <f t="shared" si="39"/>
        <v>0.14615055830105517</v>
      </c>
      <c r="P380" s="480">
        <f t="shared" si="40"/>
        <v>9.5648939514974326E-4</v>
      </c>
      <c r="Q380" s="481">
        <f t="shared" si="41"/>
        <v>1.3979145911017355E-4</v>
      </c>
    </row>
    <row r="381" spans="1:17" x14ac:dyDescent="0.35">
      <c r="A381" s="376" t="s">
        <v>2695</v>
      </c>
      <c r="B381" s="376" t="s">
        <v>2696</v>
      </c>
      <c r="C381" s="376" t="s">
        <v>1499</v>
      </c>
      <c r="D381" s="376">
        <v>19723930073.16</v>
      </c>
      <c r="E381" s="376">
        <v>3.5837070254110612</v>
      </c>
      <c r="F381" s="376">
        <v>6.21</v>
      </c>
      <c r="G381" s="376">
        <v>737.06759999999997</v>
      </c>
      <c r="H381" s="376">
        <v>26.76</v>
      </c>
      <c r="I381" s="474"/>
      <c r="J381" s="475" t="str">
        <f t="shared" si="35"/>
        <v>PPL Corp</v>
      </c>
      <c r="K381" s="476" t="str">
        <f t="shared" si="35"/>
        <v>PPL</v>
      </c>
      <c r="L381" s="477">
        <f t="shared" si="36"/>
        <v>19723.930073160001</v>
      </c>
      <c r="M381" s="478">
        <f t="shared" si="37"/>
        <v>3.5837070254110613E-2</v>
      </c>
      <c r="N381" s="478">
        <f t="shared" si="38"/>
        <v>6.2100000000000002E-2</v>
      </c>
      <c r="O381" s="479">
        <f t="shared" si="39"/>
        <v>9.904981128550075E-2</v>
      </c>
      <c r="P381" s="480">
        <f t="shared" si="40"/>
        <v>5.3531184234869298E-4</v>
      </c>
      <c r="Q381" s="481">
        <f t="shared" si="41"/>
        <v>5.3022536963531766E-5</v>
      </c>
    </row>
    <row r="382" spans="1:17" x14ac:dyDescent="0.35">
      <c r="A382" s="376" t="s">
        <v>2697</v>
      </c>
      <c r="B382" s="376" t="s">
        <v>2698</v>
      </c>
      <c r="C382" s="376" t="s">
        <v>2699</v>
      </c>
      <c r="D382" s="376">
        <v>33415750000</v>
      </c>
      <c r="E382" s="376">
        <v>5.4538503549972699</v>
      </c>
      <c r="F382" s="376">
        <v>10.74</v>
      </c>
      <c r="G382" s="376">
        <v>365</v>
      </c>
      <c r="H382" s="376">
        <v>91.55</v>
      </c>
      <c r="I382" s="474"/>
      <c r="J382" s="475" t="str">
        <f t="shared" si="35"/>
        <v>Prudential Financial Inc</v>
      </c>
      <c r="K382" s="476" t="str">
        <f t="shared" si="35"/>
        <v>PRU</v>
      </c>
      <c r="L382" s="477">
        <f t="shared" si="36"/>
        <v>33415.75</v>
      </c>
      <c r="M382" s="478">
        <f t="shared" si="37"/>
        <v>5.4538503549972701E-2</v>
      </c>
      <c r="N382" s="478">
        <f t="shared" si="38"/>
        <v>0.1074</v>
      </c>
      <c r="O382" s="479">
        <f t="shared" si="39"/>
        <v>0.16486722119060623</v>
      </c>
      <c r="P382" s="480">
        <f t="shared" si="40"/>
        <v>9.0691087575415932E-4</v>
      </c>
      <c r="Q382" s="481">
        <f t="shared" si="41"/>
        <v>1.4951987595312739E-4</v>
      </c>
    </row>
    <row r="383" spans="1:17" x14ac:dyDescent="0.35">
      <c r="A383" s="376" t="s">
        <v>2700</v>
      </c>
      <c r="B383" s="376" t="s">
        <v>2701</v>
      </c>
      <c r="C383" s="376" t="s">
        <v>2702</v>
      </c>
      <c r="D383" s="376">
        <v>53031948873.479988</v>
      </c>
      <c r="E383" s="376">
        <v>3.9954913141493176</v>
      </c>
      <c r="F383" s="376">
        <v>3.41</v>
      </c>
      <c r="G383" s="376">
        <v>175.81209999999999</v>
      </c>
      <c r="H383" s="376">
        <v>301.64</v>
      </c>
      <c r="I383" s="474"/>
      <c r="J383" s="475" t="str">
        <f t="shared" si="35"/>
        <v>Public Storage</v>
      </c>
      <c r="K383" s="476" t="str">
        <f t="shared" si="35"/>
        <v>PSA</v>
      </c>
      <c r="L383" s="477">
        <f t="shared" si="36"/>
        <v>53031.948873479989</v>
      </c>
      <c r="M383" s="478">
        <f t="shared" si="37"/>
        <v>3.9954913141493173E-2</v>
      </c>
      <c r="N383" s="478">
        <f t="shared" si="38"/>
        <v>3.4099999999999998E-2</v>
      </c>
      <c r="O383" s="479">
        <f t="shared" si="39"/>
        <v>7.4736144410555622E-2</v>
      </c>
      <c r="P383" s="480">
        <f t="shared" si="40"/>
        <v>1.4392988694192871E-3</v>
      </c>
      <c r="Q383" s="481">
        <f t="shared" si="41"/>
        <v>1.0756764815486928E-4</v>
      </c>
    </row>
    <row r="384" spans="1:17" x14ac:dyDescent="0.35">
      <c r="A384" s="376" t="s">
        <v>2703</v>
      </c>
      <c r="B384" s="376" t="s">
        <v>2704</v>
      </c>
      <c r="C384" s="376" t="s">
        <v>2705</v>
      </c>
      <c r="D384" s="376">
        <v>46303298481.55999</v>
      </c>
      <c r="E384" s="376">
        <v>4.1787776229345024</v>
      </c>
      <c r="F384" s="376">
        <v>9.4600000000000009</v>
      </c>
      <c r="G384" s="376">
        <v>460.9128</v>
      </c>
      <c r="H384" s="376">
        <v>100.46</v>
      </c>
      <c r="I384" s="474"/>
      <c r="J384" s="475" t="str">
        <f t="shared" si="35"/>
        <v>Phillips 66</v>
      </c>
      <c r="K384" s="476" t="str">
        <f t="shared" si="35"/>
        <v>PSX</v>
      </c>
      <c r="L384" s="477">
        <f t="shared" si="36"/>
        <v>46303.298481559992</v>
      </c>
      <c r="M384" s="478">
        <f t="shared" si="37"/>
        <v>4.1787776229345021E-2</v>
      </c>
      <c r="N384" s="478">
        <f t="shared" si="38"/>
        <v>9.4600000000000004E-2</v>
      </c>
      <c r="O384" s="479">
        <f t="shared" si="39"/>
        <v>0.13836433804499304</v>
      </c>
      <c r="P384" s="480">
        <f t="shared" si="40"/>
        <v>1.256681803527313E-3</v>
      </c>
      <c r="Q384" s="481">
        <f t="shared" si="41"/>
        <v>1.7387994587824467E-4</v>
      </c>
    </row>
    <row r="385" spans="1:17" x14ac:dyDescent="0.35">
      <c r="A385" s="376" t="s">
        <v>2706</v>
      </c>
      <c r="B385" s="376" t="s">
        <v>2707</v>
      </c>
      <c r="C385" s="376" t="s">
        <v>2708</v>
      </c>
      <c r="D385" s="376">
        <v>17122196794.239998</v>
      </c>
      <c r="E385" s="376">
        <v>0</v>
      </c>
      <c r="F385" s="376">
        <v>14.97</v>
      </c>
      <c r="G385" s="376">
        <v>118.3535</v>
      </c>
      <c r="H385" s="376">
        <v>144.66999999999999</v>
      </c>
      <c r="I385" s="474"/>
      <c r="J385" s="475" t="str">
        <f t="shared" si="35"/>
        <v>PTC Inc</v>
      </c>
      <c r="K385" s="476" t="str">
        <f t="shared" si="35"/>
        <v>PTC</v>
      </c>
      <c r="L385" s="477">
        <f t="shared" si="36"/>
        <v>17122.196794239997</v>
      </c>
      <c r="M385" s="478">
        <f t="shared" si="37"/>
        <v>0</v>
      </c>
      <c r="N385" s="478">
        <f t="shared" si="38"/>
        <v>0.1497</v>
      </c>
      <c r="O385" s="479">
        <f t="shared" si="39"/>
        <v>0.1497</v>
      </c>
      <c r="P385" s="480">
        <f t="shared" si="40"/>
        <v>4.64700223382664E-4</v>
      </c>
      <c r="Q385" s="481">
        <f t="shared" si="41"/>
        <v>6.9565623440384796E-5</v>
      </c>
    </row>
    <row r="386" spans="1:17" x14ac:dyDescent="0.35">
      <c r="A386" s="376" t="s">
        <v>2709</v>
      </c>
      <c r="B386" s="376" t="s">
        <v>2710</v>
      </c>
      <c r="C386" s="376" t="s">
        <v>2711</v>
      </c>
      <c r="D386" s="376">
        <v>28473283367.319996</v>
      </c>
      <c r="E386" s="376">
        <v>0.15703869882220978</v>
      </c>
      <c r="F386" s="376" t="s">
        <v>1612</v>
      </c>
      <c r="G386" s="376">
        <v>145.1756</v>
      </c>
      <c r="H386" s="376">
        <v>196.13</v>
      </c>
      <c r="I386" s="474"/>
      <c r="J386" s="475" t="str">
        <f t="shared" si="35"/>
        <v>Quanta Services Inc</v>
      </c>
      <c r="K386" s="476" t="str">
        <f t="shared" si="35"/>
        <v>PWR</v>
      </c>
      <c r="L386" s="477">
        <f t="shared" si="36"/>
        <v>28473.283367319997</v>
      </c>
      <c r="M386" s="478">
        <f t="shared" si="37"/>
        <v>1.5703869882220977E-3</v>
      </c>
      <c r="N386" s="478" t="str">
        <f t="shared" si="38"/>
        <v>N/A</v>
      </c>
      <c r="O386" s="479" t="str">
        <f t="shared" si="39"/>
        <v>N/A</v>
      </c>
      <c r="P386" s="480" t="str">
        <f t="shared" si="40"/>
        <v>N/A</v>
      </c>
      <c r="Q386" s="481" t="str">
        <f t="shared" si="41"/>
        <v>N/A</v>
      </c>
    </row>
    <row r="387" spans="1:17" x14ac:dyDescent="0.35">
      <c r="A387" s="376" t="s">
        <v>2712</v>
      </c>
      <c r="B387" s="376" t="s">
        <v>2713</v>
      </c>
      <c r="C387" s="376" t="s">
        <v>2714</v>
      </c>
      <c r="D387" s="376">
        <v>48832028390.039993</v>
      </c>
      <c r="E387" s="376">
        <v>2.7297530155083289</v>
      </c>
      <c r="F387" s="376">
        <v>10.275</v>
      </c>
      <c r="G387" s="376">
        <v>233.7355</v>
      </c>
      <c r="H387" s="376">
        <v>208.92</v>
      </c>
      <c r="I387" s="474"/>
      <c r="J387" s="475" t="str">
        <f t="shared" si="35"/>
        <v>Pioneer Natural Resources Co</v>
      </c>
      <c r="K387" s="476" t="str">
        <f t="shared" si="35"/>
        <v>PXD</v>
      </c>
      <c r="L387" s="477">
        <f t="shared" si="36"/>
        <v>48832.028390039995</v>
      </c>
      <c r="M387" s="478">
        <f t="shared" si="37"/>
        <v>2.729753015508329E-2</v>
      </c>
      <c r="N387" s="478">
        <f t="shared" si="38"/>
        <v>0.10275000000000001</v>
      </c>
      <c r="O387" s="479">
        <f t="shared" si="39"/>
        <v>0.13144994076680069</v>
      </c>
      <c r="P387" s="480">
        <f t="shared" si="40"/>
        <v>1.3253120948074828E-3</v>
      </c>
      <c r="Q387" s="481">
        <f t="shared" si="41"/>
        <v>1.7421219635996817E-4</v>
      </c>
    </row>
    <row r="388" spans="1:17" x14ac:dyDescent="0.35">
      <c r="A388" s="376" t="s">
        <v>2715</v>
      </c>
      <c r="B388" s="376" t="s">
        <v>2716</v>
      </c>
      <c r="C388" s="376" t="s">
        <v>2717</v>
      </c>
      <c r="D388" s="376">
        <v>80442977092.799988</v>
      </c>
      <c r="E388" s="376" t="s">
        <v>1612</v>
      </c>
      <c r="F388" s="376">
        <v>15.72</v>
      </c>
      <c r="G388" s="376">
        <v>1115.7139999999999</v>
      </c>
      <c r="H388" s="376">
        <v>72.099999999999994</v>
      </c>
      <c r="I388" s="474"/>
      <c r="J388" s="475" t="str">
        <f t="shared" ref="J388:K451" si="42">B388</f>
        <v>PayPal Holdings Inc</v>
      </c>
      <c r="K388" s="476" t="str">
        <f t="shared" si="42"/>
        <v>PYPL</v>
      </c>
      <c r="L388" s="477">
        <f t="shared" ref="L388:L451" si="43">D388/1000000</f>
        <v>80442.977092799993</v>
      </c>
      <c r="M388" s="478" t="str">
        <f t="shared" ref="M388:M451" si="44">IFERROR(E388/100,"0.00%")</f>
        <v>0.00%</v>
      </c>
      <c r="N388" s="478">
        <f t="shared" ref="N388:N451" si="45">IFERROR(F388/100,"N/A")</f>
        <v>0.15720000000000001</v>
      </c>
      <c r="O388" s="479">
        <f t="shared" ref="O388:O451" si="46">IFERROR(M388*(1+0.5*N388)+N388,"N/A")</f>
        <v>0.15720000000000001</v>
      </c>
      <c r="P388" s="480">
        <f t="shared" ref="P388:P451" si="47">IF(O388="N/A","N/A",L388/$L$504)</f>
        <v>2.1832402625559209E-3</v>
      </c>
      <c r="Q388" s="481">
        <f t="shared" ref="Q388:Q451" si="48">IF(AND(ISNUMBER(L388),ISNUMBER(O388)),O388*P388,"N/A")</f>
        <v>3.4320536927379076E-4</v>
      </c>
    </row>
    <row r="389" spans="1:17" x14ac:dyDescent="0.35">
      <c r="A389" s="376" t="s">
        <v>2718</v>
      </c>
      <c r="B389" s="376" t="s">
        <v>2719</v>
      </c>
      <c r="C389" s="376" t="s">
        <v>2720</v>
      </c>
      <c r="D389" s="376">
        <v>136531840000</v>
      </c>
      <c r="E389" s="376">
        <v>2.4991840731070498</v>
      </c>
      <c r="F389" s="376">
        <v>-0.48</v>
      </c>
      <c r="G389" s="376">
        <v>1114</v>
      </c>
      <c r="H389" s="376">
        <v>122.56</v>
      </c>
      <c r="I389" s="474"/>
      <c r="J389" s="475" t="str">
        <f t="shared" si="42"/>
        <v>QUALCOMM Inc</v>
      </c>
      <c r="K389" s="476" t="str">
        <f t="shared" si="42"/>
        <v>QCOM</v>
      </c>
      <c r="L389" s="477">
        <f t="shared" si="43"/>
        <v>136531.84</v>
      </c>
      <c r="M389" s="478">
        <f t="shared" si="44"/>
        <v>2.4991840731070497E-2</v>
      </c>
      <c r="N389" s="478">
        <f t="shared" si="45"/>
        <v>-4.7999999999999996E-3</v>
      </c>
      <c r="O389" s="479">
        <f t="shared" si="46"/>
        <v>2.013186031331593E-2</v>
      </c>
      <c r="P389" s="480">
        <f t="shared" si="47"/>
        <v>3.7055044577101147E-3</v>
      </c>
      <c r="Q389" s="481">
        <f t="shared" si="48"/>
        <v>7.4598698132989522E-5</v>
      </c>
    </row>
    <row r="390" spans="1:17" x14ac:dyDescent="0.35">
      <c r="A390" s="376" t="s">
        <v>2721</v>
      </c>
      <c r="B390" s="376" t="s">
        <v>2722</v>
      </c>
      <c r="C390" s="376" t="s">
        <v>2723</v>
      </c>
      <c r="D390" s="376">
        <v>10354468335.23</v>
      </c>
      <c r="E390" s="376">
        <v>0</v>
      </c>
      <c r="F390" s="376">
        <v>-11.995000000000001</v>
      </c>
      <c r="G390" s="376">
        <v>98.736229999999992</v>
      </c>
      <c r="H390" s="376">
        <v>104.87</v>
      </c>
      <c r="I390" s="474"/>
      <c r="J390" s="475" t="str">
        <f t="shared" si="42"/>
        <v>Qorvo Inc</v>
      </c>
      <c r="K390" s="476" t="str">
        <f t="shared" si="42"/>
        <v>QRVO</v>
      </c>
      <c r="L390" s="477">
        <f t="shared" si="43"/>
        <v>10354.46833523</v>
      </c>
      <c r="M390" s="478">
        <f t="shared" si="44"/>
        <v>0</v>
      </c>
      <c r="N390" s="478">
        <f t="shared" si="45"/>
        <v>-0.11995000000000001</v>
      </c>
      <c r="O390" s="479">
        <f t="shared" si="46"/>
        <v>-0.11995000000000001</v>
      </c>
      <c r="P390" s="480">
        <f t="shared" si="47"/>
        <v>2.8102257007166237E-4</v>
      </c>
      <c r="Q390" s="481">
        <f t="shared" si="48"/>
        <v>-3.3708657280095907E-5</v>
      </c>
    </row>
    <row r="391" spans="1:17" x14ac:dyDescent="0.35">
      <c r="A391" s="376" t="s">
        <v>2724</v>
      </c>
      <c r="B391" s="376" t="s">
        <v>2725</v>
      </c>
      <c r="C391" s="376" t="s">
        <v>2726</v>
      </c>
      <c r="D391" s="376">
        <v>25000816370.400002</v>
      </c>
      <c r="E391" s="376">
        <v>0</v>
      </c>
      <c r="F391" s="376">
        <v>156.5</v>
      </c>
      <c r="G391" s="376">
        <v>255.73669999999998</v>
      </c>
      <c r="H391" s="376">
        <v>97.76</v>
      </c>
      <c r="I391" s="474"/>
      <c r="J391" s="475" t="str">
        <f t="shared" si="42"/>
        <v>Royal Caribbean Cruises Ltd</v>
      </c>
      <c r="K391" s="476" t="str">
        <f t="shared" si="42"/>
        <v>RCL</v>
      </c>
      <c r="L391" s="477">
        <f t="shared" si="43"/>
        <v>25000.8163704</v>
      </c>
      <c r="M391" s="478">
        <f t="shared" si="44"/>
        <v>0</v>
      </c>
      <c r="N391" s="478">
        <f t="shared" si="45"/>
        <v>1.5649999999999999</v>
      </c>
      <c r="O391" s="479">
        <f t="shared" si="46"/>
        <v>1.5649999999999999</v>
      </c>
      <c r="P391" s="480">
        <f t="shared" si="47"/>
        <v>6.7852770831264861E-4</v>
      </c>
      <c r="Q391" s="481">
        <f t="shared" si="48"/>
        <v>1.0618958635092951E-3</v>
      </c>
    </row>
    <row r="392" spans="1:17" x14ac:dyDescent="0.35">
      <c r="A392" s="376" t="s">
        <v>2727</v>
      </c>
      <c r="B392" s="376" t="s">
        <v>2728</v>
      </c>
      <c r="C392" s="376" t="s">
        <v>2729</v>
      </c>
      <c r="D392" s="376">
        <v>11198704267.599998</v>
      </c>
      <c r="E392" s="376">
        <v>4.1198738170347005</v>
      </c>
      <c r="F392" s="376">
        <v>3.5700000000000003</v>
      </c>
      <c r="G392" s="376">
        <v>170.99799999999999</v>
      </c>
      <c r="H392" s="376">
        <v>63.4</v>
      </c>
      <c r="I392" s="474"/>
      <c r="J392" s="475" t="str">
        <f t="shared" si="42"/>
        <v>Regency Centers Corp</v>
      </c>
      <c r="K392" s="476" t="str">
        <f t="shared" si="42"/>
        <v>REG</v>
      </c>
      <c r="L392" s="477">
        <f t="shared" si="43"/>
        <v>11198.704267599998</v>
      </c>
      <c r="M392" s="478">
        <f t="shared" si="44"/>
        <v>4.1198738170347006E-2</v>
      </c>
      <c r="N392" s="478">
        <f t="shared" si="45"/>
        <v>3.5700000000000003E-2</v>
      </c>
      <c r="O392" s="479">
        <f t="shared" si="46"/>
        <v>7.7634135646687696E-2</v>
      </c>
      <c r="P392" s="480">
        <f t="shared" si="47"/>
        <v>3.039353207586529E-4</v>
      </c>
      <c r="Q392" s="481">
        <f t="shared" si="48"/>
        <v>2.3595755919596795E-5</v>
      </c>
    </row>
    <row r="393" spans="1:17" x14ac:dyDescent="0.35">
      <c r="A393" s="376" t="s">
        <v>2730</v>
      </c>
      <c r="B393" s="376" t="s">
        <v>2731</v>
      </c>
      <c r="C393" s="376" t="s">
        <v>2732</v>
      </c>
      <c r="D393" s="376">
        <v>78829011704.080002</v>
      </c>
      <c r="E393" s="376">
        <v>0</v>
      </c>
      <c r="F393" s="376">
        <v>7</v>
      </c>
      <c r="G393" s="376">
        <v>107.8921</v>
      </c>
      <c r="H393" s="376">
        <v>718.52</v>
      </c>
      <c r="I393" s="474"/>
      <c r="J393" s="475" t="str">
        <f t="shared" si="42"/>
        <v>Regeneron Pharmaceuticals Inc</v>
      </c>
      <c r="K393" s="476" t="str">
        <f t="shared" si="42"/>
        <v>REGN</v>
      </c>
      <c r="L393" s="477">
        <f t="shared" si="43"/>
        <v>78829.011704079996</v>
      </c>
      <c r="M393" s="478">
        <f t="shared" si="44"/>
        <v>0</v>
      </c>
      <c r="N393" s="478">
        <f t="shared" si="45"/>
        <v>7.0000000000000007E-2</v>
      </c>
      <c r="O393" s="479">
        <f t="shared" si="46"/>
        <v>7.0000000000000007E-2</v>
      </c>
      <c r="P393" s="480">
        <f t="shared" si="47"/>
        <v>2.1394368834870402E-3</v>
      </c>
      <c r="Q393" s="481">
        <f t="shared" si="48"/>
        <v>1.4976058184409282E-4</v>
      </c>
    </row>
    <row r="394" spans="1:17" x14ac:dyDescent="0.35">
      <c r="A394" s="376" t="s">
        <v>2733</v>
      </c>
      <c r="B394" s="376" t="s">
        <v>2734</v>
      </c>
      <c r="C394" s="376" t="s">
        <v>2735</v>
      </c>
      <c r="D394" s="376">
        <v>17781000916.299999</v>
      </c>
      <c r="E394" s="376">
        <v>4.3641160949868079</v>
      </c>
      <c r="F394" s="376">
        <v>2.36</v>
      </c>
      <c r="G394" s="376">
        <v>938.31139999999994</v>
      </c>
      <c r="H394" s="376">
        <v>18.95</v>
      </c>
      <c r="I394" s="474"/>
      <c r="J394" s="475" t="str">
        <f t="shared" si="42"/>
        <v>Regions Financial Corp</v>
      </c>
      <c r="K394" s="476" t="str">
        <f t="shared" si="42"/>
        <v>RF</v>
      </c>
      <c r="L394" s="477">
        <f t="shared" si="43"/>
        <v>17781.0009163</v>
      </c>
      <c r="M394" s="478">
        <f t="shared" si="44"/>
        <v>4.3641160949868078E-2</v>
      </c>
      <c r="N394" s="478">
        <f t="shared" si="45"/>
        <v>2.3599999999999999E-2</v>
      </c>
      <c r="O394" s="479">
        <f t="shared" si="46"/>
        <v>6.7756126649076528E-2</v>
      </c>
      <c r="P394" s="480">
        <f t="shared" si="47"/>
        <v>4.8258031355834127E-4</v>
      </c>
      <c r="Q394" s="481">
        <f t="shared" si="48"/>
        <v>3.2697772843810035E-5</v>
      </c>
    </row>
    <row r="395" spans="1:17" x14ac:dyDescent="0.35">
      <c r="A395" s="376" t="s">
        <v>2736</v>
      </c>
      <c r="B395" s="376" t="s">
        <v>2737</v>
      </c>
      <c r="C395" s="376" t="s">
        <v>2738</v>
      </c>
      <c r="D395" s="376">
        <v>8909830784.4000015</v>
      </c>
      <c r="E395" s="376">
        <v>2.241170778906628</v>
      </c>
      <c r="F395" s="376">
        <v>6.3900000000000006</v>
      </c>
      <c r="G395" s="376">
        <v>107.7628</v>
      </c>
      <c r="H395" s="376">
        <v>82.68</v>
      </c>
      <c r="I395" s="474"/>
      <c r="J395" s="475" t="str">
        <f t="shared" si="42"/>
        <v>Robert Half International Inc</v>
      </c>
      <c r="K395" s="476" t="str">
        <f t="shared" si="42"/>
        <v>RHI</v>
      </c>
      <c r="L395" s="477">
        <f t="shared" si="43"/>
        <v>8909.830784400001</v>
      </c>
      <c r="M395" s="478">
        <f t="shared" si="44"/>
        <v>2.2411707789066281E-2</v>
      </c>
      <c r="N395" s="478">
        <f t="shared" si="45"/>
        <v>6.3900000000000012E-2</v>
      </c>
      <c r="O395" s="479">
        <f t="shared" si="46"/>
        <v>8.702776185292696E-2</v>
      </c>
      <c r="P395" s="480">
        <f t="shared" si="47"/>
        <v>2.4181478612634981E-4</v>
      </c>
      <c r="Q395" s="481">
        <f t="shared" si="48"/>
        <v>2.1044599619520439E-5</v>
      </c>
    </row>
    <row r="396" spans="1:17" x14ac:dyDescent="0.35">
      <c r="A396" s="376" t="s">
        <v>2739</v>
      </c>
      <c r="B396" s="376" t="s">
        <v>2740</v>
      </c>
      <c r="C396" s="376" t="s">
        <v>2741</v>
      </c>
      <c r="D396" s="376">
        <v>22276052153.279999</v>
      </c>
      <c r="E396" s="376">
        <v>1.5277777777777779</v>
      </c>
      <c r="F396" s="376" t="s">
        <v>1612</v>
      </c>
      <c r="G396" s="376">
        <v>211.91069999999999</v>
      </c>
      <c r="H396" s="376">
        <v>105.12</v>
      </c>
      <c r="I396" s="474"/>
      <c r="J396" s="475" t="str">
        <f t="shared" si="42"/>
        <v>Raymond James Financial Inc</v>
      </c>
      <c r="K396" s="476" t="str">
        <f t="shared" si="42"/>
        <v>RJF</v>
      </c>
      <c r="L396" s="477">
        <f t="shared" si="43"/>
        <v>22276.052153279998</v>
      </c>
      <c r="M396" s="478">
        <f t="shared" si="44"/>
        <v>1.5277777777777779E-2</v>
      </c>
      <c r="N396" s="478" t="str">
        <f t="shared" si="45"/>
        <v>N/A</v>
      </c>
      <c r="O396" s="479" t="str">
        <f t="shared" si="46"/>
        <v>N/A</v>
      </c>
      <c r="P396" s="480" t="str">
        <f t="shared" si="47"/>
        <v>N/A</v>
      </c>
      <c r="Q396" s="481" t="str">
        <f t="shared" si="48"/>
        <v>N/A</v>
      </c>
    </row>
    <row r="397" spans="1:17" x14ac:dyDescent="0.35">
      <c r="A397" s="376" t="s">
        <v>2742</v>
      </c>
      <c r="B397" s="376" t="s">
        <v>2743</v>
      </c>
      <c r="C397" s="376" t="s">
        <v>2744</v>
      </c>
      <c r="D397" s="376">
        <v>8183229119.6000004</v>
      </c>
      <c r="E397" s="376">
        <v>2.5131599936193973</v>
      </c>
      <c r="F397" s="376">
        <v>10.375</v>
      </c>
      <c r="G397" s="376">
        <v>40.386139999999997</v>
      </c>
      <c r="H397" s="376">
        <v>125.38</v>
      </c>
      <c r="I397" s="474"/>
      <c r="J397" s="475" t="str">
        <f t="shared" si="42"/>
        <v>Ralph Lauren Corp</v>
      </c>
      <c r="K397" s="476" t="str">
        <f t="shared" si="42"/>
        <v>RL</v>
      </c>
      <c r="L397" s="477">
        <f t="shared" si="43"/>
        <v>8183.2291196000006</v>
      </c>
      <c r="M397" s="478">
        <f t="shared" si="44"/>
        <v>2.5131599936193974E-2</v>
      </c>
      <c r="N397" s="478">
        <f t="shared" si="45"/>
        <v>0.10375</v>
      </c>
      <c r="O397" s="479">
        <f t="shared" si="46"/>
        <v>0.13018530168288403</v>
      </c>
      <c r="P397" s="480">
        <f t="shared" si="47"/>
        <v>2.2209465558466814E-4</v>
      </c>
      <c r="Q397" s="481">
        <f t="shared" si="48"/>
        <v>2.8913459739446246E-5</v>
      </c>
    </row>
    <row r="398" spans="1:17" x14ac:dyDescent="0.35">
      <c r="A398" s="376" t="s">
        <v>2745</v>
      </c>
      <c r="B398" s="376" t="s">
        <v>2746</v>
      </c>
      <c r="C398" s="376" t="s">
        <v>2747</v>
      </c>
      <c r="D398" s="376">
        <v>32700771026.75</v>
      </c>
      <c r="E398" s="376">
        <v>0.80008994827973923</v>
      </c>
      <c r="F398" s="376" t="s">
        <v>1612</v>
      </c>
      <c r="G398" s="376">
        <v>147.06889999999999</v>
      </c>
      <c r="H398" s="376">
        <v>222.35</v>
      </c>
      <c r="I398" s="474"/>
      <c r="J398" s="475" t="str">
        <f t="shared" si="42"/>
        <v>ResMed Inc</v>
      </c>
      <c r="K398" s="476" t="str">
        <f t="shared" si="42"/>
        <v>RMD</v>
      </c>
      <c r="L398" s="477">
        <f t="shared" si="43"/>
        <v>32700.771026750001</v>
      </c>
      <c r="M398" s="478">
        <f t="shared" si="44"/>
        <v>8.0008994827973929E-3</v>
      </c>
      <c r="N398" s="478" t="str">
        <f t="shared" si="45"/>
        <v>N/A</v>
      </c>
      <c r="O398" s="479" t="str">
        <f t="shared" si="46"/>
        <v>N/A</v>
      </c>
      <c r="P398" s="480" t="str">
        <f t="shared" si="47"/>
        <v>N/A</v>
      </c>
      <c r="Q398" s="481" t="str">
        <f t="shared" si="48"/>
        <v>N/A</v>
      </c>
    </row>
    <row r="399" spans="1:17" x14ac:dyDescent="0.35">
      <c r="A399" s="376" t="s">
        <v>2748</v>
      </c>
      <c r="B399" s="376" t="s">
        <v>2749</v>
      </c>
      <c r="C399" s="376" t="s">
        <v>2750</v>
      </c>
      <c r="D399" s="376">
        <v>39198907149.75</v>
      </c>
      <c r="E399" s="376">
        <v>1.3788353896199044</v>
      </c>
      <c r="F399" s="376">
        <v>18.98</v>
      </c>
      <c r="G399" s="376">
        <v>114.8753</v>
      </c>
      <c r="H399" s="376">
        <v>341.23</v>
      </c>
      <c r="I399" s="474"/>
      <c r="J399" s="475" t="str">
        <f t="shared" si="42"/>
        <v>Rockwell Automation Inc</v>
      </c>
      <c r="K399" s="476" t="str">
        <f t="shared" si="42"/>
        <v>ROK</v>
      </c>
      <c r="L399" s="477">
        <f t="shared" si="43"/>
        <v>39198.907149749997</v>
      </c>
      <c r="M399" s="478">
        <f t="shared" si="44"/>
        <v>1.3788353896199044E-2</v>
      </c>
      <c r="N399" s="478">
        <f t="shared" si="45"/>
        <v>0.1898</v>
      </c>
      <c r="O399" s="479">
        <f t="shared" si="46"/>
        <v>0.20489686868094834</v>
      </c>
      <c r="P399" s="480">
        <f t="shared" si="47"/>
        <v>1.0638670450846008E-3</v>
      </c>
      <c r="Q399" s="481">
        <f t="shared" si="48"/>
        <v>2.1798302623068799E-4</v>
      </c>
    </row>
    <row r="400" spans="1:17" x14ac:dyDescent="0.35">
      <c r="A400" s="376" t="s">
        <v>2751</v>
      </c>
      <c r="B400" s="376" t="s">
        <v>2752</v>
      </c>
      <c r="C400" s="376" t="s">
        <v>2753</v>
      </c>
      <c r="D400" s="376">
        <v>21948733202.699997</v>
      </c>
      <c r="E400" s="376">
        <v>1.1989223170184107</v>
      </c>
      <c r="F400" s="376">
        <v>14.24</v>
      </c>
      <c r="G400" s="376">
        <v>492.78699999999998</v>
      </c>
      <c r="H400" s="376">
        <v>44.54</v>
      </c>
      <c r="I400" s="474"/>
      <c r="J400" s="475" t="str">
        <f t="shared" si="42"/>
        <v>Rollins Inc</v>
      </c>
      <c r="K400" s="476" t="str">
        <f t="shared" si="42"/>
        <v>ROL</v>
      </c>
      <c r="L400" s="477">
        <f t="shared" si="43"/>
        <v>21948.733202699997</v>
      </c>
      <c r="M400" s="478">
        <f t="shared" si="44"/>
        <v>1.1989223170184107E-2</v>
      </c>
      <c r="N400" s="478">
        <f t="shared" si="45"/>
        <v>0.1424</v>
      </c>
      <c r="O400" s="479">
        <f t="shared" si="46"/>
        <v>0.15524285585990122</v>
      </c>
      <c r="P400" s="480">
        <f t="shared" si="47"/>
        <v>5.9569349335433287E-4</v>
      </c>
      <c r="Q400" s="481">
        <f t="shared" si="48"/>
        <v>9.2477159125487718E-5</v>
      </c>
    </row>
    <row r="401" spans="1:17" x14ac:dyDescent="0.35">
      <c r="A401" s="376" t="s">
        <v>2754</v>
      </c>
      <c r="B401" s="376" t="s">
        <v>2755</v>
      </c>
      <c r="C401" s="376" t="s">
        <v>2756</v>
      </c>
      <c r="D401" s="376">
        <v>50911648725.419998</v>
      </c>
      <c r="E401" s="376">
        <v>0.55670707451374501</v>
      </c>
      <c r="F401" s="376">
        <v>-4</v>
      </c>
      <c r="G401" s="376">
        <v>106.59219999999999</v>
      </c>
      <c r="H401" s="376">
        <v>477.63</v>
      </c>
      <c r="I401" s="474"/>
      <c r="J401" s="475" t="str">
        <f t="shared" si="42"/>
        <v>Roper Technologies Inc</v>
      </c>
      <c r="K401" s="476" t="str">
        <f t="shared" si="42"/>
        <v>ROP</v>
      </c>
      <c r="L401" s="477">
        <f t="shared" si="43"/>
        <v>50911.648725419996</v>
      </c>
      <c r="M401" s="478">
        <f t="shared" si="44"/>
        <v>5.5670707451374504E-3</v>
      </c>
      <c r="N401" s="478">
        <f t="shared" si="45"/>
        <v>-0.04</v>
      </c>
      <c r="O401" s="479">
        <f t="shared" si="46"/>
        <v>-3.4544270669765301E-2</v>
      </c>
      <c r="P401" s="480">
        <f t="shared" si="47"/>
        <v>1.3817534525383624E-3</v>
      </c>
      <c r="Q401" s="481">
        <f t="shared" si="48"/>
        <v>-4.7731665263367893E-5</v>
      </c>
    </row>
    <row r="402" spans="1:17" x14ac:dyDescent="0.35">
      <c r="A402" s="376" t="s">
        <v>2757</v>
      </c>
      <c r="B402" s="376" t="s">
        <v>2758</v>
      </c>
      <c r="C402" s="376" t="s">
        <v>2759</v>
      </c>
      <c r="D402" s="376">
        <v>38010378292.459991</v>
      </c>
      <c r="E402" s="376">
        <v>1.2045169385194481</v>
      </c>
      <c r="F402" s="376">
        <v>10</v>
      </c>
      <c r="G402" s="376">
        <v>340.6558</v>
      </c>
      <c r="H402" s="376">
        <v>111.58</v>
      </c>
      <c r="I402" s="474"/>
      <c r="J402" s="475" t="str">
        <f t="shared" si="42"/>
        <v>Ross Stores Inc</v>
      </c>
      <c r="K402" s="476" t="str">
        <f t="shared" si="42"/>
        <v>ROST</v>
      </c>
      <c r="L402" s="477">
        <f t="shared" si="43"/>
        <v>38010.378292459995</v>
      </c>
      <c r="M402" s="478">
        <f t="shared" si="44"/>
        <v>1.204516938519448E-2</v>
      </c>
      <c r="N402" s="478">
        <f t="shared" si="45"/>
        <v>0.1</v>
      </c>
      <c r="O402" s="479">
        <f t="shared" si="46"/>
        <v>0.11264742785445421</v>
      </c>
      <c r="P402" s="480">
        <f t="shared" si="47"/>
        <v>1.0316101079569299E-3</v>
      </c>
      <c r="Q402" s="481">
        <f t="shared" si="48"/>
        <v>1.1620822521000399E-4</v>
      </c>
    </row>
    <row r="403" spans="1:17" x14ac:dyDescent="0.35">
      <c r="A403" s="376" t="s">
        <v>2760</v>
      </c>
      <c r="B403" s="376" t="s">
        <v>2761</v>
      </c>
      <c r="C403" s="376" t="s">
        <v>2762</v>
      </c>
      <c r="D403" s="376">
        <v>47436022803.539993</v>
      </c>
      <c r="E403" s="376">
        <v>1.3615148686491534</v>
      </c>
      <c r="F403" s="376">
        <v>9.09</v>
      </c>
      <c r="G403" s="376">
        <v>316.28229999999996</v>
      </c>
      <c r="H403" s="376">
        <v>149.97999999999999</v>
      </c>
      <c r="I403" s="474"/>
      <c r="J403" s="475" t="str">
        <f t="shared" si="42"/>
        <v>Republic Services Inc</v>
      </c>
      <c r="K403" s="476" t="str">
        <f t="shared" si="42"/>
        <v>RSG</v>
      </c>
      <c r="L403" s="477">
        <f t="shared" si="43"/>
        <v>47436.022803539992</v>
      </c>
      <c r="M403" s="478">
        <f t="shared" si="44"/>
        <v>1.3615148686491534E-2</v>
      </c>
      <c r="N403" s="478">
        <f t="shared" si="45"/>
        <v>9.0899999999999995E-2</v>
      </c>
      <c r="O403" s="479">
        <f t="shared" si="46"/>
        <v>0.10513395719429257</v>
      </c>
      <c r="P403" s="480">
        <f t="shared" si="47"/>
        <v>1.2874241931739592E-3</v>
      </c>
      <c r="Q403" s="481">
        <f t="shared" si="48"/>
        <v>1.3535200001604767E-4</v>
      </c>
    </row>
    <row r="404" spans="1:17" x14ac:dyDescent="0.35">
      <c r="A404" s="376" t="s">
        <v>2763</v>
      </c>
      <c r="B404" s="376" t="s">
        <v>2764</v>
      </c>
      <c r="C404" s="376" t="s">
        <v>2765</v>
      </c>
      <c r="D404" s="376">
        <v>140518027678.72</v>
      </c>
      <c r="E404" s="376">
        <v>2.4040761152126442</v>
      </c>
      <c r="F404" s="376">
        <v>7.75</v>
      </c>
      <c r="G404" s="376">
        <v>1461.1419999999998</v>
      </c>
      <c r="H404" s="376">
        <v>96.17</v>
      </c>
      <c r="I404" s="474"/>
      <c r="J404" s="475" t="str">
        <f t="shared" si="42"/>
        <v>Raytheon Technologies Corp</v>
      </c>
      <c r="K404" s="476" t="str">
        <f t="shared" si="42"/>
        <v>RTX</v>
      </c>
      <c r="L404" s="477">
        <f t="shared" si="43"/>
        <v>140518.02767872001</v>
      </c>
      <c r="M404" s="478">
        <f t="shared" si="44"/>
        <v>2.4040761152126441E-2</v>
      </c>
      <c r="N404" s="478">
        <f t="shared" si="45"/>
        <v>7.7499999999999999E-2</v>
      </c>
      <c r="O404" s="479">
        <f t="shared" si="46"/>
        <v>0.10247234064677134</v>
      </c>
      <c r="P404" s="480">
        <f t="shared" si="47"/>
        <v>3.8136904765374161E-3</v>
      </c>
      <c r="Q404" s="481">
        <f t="shared" si="48"/>
        <v>3.9079778963308984E-4</v>
      </c>
    </row>
    <row r="405" spans="1:17" x14ac:dyDescent="0.35">
      <c r="A405" s="376" t="s">
        <v>2766</v>
      </c>
      <c r="B405" s="376" t="s">
        <v>2767</v>
      </c>
      <c r="C405" s="376" t="s">
        <v>2768</v>
      </c>
      <c r="D405" s="376">
        <v>15405409455.619999</v>
      </c>
      <c r="E405" s="376">
        <v>0.23125152674863611</v>
      </c>
      <c r="F405" s="376">
        <v>-6.17</v>
      </c>
      <c r="G405" s="376">
        <v>125.44099999999999</v>
      </c>
      <c r="H405" s="376">
        <v>122.81</v>
      </c>
      <c r="I405" s="474"/>
      <c r="J405" s="475" t="str">
        <f t="shared" si="42"/>
        <v>Revvity Inc</v>
      </c>
      <c r="K405" s="476" t="str">
        <f t="shared" si="42"/>
        <v>RVTY</v>
      </c>
      <c r="L405" s="477">
        <f t="shared" si="43"/>
        <v>15405.40945562</v>
      </c>
      <c r="M405" s="478">
        <f t="shared" si="44"/>
        <v>2.312515267486361E-3</v>
      </c>
      <c r="N405" s="478">
        <f t="shared" si="45"/>
        <v>-6.1699999999999998E-2</v>
      </c>
      <c r="O405" s="479">
        <f t="shared" si="46"/>
        <v>-5.9458825828515589E-2</v>
      </c>
      <c r="P405" s="480">
        <f t="shared" si="47"/>
        <v>4.1810623375946194E-4</v>
      </c>
      <c r="Q405" s="481">
        <f t="shared" si="48"/>
        <v>-2.4860105730920471E-5</v>
      </c>
    </row>
    <row r="406" spans="1:17" x14ac:dyDescent="0.35">
      <c r="A406" s="376" t="s">
        <v>2769</v>
      </c>
      <c r="B406" s="376" t="s">
        <v>2770</v>
      </c>
      <c r="C406" s="376" t="s">
        <v>2771</v>
      </c>
      <c r="D406" s="376">
        <v>26409893831.610004</v>
      </c>
      <c r="E406" s="376">
        <v>1.3972186897485335</v>
      </c>
      <c r="F406" s="376" t="s">
        <v>1612</v>
      </c>
      <c r="G406" s="376">
        <v>108.3394</v>
      </c>
      <c r="H406" s="376">
        <v>243.77</v>
      </c>
      <c r="I406" s="474"/>
      <c r="J406" s="475" t="str">
        <f t="shared" si="42"/>
        <v>SBA Communications Corp</v>
      </c>
      <c r="K406" s="476" t="str">
        <f t="shared" si="42"/>
        <v>SBAC</v>
      </c>
      <c r="L406" s="477">
        <f t="shared" si="43"/>
        <v>26409.893831610003</v>
      </c>
      <c r="M406" s="478">
        <f t="shared" si="44"/>
        <v>1.3972186897485335E-2</v>
      </c>
      <c r="N406" s="478" t="str">
        <f t="shared" si="45"/>
        <v>N/A</v>
      </c>
      <c r="O406" s="479" t="str">
        <f t="shared" si="46"/>
        <v>N/A</v>
      </c>
      <c r="P406" s="480" t="str">
        <f t="shared" si="47"/>
        <v>N/A</v>
      </c>
      <c r="Q406" s="481" t="str">
        <f t="shared" si="48"/>
        <v>N/A</v>
      </c>
    </row>
    <row r="407" spans="1:17" x14ac:dyDescent="0.35">
      <c r="A407" s="376" t="s">
        <v>2772</v>
      </c>
      <c r="B407" s="376" t="s">
        <v>2773</v>
      </c>
      <c r="C407" s="376" t="s">
        <v>2774</v>
      </c>
      <c r="D407" s="376">
        <v>116485704000.00002</v>
      </c>
      <c r="E407" s="376">
        <v>2.1041236098809173</v>
      </c>
      <c r="F407" s="376">
        <v>17.809999999999999</v>
      </c>
      <c r="G407" s="376">
        <v>1146.3999999999999</v>
      </c>
      <c r="H407" s="376">
        <v>101.61</v>
      </c>
      <c r="I407" s="474"/>
      <c r="J407" s="475" t="str">
        <f t="shared" si="42"/>
        <v>Starbucks Corp</v>
      </c>
      <c r="K407" s="476" t="str">
        <f t="shared" si="42"/>
        <v>SBUX</v>
      </c>
      <c r="L407" s="477">
        <f t="shared" si="43"/>
        <v>116485.70400000001</v>
      </c>
      <c r="M407" s="478">
        <f t="shared" si="44"/>
        <v>2.1041236098809174E-2</v>
      </c>
      <c r="N407" s="478">
        <f t="shared" si="45"/>
        <v>0.17809999999999998</v>
      </c>
      <c r="O407" s="479">
        <f t="shared" si="46"/>
        <v>0.20101495817340811</v>
      </c>
      <c r="P407" s="480">
        <f t="shared" si="47"/>
        <v>3.1614478749535709E-3</v>
      </c>
      <c r="Q407" s="481">
        <f t="shared" si="48"/>
        <v>6.3549831235120205E-4</v>
      </c>
    </row>
    <row r="408" spans="1:17" x14ac:dyDescent="0.35">
      <c r="A408" s="376" t="s">
        <v>2775</v>
      </c>
      <c r="B408" s="376" t="s">
        <v>2776</v>
      </c>
      <c r="C408" s="376" t="s">
        <v>2777</v>
      </c>
      <c r="D408" s="376">
        <v>106508501277.64001</v>
      </c>
      <c r="E408" s="376">
        <v>1.6763499658236498</v>
      </c>
      <c r="F408" s="376">
        <v>3.33</v>
      </c>
      <c r="G408" s="376">
        <v>1769.1419999999998</v>
      </c>
      <c r="H408" s="376">
        <v>58.52</v>
      </c>
      <c r="I408" s="474"/>
      <c r="J408" s="475" t="str">
        <f t="shared" si="42"/>
        <v>Charles Schwab Corp/The</v>
      </c>
      <c r="K408" s="476" t="str">
        <f t="shared" si="42"/>
        <v>SCHW</v>
      </c>
      <c r="L408" s="477">
        <f t="shared" si="43"/>
        <v>106508.50127764001</v>
      </c>
      <c r="M408" s="478">
        <f t="shared" si="44"/>
        <v>1.6763499658236498E-2</v>
      </c>
      <c r="N408" s="478">
        <f t="shared" si="45"/>
        <v>3.3300000000000003E-2</v>
      </c>
      <c r="O408" s="479">
        <f t="shared" si="46"/>
        <v>5.034261192754614E-2</v>
      </c>
      <c r="P408" s="480">
        <f t="shared" si="47"/>
        <v>2.8906643773959138E-3</v>
      </c>
      <c r="Q408" s="481">
        <f t="shared" si="48"/>
        <v>1.4552359496402428E-4</v>
      </c>
    </row>
    <row r="409" spans="1:17" x14ac:dyDescent="0.35">
      <c r="A409" s="376" t="s">
        <v>2778</v>
      </c>
      <c r="B409" s="376" t="s">
        <v>2779</v>
      </c>
      <c r="C409" s="376" t="s">
        <v>2780</v>
      </c>
      <c r="D409" s="376">
        <v>15413663518.120001</v>
      </c>
      <c r="E409" s="376">
        <v>0</v>
      </c>
      <c r="F409" s="376">
        <v>36.564999999999998</v>
      </c>
      <c r="G409" s="376">
        <v>56.344729999999998</v>
      </c>
      <c r="H409" s="376">
        <v>273.56</v>
      </c>
      <c r="I409" s="474"/>
      <c r="J409" s="475" t="str">
        <f t="shared" si="42"/>
        <v>SolarEdge Technologies Inc</v>
      </c>
      <c r="K409" s="476" t="str">
        <f t="shared" si="42"/>
        <v>SEDG</v>
      </c>
      <c r="L409" s="477">
        <f t="shared" si="43"/>
        <v>15413.66351812</v>
      </c>
      <c r="M409" s="478">
        <f t="shared" si="44"/>
        <v>0</v>
      </c>
      <c r="N409" s="478">
        <f t="shared" si="45"/>
        <v>0.36564999999999998</v>
      </c>
      <c r="O409" s="479">
        <f t="shared" si="46"/>
        <v>0.36564999999999998</v>
      </c>
      <c r="P409" s="480">
        <f t="shared" si="47"/>
        <v>4.1833025084872093E-4</v>
      </c>
      <c r="Q409" s="481">
        <f t="shared" si="48"/>
        <v>1.529624562228348E-4</v>
      </c>
    </row>
    <row r="410" spans="1:17" x14ac:dyDescent="0.35">
      <c r="A410" s="376" t="s">
        <v>2781</v>
      </c>
      <c r="B410" s="376" t="s">
        <v>2782</v>
      </c>
      <c r="C410" s="376" t="s">
        <v>2783</v>
      </c>
      <c r="D410" s="376">
        <v>6417976280.0999994</v>
      </c>
      <c r="E410" s="376">
        <v>1.8515185601799777</v>
      </c>
      <c r="F410" s="376">
        <v>4.3</v>
      </c>
      <c r="G410" s="376">
        <v>144.38639999999998</v>
      </c>
      <c r="H410" s="376">
        <v>44.45</v>
      </c>
      <c r="I410" s="474"/>
      <c r="J410" s="475" t="str">
        <f t="shared" si="42"/>
        <v>Sealed Air Corp</v>
      </c>
      <c r="K410" s="476" t="str">
        <f t="shared" si="42"/>
        <v>SEE</v>
      </c>
      <c r="L410" s="477">
        <f t="shared" si="43"/>
        <v>6417.9762800999997</v>
      </c>
      <c r="M410" s="478">
        <f t="shared" si="44"/>
        <v>1.8515185601799777E-2</v>
      </c>
      <c r="N410" s="478">
        <f t="shared" si="45"/>
        <v>4.2999999999999997E-2</v>
      </c>
      <c r="O410" s="479">
        <f t="shared" si="46"/>
        <v>6.191326209223847E-2</v>
      </c>
      <c r="P410" s="480">
        <f t="shared" si="47"/>
        <v>1.7418530150467706E-4</v>
      </c>
      <c r="Q410" s="481">
        <f t="shared" si="48"/>
        <v>1.0784380224674651E-5</v>
      </c>
    </row>
    <row r="411" spans="1:17" x14ac:dyDescent="0.35">
      <c r="A411" s="376" t="s">
        <v>2784</v>
      </c>
      <c r="B411" s="376" t="s">
        <v>2785</v>
      </c>
      <c r="C411" s="376" t="s">
        <v>2786</v>
      </c>
      <c r="D411" s="376">
        <v>68867029984.639999</v>
      </c>
      <c r="E411" s="376">
        <v>0.94405332534451758</v>
      </c>
      <c r="F411" s="376">
        <v>10.02</v>
      </c>
      <c r="G411" s="376">
        <v>257.89029999999997</v>
      </c>
      <c r="H411" s="376">
        <v>267.04000000000002</v>
      </c>
      <c r="I411" s="474"/>
      <c r="J411" s="475" t="str">
        <f t="shared" si="42"/>
        <v>Sherwin-Williams Co/The</v>
      </c>
      <c r="K411" s="476" t="str">
        <f t="shared" si="42"/>
        <v>SHW</v>
      </c>
      <c r="L411" s="477">
        <f t="shared" si="43"/>
        <v>68867.029984640001</v>
      </c>
      <c r="M411" s="478">
        <f t="shared" si="44"/>
        <v>9.4405332534451755E-3</v>
      </c>
      <c r="N411" s="478">
        <f t="shared" si="45"/>
        <v>0.1002</v>
      </c>
      <c r="O411" s="479">
        <f t="shared" si="46"/>
        <v>0.11011350396944278</v>
      </c>
      <c r="P411" s="480">
        <f t="shared" si="47"/>
        <v>1.869066487328814E-3</v>
      </c>
      <c r="Q411" s="481">
        <f t="shared" si="48"/>
        <v>2.0580946007163383E-4</v>
      </c>
    </row>
    <row r="412" spans="1:17" x14ac:dyDescent="0.35">
      <c r="A412" s="376" t="s">
        <v>2787</v>
      </c>
      <c r="B412" s="376" t="s">
        <v>2788</v>
      </c>
      <c r="C412" s="376" t="s">
        <v>2789</v>
      </c>
      <c r="D412" s="376">
        <v>15108001054.65</v>
      </c>
      <c r="E412" s="376">
        <v>2.8253968253968247</v>
      </c>
      <c r="F412" s="376">
        <v>5.08</v>
      </c>
      <c r="G412" s="376">
        <v>102.0466</v>
      </c>
      <c r="H412" s="376">
        <v>148.05000000000001</v>
      </c>
      <c r="I412" s="474"/>
      <c r="J412" s="475" t="str">
        <f t="shared" si="42"/>
        <v>J M Smucker Co/The</v>
      </c>
      <c r="K412" s="476" t="str">
        <f t="shared" si="42"/>
        <v>SJM</v>
      </c>
      <c r="L412" s="477">
        <f t="shared" si="43"/>
        <v>15108.00105465</v>
      </c>
      <c r="M412" s="478">
        <f t="shared" si="44"/>
        <v>2.8253968253968247E-2</v>
      </c>
      <c r="N412" s="478">
        <f t="shared" si="45"/>
        <v>5.0799999999999998E-2</v>
      </c>
      <c r="O412" s="479">
        <f t="shared" si="46"/>
        <v>7.9771619047619036E-2</v>
      </c>
      <c r="P412" s="480">
        <f t="shared" si="47"/>
        <v>4.1003450371059736E-4</v>
      </c>
      <c r="Q412" s="481">
        <f t="shared" si="48"/>
        <v>3.2709116226381304E-5</v>
      </c>
    </row>
    <row r="413" spans="1:17" x14ac:dyDescent="0.35">
      <c r="A413" s="376" t="s">
        <v>2790</v>
      </c>
      <c r="B413" s="376" t="s">
        <v>2791</v>
      </c>
      <c r="C413" s="376" t="s">
        <v>2792</v>
      </c>
      <c r="D413" s="376">
        <v>81429154545.519989</v>
      </c>
      <c r="E413" s="376">
        <v>1.689130054262209</v>
      </c>
      <c r="F413" s="376">
        <v>34.869999999999997</v>
      </c>
      <c r="G413" s="376">
        <v>1425.3309999999999</v>
      </c>
      <c r="H413" s="376">
        <v>57.13</v>
      </c>
      <c r="I413" s="474"/>
      <c r="J413" s="475" t="str">
        <f t="shared" si="42"/>
        <v>Schlumberger NV</v>
      </c>
      <c r="K413" s="476" t="str">
        <f t="shared" si="42"/>
        <v>SLB</v>
      </c>
      <c r="L413" s="477">
        <f t="shared" si="43"/>
        <v>81429.154545519996</v>
      </c>
      <c r="M413" s="478">
        <f t="shared" si="44"/>
        <v>1.6891300542622091E-2</v>
      </c>
      <c r="N413" s="478">
        <f t="shared" si="45"/>
        <v>0.34869999999999995</v>
      </c>
      <c r="O413" s="479">
        <f t="shared" si="46"/>
        <v>0.36853629879222821</v>
      </c>
      <c r="P413" s="480">
        <f t="shared" si="47"/>
        <v>2.2100053376266676E-3</v>
      </c>
      <c r="Q413" s="481">
        <f t="shared" si="48"/>
        <v>8.1446718744000073E-4</v>
      </c>
    </row>
    <row r="414" spans="1:17" x14ac:dyDescent="0.35">
      <c r="A414" s="376" t="s">
        <v>2793</v>
      </c>
      <c r="B414" s="376" t="s">
        <v>2794</v>
      </c>
      <c r="C414" s="376" t="s">
        <v>2795</v>
      </c>
      <c r="D414" s="376">
        <v>15506906280.16</v>
      </c>
      <c r="E414" s="376">
        <v>2.2125887493173133</v>
      </c>
      <c r="F414" s="376">
        <v>4.6399999999999997</v>
      </c>
      <c r="G414" s="376">
        <v>52.931819999999995</v>
      </c>
      <c r="H414" s="376">
        <v>292.95999999999998</v>
      </c>
      <c r="I414" s="474"/>
      <c r="J414" s="475" t="str">
        <f t="shared" si="42"/>
        <v>Snap-on Inc</v>
      </c>
      <c r="K414" s="476" t="str">
        <f t="shared" si="42"/>
        <v>SNA</v>
      </c>
      <c r="L414" s="477">
        <f t="shared" si="43"/>
        <v>15506.906280159999</v>
      </c>
      <c r="M414" s="478">
        <f t="shared" si="44"/>
        <v>2.2125887493173135E-2</v>
      </c>
      <c r="N414" s="478">
        <f t="shared" si="45"/>
        <v>4.6399999999999997E-2</v>
      </c>
      <c r="O414" s="479">
        <f t="shared" si="46"/>
        <v>6.9039208083014753E-2</v>
      </c>
      <c r="P414" s="480">
        <f t="shared" si="47"/>
        <v>4.208608801172375E-4</v>
      </c>
      <c r="Q414" s="481">
        <f t="shared" si="48"/>
        <v>2.9055901876414687E-5</v>
      </c>
    </row>
    <row r="415" spans="1:17" x14ac:dyDescent="0.35">
      <c r="A415" s="376" t="s">
        <v>2796</v>
      </c>
      <c r="B415" s="376" t="s">
        <v>2797</v>
      </c>
      <c r="C415" s="376" t="s">
        <v>2798</v>
      </c>
      <c r="D415" s="376">
        <v>69097178245.710007</v>
      </c>
      <c r="E415" s="376">
        <v>0.33472066239457399</v>
      </c>
      <c r="F415" s="376">
        <v>16.62</v>
      </c>
      <c r="G415" s="376">
        <v>152.15959999999998</v>
      </c>
      <c r="H415" s="376">
        <v>454.11</v>
      </c>
      <c r="I415" s="474"/>
      <c r="J415" s="475" t="str">
        <f t="shared" si="42"/>
        <v>Synopsys Inc</v>
      </c>
      <c r="K415" s="476" t="str">
        <f t="shared" si="42"/>
        <v>SNPS</v>
      </c>
      <c r="L415" s="477">
        <f t="shared" si="43"/>
        <v>69097.178245710005</v>
      </c>
      <c r="M415" s="478">
        <f t="shared" si="44"/>
        <v>3.3472066239457398E-3</v>
      </c>
      <c r="N415" s="478">
        <f t="shared" si="45"/>
        <v>0.16620000000000001</v>
      </c>
      <c r="O415" s="479">
        <f t="shared" si="46"/>
        <v>0.16982535949439564</v>
      </c>
      <c r="P415" s="480">
        <f t="shared" si="47"/>
        <v>1.8753127622440947E-3</v>
      </c>
      <c r="Q415" s="481">
        <f t="shared" si="48"/>
        <v>3.1847566401253151E-4</v>
      </c>
    </row>
    <row r="416" spans="1:17" x14ac:dyDescent="0.35">
      <c r="A416" s="376" t="s">
        <v>2799</v>
      </c>
      <c r="B416" s="376" t="s">
        <v>2800</v>
      </c>
      <c r="C416" s="376" t="s">
        <v>1500</v>
      </c>
      <c r="D416" s="376">
        <v>77912310863.159988</v>
      </c>
      <c r="E416" s="376">
        <v>3.8946483608854021</v>
      </c>
      <c r="F416" s="376">
        <v>4.5</v>
      </c>
      <c r="G416" s="376">
        <v>1091.5149999999999</v>
      </c>
      <c r="H416" s="376">
        <v>71.38</v>
      </c>
      <c r="I416" s="474"/>
      <c r="J416" s="475" t="str">
        <f t="shared" si="42"/>
        <v>Southern Co/The</v>
      </c>
      <c r="K416" s="476" t="str">
        <f t="shared" si="42"/>
        <v>SO</v>
      </c>
      <c r="L416" s="477">
        <f t="shared" si="43"/>
        <v>77912.31086315999</v>
      </c>
      <c r="M416" s="478">
        <f t="shared" si="44"/>
        <v>3.894648360885402E-2</v>
      </c>
      <c r="N416" s="478">
        <f t="shared" si="45"/>
        <v>4.4999999999999998E-2</v>
      </c>
      <c r="O416" s="479">
        <f t="shared" si="46"/>
        <v>8.4822779490053235E-2</v>
      </c>
      <c r="P416" s="480">
        <f t="shared" si="47"/>
        <v>2.1145574190894632E-3</v>
      </c>
      <c r="Q416" s="481">
        <f t="shared" si="48"/>
        <v>1.7936263767848163E-4</v>
      </c>
    </row>
    <row r="417" spans="1:17" x14ac:dyDescent="0.35">
      <c r="A417" s="376" t="s">
        <v>2801</v>
      </c>
      <c r="B417" s="376" t="s">
        <v>2802</v>
      </c>
      <c r="C417" s="376" t="s">
        <v>2803</v>
      </c>
      <c r="D417" s="376">
        <v>39658131881.600006</v>
      </c>
      <c r="E417" s="376">
        <v>6.0867414248021108</v>
      </c>
      <c r="F417" s="376">
        <v>3.52</v>
      </c>
      <c r="G417" s="376">
        <v>326.98849999999999</v>
      </c>
      <c r="H417" s="376">
        <v>121.28</v>
      </c>
      <c r="I417" s="474"/>
      <c r="J417" s="475" t="str">
        <f t="shared" si="42"/>
        <v>Simon Property Group Inc</v>
      </c>
      <c r="K417" s="476" t="str">
        <f t="shared" si="42"/>
        <v>SPG</v>
      </c>
      <c r="L417" s="477">
        <f t="shared" si="43"/>
        <v>39658.131881600006</v>
      </c>
      <c r="M417" s="478">
        <f t="shared" si="44"/>
        <v>6.0867414248021105E-2</v>
      </c>
      <c r="N417" s="478">
        <f t="shared" si="45"/>
        <v>3.5200000000000002E-2</v>
      </c>
      <c r="O417" s="479">
        <f t="shared" si="46"/>
        <v>9.7138680738786287E-2</v>
      </c>
      <c r="P417" s="480">
        <f t="shared" si="47"/>
        <v>1.0763305062886754E-3</v>
      </c>
      <c r="Q417" s="481">
        <f t="shared" si="48"/>
        <v>1.0455332541979185E-4</v>
      </c>
    </row>
    <row r="418" spans="1:17" x14ac:dyDescent="0.35">
      <c r="A418" s="376" t="s">
        <v>2804</v>
      </c>
      <c r="B418" s="376" t="s">
        <v>2805</v>
      </c>
      <c r="C418" s="376" t="s">
        <v>2806</v>
      </c>
      <c r="D418" s="376">
        <v>133459215999.99998</v>
      </c>
      <c r="E418" s="376">
        <v>0.86269890870631216</v>
      </c>
      <c r="F418" s="376">
        <v>13.950000000000001</v>
      </c>
      <c r="G418" s="376">
        <v>320.8</v>
      </c>
      <c r="H418" s="376">
        <v>416.02</v>
      </c>
      <c r="I418" s="474"/>
      <c r="J418" s="475" t="str">
        <f t="shared" si="42"/>
        <v>S&amp;P Global Inc</v>
      </c>
      <c r="K418" s="476" t="str">
        <f t="shared" si="42"/>
        <v>SPGI</v>
      </c>
      <c r="L418" s="477">
        <f t="shared" si="43"/>
        <v>133459.21599999999</v>
      </c>
      <c r="M418" s="478">
        <f t="shared" si="44"/>
        <v>8.6269890870631222E-3</v>
      </c>
      <c r="N418" s="478">
        <f t="shared" si="45"/>
        <v>0.13950000000000001</v>
      </c>
      <c r="O418" s="479">
        <f t="shared" si="46"/>
        <v>0.14872872157588579</v>
      </c>
      <c r="P418" s="480">
        <f t="shared" si="47"/>
        <v>3.622112760001601E-3</v>
      </c>
      <c r="Q418" s="481">
        <f t="shared" si="48"/>
        <v>5.3871220019874138E-4</v>
      </c>
    </row>
    <row r="419" spans="1:17" x14ac:dyDescent="0.35">
      <c r="A419" s="376" t="s">
        <v>2807</v>
      </c>
      <c r="B419" s="376" t="s">
        <v>2808</v>
      </c>
      <c r="C419" s="376" t="s">
        <v>1501</v>
      </c>
      <c r="D419" s="376">
        <v>46706698399.32</v>
      </c>
      <c r="E419" s="376">
        <v>3.2787658313123149</v>
      </c>
      <c r="F419" s="376">
        <v>3.9670000000000001</v>
      </c>
      <c r="G419" s="376">
        <v>314.65039999999999</v>
      </c>
      <c r="H419" s="376">
        <v>148.44</v>
      </c>
      <c r="I419" s="474"/>
      <c r="J419" s="475" t="str">
        <f t="shared" si="42"/>
        <v>Sempra</v>
      </c>
      <c r="K419" s="476" t="str">
        <f t="shared" si="42"/>
        <v>SRE</v>
      </c>
      <c r="L419" s="477">
        <f t="shared" si="43"/>
        <v>46706.698399319997</v>
      </c>
      <c r="M419" s="478">
        <f t="shared" si="44"/>
        <v>3.278765831312315E-2</v>
      </c>
      <c r="N419" s="478">
        <f t="shared" si="45"/>
        <v>3.9670000000000004E-2</v>
      </c>
      <c r="O419" s="479">
        <f t="shared" si="46"/>
        <v>7.3108001515763951E-2</v>
      </c>
      <c r="P419" s="480">
        <f t="shared" si="47"/>
        <v>1.2676301668797705E-3</v>
      </c>
      <c r="Q419" s="481">
        <f t="shared" si="48"/>
        <v>9.2673908161674374E-5</v>
      </c>
    </row>
    <row r="420" spans="1:17" x14ac:dyDescent="0.35">
      <c r="A420" s="376" t="s">
        <v>2809</v>
      </c>
      <c r="B420" s="376" t="s">
        <v>2810</v>
      </c>
      <c r="C420" s="376" t="s">
        <v>2811</v>
      </c>
      <c r="D420" s="376">
        <v>22598969018.279999</v>
      </c>
      <c r="E420" s="376">
        <v>0.87654967696874453</v>
      </c>
      <c r="F420" s="376" t="s">
        <v>1612</v>
      </c>
      <c r="G420" s="376">
        <v>98.650989999999993</v>
      </c>
      <c r="H420" s="376">
        <v>229.08</v>
      </c>
      <c r="I420" s="474"/>
      <c r="J420" s="475" t="str">
        <f t="shared" si="42"/>
        <v>STERIS PLC</v>
      </c>
      <c r="K420" s="476" t="str">
        <f t="shared" si="42"/>
        <v>STE</v>
      </c>
      <c r="L420" s="477">
        <f t="shared" si="43"/>
        <v>22598.96901828</v>
      </c>
      <c r="M420" s="478">
        <f t="shared" si="44"/>
        <v>8.7654967696874451E-3</v>
      </c>
      <c r="N420" s="478" t="str">
        <f t="shared" si="45"/>
        <v>N/A</v>
      </c>
      <c r="O420" s="479" t="str">
        <f t="shared" si="46"/>
        <v>N/A</v>
      </c>
      <c r="P420" s="480" t="str">
        <f t="shared" si="47"/>
        <v>N/A</v>
      </c>
      <c r="Q420" s="481" t="str">
        <f t="shared" si="48"/>
        <v>N/A</v>
      </c>
    </row>
    <row r="421" spans="1:17" x14ac:dyDescent="0.35">
      <c r="A421" s="376" t="s">
        <v>2812</v>
      </c>
      <c r="B421" s="376" t="s">
        <v>2813</v>
      </c>
      <c r="C421" s="376" t="s">
        <v>2814</v>
      </c>
      <c r="D421" s="376">
        <v>17978424651.080002</v>
      </c>
      <c r="E421" s="376">
        <v>1.5983452425723956</v>
      </c>
      <c r="F421" s="376" t="s">
        <v>1612</v>
      </c>
      <c r="G421" s="376">
        <v>169.03369999999998</v>
      </c>
      <c r="H421" s="376">
        <v>106.36</v>
      </c>
      <c r="I421" s="474"/>
      <c r="J421" s="475" t="str">
        <f t="shared" si="42"/>
        <v>Steel Dynamics Inc</v>
      </c>
      <c r="K421" s="476" t="str">
        <f t="shared" si="42"/>
        <v>STLD</v>
      </c>
      <c r="L421" s="477">
        <f t="shared" si="43"/>
        <v>17978.42465108</v>
      </c>
      <c r="M421" s="478">
        <f t="shared" si="44"/>
        <v>1.5983452425723955E-2</v>
      </c>
      <c r="N421" s="478" t="str">
        <f t="shared" si="45"/>
        <v>N/A</v>
      </c>
      <c r="O421" s="479" t="str">
        <f t="shared" si="46"/>
        <v>N/A</v>
      </c>
      <c r="P421" s="480" t="str">
        <f t="shared" si="47"/>
        <v>N/A</v>
      </c>
      <c r="Q421" s="481" t="str">
        <f t="shared" si="48"/>
        <v>N/A</v>
      </c>
    </row>
    <row r="422" spans="1:17" x14ac:dyDescent="0.35">
      <c r="A422" s="376" t="s">
        <v>2815</v>
      </c>
      <c r="B422" s="376" t="s">
        <v>2816</v>
      </c>
      <c r="C422" s="376" t="s">
        <v>2817</v>
      </c>
      <c r="D422" s="376">
        <v>22763027208.299999</v>
      </c>
      <c r="E422" s="376">
        <v>3.8414096916299565</v>
      </c>
      <c r="F422" s="376">
        <v>8.2900000000000009</v>
      </c>
      <c r="G422" s="376">
        <v>334.25880000000001</v>
      </c>
      <c r="H422" s="376">
        <v>68.099999999999994</v>
      </c>
      <c r="I422" s="474"/>
      <c r="J422" s="475" t="str">
        <f t="shared" si="42"/>
        <v>State Street Corp</v>
      </c>
      <c r="K422" s="476" t="str">
        <f t="shared" si="42"/>
        <v>STT</v>
      </c>
      <c r="L422" s="477">
        <f t="shared" si="43"/>
        <v>22763.027208299998</v>
      </c>
      <c r="M422" s="478">
        <f t="shared" si="44"/>
        <v>3.8414096916299566E-2</v>
      </c>
      <c r="N422" s="478">
        <f t="shared" si="45"/>
        <v>8.2900000000000015E-2</v>
      </c>
      <c r="O422" s="479">
        <f t="shared" si="46"/>
        <v>0.1229063612334802</v>
      </c>
      <c r="P422" s="480">
        <f t="shared" si="47"/>
        <v>6.1779361349947578E-4</v>
      </c>
      <c r="Q422" s="481">
        <f t="shared" si="48"/>
        <v>7.5930765028503613E-5</v>
      </c>
    </row>
    <row r="423" spans="1:17" x14ac:dyDescent="0.35">
      <c r="A423" s="376" t="s">
        <v>2818</v>
      </c>
      <c r="B423" s="376" t="s">
        <v>2819</v>
      </c>
      <c r="C423" s="376" t="s">
        <v>2820</v>
      </c>
      <c r="D423" s="376">
        <v>12750061767.179998</v>
      </c>
      <c r="E423" s="376">
        <v>4.5476693194737701</v>
      </c>
      <c r="F423" s="376">
        <v>-4.8950000000000005</v>
      </c>
      <c r="G423" s="376">
        <v>207.08239999999998</v>
      </c>
      <c r="H423" s="376">
        <v>61.57</v>
      </c>
      <c r="I423" s="474"/>
      <c r="J423" s="475" t="str">
        <f t="shared" si="42"/>
        <v>Seagate Technology Holdings PLC</v>
      </c>
      <c r="K423" s="476" t="str">
        <f t="shared" si="42"/>
        <v>STX</v>
      </c>
      <c r="L423" s="477">
        <f t="shared" si="43"/>
        <v>12750.061767179999</v>
      </c>
      <c r="M423" s="478">
        <f t="shared" si="44"/>
        <v>4.5476693194737704E-2</v>
      </c>
      <c r="N423" s="478">
        <f t="shared" si="45"/>
        <v>-4.8950000000000007E-2</v>
      </c>
      <c r="O423" s="479">
        <f t="shared" si="46"/>
        <v>-4.5863488712035091E-3</v>
      </c>
      <c r="P423" s="480">
        <f t="shared" si="47"/>
        <v>3.4603950781271817E-4</v>
      </c>
      <c r="Q423" s="481">
        <f t="shared" si="48"/>
        <v>-1.5870579060486779E-6</v>
      </c>
    </row>
    <row r="424" spans="1:17" x14ac:dyDescent="0.35">
      <c r="A424" s="376" t="s">
        <v>2821</v>
      </c>
      <c r="B424" s="376" t="s">
        <v>2822</v>
      </c>
      <c r="C424" s="376" t="s">
        <v>2823</v>
      </c>
      <c r="D424" s="376">
        <v>46833818301.270004</v>
      </c>
      <c r="E424" s="376">
        <v>1.3907699534191882</v>
      </c>
      <c r="F424" s="376">
        <v>9.7249999999999996</v>
      </c>
      <c r="G424" s="376">
        <v>183.30069999999998</v>
      </c>
      <c r="H424" s="376">
        <v>255.47</v>
      </c>
      <c r="I424" s="474"/>
      <c r="J424" s="475" t="str">
        <f t="shared" si="42"/>
        <v>Constellation Brands Inc</v>
      </c>
      <c r="K424" s="476" t="str">
        <f t="shared" si="42"/>
        <v>STZ</v>
      </c>
      <c r="L424" s="477">
        <f t="shared" si="43"/>
        <v>46833.818301270003</v>
      </c>
      <c r="M424" s="478">
        <f t="shared" si="44"/>
        <v>1.3907699534191882E-2</v>
      </c>
      <c r="N424" s="478">
        <f t="shared" si="45"/>
        <v>9.7250000000000003E-2</v>
      </c>
      <c r="O424" s="479">
        <f t="shared" si="46"/>
        <v>0.11183396142404196</v>
      </c>
      <c r="P424" s="480">
        <f t="shared" si="47"/>
        <v>1.2710802292486612E-3</v>
      </c>
      <c r="Q424" s="481">
        <f t="shared" si="48"/>
        <v>1.4214993732465721E-4</v>
      </c>
    </row>
    <row r="425" spans="1:17" x14ac:dyDescent="0.35">
      <c r="A425" s="376" t="s">
        <v>2824</v>
      </c>
      <c r="B425" s="376" t="s">
        <v>2825</v>
      </c>
      <c r="C425" s="376" t="s">
        <v>2826</v>
      </c>
      <c r="D425" s="376">
        <v>14753768777.74</v>
      </c>
      <c r="E425" s="376">
        <v>3.3340253269669922</v>
      </c>
      <c r="F425" s="376" t="s">
        <v>1612</v>
      </c>
      <c r="G425" s="376">
        <v>153.14269999999999</v>
      </c>
      <c r="H425" s="376">
        <v>96.34</v>
      </c>
      <c r="I425" s="474"/>
      <c r="J425" s="475" t="str">
        <f t="shared" si="42"/>
        <v>Stanley Black &amp; Decker Inc</v>
      </c>
      <c r="K425" s="476" t="str">
        <f t="shared" si="42"/>
        <v>SWK</v>
      </c>
      <c r="L425" s="477">
        <f t="shared" si="43"/>
        <v>14753.768777740001</v>
      </c>
      <c r="M425" s="478">
        <f t="shared" si="44"/>
        <v>3.3340253269669919E-2</v>
      </c>
      <c r="N425" s="478" t="str">
        <f t="shared" si="45"/>
        <v>N/A</v>
      </c>
      <c r="O425" s="479" t="str">
        <f t="shared" si="46"/>
        <v>N/A</v>
      </c>
      <c r="P425" s="480" t="str">
        <f t="shared" si="47"/>
        <v>N/A</v>
      </c>
      <c r="Q425" s="481" t="str">
        <f t="shared" si="48"/>
        <v>N/A</v>
      </c>
    </row>
    <row r="426" spans="1:17" x14ac:dyDescent="0.35">
      <c r="A426" s="376" t="s">
        <v>2827</v>
      </c>
      <c r="B426" s="376" t="s">
        <v>2828</v>
      </c>
      <c r="C426" s="376" t="s">
        <v>2829</v>
      </c>
      <c r="D426" s="376">
        <v>17785539512.999996</v>
      </c>
      <c r="E426" s="376">
        <v>2.1431767337807606</v>
      </c>
      <c r="F426" s="376">
        <v>9.4</v>
      </c>
      <c r="G426" s="376">
        <v>159.15469999999999</v>
      </c>
      <c r="H426" s="376">
        <v>111.75</v>
      </c>
      <c r="I426" s="474"/>
      <c r="J426" s="475" t="str">
        <f t="shared" si="42"/>
        <v>Skyworks Solutions Inc</v>
      </c>
      <c r="K426" s="476" t="str">
        <f t="shared" si="42"/>
        <v>SWKS</v>
      </c>
      <c r="L426" s="477">
        <f t="shared" si="43"/>
        <v>17785.539512999996</v>
      </c>
      <c r="M426" s="478">
        <f t="shared" si="44"/>
        <v>2.1431767337807606E-2</v>
      </c>
      <c r="N426" s="478">
        <f t="shared" si="45"/>
        <v>9.4E-2</v>
      </c>
      <c r="O426" s="479">
        <f t="shared" si="46"/>
        <v>0.11643906040268456</v>
      </c>
      <c r="P426" s="480">
        <f t="shared" si="47"/>
        <v>4.8270349208068145E-4</v>
      </c>
      <c r="Q426" s="481">
        <f t="shared" si="48"/>
        <v>5.620554107096924E-5</v>
      </c>
    </row>
    <row r="427" spans="1:17" x14ac:dyDescent="0.35">
      <c r="A427" s="376" t="s">
        <v>2830</v>
      </c>
      <c r="B427" s="376" t="s">
        <v>2831</v>
      </c>
      <c r="C427" s="376" t="s">
        <v>2832</v>
      </c>
      <c r="D427" s="376">
        <v>14957113102.4</v>
      </c>
      <c r="E427" s="376">
        <v>2.727793696275072</v>
      </c>
      <c r="F427" s="376">
        <v>64</v>
      </c>
      <c r="G427" s="376">
        <v>428.57059999999996</v>
      </c>
      <c r="H427" s="376">
        <v>34.9</v>
      </c>
      <c r="I427" s="474"/>
      <c r="J427" s="475" t="str">
        <f t="shared" si="42"/>
        <v>Synchrony Financial</v>
      </c>
      <c r="K427" s="476" t="str">
        <f t="shared" si="42"/>
        <v>SYF</v>
      </c>
      <c r="L427" s="477">
        <f t="shared" si="43"/>
        <v>14957.113102399999</v>
      </c>
      <c r="M427" s="478">
        <f t="shared" si="44"/>
        <v>2.7277936962750719E-2</v>
      </c>
      <c r="N427" s="478">
        <f t="shared" si="45"/>
        <v>0.64</v>
      </c>
      <c r="O427" s="479">
        <f t="shared" si="46"/>
        <v>0.67600687679083094</v>
      </c>
      <c r="P427" s="480">
        <f t="shared" si="47"/>
        <v>4.0593937117830946E-4</v>
      </c>
      <c r="Q427" s="481">
        <f t="shared" si="48"/>
        <v>2.7441780647668285E-4</v>
      </c>
    </row>
    <row r="428" spans="1:17" x14ac:dyDescent="0.35">
      <c r="A428" s="376" t="s">
        <v>2833</v>
      </c>
      <c r="B428" s="376" t="s">
        <v>2834</v>
      </c>
      <c r="C428" s="376" t="s">
        <v>2835</v>
      </c>
      <c r="D428" s="376">
        <v>114804897643.38</v>
      </c>
      <c r="E428" s="376">
        <v>1.0041993188506431</v>
      </c>
      <c r="F428" s="376">
        <v>8.8149999999999995</v>
      </c>
      <c r="G428" s="376">
        <v>379.60820000000001</v>
      </c>
      <c r="H428" s="376">
        <v>302.43</v>
      </c>
      <c r="I428" s="474"/>
      <c r="J428" s="475" t="str">
        <f t="shared" si="42"/>
        <v>Stryker Corp</v>
      </c>
      <c r="K428" s="476" t="str">
        <f t="shared" si="42"/>
        <v>SYK</v>
      </c>
      <c r="L428" s="477">
        <f t="shared" si="43"/>
        <v>114804.89764338</v>
      </c>
      <c r="M428" s="478">
        <f t="shared" si="44"/>
        <v>1.004199318850643E-2</v>
      </c>
      <c r="N428" s="478">
        <f t="shared" si="45"/>
        <v>8.8149999999999992E-2</v>
      </c>
      <c r="O428" s="479">
        <f t="shared" si="46"/>
        <v>9.863459403828985E-2</v>
      </c>
      <c r="P428" s="480">
        <f t="shared" si="47"/>
        <v>3.1158304171722728E-3</v>
      </c>
      <c r="Q428" s="481">
        <f t="shared" si="48"/>
        <v>3.0732866828994242E-4</v>
      </c>
    </row>
    <row r="429" spans="1:17" x14ac:dyDescent="0.35">
      <c r="A429" s="376" t="s">
        <v>2836</v>
      </c>
      <c r="B429" s="376" t="s">
        <v>2837</v>
      </c>
      <c r="C429" s="376" t="s">
        <v>2838</v>
      </c>
      <c r="D429" s="376">
        <v>37038477445.799995</v>
      </c>
      <c r="E429" s="376">
        <v>2.6976744186046511</v>
      </c>
      <c r="F429" s="376">
        <v>46</v>
      </c>
      <c r="G429" s="376">
        <v>506.6823</v>
      </c>
      <c r="H429" s="376">
        <v>73.099999999999994</v>
      </c>
      <c r="I429" s="474"/>
      <c r="J429" s="475" t="str">
        <f t="shared" si="42"/>
        <v>Sysco Corp</v>
      </c>
      <c r="K429" s="476" t="str">
        <f t="shared" si="42"/>
        <v>SYY</v>
      </c>
      <c r="L429" s="477">
        <f t="shared" si="43"/>
        <v>37038.477445799996</v>
      </c>
      <c r="M429" s="478">
        <f t="shared" si="44"/>
        <v>2.6976744186046512E-2</v>
      </c>
      <c r="N429" s="478">
        <f t="shared" si="45"/>
        <v>0.46</v>
      </c>
      <c r="O429" s="479">
        <f t="shared" si="46"/>
        <v>0.4931813953488372</v>
      </c>
      <c r="P429" s="480">
        <f t="shared" si="47"/>
        <v>1.0052325031451083E-3</v>
      </c>
      <c r="Q429" s="481">
        <f t="shared" si="48"/>
        <v>4.9576196855110883E-4</v>
      </c>
    </row>
    <row r="430" spans="1:17" x14ac:dyDescent="0.35">
      <c r="A430" s="376" t="s">
        <v>2839</v>
      </c>
      <c r="B430" s="376" t="s">
        <v>2840</v>
      </c>
      <c r="C430" s="376" t="s">
        <v>2841</v>
      </c>
      <c r="D430" s="376">
        <v>103660500000</v>
      </c>
      <c r="E430" s="376">
        <v>7.6896551724137927</v>
      </c>
      <c r="F430" s="376">
        <v>3.355</v>
      </c>
      <c r="G430" s="376">
        <v>7149</v>
      </c>
      <c r="H430" s="376">
        <v>14.5</v>
      </c>
      <c r="I430" s="474"/>
      <c r="J430" s="475" t="str">
        <f t="shared" si="42"/>
        <v>AT&amp;T Inc</v>
      </c>
      <c r="K430" s="476" t="str">
        <f t="shared" si="42"/>
        <v>T</v>
      </c>
      <c r="L430" s="477">
        <f t="shared" si="43"/>
        <v>103660.5</v>
      </c>
      <c r="M430" s="478">
        <f t="shared" si="44"/>
        <v>7.6896551724137924E-2</v>
      </c>
      <c r="N430" s="478">
        <f t="shared" si="45"/>
        <v>3.3549999999999996E-2</v>
      </c>
      <c r="O430" s="479">
        <f t="shared" si="46"/>
        <v>0.11173649137931033</v>
      </c>
      <c r="P430" s="480">
        <f t="shared" si="47"/>
        <v>2.8133689902550157E-3</v>
      </c>
      <c r="Q430" s="481">
        <f t="shared" si="48"/>
        <v>3.1435597992644857E-4</v>
      </c>
    </row>
    <row r="431" spans="1:17" x14ac:dyDescent="0.35">
      <c r="A431" s="376" t="s">
        <v>2842</v>
      </c>
      <c r="B431" s="376" t="s">
        <v>2843</v>
      </c>
      <c r="C431" s="376" t="s">
        <v>2844</v>
      </c>
      <c r="D431" s="376">
        <v>14540894364.160002</v>
      </c>
      <c r="E431" s="376">
        <v>2.4420332936979787</v>
      </c>
      <c r="F431" s="376">
        <v>6.2949999999999999</v>
      </c>
      <c r="G431" s="376">
        <v>200.38379999999998</v>
      </c>
      <c r="H431" s="376">
        <v>67.28</v>
      </c>
      <c r="I431" s="474"/>
      <c r="J431" s="475" t="str">
        <f t="shared" si="42"/>
        <v>Molson Coors Beverage Co</v>
      </c>
      <c r="K431" s="476" t="str">
        <f t="shared" si="42"/>
        <v>TAP</v>
      </c>
      <c r="L431" s="477">
        <f t="shared" si="43"/>
        <v>14540.894364160002</v>
      </c>
      <c r="M431" s="478">
        <f t="shared" si="44"/>
        <v>2.4420332936979788E-2</v>
      </c>
      <c r="N431" s="478">
        <f t="shared" si="45"/>
        <v>6.2950000000000006E-2</v>
      </c>
      <c r="O431" s="479">
        <f t="shared" si="46"/>
        <v>8.8138962916171237E-2</v>
      </c>
      <c r="P431" s="480">
        <f t="shared" si="47"/>
        <v>3.94643102191304E-4</v>
      </c>
      <c r="Q431" s="481">
        <f t="shared" si="48"/>
        <v>3.4783433749162119E-5</v>
      </c>
    </row>
    <row r="432" spans="1:17" x14ac:dyDescent="0.35">
      <c r="A432" s="376" t="s">
        <v>2845</v>
      </c>
      <c r="B432" s="376" t="s">
        <v>2846</v>
      </c>
      <c r="C432" s="376" t="s">
        <v>2847</v>
      </c>
      <c r="D432" s="376">
        <v>48817519515</v>
      </c>
      <c r="E432" s="376">
        <v>2.3628691983122363</v>
      </c>
      <c r="F432" s="376">
        <v>24.54</v>
      </c>
      <c r="G432" s="376">
        <v>54.928289999999997</v>
      </c>
      <c r="H432" s="376">
        <v>888.75</v>
      </c>
      <c r="I432" s="474"/>
      <c r="J432" s="475" t="str">
        <f t="shared" si="42"/>
        <v>TransDigm Group Inc</v>
      </c>
      <c r="K432" s="476" t="str">
        <f t="shared" si="42"/>
        <v>TDG</v>
      </c>
      <c r="L432" s="477">
        <f t="shared" si="43"/>
        <v>48817.519515</v>
      </c>
      <c r="M432" s="478">
        <f t="shared" si="44"/>
        <v>2.3628691983122362E-2</v>
      </c>
      <c r="N432" s="478">
        <f t="shared" si="45"/>
        <v>0.24539999999999998</v>
      </c>
      <c r="O432" s="479">
        <f t="shared" si="46"/>
        <v>0.27192793248945146</v>
      </c>
      <c r="P432" s="480">
        <f t="shared" si="47"/>
        <v>1.32491832071686E-3</v>
      </c>
      <c r="Q432" s="481">
        <f t="shared" si="48"/>
        <v>3.6028229966993168E-4</v>
      </c>
    </row>
    <row r="433" spans="1:17" x14ac:dyDescent="0.35">
      <c r="A433" s="376" t="s">
        <v>2848</v>
      </c>
      <c r="B433" s="376" t="s">
        <v>2849</v>
      </c>
      <c r="C433" s="376" t="s">
        <v>2850</v>
      </c>
      <c r="D433" s="376">
        <v>19360667125.869999</v>
      </c>
      <c r="E433" s="376" t="s">
        <v>1612</v>
      </c>
      <c r="F433" s="376">
        <v>6.47</v>
      </c>
      <c r="G433" s="376">
        <v>47.045580000000001</v>
      </c>
      <c r="H433" s="376">
        <v>411.53</v>
      </c>
      <c r="I433" s="474"/>
      <c r="J433" s="475" t="str">
        <f t="shared" si="42"/>
        <v>Teledyne Technologies Inc</v>
      </c>
      <c r="K433" s="476" t="str">
        <f t="shared" si="42"/>
        <v>TDY</v>
      </c>
      <c r="L433" s="477">
        <f t="shared" si="43"/>
        <v>19360.667125870001</v>
      </c>
      <c r="M433" s="478" t="str">
        <f t="shared" si="44"/>
        <v>0.00%</v>
      </c>
      <c r="N433" s="478">
        <f t="shared" si="45"/>
        <v>6.4699999999999994E-2</v>
      </c>
      <c r="O433" s="479">
        <f t="shared" si="46"/>
        <v>6.4699999999999994E-2</v>
      </c>
      <c r="P433" s="480">
        <f t="shared" si="47"/>
        <v>5.2545280528815076E-4</v>
      </c>
      <c r="Q433" s="481">
        <f t="shared" si="48"/>
        <v>3.3996796502143352E-5</v>
      </c>
    </row>
    <row r="434" spans="1:17" x14ac:dyDescent="0.35">
      <c r="A434" s="376" t="s">
        <v>2851</v>
      </c>
      <c r="B434" s="376" t="s">
        <v>2852</v>
      </c>
      <c r="C434" s="376" t="s">
        <v>2853</v>
      </c>
      <c r="D434" s="376">
        <v>13259306072.559999</v>
      </c>
      <c r="E434" s="376">
        <v>0.37758252196627878</v>
      </c>
      <c r="F434" s="376" t="s">
        <v>1612</v>
      </c>
      <c r="G434" s="376">
        <v>157.4365</v>
      </c>
      <c r="H434" s="376">
        <v>84.22</v>
      </c>
      <c r="I434" s="474"/>
      <c r="J434" s="475" t="str">
        <f t="shared" si="42"/>
        <v>Bio-Techne Corp</v>
      </c>
      <c r="K434" s="476" t="str">
        <f t="shared" si="42"/>
        <v>TECH</v>
      </c>
      <c r="L434" s="477">
        <f t="shared" si="43"/>
        <v>13259.306072559999</v>
      </c>
      <c r="M434" s="478">
        <f t="shared" si="44"/>
        <v>3.775825219662788E-3</v>
      </c>
      <c r="N434" s="478" t="str">
        <f t="shared" si="45"/>
        <v>N/A</v>
      </c>
      <c r="O434" s="479" t="str">
        <f t="shared" si="46"/>
        <v>N/A</v>
      </c>
      <c r="P434" s="480" t="str">
        <f t="shared" si="47"/>
        <v>N/A</v>
      </c>
      <c r="Q434" s="481" t="str">
        <f t="shared" si="48"/>
        <v>N/A</v>
      </c>
    </row>
    <row r="435" spans="1:17" x14ac:dyDescent="0.35">
      <c r="A435" s="376" t="s">
        <v>2854</v>
      </c>
      <c r="B435" s="376" t="s">
        <v>2855</v>
      </c>
      <c r="C435" s="376" t="s">
        <v>2856</v>
      </c>
      <c r="D435" s="376">
        <v>44506852769.280006</v>
      </c>
      <c r="E435" s="376">
        <v>1.5739167374681391</v>
      </c>
      <c r="F435" s="376">
        <v>2.84</v>
      </c>
      <c r="G435" s="376">
        <v>315.11509999999998</v>
      </c>
      <c r="H435" s="376">
        <v>141.24</v>
      </c>
      <c r="I435" s="474"/>
      <c r="J435" s="475" t="str">
        <f t="shared" si="42"/>
        <v>TE Connectivity Ltd</v>
      </c>
      <c r="K435" s="476" t="str">
        <f t="shared" si="42"/>
        <v>TEL</v>
      </c>
      <c r="L435" s="477">
        <f t="shared" si="43"/>
        <v>44506.852769280005</v>
      </c>
      <c r="M435" s="478">
        <f t="shared" si="44"/>
        <v>1.5739167374681392E-2</v>
      </c>
      <c r="N435" s="478">
        <f t="shared" si="45"/>
        <v>2.8399999999999998E-2</v>
      </c>
      <c r="O435" s="479">
        <f t="shared" si="46"/>
        <v>4.4362663551401865E-2</v>
      </c>
      <c r="P435" s="480">
        <f t="shared" si="47"/>
        <v>1.2079258679529611E-3</v>
      </c>
      <c r="Q435" s="481">
        <f t="shared" si="48"/>
        <v>5.3586808875032294E-5</v>
      </c>
    </row>
    <row r="436" spans="1:17" x14ac:dyDescent="0.35">
      <c r="A436" s="376" t="s">
        <v>2857</v>
      </c>
      <c r="B436" s="376" t="s">
        <v>2858</v>
      </c>
      <c r="C436" s="376" t="s">
        <v>2859</v>
      </c>
      <c r="D436" s="376">
        <v>17533331445.869995</v>
      </c>
      <c r="E436" s="376">
        <v>0.39437616058006897</v>
      </c>
      <c r="F436" s="376">
        <v>7.28</v>
      </c>
      <c r="G436" s="376">
        <v>155.03870000000001</v>
      </c>
      <c r="H436" s="376">
        <v>113.09</v>
      </c>
      <c r="I436" s="474"/>
      <c r="J436" s="475" t="str">
        <f t="shared" si="42"/>
        <v>Teradyne Inc</v>
      </c>
      <c r="K436" s="476" t="str">
        <f t="shared" si="42"/>
        <v>TER</v>
      </c>
      <c r="L436" s="477">
        <f t="shared" si="43"/>
        <v>17533.331445869993</v>
      </c>
      <c r="M436" s="478">
        <f t="shared" si="44"/>
        <v>3.9437616058006896E-3</v>
      </c>
      <c r="N436" s="478">
        <f t="shared" si="45"/>
        <v>7.2800000000000004E-2</v>
      </c>
      <c r="O436" s="479">
        <f t="shared" si="46"/>
        <v>7.6887314528251843E-2</v>
      </c>
      <c r="P436" s="480">
        <f t="shared" si="47"/>
        <v>4.758585091300329E-4</v>
      </c>
      <c r="Q436" s="481">
        <f t="shared" si="48"/>
        <v>3.6587482862425839E-5</v>
      </c>
    </row>
    <row r="437" spans="1:17" x14ac:dyDescent="0.35">
      <c r="A437" s="376" t="s">
        <v>2860</v>
      </c>
      <c r="B437" s="376" t="s">
        <v>2861</v>
      </c>
      <c r="C437" s="376" t="s">
        <v>2862</v>
      </c>
      <c r="D437" s="376">
        <v>44086482059.699997</v>
      </c>
      <c r="E437" s="376">
        <v>6.3172205438066467</v>
      </c>
      <c r="F437" s="376">
        <v>4.6100000000000003</v>
      </c>
      <c r="G437" s="376">
        <v>1331.9179999999999</v>
      </c>
      <c r="H437" s="376">
        <v>33.1</v>
      </c>
      <c r="I437" s="474"/>
      <c r="J437" s="475" t="str">
        <f t="shared" si="42"/>
        <v>Truist Financial Corp</v>
      </c>
      <c r="K437" s="476" t="str">
        <f t="shared" si="42"/>
        <v>TFC</v>
      </c>
      <c r="L437" s="477">
        <f t="shared" si="43"/>
        <v>44086.4820597</v>
      </c>
      <c r="M437" s="478">
        <f t="shared" si="44"/>
        <v>6.3172205438066467E-2</v>
      </c>
      <c r="N437" s="478">
        <f t="shared" si="45"/>
        <v>4.6100000000000002E-2</v>
      </c>
      <c r="O437" s="479">
        <f t="shared" si="46"/>
        <v>0.11072832477341391</v>
      </c>
      <c r="P437" s="480">
        <f t="shared" si="47"/>
        <v>1.196516913541745E-3</v>
      </c>
      <c r="Q437" s="481">
        <f t="shared" si="48"/>
        <v>1.3248831339953315E-4</v>
      </c>
    </row>
    <row r="438" spans="1:17" x14ac:dyDescent="0.35">
      <c r="A438" s="376" t="s">
        <v>2863</v>
      </c>
      <c r="B438" s="376" t="s">
        <v>2864</v>
      </c>
      <c r="C438" s="376" t="s">
        <v>2865</v>
      </c>
      <c r="D438" s="376">
        <v>11548462899.58</v>
      </c>
      <c r="E438" s="376">
        <v>0.55316033515008534</v>
      </c>
      <c r="F438" s="376">
        <v>6.15</v>
      </c>
      <c r="G438" s="376">
        <v>46.971699999999998</v>
      </c>
      <c r="H438" s="376">
        <v>245.86</v>
      </c>
      <c r="I438" s="474"/>
      <c r="J438" s="475" t="str">
        <f t="shared" si="42"/>
        <v>Teleflex Inc</v>
      </c>
      <c r="K438" s="476" t="str">
        <f t="shared" si="42"/>
        <v>TFX</v>
      </c>
      <c r="L438" s="477">
        <f t="shared" si="43"/>
        <v>11548.462899579999</v>
      </c>
      <c r="M438" s="478">
        <f t="shared" si="44"/>
        <v>5.5316033515008531E-3</v>
      </c>
      <c r="N438" s="478">
        <f t="shared" si="45"/>
        <v>6.1500000000000006E-2</v>
      </c>
      <c r="O438" s="479">
        <f t="shared" si="46"/>
        <v>6.7201700154559507E-2</v>
      </c>
      <c r="P438" s="480">
        <f t="shared" si="47"/>
        <v>3.1342784770273046E-4</v>
      </c>
      <c r="Q438" s="481">
        <f t="shared" si="48"/>
        <v>2.1062884241407836E-5</v>
      </c>
    </row>
    <row r="439" spans="1:17" x14ac:dyDescent="0.35">
      <c r="A439" s="376" t="s">
        <v>2866</v>
      </c>
      <c r="B439" s="376" t="s">
        <v>2867</v>
      </c>
      <c r="C439" s="376" t="s">
        <v>2868</v>
      </c>
      <c r="D439" s="376">
        <v>60427384403.039993</v>
      </c>
      <c r="E439" s="376">
        <v>3.2676443629697531</v>
      </c>
      <c r="F439" s="376">
        <v>8.9049999999999994</v>
      </c>
      <c r="G439" s="376">
        <v>461.55959999999999</v>
      </c>
      <c r="H439" s="376">
        <v>130.91999999999999</v>
      </c>
      <c r="I439" s="474"/>
      <c r="J439" s="475" t="str">
        <f t="shared" si="42"/>
        <v>Target Corp</v>
      </c>
      <c r="K439" s="476" t="str">
        <f t="shared" si="42"/>
        <v>TGT</v>
      </c>
      <c r="L439" s="477">
        <f t="shared" si="43"/>
        <v>60427.384403039992</v>
      </c>
      <c r="M439" s="478">
        <f t="shared" si="44"/>
        <v>3.267644362969753E-2</v>
      </c>
      <c r="N439" s="478">
        <f t="shared" si="45"/>
        <v>8.904999999999999E-2</v>
      </c>
      <c r="O439" s="479">
        <f t="shared" si="46"/>
        <v>0.1231813622823098</v>
      </c>
      <c r="P439" s="480">
        <f t="shared" si="47"/>
        <v>1.640012632022152E-3</v>
      </c>
      <c r="Q439" s="481">
        <f t="shared" si="48"/>
        <v>2.0201899017268515E-4</v>
      </c>
    </row>
    <row r="440" spans="1:17" x14ac:dyDescent="0.35">
      <c r="A440" s="376" t="s">
        <v>2869</v>
      </c>
      <c r="B440" s="376" t="s">
        <v>2870</v>
      </c>
      <c r="C440" s="376" t="s">
        <v>2871</v>
      </c>
      <c r="D440" s="376">
        <v>97593330617.639999</v>
      </c>
      <c r="E440" s="376">
        <v>1.583843617522374</v>
      </c>
      <c r="F440" s="376">
        <v>10</v>
      </c>
      <c r="G440" s="376">
        <v>1149.2380000000001</v>
      </c>
      <c r="H440" s="376">
        <v>84.92</v>
      </c>
      <c r="I440" s="474"/>
      <c r="J440" s="475" t="str">
        <f t="shared" si="42"/>
        <v>TJX Cos Inc/The</v>
      </c>
      <c r="K440" s="476" t="str">
        <f t="shared" si="42"/>
        <v>TJX</v>
      </c>
      <c r="L440" s="477">
        <f t="shared" si="43"/>
        <v>97593.330617639993</v>
      </c>
      <c r="M440" s="478">
        <f t="shared" si="44"/>
        <v>1.5838436175223739E-2</v>
      </c>
      <c r="N440" s="478">
        <f t="shared" si="45"/>
        <v>0.1</v>
      </c>
      <c r="O440" s="479">
        <f t="shared" si="46"/>
        <v>0.11663035798398494</v>
      </c>
      <c r="P440" s="480">
        <f t="shared" si="47"/>
        <v>2.6487046658599345E-3</v>
      </c>
      <c r="Q440" s="481">
        <f t="shared" si="48"/>
        <v>3.0891937337309536E-4</v>
      </c>
    </row>
    <row r="441" spans="1:17" x14ac:dyDescent="0.35">
      <c r="A441" s="376" t="s">
        <v>2872</v>
      </c>
      <c r="B441" s="376" t="s">
        <v>2873</v>
      </c>
      <c r="C441" s="376" t="s">
        <v>2874</v>
      </c>
      <c r="D441" s="376">
        <v>204185419956.95999</v>
      </c>
      <c r="E441" s="376">
        <v>0.25785854616895876</v>
      </c>
      <c r="F441" s="376" t="s">
        <v>1612</v>
      </c>
      <c r="G441" s="376">
        <v>385.72129999999999</v>
      </c>
      <c r="H441" s="376">
        <v>529.36</v>
      </c>
      <c r="I441" s="474"/>
      <c r="J441" s="475" t="str">
        <f t="shared" si="42"/>
        <v>Thermo Fisher Scientific Inc</v>
      </c>
      <c r="K441" s="476" t="str">
        <f t="shared" si="42"/>
        <v>TMO</v>
      </c>
      <c r="L441" s="477">
        <f t="shared" si="43"/>
        <v>204185.41995695999</v>
      </c>
      <c r="M441" s="478">
        <f t="shared" si="44"/>
        <v>2.5785854616895876E-3</v>
      </c>
      <c r="N441" s="478" t="str">
        <f t="shared" si="45"/>
        <v>N/A</v>
      </c>
      <c r="O441" s="479" t="str">
        <f t="shared" si="46"/>
        <v>N/A</v>
      </c>
      <c r="P441" s="480" t="str">
        <f t="shared" si="47"/>
        <v>N/A</v>
      </c>
      <c r="Q441" s="481" t="str">
        <f t="shared" si="48"/>
        <v>N/A</v>
      </c>
    </row>
    <row r="442" spans="1:17" x14ac:dyDescent="0.35">
      <c r="A442" s="376" t="s">
        <v>2875</v>
      </c>
      <c r="B442" s="376" t="s">
        <v>2876</v>
      </c>
      <c r="C442" s="376" t="s">
        <v>2877</v>
      </c>
      <c r="D442" s="376">
        <v>167600979511.19998</v>
      </c>
      <c r="E442" s="376">
        <v>0</v>
      </c>
      <c r="F442" s="376" t="s">
        <v>1612</v>
      </c>
      <c r="G442" s="376">
        <v>1199.8920000000001</v>
      </c>
      <c r="H442" s="376">
        <v>139.68</v>
      </c>
      <c r="I442" s="474"/>
      <c r="J442" s="475" t="str">
        <f t="shared" si="42"/>
        <v>T-Mobile US Inc</v>
      </c>
      <c r="K442" s="476" t="str">
        <f t="shared" si="42"/>
        <v>TMUS</v>
      </c>
      <c r="L442" s="477">
        <f t="shared" si="43"/>
        <v>167600.97951119998</v>
      </c>
      <c r="M442" s="478">
        <f t="shared" si="44"/>
        <v>0</v>
      </c>
      <c r="N442" s="478" t="str">
        <f t="shared" si="45"/>
        <v>N/A</v>
      </c>
      <c r="O442" s="479" t="str">
        <f t="shared" si="46"/>
        <v>N/A</v>
      </c>
      <c r="P442" s="480" t="str">
        <f t="shared" si="47"/>
        <v>N/A</v>
      </c>
      <c r="Q442" s="481" t="str">
        <f t="shared" si="48"/>
        <v>N/A</v>
      </c>
    </row>
    <row r="443" spans="1:17" x14ac:dyDescent="0.35">
      <c r="A443" s="376" t="s">
        <v>2878</v>
      </c>
      <c r="B443" s="376" t="s">
        <v>2879</v>
      </c>
      <c r="C443" s="376" t="s">
        <v>2880</v>
      </c>
      <c r="D443" s="376">
        <v>10120291948</v>
      </c>
      <c r="E443" s="376">
        <v>2.709573980760422</v>
      </c>
      <c r="F443" s="376">
        <v>14</v>
      </c>
      <c r="G443" s="376">
        <v>231.7978</v>
      </c>
      <c r="H443" s="376">
        <v>43.66</v>
      </c>
      <c r="I443" s="474"/>
      <c r="J443" s="475" t="str">
        <f t="shared" si="42"/>
        <v>Tapestry Inc</v>
      </c>
      <c r="K443" s="476" t="str">
        <f t="shared" si="42"/>
        <v>TPR</v>
      </c>
      <c r="L443" s="477">
        <f t="shared" si="43"/>
        <v>10120.291948</v>
      </c>
      <c r="M443" s="478">
        <f t="shared" si="44"/>
        <v>2.709573980760422E-2</v>
      </c>
      <c r="N443" s="478">
        <f t="shared" si="45"/>
        <v>0.14000000000000001</v>
      </c>
      <c r="O443" s="479">
        <f t="shared" si="46"/>
        <v>0.16899244159413654</v>
      </c>
      <c r="P443" s="480">
        <f t="shared" si="47"/>
        <v>2.7466697091785899E-4</v>
      </c>
      <c r="Q443" s="481">
        <f t="shared" si="48"/>
        <v>4.6416642040674685E-5</v>
      </c>
    </row>
    <row r="444" spans="1:17" x14ac:dyDescent="0.35">
      <c r="A444" s="376" t="s">
        <v>2881</v>
      </c>
      <c r="B444" s="376" t="s">
        <v>2882</v>
      </c>
      <c r="C444" s="376" t="s">
        <v>2883</v>
      </c>
      <c r="D444" s="376">
        <v>17636272245.720001</v>
      </c>
      <c r="E444" s="376">
        <v>2.563116749967961</v>
      </c>
      <c r="F444" s="376" t="s">
        <v>1612</v>
      </c>
      <c r="G444" s="376">
        <v>226.01909999999998</v>
      </c>
      <c r="H444" s="376">
        <v>78.03</v>
      </c>
      <c r="I444" s="474"/>
      <c r="J444" s="475" t="str">
        <f t="shared" si="42"/>
        <v>Targa Resources Corp</v>
      </c>
      <c r="K444" s="476" t="str">
        <f t="shared" si="42"/>
        <v>TRGP</v>
      </c>
      <c r="L444" s="477">
        <f t="shared" si="43"/>
        <v>17636.27224572</v>
      </c>
      <c r="M444" s="478">
        <f t="shared" si="44"/>
        <v>2.563116749967961E-2</v>
      </c>
      <c r="N444" s="478" t="str">
        <f t="shared" si="45"/>
        <v>N/A</v>
      </c>
      <c r="O444" s="479" t="str">
        <f t="shared" si="46"/>
        <v>N/A</v>
      </c>
      <c r="P444" s="480" t="str">
        <f t="shared" si="47"/>
        <v>N/A</v>
      </c>
      <c r="Q444" s="481" t="str">
        <f t="shared" si="48"/>
        <v>N/A</v>
      </c>
    </row>
    <row r="445" spans="1:17" x14ac:dyDescent="0.35">
      <c r="A445" s="376" t="s">
        <v>2884</v>
      </c>
      <c r="B445" s="376" t="s">
        <v>2885</v>
      </c>
      <c r="C445" s="376" t="s">
        <v>2886</v>
      </c>
      <c r="D445" s="376">
        <v>13229679120</v>
      </c>
      <c r="E445" s="376" t="s">
        <v>1612</v>
      </c>
      <c r="F445" s="376" t="s">
        <v>1612</v>
      </c>
      <c r="G445" s="376">
        <v>247.74679999999998</v>
      </c>
      <c r="H445" s="376">
        <v>53.4</v>
      </c>
      <c r="I445" s="474"/>
      <c r="J445" s="475" t="str">
        <f t="shared" si="42"/>
        <v>Trimble Inc</v>
      </c>
      <c r="K445" s="476" t="str">
        <f t="shared" si="42"/>
        <v>TRMB</v>
      </c>
      <c r="L445" s="477">
        <f t="shared" si="43"/>
        <v>13229.679120000001</v>
      </c>
      <c r="M445" s="478" t="str">
        <f t="shared" si="44"/>
        <v>0.00%</v>
      </c>
      <c r="N445" s="478" t="str">
        <f t="shared" si="45"/>
        <v>N/A</v>
      </c>
      <c r="O445" s="479" t="str">
        <f t="shared" si="46"/>
        <v>N/A</v>
      </c>
      <c r="P445" s="480" t="str">
        <f t="shared" si="47"/>
        <v>N/A</v>
      </c>
      <c r="Q445" s="481" t="str">
        <f t="shared" si="48"/>
        <v>N/A</v>
      </c>
    </row>
    <row r="446" spans="1:17" x14ac:dyDescent="0.35">
      <c r="A446" s="376" t="s">
        <v>2887</v>
      </c>
      <c r="B446" s="376" t="s">
        <v>2888</v>
      </c>
      <c r="C446" s="376" t="s">
        <v>2889</v>
      </c>
      <c r="D446" s="376">
        <v>26158145045.759998</v>
      </c>
      <c r="E446" s="376">
        <v>4.1818337912087911</v>
      </c>
      <c r="F446" s="376">
        <v>-3.15</v>
      </c>
      <c r="G446" s="376">
        <v>224.572</v>
      </c>
      <c r="H446" s="376">
        <v>116.48</v>
      </c>
      <c r="I446" s="474"/>
      <c r="J446" s="475" t="str">
        <f t="shared" si="42"/>
        <v>T Rowe Price Group Inc</v>
      </c>
      <c r="K446" s="476" t="str">
        <f t="shared" si="42"/>
        <v>TROW</v>
      </c>
      <c r="L446" s="477">
        <f t="shared" si="43"/>
        <v>26158.145045759997</v>
      </c>
      <c r="M446" s="478">
        <f t="shared" si="44"/>
        <v>4.1818337912087909E-2</v>
      </c>
      <c r="N446" s="478">
        <f t="shared" si="45"/>
        <v>-3.15E-2</v>
      </c>
      <c r="O446" s="479">
        <f t="shared" si="46"/>
        <v>9.6596990899725232E-3</v>
      </c>
      <c r="P446" s="480">
        <f t="shared" si="47"/>
        <v>7.0993786557400397E-4</v>
      </c>
      <c r="Q446" s="481">
        <f t="shared" si="48"/>
        <v>6.8577861540222416E-6</v>
      </c>
    </row>
    <row r="447" spans="1:17" x14ac:dyDescent="0.35">
      <c r="A447" s="376" t="s">
        <v>2890</v>
      </c>
      <c r="B447" s="376" t="s">
        <v>2891</v>
      </c>
      <c r="C447" s="376" t="s">
        <v>2892</v>
      </c>
      <c r="D447" s="376">
        <v>38330560961.749992</v>
      </c>
      <c r="E447" s="376">
        <v>2.3699909611328716</v>
      </c>
      <c r="F447" s="376">
        <v>15.895</v>
      </c>
      <c r="G447" s="376">
        <v>230.97659999999999</v>
      </c>
      <c r="H447" s="376">
        <v>165.95</v>
      </c>
      <c r="I447" s="474"/>
      <c r="J447" s="475" t="str">
        <f t="shared" si="42"/>
        <v>Travelers Cos Inc/The</v>
      </c>
      <c r="K447" s="476" t="str">
        <f t="shared" si="42"/>
        <v>TRV</v>
      </c>
      <c r="L447" s="477">
        <f t="shared" si="43"/>
        <v>38330.560961749994</v>
      </c>
      <c r="M447" s="478">
        <f t="shared" si="44"/>
        <v>2.3699909611328715E-2</v>
      </c>
      <c r="N447" s="478">
        <f t="shared" si="45"/>
        <v>0.15895000000000001</v>
      </c>
      <c r="O447" s="479">
        <f t="shared" si="46"/>
        <v>0.18453345992768908</v>
      </c>
      <c r="P447" s="480">
        <f t="shared" si="47"/>
        <v>1.0402999367055618E-3</v>
      </c>
      <c r="Q447" s="481">
        <f t="shared" si="48"/>
        <v>1.9197014668283327E-4</v>
      </c>
    </row>
    <row r="448" spans="1:17" x14ac:dyDescent="0.35">
      <c r="A448" s="376" t="s">
        <v>2893</v>
      </c>
      <c r="B448" s="376" t="s">
        <v>2894</v>
      </c>
      <c r="C448" s="376" t="s">
        <v>2895</v>
      </c>
      <c r="D448" s="376">
        <v>23550620719.120003</v>
      </c>
      <c r="E448" s="376">
        <v>1.9121615334511959</v>
      </c>
      <c r="F448" s="376">
        <v>10.275</v>
      </c>
      <c r="G448" s="376">
        <v>109.56829999999999</v>
      </c>
      <c r="H448" s="376">
        <v>214.94</v>
      </c>
      <c r="I448" s="474"/>
      <c r="J448" s="475" t="str">
        <f t="shared" si="42"/>
        <v>Tractor Supply Co</v>
      </c>
      <c r="K448" s="476" t="str">
        <f t="shared" si="42"/>
        <v>TSCO</v>
      </c>
      <c r="L448" s="477">
        <f t="shared" si="43"/>
        <v>23550.620719120001</v>
      </c>
      <c r="M448" s="478">
        <f t="shared" si="44"/>
        <v>1.9121615334511958E-2</v>
      </c>
      <c r="N448" s="478">
        <f t="shared" si="45"/>
        <v>0.10275000000000001</v>
      </c>
      <c r="O448" s="479">
        <f t="shared" si="46"/>
        <v>0.12285398832232251</v>
      </c>
      <c r="P448" s="480">
        <f t="shared" si="47"/>
        <v>6.3916907628681593E-4</v>
      </c>
      <c r="Q448" s="481">
        <f t="shared" si="48"/>
        <v>7.8524470234130154E-5</v>
      </c>
    </row>
    <row r="449" spans="1:17" x14ac:dyDescent="0.35">
      <c r="A449" s="376" t="s">
        <v>2896</v>
      </c>
      <c r="B449" s="376" t="s">
        <v>2897</v>
      </c>
      <c r="C449" s="376" t="s">
        <v>2898</v>
      </c>
      <c r="D449" s="376">
        <v>891835120215.38</v>
      </c>
      <c r="E449" s="376">
        <v>0</v>
      </c>
      <c r="F449" s="376" t="s">
        <v>1612</v>
      </c>
      <c r="G449" s="376">
        <v>3169.5039999999999</v>
      </c>
      <c r="H449" s="376">
        <v>281.38</v>
      </c>
      <c r="I449" s="474"/>
      <c r="J449" s="475" t="str">
        <f t="shared" si="42"/>
        <v>Tesla Inc</v>
      </c>
      <c r="K449" s="476" t="str">
        <f t="shared" si="42"/>
        <v>TSLA</v>
      </c>
      <c r="L449" s="477">
        <f t="shared" si="43"/>
        <v>891835.12021537998</v>
      </c>
      <c r="M449" s="478">
        <f t="shared" si="44"/>
        <v>0</v>
      </c>
      <c r="N449" s="478" t="str">
        <f t="shared" si="45"/>
        <v>N/A</v>
      </c>
      <c r="O449" s="479" t="str">
        <f t="shared" si="46"/>
        <v>N/A</v>
      </c>
      <c r="P449" s="480" t="str">
        <f t="shared" si="47"/>
        <v>N/A</v>
      </c>
      <c r="Q449" s="481" t="str">
        <f t="shared" si="48"/>
        <v>N/A</v>
      </c>
    </row>
    <row r="450" spans="1:17" x14ac:dyDescent="0.35">
      <c r="A450" s="376" t="s">
        <v>2899</v>
      </c>
      <c r="B450" s="376" t="s">
        <v>2900</v>
      </c>
      <c r="C450" s="376" t="s">
        <v>2901</v>
      </c>
      <c r="D450" s="376">
        <v>18609107460.029999</v>
      </c>
      <c r="E450" s="376">
        <v>3.6785782533919358</v>
      </c>
      <c r="F450" s="376">
        <v>-17.96</v>
      </c>
      <c r="G450" s="376">
        <v>285.6003</v>
      </c>
      <c r="H450" s="376">
        <v>52.33</v>
      </c>
      <c r="I450" s="474"/>
      <c r="J450" s="475" t="str">
        <f t="shared" si="42"/>
        <v>Tyson Foods Inc</v>
      </c>
      <c r="K450" s="476" t="str">
        <f t="shared" si="42"/>
        <v>TSN</v>
      </c>
      <c r="L450" s="477">
        <f t="shared" si="43"/>
        <v>18609.107460029998</v>
      </c>
      <c r="M450" s="478">
        <f t="shared" si="44"/>
        <v>3.6785782533919356E-2</v>
      </c>
      <c r="N450" s="478">
        <f t="shared" si="45"/>
        <v>-0.17960000000000001</v>
      </c>
      <c r="O450" s="479">
        <f t="shared" si="46"/>
        <v>-0.1461175807376266</v>
      </c>
      <c r="P450" s="480">
        <f t="shared" si="47"/>
        <v>5.0505530905573166E-4</v>
      </c>
      <c r="Q450" s="481">
        <f t="shared" si="48"/>
        <v>-7.3797459897917829E-5</v>
      </c>
    </row>
    <row r="451" spans="1:17" x14ac:dyDescent="0.35">
      <c r="A451" s="376" t="s">
        <v>2902</v>
      </c>
      <c r="B451" s="376" t="s">
        <v>2903</v>
      </c>
      <c r="C451" s="376" t="s">
        <v>2904</v>
      </c>
      <c r="D451" s="376">
        <v>44768857103.019997</v>
      </c>
      <c r="E451" s="376">
        <v>1.473180174214253</v>
      </c>
      <c r="F451" s="376">
        <v>10.1</v>
      </c>
      <c r="G451" s="376">
        <v>228.05179999999999</v>
      </c>
      <c r="H451" s="376">
        <v>196.31</v>
      </c>
      <c r="I451" s="474"/>
      <c r="J451" s="475" t="str">
        <f t="shared" si="42"/>
        <v>Trane Technologies PLC</v>
      </c>
      <c r="K451" s="476" t="str">
        <f t="shared" si="42"/>
        <v>TT</v>
      </c>
      <c r="L451" s="477">
        <f t="shared" si="43"/>
        <v>44768.857103019996</v>
      </c>
      <c r="M451" s="478">
        <f t="shared" si="44"/>
        <v>1.4731801742142529E-2</v>
      </c>
      <c r="N451" s="478">
        <f t="shared" si="45"/>
        <v>0.10099999999999999</v>
      </c>
      <c r="O451" s="479">
        <f t="shared" si="46"/>
        <v>0.11647575773012071</v>
      </c>
      <c r="P451" s="480">
        <f t="shared" si="47"/>
        <v>1.2150367237548966E-3</v>
      </c>
      <c r="Q451" s="481">
        <f t="shared" si="48"/>
        <v>1.4152232306927494E-4</v>
      </c>
    </row>
    <row r="452" spans="1:17" x14ac:dyDescent="0.35">
      <c r="A452" s="376" t="s">
        <v>2905</v>
      </c>
      <c r="B452" s="376" t="s">
        <v>2906</v>
      </c>
      <c r="C452" s="376" t="s">
        <v>2907</v>
      </c>
      <c r="D452" s="376">
        <v>25400036549.999996</v>
      </c>
      <c r="E452" s="376">
        <v>0</v>
      </c>
      <c r="F452" s="376">
        <v>6.51</v>
      </c>
      <c r="G452" s="376">
        <v>169.33359999999999</v>
      </c>
      <c r="H452" s="376">
        <v>150</v>
      </c>
      <c r="I452" s="474"/>
      <c r="J452" s="475" t="str">
        <f t="shared" ref="J452:K502" si="49">B452</f>
        <v>Take-Two Interactive Software Inc</v>
      </c>
      <c r="K452" s="476" t="str">
        <f t="shared" si="49"/>
        <v>TTWO</v>
      </c>
      <c r="L452" s="477">
        <f t="shared" ref="L452:L502" si="50">D452/1000000</f>
        <v>25400.036549999997</v>
      </c>
      <c r="M452" s="478">
        <f t="shared" ref="M452:M502" si="51">IFERROR(E452/100,"0.00%")</f>
        <v>0</v>
      </c>
      <c r="N452" s="478">
        <f t="shared" ref="N452:N502" si="52">IFERROR(F452/100,"N/A")</f>
        <v>6.5099999999999991E-2</v>
      </c>
      <c r="O452" s="479">
        <f t="shared" ref="O452:O502" si="53">IFERROR(M452*(1+0.5*N452)+N452,"N/A")</f>
        <v>6.5099999999999991E-2</v>
      </c>
      <c r="P452" s="480">
        <f t="shared" ref="P452:P502" si="54">IF(O452="N/A","N/A",L452/$L$504)</f>
        <v>6.8936263264323424E-4</v>
      </c>
      <c r="Q452" s="481">
        <f t="shared" ref="Q452:Q502" si="55">IF(AND(ISNUMBER(L452),ISNUMBER(O452)),O452*P452,"N/A")</f>
        <v>4.4877507385074545E-5</v>
      </c>
    </row>
    <row r="453" spans="1:17" x14ac:dyDescent="0.35">
      <c r="A453" s="376" t="s">
        <v>2908</v>
      </c>
      <c r="B453" s="376" t="s">
        <v>2909</v>
      </c>
      <c r="C453" s="376" t="s">
        <v>2910</v>
      </c>
      <c r="D453" s="376">
        <v>164149200942.70001</v>
      </c>
      <c r="E453" s="376">
        <v>2.790710533591374</v>
      </c>
      <c r="F453" s="376">
        <v>10</v>
      </c>
      <c r="G453" s="376">
        <v>907.65389999999991</v>
      </c>
      <c r="H453" s="376">
        <v>180.85</v>
      </c>
      <c r="I453" s="474"/>
      <c r="J453" s="475" t="str">
        <f t="shared" si="49"/>
        <v>Texas Instruments Inc</v>
      </c>
      <c r="K453" s="476" t="str">
        <f t="shared" si="49"/>
        <v>TXN</v>
      </c>
      <c r="L453" s="477">
        <f t="shared" si="50"/>
        <v>164149.2009427</v>
      </c>
      <c r="M453" s="478">
        <f t="shared" si="51"/>
        <v>2.7907105335913739E-2</v>
      </c>
      <c r="N453" s="478">
        <f t="shared" si="52"/>
        <v>0.1</v>
      </c>
      <c r="O453" s="479">
        <f t="shared" si="53"/>
        <v>0.12930246060270945</v>
      </c>
      <c r="P453" s="480">
        <f t="shared" si="54"/>
        <v>4.4550457667803219E-3</v>
      </c>
      <c r="Q453" s="481">
        <f t="shared" si="55"/>
        <v>5.7604837974238002E-4</v>
      </c>
    </row>
    <row r="454" spans="1:17" x14ac:dyDescent="0.35">
      <c r="A454" s="376" t="s">
        <v>2911</v>
      </c>
      <c r="B454" s="376" t="s">
        <v>2912</v>
      </c>
      <c r="C454" s="376" t="s">
        <v>2913</v>
      </c>
      <c r="D454" s="376">
        <v>13591183122.359999</v>
      </c>
      <c r="E454" s="376">
        <v>0.11871197507048524</v>
      </c>
      <c r="F454" s="376">
        <v>11.18</v>
      </c>
      <c r="G454" s="376">
        <v>201.67949999999999</v>
      </c>
      <c r="H454" s="376">
        <v>67.39</v>
      </c>
      <c r="I454" s="474"/>
      <c r="J454" s="475" t="str">
        <f t="shared" si="49"/>
        <v>Textron Inc</v>
      </c>
      <c r="K454" s="476" t="str">
        <f t="shared" si="49"/>
        <v>TXT</v>
      </c>
      <c r="L454" s="477">
        <f t="shared" si="50"/>
        <v>13591.183122359998</v>
      </c>
      <c r="M454" s="478">
        <f t="shared" si="51"/>
        <v>1.1871197507048524E-3</v>
      </c>
      <c r="N454" s="478">
        <f t="shared" si="52"/>
        <v>0.1118</v>
      </c>
      <c r="O454" s="479">
        <f t="shared" si="53"/>
        <v>0.11305347974476924</v>
      </c>
      <c r="P454" s="480">
        <f t="shared" si="54"/>
        <v>3.6886772818310696E-4</v>
      </c>
      <c r="Q454" s="481">
        <f t="shared" si="55"/>
        <v>4.1701780236647927E-5</v>
      </c>
    </row>
    <row r="455" spans="1:17" x14ac:dyDescent="0.35">
      <c r="A455" s="376" t="s">
        <v>2914</v>
      </c>
      <c r="B455" s="376" t="s">
        <v>2915</v>
      </c>
      <c r="C455" s="376" t="s">
        <v>2916</v>
      </c>
      <c r="D455" s="376">
        <v>17230466780.66</v>
      </c>
      <c r="E455" s="376" t="s">
        <v>1612</v>
      </c>
      <c r="F455" s="376">
        <v>12</v>
      </c>
      <c r="G455" s="376">
        <v>41.925319999999999</v>
      </c>
      <c r="H455" s="376">
        <v>410.98</v>
      </c>
      <c r="I455" s="474"/>
      <c r="J455" s="475" t="str">
        <f t="shared" si="49"/>
        <v>Tyler Technologies Inc</v>
      </c>
      <c r="K455" s="476" t="str">
        <f t="shared" si="49"/>
        <v>TYL</v>
      </c>
      <c r="L455" s="477">
        <f t="shared" si="50"/>
        <v>17230.466780660001</v>
      </c>
      <c r="M455" s="478" t="str">
        <f t="shared" si="51"/>
        <v>0.00%</v>
      </c>
      <c r="N455" s="478">
        <f t="shared" si="52"/>
        <v>0.12</v>
      </c>
      <c r="O455" s="479">
        <f t="shared" si="53"/>
        <v>0.12</v>
      </c>
      <c r="P455" s="480">
        <f t="shared" si="54"/>
        <v>4.6763869485800293E-4</v>
      </c>
      <c r="Q455" s="481">
        <f t="shared" si="55"/>
        <v>5.6116643382960348E-5</v>
      </c>
    </row>
    <row r="456" spans="1:17" x14ac:dyDescent="0.35">
      <c r="A456" s="376" t="s">
        <v>2917</v>
      </c>
      <c r="B456" s="376" t="s">
        <v>2918</v>
      </c>
      <c r="C456" s="376" t="s">
        <v>2919</v>
      </c>
      <c r="D456" s="376">
        <v>17427717445.739998</v>
      </c>
      <c r="E456" s="376">
        <v>0</v>
      </c>
      <c r="F456" s="376">
        <v>67.349999999999994</v>
      </c>
      <c r="G456" s="376">
        <v>326.72890000000001</v>
      </c>
      <c r="H456" s="376">
        <v>53.34</v>
      </c>
      <c r="I456" s="474"/>
      <c r="J456" s="475" t="str">
        <f t="shared" si="49"/>
        <v>United Airlines Holdings Inc</v>
      </c>
      <c r="K456" s="476" t="str">
        <f t="shared" si="49"/>
        <v>UAL</v>
      </c>
      <c r="L456" s="477">
        <f t="shared" si="50"/>
        <v>17427.71744574</v>
      </c>
      <c r="M456" s="478">
        <f t="shared" si="51"/>
        <v>0</v>
      </c>
      <c r="N456" s="478">
        <f t="shared" si="52"/>
        <v>0.67349999999999999</v>
      </c>
      <c r="O456" s="479">
        <f t="shared" si="53"/>
        <v>0.67349999999999999</v>
      </c>
      <c r="P456" s="480">
        <f t="shared" si="54"/>
        <v>4.7299212171242913E-4</v>
      </c>
      <c r="Q456" s="481">
        <f t="shared" si="55"/>
        <v>3.1856019397332103E-4</v>
      </c>
    </row>
    <row r="457" spans="1:17" x14ac:dyDescent="0.35">
      <c r="A457" s="376" t="s">
        <v>2920</v>
      </c>
      <c r="B457" s="376" t="s">
        <v>2921</v>
      </c>
      <c r="C457" s="376" t="s">
        <v>2922</v>
      </c>
      <c r="D457" s="376">
        <v>14276224205.889999</v>
      </c>
      <c r="E457" s="376">
        <v>3.8551994466220889</v>
      </c>
      <c r="F457" s="376">
        <v>7.75</v>
      </c>
      <c r="G457" s="376">
        <v>329.1728</v>
      </c>
      <c r="H457" s="376">
        <v>43.37</v>
      </c>
      <c r="I457" s="474"/>
      <c r="J457" s="475" t="str">
        <f t="shared" si="49"/>
        <v>UDR Inc</v>
      </c>
      <c r="K457" s="476" t="str">
        <f t="shared" si="49"/>
        <v>UDR</v>
      </c>
      <c r="L457" s="477">
        <f t="shared" si="50"/>
        <v>14276.224205889999</v>
      </c>
      <c r="M457" s="478">
        <f t="shared" si="51"/>
        <v>3.8551994466220887E-2</v>
      </c>
      <c r="N457" s="478">
        <f t="shared" si="52"/>
        <v>7.7499999999999999E-2</v>
      </c>
      <c r="O457" s="479">
        <f t="shared" si="53"/>
        <v>0.11754588425178694</v>
      </c>
      <c r="P457" s="480">
        <f t="shared" si="54"/>
        <v>3.8745989531961504E-4</v>
      </c>
      <c r="Q457" s="481">
        <f t="shared" si="55"/>
        <v>4.5544316007448958E-5</v>
      </c>
    </row>
    <row r="458" spans="1:17" x14ac:dyDescent="0.35">
      <c r="A458" s="376" t="s">
        <v>2923</v>
      </c>
      <c r="B458" s="376" t="s">
        <v>2924</v>
      </c>
      <c r="C458" s="376" t="s">
        <v>2925</v>
      </c>
      <c r="D458" s="376">
        <v>11317189868.239998</v>
      </c>
      <c r="E458" s="376">
        <v>0.52121290994273817</v>
      </c>
      <c r="F458" s="376">
        <v>9.01</v>
      </c>
      <c r="G458" s="376">
        <v>62.928899999999999</v>
      </c>
      <c r="H458" s="376">
        <v>153.68</v>
      </c>
      <c r="I458" s="474"/>
      <c r="J458" s="475" t="str">
        <f t="shared" si="49"/>
        <v>Universal Health Services Inc</v>
      </c>
      <c r="K458" s="476" t="str">
        <f t="shared" si="49"/>
        <v>UHS</v>
      </c>
      <c r="L458" s="477">
        <f t="shared" si="50"/>
        <v>11317.189868239999</v>
      </c>
      <c r="M458" s="478">
        <f t="shared" si="51"/>
        <v>5.2121290994273815E-3</v>
      </c>
      <c r="N458" s="478">
        <f t="shared" si="52"/>
        <v>9.01E-2</v>
      </c>
      <c r="O458" s="479">
        <f t="shared" si="53"/>
        <v>9.554693551535659E-2</v>
      </c>
      <c r="P458" s="480">
        <f t="shared" si="54"/>
        <v>3.0715104627254024E-4</v>
      </c>
      <c r="Q458" s="481">
        <f t="shared" si="55"/>
        <v>2.934734121167671E-5</v>
      </c>
    </row>
    <row r="459" spans="1:17" x14ac:dyDescent="0.35">
      <c r="A459" s="376" t="s">
        <v>2926</v>
      </c>
      <c r="B459" s="376" t="s">
        <v>2927</v>
      </c>
      <c r="C459" s="376" t="s">
        <v>2928</v>
      </c>
      <c r="D459" s="376">
        <v>23538722458.799999</v>
      </c>
      <c r="E459" s="376">
        <v>0</v>
      </c>
      <c r="F459" s="376">
        <v>6.09</v>
      </c>
      <c r="G459" s="376">
        <v>49.801589999999997</v>
      </c>
      <c r="H459" s="376">
        <v>472.65</v>
      </c>
      <c r="I459" s="474"/>
      <c r="J459" s="475" t="str">
        <f t="shared" si="49"/>
        <v>Ulta Beauty Inc</v>
      </c>
      <c r="K459" s="476" t="str">
        <f t="shared" si="49"/>
        <v>ULTA</v>
      </c>
      <c r="L459" s="477">
        <f t="shared" si="50"/>
        <v>23538.722458799999</v>
      </c>
      <c r="M459" s="478">
        <f t="shared" si="51"/>
        <v>0</v>
      </c>
      <c r="N459" s="478">
        <f t="shared" si="52"/>
        <v>6.0899999999999996E-2</v>
      </c>
      <c r="O459" s="479">
        <f t="shared" si="53"/>
        <v>6.0899999999999996E-2</v>
      </c>
      <c r="P459" s="480">
        <f t="shared" si="54"/>
        <v>6.3884615485944221E-4</v>
      </c>
      <c r="Q459" s="481">
        <f t="shared" si="55"/>
        <v>3.8905730830940031E-5</v>
      </c>
    </row>
    <row r="460" spans="1:17" x14ac:dyDescent="0.35">
      <c r="A460" s="376" t="s">
        <v>2929</v>
      </c>
      <c r="B460" s="376" t="s">
        <v>2930</v>
      </c>
      <c r="C460" s="376" t="s">
        <v>2931</v>
      </c>
      <c r="D460" s="376">
        <v>447053649845.10004</v>
      </c>
      <c r="E460" s="376">
        <v>1.4388654018368494</v>
      </c>
      <c r="F460" s="376">
        <v>13.02</v>
      </c>
      <c r="G460" s="376">
        <v>931.03199999999993</v>
      </c>
      <c r="H460" s="376">
        <v>480.17</v>
      </c>
      <c r="I460" s="474"/>
      <c r="J460" s="475" t="str">
        <f t="shared" si="49"/>
        <v>UnitedHealth Group Inc</v>
      </c>
      <c r="K460" s="476" t="str">
        <f t="shared" si="49"/>
        <v>UNH</v>
      </c>
      <c r="L460" s="477">
        <f t="shared" si="50"/>
        <v>447053.64984510001</v>
      </c>
      <c r="M460" s="478">
        <f t="shared" si="51"/>
        <v>1.4388654018368495E-2</v>
      </c>
      <c r="N460" s="478">
        <f t="shared" si="52"/>
        <v>0.13019999999999998</v>
      </c>
      <c r="O460" s="479">
        <f t="shared" si="53"/>
        <v>0.14552535539496425</v>
      </c>
      <c r="P460" s="480">
        <f t="shared" si="54"/>
        <v>1.2133135335586152E-2</v>
      </c>
      <c r="Q460" s="481">
        <f t="shared" si="55"/>
        <v>1.7656788317663736E-3</v>
      </c>
    </row>
    <row r="461" spans="1:17" x14ac:dyDescent="0.35">
      <c r="A461" s="376" t="s">
        <v>2932</v>
      </c>
      <c r="B461" s="376" t="s">
        <v>2933</v>
      </c>
      <c r="C461" s="376" t="s">
        <v>2934</v>
      </c>
      <c r="D461" s="376">
        <v>128639643839.45999</v>
      </c>
      <c r="E461" s="376">
        <v>2.5380349779610407</v>
      </c>
      <c r="F461" s="376">
        <v>7</v>
      </c>
      <c r="G461" s="376">
        <v>609.69549999999992</v>
      </c>
      <c r="H461" s="376">
        <v>210.99</v>
      </c>
      <c r="I461" s="474"/>
      <c r="J461" s="475" t="str">
        <f t="shared" si="49"/>
        <v>Union Pacific Corp</v>
      </c>
      <c r="K461" s="476" t="str">
        <f t="shared" si="49"/>
        <v>UNP</v>
      </c>
      <c r="L461" s="477">
        <f t="shared" si="50"/>
        <v>128639.64383946</v>
      </c>
      <c r="M461" s="478">
        <f t="shared" si="51"/>
        <v>2.5380349779610407E-2</v>
      </c>
      <c r="N461" s="478">
        <f t="shared" si="52"/>
        <v>7.0000000000000007E-2</v>
      </c>
      <c r="O461" s="479">
        <f t="shared" si="53"/>
        <v>9.6268662021896781E-2</v>
      </c>
      <c r="P461" s="480">
        <f t="shared" si="54"/>
        <v>3.4913085012650566E-3</v>
      </c>
      <c r="Q461" s="481">
        <f t="shared" si="55"/>
        <v>3.3610359812246072E-4</v>
      </c>
    </row>
    <row r="462" spans="1:17" x14ac:dyDescent="0.35">
      <c r="A462" s="376" t="s">
        <v>2935</v>
      </c>
      <c r="B462" s="376" t="s">
        <v>2936</v>
      </c>
      <c r="C462" s="376" t="s">
        <v>2937</v>
      </c>
      <c r="D462" s="376">
        <v>159117284274.69998</v>
      </c>
      <c r="E462" s="376">
        <v>3.4805138723955529</v>
      </c>
      <c r="F462" s="376">
        <v>0.89</v>
      </c>
      <c r="G462" s="376">
        <v>724.77969999999993</v>
      </c>
      <c r="H462" s="376">
        <v>185.26</v>
      </c>
      <c r="I462" s="474"/>
      <c r="J462" s="475" t="str">
        <f t="shared" si="49"/>
        <v>United Parcel Service Inc</v>
      </c>
      <c r="K462" s="476" t="str">
        <f t="shared" si="49"/>
        <v>UPS</v>
      </c>
      <c r="L462" s="477">
        <f t="shared" si="50"/>
        <v>159117.28427469998</v>
      </c>
      <c r="M462" s="478">
        <f t="shared" si="51"/>
        <v>3.4805138723955527E-2</v>
      </c>
      <c r="N462" s="478">
        <f t="shared" si="52"/>
        <v>8.8999999999999999E-3</v>
      </c>
      <c r="O462" s="479">
        <f t="shared" si="53"/>
        <v>4.386002159127713E-2</v>
      </c>
      <c r="P462" s="480">
        <f t="shared" si="54"/>
        <v>4.3184784309552139E-3</v>
      </c>
      <c r="Q462" s="481">
        <f t="shared" si="55"/>
        <v>1.8940855722316026E-4</v>
      </c>
    </row>
    <row r="463" spans="1:17" x14ac:dyDescent="0.35">
      <c r="A463" s="376" t="s">
        <v>2938</v>
      </c>
      <c r="B463" s="376" t="s">
        <v>2939</v>
      </c>
      <c r="C463" s="376" t="s">
        <v>2940</v>
      </c>
      <c r="D463" s="376">
        <v>30616293885.649998</v>
      </c>
      <c r="E463" s="376">
        <v>1.3285441688180493</v>
      </c>
      <c r="F463" s="376">
        <v>21.23</v>
      </c>
      <c r="G463" s="376">
        <v>68.731160000000003</v>
      </c>
      <c r="H463" s="376">
        <v>445.45</v>
      </c>
      <c r="I463" s="474"/>
      <c r="J463" s="475" t="str">
        <f t="shared" si="49"/>
        <v>United Rentals Inc</v>
      </c>
      <c r="K463" s="476" t="str">
        <f t="shared" si="49"/>
        <v>URI</v>
      </c>
      <c r="L463" s="477">
        <f t="shared" si="50"/>
        <v>30616.293885649997</v>
      </c>
      <c r="M463" s="478">
        <f t="shared" si="51"/>
        <v>1.3285441688180492E-2</v>
      </c>
      <c r="N463" s="478">
        <f t="shared" si="52"/>
        <v>0.21230000000000002</v>
      </c>
      <c r="O463" s="479">
        <f t="shared" si="53"/>
        <v>0.22699569132338088</v>
      </c>
      <c r="P463" s="480">
        <f t="shared" si="54"/>
        <v>8.3093301512554866E-4</v>
      </c>
      <c r="Q463" s="481">
        <f t="shared" si="55"/>
        <v>1.8861821421184522E-4</v>
      </c>
    </row>
    <row r="464" spans="1:17" x14ac:dyDescent="0.35">
      <c r="A464" s="376" t="s">
        <v>2941</v>
      </c>
      <c r="B464" s="376" t="s">
        <v>2942</v>
      </c>
      <c r="C464" s="376" t="s">
        <v>2943</v>
      </c>
      <c r="D464" s="376">
        <v>54158088013.029999</v>
      </c>
      <c r="E464" s="376">
        <v>5.4825926974242858</v>
      </c>
      <c r="F464" s="376">
        <v>8</v>
      </c>
      <c r="G464" s="376">
        <v>1532.9209999999998</v>
      </c>
      <c r="H464" s="376">
        <v>35.33</v>
      </c>
      <c r="I464" s="474"/>
      <c r="J464" s="475" t="str">
        <f t="shared" si="49"/>
        <v>US Bancorp</v>
      </c>
      <c r="K464" s="476" t="str">
        <f t="shared" si="49"/>
        <v>USB</v>
      </c>
      <c r="L464" s="477">
        <f t="shared" si="50"/>
        <v>54158.088013029999</v>
      </c>
      <c r="M464" s="478">
        <f t="shared" si="51"/>
        <v>5.4825926974242857E-2</v>
      </c>
      <c r="N464" s="478">
        <f t="shared" si="52"/>
        <v>0.08</v>
      </c>
      <c r="O464" s="479">
        <f t="shared" si="53"/>
        <v>0.13701896405321257</v>
      </c>
      <c r="P464" s="480">
        <f t="shared" si="54"/>
        <v>1.4698625357523886E-3</v>
      </c>
      <c r="Q464" s="481">
        <f t="shared" si="55"/>
        <v>2.0139904194942039E-4</v>
      </c>
    </row>
    <row r="465" spans="1:17" x14ac:dyDescent="0.35">
      <c r="A465" s="376" t="s">
        <v>2944</v>
      </c>
      <c r="B465" s="376" t="s">
        <v>2945</v>
      </c>
      <c r="C465" s="376" t="s">
        <v>2946</v>
      </c>
      <c r="D465" s="376">
        <v>510759475177.73303</v>
      </c>
      <c r="E465" s="376">
        <v>0.74559960519822333</v>
      </c>
      <c r="F465" s="376">
        <v>17.955000000000002</v>
      </c>
      <c r="G465" s="376">
        <v>1618.223</v>
      </c>
      <c r="H465" s="376">
        <v>243.16</v>
      </c>
      <c r="I465" s="474"/>
      <c r="J465" s="475" t="str">
        <f t="shared" si="49"/>
        <v>Visa Inc</v>
      </c>
      <c r="K465" s="476" t="str">
        <f t="shared" si="49"/>
        <v>V</v>
      </c>
      <c r="L465" s="477">
        <f t="shared" si="50"/>
        <v>510759.47517773305</v>
      </c>
      <c r="M465" s="478">
        <f t="shared" si="51"/>
        <v>7.4559960519822331E-3</v>
      </c>
      <c r="N465" s="478">
        <f t="shared" si="52"/>
        <v>0.17955000000000002</v>
      </c>
      <c r="O465" s="479">
        <f t="shared" si="53"/>
        <v>0.18767535809754896</v>
      </c>
      <c r="P465" s="480">
        <f t="shared" si="54"/>
        <v>1.3862125582492469E-2</v>
      </c>
      <c r="Q465" s="481">
        <f t="shared" si="55"/>
        <v>2.6015793826874687E-3</v>
      </c>
    </row>
    <row r="466" spans="1:17" x14ac:dyDescent="0.35">
      <c r="A466" s="376" t="s">
        <v>2947</v>
      </c>
      <c r="B466" s="376" t="s">
        <v>2948</v>
      </c>
      <c r="C466" s="376" t="s">
        <v>2949</v>
      </c>
      <c r="D466" s="376">
        <v>7458717521.3300009</v>
      </c>
      <c r="E466" s="376">
        <v>6.2793121417404896</v>
      </c>
      <c r="F466" s="376">
        <v>-1.9350000000000001</v>
      </c>
      <c r="G466" s="376">
        <v>388.6773</v>
      </c>
      <c r="H466" s="376">
        <v>19.190000000000001</v>
      </c>
      <c r="I466" s="474"/>
      <c r="J466" s="475" t="str">
        <f t="shared" si="49"/>
        <v>VF Corp</v>
      </c>
      <c r="K466" s="476" t="str">
        <f t="shared" si="49"/>
        <v>VFC</v>
      </c>
      <c r="L466" s="477">
        <f t="shared" si="50"/>
        <v>7458.7175213300006</v>
      </c>
      <c r="M466" s="478">
        <f t="shared" si="51"/>
        <v>6.2793121417404896E-2</v>
      </c>
      <c r="N466" s="478">
        <f t="shared" si="52"/>
        <v>-1.9349999999999999E-2</v>
      </c>
      <c r="O466" s="479">
        <f t="shared" si="53"/>
        <v>4.2835597967691506E-2</v>
      </c>
      <c r="P466" s="480">
        <f t="shared" si="54"/>
        <v>2.024312499127592E-4</v>
      </c>
      <c r="Q466" s="481">
        <f t="shared" si="55"/>
        <v>8.6712636373602393E-6</v>
      </c>
    </row>
    <row r="467" spans="1:17" x14ac:dyDescent="0.35">
      <c r="A467" s="376" t="s">
        <v>2950</v>
      </c>
      <c r="B467" s="376" t="s">
        <v>2951</v>
      </c>
      <c r="C467" s="376" t="s">
        <v>2952</v>
      </c>
      <c r="D467" s="376">
        <v>31643554819.900005</v>
      </c>
      <c r="E467" s="376">
        <v>5.0967946683592515</v>
      </c>
      <c r="F467" s="376">
        <v>6.48</v>
      </c>
      <c r="G467" s="376">
        <v>1004.2379999999999</v>
      </c>
      <c r="H467" s="376">
        <v>31.51</v>
      </c>
      <c r="I467" s="474"/>
      <c r="J467" s="475" t="str">
        <f t="shared" si="49"/>
        <v>VICI Properties Inc</v>
      </c>
      <c r="K467" s="476" t="str">
        <f t="shared" si="49"/>
        <v>VICI</v>
      </c>
      <c r="L467" s="477">
        <f t="shared" si="50"/>
        <v>31643.554819900004</v>
      </c>
      <c r="M467" s="478">
        <f t="shared" si="51"/>
        <v>5.0967946683592516E-2</v>
      </c>
      <c r="N467" s="478">
        <f t="shared" si="52"/>
        <v>6.480000000000001E-2</v>
      </c>
      <c r="O467" s="479">
        <f t="shared" si="53"/>
        <v>0.11741930815614092</v>
      </c>
      <c r="P467" s="480">
        <f t="shared" si="54"/>
        <v>8.5881310500857415E-4</v>
      </c>
      <c r="Q467" s="481">
        <f t="shared" si="55"/>
        <v>1.0084124062553398E-4</v>
      </c>
    </row>
    <row r="468" spans="1:17" x14ac:dyDescent="0.35">
      <c r="A468" s="376" t="s">
        <v>2953</v>
      </c>
      <c r="B468" s="376" t="s">
        <v>2954</v>
      </c>
      <c r="C468" s="376" t="s">
        <v>2955</v>
      </c>
      <c r="D468" s="376">
        <v>41024943372.519997</v>
      </c>
      <c r="E468" s="376">
        <v>3.5918223475502291</v>
      </c>
      <c r="F468" s="376">
        <v>-7.69</v>
      </c>
      <c r="G468" s="376">
        <v>361.51689999999996</v>
      </c>
      <c r="H468" s="376">
        <v>113.48</v>
      </c>
      <c r="I468" s="474"/>
      <c r="J468" s="475" t="str">
        <f t="shared" si="49"/>
        <v>Valero Energy Corp</v>
      </c>
      <c r="K468" s="476" t="str">
        <f t="shared" si="49"/>
        <v>VLO</v>
      </c>
      <c r="L468" s="477">
        <f t="shared" si="50"/>
        <v>41024.94337252</v>
      </c>
      <c r="M468" s="478">
        <f t="shared" si="51"/>
        <v>3.5918223475502289E-2</v>
      </c>
      <c r="N468" s="478">
        <f t="shared" si="52"/>
        <v>-7.690000000000001E-2</v>
      </c>
      <c r="O468" s="479">
        <f t="shared" si="53"/>
        <v>-4.2362832217130782E-2</v>
      </c>
      <c r="P468" s="480">
        <f t="shared" si="54"/>
        <v>1.1134260736849213E-3</v>
      </c>
      <c r="Q468" s="481">
        <f t="shared" si="55"/>
        <v>-4.7167881945693015E-5</v>
      </c>
    </row>
    <row r="469" spans="1:17" x14ac:dyDescent="0.35">
      <c r="A469" s="376" t="s">
        <v>2956</v>
      </c>
      <c r="B469" s="376" t="s">
        <v>2957</v>
      </c>
      <c r="C469" s="376" t="s">
        <v>2958</v>
      </c>
      <c r="D469" s="376">
        <v>29905101498.5</v>
      </c>
      <c r="E469" s="376">
        <v>0.75773081201334824</v>
      </c>
      <c r="F469" s="376">
        <v>20.76</v>
      </c>
      <c r="G469" s="376">
        <v>133.05939999999998</v>
      </c>
      <c r="H469" s="376">
        <v>224.75</v>
      </c>
      <c r="I469" s="474"/>
      <c r="J469" s="475" t="str">
        <f t="shared" si="49"/>
        <v>Vulcan Materials Co</v>
      </c>
      <c r="K469" s="476" t="str">
        <f t="shared" si="49"/>
        <v>VMC</v>
      </c>
      <c r="L469" s="477">
        <f t="shared" si="50"/>
        <v>29905.1014985</v>
      </c>
      <c r="M469" s="478">
        <f t="shared" si="51"/>
        <v>7.5773081201334826E-3</v>
      </c>
      <c r="N469" s="478">
        <f t="shared" si="52"/>
        <v>0.20760000000000001</v>
      </c>
      <c r="O469" s="479">
        <f t="shared" si="53"/>
        <v>0.21596383270300334</v>
      </c>
      <c r="P469" s="480">
        <f t="shared" si="54"/>
        <v>8.1163109580128102E-4</v>
      </c>
      <c r="Q469" s="481">
        <f t="shared" si="55"/>
        <v>1.7528296219018313E-4</v>
      </c>
    </row>
    <row r="470" spans="1:17" x14ac:dyDescent="0.35">
      <c r="A470" s="376" t="s">
        <v>2959</v>
      </c>
      <c r="B470" s="376" t="s">
        <v>2960</v>
      </c>
      <c r="C470" s="376" t="s">
        <v>2961</v>
      </c>
      <c r="D470" s="376">
        <v>33126773614.619995</v>
      </c>
      <c r="E470" s="376">
        <v>0.59749114908868395</v>
      </c>
      <c r="F470" s="376">
        <v>11.71</v>
      </c>
      <c r="G470" s="376">
        <v>144.7912</v>
      </c>
      <c r="H470" s="376">
        <v>228.79</v>
      </c>
      <c r="I470" s="474"/>
      <c r="J470" s="475" t="str">
        <f t="shared" si="49"/>
        <v>Verisk Analytics Inc</v>
      </c>
      <c r="K470" s="476" t="str">
        <f t="shared" si="49"/>
        <v>VRSK</v>
      </c>
      <c r="L470" s="477">
        <f t="shared" si="50"/>
        <v>33126.773614619997</v>
      </c>
      <c r="M470" s="478">
        <f t="shared" si="51"/>
        <v>5.9749114908868393E-3</v>
      </c>
      <c r="N470" s="478">
        <f t="shared" si="52"/>
        <v>0.11710000000000001</v>
      </c>
      <c r="O470" s="479">
        <f t="shared" si="53"/>
        <v>0.12342474255867827</v>
      </c>
      <c r="P470" s="480">
        <f t="shared" si="54"/>
        <v>8.9906799248093492E-4</v>
      </c>
      <c r="Q470" s="481">
        <f t="shared" si="55"/>
        <v>1.1096723551470708E-4</v>
      </c>
    </row>
    <row r="471" spans="1:17" x14ac:dyDescent="0.35">
      <c r="A471" s="376" t="s">
        <v>2962</v>
      </c>
      <c r="B471" s="376" t="s">
        <v>2963</v>
      </c>
      <c r="C471" s="376" t="s">
        <v>2964</v>
      </c>
      <c r="D471" s="376">
        <v>22550407031.34</v>
      </c>
      <c r="E471" s="376">
        <v>0</v>
      </c>
      <c r="F471" s="376" t="s">
        <v>1612</v>
      </c>
      <c r="G471" s="376">
        <v>104.09639999999999</v>
      </c>
      <c r="H471" s="376">
        <v>216.63</v>
      </c>
      <c r="I471" s="474"/>
      <c r="J471" s="475" t="str">
        <f t="shared" si="49"/>
        <v>VeriSign Inc</v>
      </c>
      <c r="K471" s="476" t="str">
        <f t="shared" si="49"/>
        <v>VRSN</v>
      </c>
      <c r="L471" s="477">
        <f t="shared" si="50"/>
        <v>22550.407031340001</v>
      </c>
      <c r="M471" s="478">
        <f t="shared" si="51"/>
        <v>0</v>
      </c>
      <c r="N471" s="478" t="str">
        <f t="shared" si="52"/>
        <v>N/A</v>
      </c>
      <c r="O471" s="479" t="str">
        <f t="shared" si="53"/>
        <v>N/A</v>
      </c>
      <c r="P471" s="480" t="str">
        <f t="shared" si="54"/>
        <v>N/A</v>
      </c>
      <c r="Q471" s="481" t="str">
        <f t="shared" si="55"/>
        <v>N/A</v>
      </c>
    </row>
    <row r="472" spans="1:17" x14ac:dyDescent="0.35">
      <c r="A472" s="376" t="s">
        <v>2965</v>
      </c>
      <c r="B472" s="376" t="s">
        <v>2966</v>
      </c>
      <c r="C472" s="376" t="s">
        <v>2967</v>
      </c>
      <c r="D472" s="376">
        <v>90848751384</v>
      </c>
      <c r="E472" s="376">
        <v>0</v>
      </c>
      <c r="F472" s="376">
        <v>13.23</v>
      </c>
      <c r="G472" s="376">
        <v>257.55160000000001</v>
      </c>
      <c r="H472" s="376">
        <v>352.74</v>
      </c>
      <c r="I472" s="474"/>
      <c r="J472" s="475" t="str">
        <f t="shared" si="49"/>
        <v>Vertex Pharmaceuticals Inc</v>
      </c>
      <c r="K472" s="476" t="str">
        <f t="shared" si="49"/>
        <v>VRTX</v>
      </c>
      <c r="L472" s="477">
        <f t="shared" si="50"/>
        <v>90848.751384000003</v>
      </c>
      <c r="M472" s="478">
        <f t="shared" si="51"/>
        <v>0</v>
      </c>
      <c r="N472" s="478">
        <f t="shared" si="52"/>
        <v>0.1323</v>
      </c>
      <c r="O472" s="479">
        <f t="shared" si="53"/>
        <v>0.1323</v>
      </c>
      <c r="P472" s="480">
        <f t="shared" si="54"/>
        <v>2.465655287666305E-3</v>
      </c>
      <c r="Q472" s="481">
        <f t="shared" si="55"/>
        <v>3.2620619455825216E-4</v>
      </c>
    </row>
    <row r="473" spans="1:17" x14ac:dyDescent="0.35">
      <c r="A473" s="376" t="s">
        <v>2968</v>
      </c>
      <c r="B473" s="376" t="s">
        <v>2969</v>
      </c>
      <c r="C473" s="376" t="s">
        <v>2970</v>
      </c>
      <c r="D473" s="376">
        <v>19230489689.509998</v>
      </c>
      <c r="E473" s="376">
        <v>3.7591013105887243</v>
      </c>
      <c r="F473" s="376">
        <v>9.48</v>
      </c>
      <c r="G473" s="376">
        <v>400.05179999999996</v>
      </c>
      <c r="H473" s="376">
        <v>48.07</v>
      </c>
      <c r="I473" s="474"/>
      <c r="J473" s="475" t="str">
        <f t="shared" si="49"/>
        <v>Ventas Inc</v>
      </c>
      <c r="K473" s="476" t="str">
        <f t="shared" si="49"/>
        <v>VTR</v>
      </c>
      <c r="L473" s="477">
        <f t="shared" si="50"/>
        <v>19230.489689509999</v>
      </c>
      <c r="M473" s="478">
        <f t="shared" si="51"/>
        <v>3.7591013105887243E-2</v>
      </c>
      <c r="N473" s="478">
        <f t="shared" si="52"/>
        <v>9.4800000000000009E-2</v>
      </c>
      <c r="O473" s="479">
        <f t="shared" si="53"/>
        <v>0.13417282712710632</v>
      </c>
      <c r="P473" s="480">
        <f t="shared" si="54"/>
        <v>5.2191976075637524E-4</v>
      </c>
      <c r="Q473" s="481">
        <f t="shared" si="55"/>
        <v>7.0027449834185823E-5</v>
      </c>
    </row>
    <row r="474" spans="1:17" x14ac:dyDescent="0.35">
      <c r="A474" s="376" t="s">
        <v>2971</v>
      </c>
      <c r="B474" s="376" t="s">
        <v>2972</v>
      </c>
      <c r="C474" s="376" t="s">
        <v>2973</v>
      </c>
      <c r="D474" s="376">
        <v>12182144637.440001</v>
      </c>
      <c r="E474" s="376">
        <v>4.0846456692913389</v>
      </c>
      <c r="F474" s="376">
        <v>-1.1599999999999999</v>
      </c>
      <c r="G474" s="376">
        <v>1199.03</v>
      </c>
      <c r="H474" s="376">
        <v>10.16</v>
      </c>
      <c r="I474" s="474"/>
      <c r="J474" s="475" t="str">
        <f t="shared" si="49"/>
        <v>Viatris Inc</v>
      </c>
      <c r="K474" s="476" t="str">
        <f t="shared" si="49"/>
        <v>VTRS</v>
      </c>
      <c r="L474" s="477">
        <f t="shared" si="50"/>
        <v>12182.14463744</v>
      </c>
      <c r="M474" s="478">
        <f t="shared" si="51"/>
        <v>4.084645669291339E-2</v>
      </c>
      <c r="N474" s="478">
        <f t="shared" si="52"/>
        <v>-1.1599999999999999E-2</v>
      </c>
      <c r="O474" s="479">
        <f t="shared" si="53"/>
        <v>2.9009547244094491E-2</v>
      </c>
      <c r="P474" s="480">
        <f t="shared" si="54"/>
        <v>3.3062611079220266E-4</v>
      </c>
      <c r="Q474" s="481">
        <f t="shared" si="55"/>
        <v>9.5913137811576225E-6</v>
      </c>
    </row>
    <row r="475" spans="1:17" x14ac:dyDescent="0.35">
      <c r="A475" s="376" t="s">
        <v>2974</v>
      </c>
      <c r="B475" s="376" t="s">
        <v>2975</v>
      </c>
      <c r="C475" s="376" t="s">
        <v>2976</v>
      </c>
      <c r="D475" s="376">
        <v>142977750336.82999</v>
      </c>
      <c r="E475" s="376">
        <v>7.7418406351073221</v>
      </c>
      <c r="F475" s="376" t="s">
        <v>1612</v>
      </c>
      <c r="G475" s="376">
        <v>4203.991</v>
      </c>
      <c r="H475" s="376">
        <v>34.01</v>
      </c>
      <c r="I475" s="474"/>
      <c r="J475" s="475" t="str">
        <f t="shared" si="49"/>
        <v>Verizon Communications Inc</v>
      </c>
      <c r="K475" s="476" t="str">
        <f t="shared" si="49"/>
        <v>VZ</v>
      </c>
      <c r="L475" s="477">
        <f t="shared" si="50"/>
        <v>142977.75033682998</v>
      </c>
      <c r="M475" s="478">
        <f t="shared" si="51"/>
        <v>7.7418406351073221E-2</v>
      </c>
      <c r="N475" s="478" t="str">
        <f t="shared" si="52"/>
        <v>N/A</v>
      </c>
      <c r="O475" s="479" t="str">
        <f t="shared" si="53"/>
        <v>N/A</v>
      </c>
      <c r="P475" s="480" t="str">
        <f t="shared" si="54"/>
        <v>N/A</v>
      </c>
      <c r="Q475" s="481" t="str">
        <f t="shared" si="55"/>
        <v>N/A</v>
      </c>
    </row>
    <row r="476" spans="1:17" x14ac:dyDescent="0.35">
      <c r="A476" s="376" t="s">
        <v>2977</v>
      </c>
      <c r="B476" s="376" t="s">
        <v>2978</v>
      </c>
      <c r="C476" s="376" t="s">
        <v>2979</v>
      </c>
      <c r="D476" s="376">
        <v>20132800858.169998</v>
      </c>
      <c r="E476" s="376">
        <v>0.60752255874207095</v>
      </c>
      <c r="F476" s="376">
        <v>12.040000000000001</v>
      </c>
      <c r="G476" s="376">
        <v>179.86959999999999</v>
      </c>
      <c r="H476" s="376">
        <v>111.93</v>
      </c>
      <c r="I476" s="474"/>
      <c r="J476" s="475" t="str">
        <f t="shared" si="49"/>
        <v>Westinghouse Air Brake Technologies Corp</v>
      </c>
      <c r="K476" s="476" t="str">
        <f t="shared" si="49"/>
        <v>WAB</v>
      </c>
      <c r="L476" s="477">
        <f t="shared" si="50"/>
        <v>20132.800858169998</v>
      </c>
      <c r="M476" s="478">
        <f t="shared" si="51"/>
        <v>6.0752255874207094E-3</v>
      </c>
      <c r="N476" s="478">
        <f t="shared" si="52"/>
        <v>0.12040000000000001</v>
      </c>
      <c r="O476" s="479">
        <f t="shared" si="53"/>
        <v>0.12684095416778343</v>
      </c>
      <c r="P476" s="480">
        <f t="shared" si="54"/>
        <v>5.4640868625325015E-4</v>
      </c>
      <c r="Q476" s="481">
        <f t="shared" si="55"/>
        <v>6.9306999129927261E-5</v>
      </c>
    </row>
    <row r="477" spans="1:17" x14ac:dyDescent="0.35">
      <c r="A477" s="376" t="s">
        <v>2980</v>
      </c>
      <c r="B477" s="376" t="s">
        <v>2981</v>
      </c>
      <c r="C477" s="376" t="s">
        <v>2982</v>
      </c>
      <c r="D477" s="376">
        <v>15984520019.669996</v>
      </c>
      <c r="E477" s="376">
        <v>0</v>
      </c>
      <c r="F477" s="376">
        <v>7.0350000000000001</v>
      </c>
      <c r="G477" s="376">
        <v>59.033569999999997</v>
      </c>
      <c r="H477" s="376">
        <v>270.77</v>
      </c>
      <c r="I477" s="474"/>
      <c r="J477" s="475" t="str">
        <f t="shared" si="49"/>
        <v>Waters Corp</v>
      </c>
      <c r="K477" s="476" t="str">
        <f t="shared" si="49"/>
        <v>WAT</v>
      </c>
      <c r="L477" s="477">
        <f t="shared" si="50"/>
        <v>15984.520019669997</v>
      </c>
      <c r="M477" s="478">
        <f t="shared" si="51"/>
        <v>0</v>
      </c>
      <c r="N477" s="478">
        <f t="shared" si="52"/>
        <v>7.0349999999999996E-2</v>
      </c>
      <c r="O477" s="479">
        <f t="shared" si="53"/>
        <v>7.0349999999999996E-2</v>
      </c>
      <c r="P477" s="480">
        <f t="shared" si="54"/>
        <v>4.338234230729165E-4</v>
      </c>
      <c r="Q477" s="481">
        <f t="shared" si="55"/>
        <v>3.0519477813179671E-5</v>
      </c>
    </row>
    <row r="478" spans="1:17" x14ac:dyDescent="0.35">
      <c r="A478" s="376" t="s">
        <v>2983</v>
      </c>
      <c r="B478" s="376" t="s">
        <v>2984</v>
      </c>
      <c r="C478" s="376" t="s">
        <v>2985</v>
      </c>
      <c r="D478" s="376">
        <v>25207233259.599998</v>
      </c>
      <c r="E478" s="376">
        <v>6.6780821917808222</v>
      </c>
      <c r="F478" s="376">
        <v>-6.57</v>
      </c>
      <c r="G478" s="376">
        <v>863.26139999999998</v>
      </c>
      <c r="H478" s="376">
        <v>29.2</v>
      </c>
      <c r="I478" s="474"/>
      <c r="J478" s="475" t="str">
        <f t="shared" si="49"/>
        <v>Walgreens Boots Alliance Inc</v>
      </c>
      <c r="K478" s="476" t="str">
        <f t="shared" si="49"/>
        <v>WBA</v>
      </c>
      <c r="L478" s="477">
        <f t="shared" si="50"/>
        <v>25207.233259599998</v>
      </c>
      <c r="M478" s="478">
        <f t="shared" si="51"/>
        <v>6.6780821917808222E-2</v>
      </c>
      <c r="N478" s="478">
        <f t="shared" si="52"/>
        <v>-6.5700000000000008E-2</v>
      </c>
      <c r="O478" s="479">
        <f t="shared" si="53"/>
        <v>-1.1129280821917942E-3</v>
      </c>
      <c r="P478" s="480">
        <f t="shared" si="54"/>
        <v>6.841299085252675E-4</v>
      </c>
      <c r="Q478" s="481">
        <f t="shared" si="55"/>
        <v>-7.6138738706507353E-7</v>
      </c>
    </row>
    <row r="479" spans="1:17" x14ac:dyDescent="0.35">
      <c r="A479" s="376" t="s">
        <v>2986</v>
      </c>
      <c r="B479" s="376" t="s">
        <v>2987</v>
      </c>
      <c r="C479" s="376" t="s">
        <v>2988</v>
      </c>
      <c r="D479" s="376">
        <v>30207732504.000004</v>
      </c>
      <c r="E479" s="376" t="s">
        <v>1612</v>
      </c>
      <c r="F479" s="376" t="s">
        <v>1612</v>
      </c>
      <c r="G479" s="376">
        <v>2436.107</v>
      </c>
      <c r="H479" s="376">
        <v>12.4</v>
      </c>
      <c r="I479" s="474"/>
      <c r="J479" s="475" t="str">
        <f t="shared" si="49"/>
        <v>Warner Bros Discovery Inc</v>
      </c>
      <c r="K479" s="476" t="str">
        <f t="shared" si="49"/>
        <v>WBD</v>
      </c>
      <c r="L479" s="477">
        <f t="shared" si="50"/>
        <v>30207.732504000003</v>
      </c>
      <c r="M479" s="478" t="str">
        <f t="shared" si="51"/>
        <v>0.00%</v>
      </c>
      <c r="N479" s="478" t="str">
        <f t="shared" si="52"/>
        <v>N/A</v>
      </c>
      <c r="O479" s="479" t="str">
        <f t="shared" si="53"/>
        <v>N/A</v>
      </c>
      <c r="P479" s="480" t="str">
        <f t="shared" si="54"/>
        <v>N/A</v>
      </c>
      <c r="Q479" s="481" t="str">
        <f t="shared" si="55"/>
        <v>N/A</v>
      </c>
    </row>
    <row r="480" spans="1:17" x14ac:dyDescent="0.35">
      <c r="A480" s="376" t="s">
        <v>2989</v>
      </c>
      <c r="B480" s="376" t="s">
        <v>2990</v>
      </c>
      <c r="C480" s="376" t="s">
        <v>2991</v>
      </c>
      <c r="D480" s="376">
        <v>12688718592.779999</v>
      </c>
      <c r="E480" s="376">
        <v>1.5128593040847202E-2</v>
      </c>
      <c r="F480" s="376">
        <v>-11.955</v>
      </c>
      <c r="G480" s="376">
        <v>319.93739999999997</v>
      </c>
      <c r="H480" s="376">
        <v>39.659999999999997</v>
      </c>
      <c r="I480" s="474"/>
      <c r="J480" s="475" t="str">
        <f t="shared" si="49"/>
        <v>Western Digital Corp</v>
      </c>
      <c r="K480" s="476" t="str">
        <f t="shared" si="49"/>
        <v>WDC</v>
      </c>
      <c r="L480" s="477">
        <f t="shared" si="50"/>
        <v>12688.718592779998</v>
      </c>
      <c r="M480" s="478">
        <f t="shared" si="51"/>
        <v>1.5128593040847203E-4</v>
      </c>
      <c r="N480" s="478">
        <f t="shared" si="52"/>
        <v>-0.11955</v>
      </c>
      <c r="O480" s="479">
        <f t="shared" si="53"/>
        <v>-0.11940775718608169</v>
      </c>
      <c r="P480" s="480">
        <f t="shared" si="54"/>
        <v>3.4437464043680579E-4</v>
      </c>
      <c r="Q480" s="481">
        <f t="shared" si="55"/>
        <v>-4.1121003446322297E-5</v>
      </c>
    </row>
    <row r="481" spans="1:17" x14ac:dyDescent="0.35">
      <c r="A481" s="376" t="s">
        <v>2992</v>
      </c>
      <c r="B481" s="376" t="s">
        <v>2993</v>
      </c>
      <c r="C481" s="376" t="s">
        <v>1502</v>
      </c>
      <c r="D481" s="376">
        <v>28830716133.400002</v>
      </c>
      <c r="E481" s="376">
        <v>3.4102844638949668</v>
      </c>
      <c r="F481" s="376">
        <v>6.2549999999999999</v>
      </c>
      <c r="G481" s="376">
        <v>315.43450000000001</v>
      </c>
      <c r="H481" s="376">
        <v>91.4</v>
      </c>
      <c r="I481" s="474"/>
      <c r="J481" s="475" t="str">
        <f t="shared" si="49"/>
        <v>WEC Energy Group Inc</v>
      </c>
      <c r="K481" s="476" t="str">
        <f t="shared" si="49"/>
        <v>WEC</v>
      </c>
      <c r="L481" s="477">
        <f t="shared" si="50"/>
        <v>28830.716133400001</v>
      </c>
      <c r="M481" s="478">
        <f t="shared" si="51"/>
        <v>3.4102844638949664E-2</v>
      </c>
      <c r="N481" s="478">
        <f t="shared" si="52"/>
        <v>6.2549999999999994E-2</v>
      </c>
      <c r="O481" s="479">
        <f t="shared" si="53"/>
        <v>9.7719411105032808E-2</v>
      </c>
      <c r="P481" s="480">
        <f t="shared" si="54"/>
        <v>7.8247203839989718E-4</v>
      </c>
      <c r="Q481" s="481">
        <f t="shared" si="55"/>
        <v>7.6462706798592568E-5</v>
      </c>
    </row>
    <row r="482" spans="1:17" x14ac:dyDescent="0.35">
      <c r="A482" s="376" t="s">
        <v>2994</v>
      </c>
      <c r="B482" s="376" t="s">
        <v>2995</v>
      </c>
      <c r="C482" s="376" t="s">
        <v>2996</v>
      </c>
      <c r="D482" s="376">
        <v>39752552256.779999</v>
      </c>
      <c r="E482" s="376">
        <v>3.0620155038759687</v>
      </c>
      <c r="F482" s="376">
        <v>10.64</v>
      </c>
      <c r="G482" s="376">
        <v>497.03119999999996</v>
      </c>
      <c r="H482" s="376">
        <v>79.98</v>
      </c>
      <c r="I482" s="474"/>
      <c r="J482" s="475" t="str">
        <f t="shared" si="49"/>
        <v>Welltower Inc</v>
      </c>
      <c r="K482" s="476" t="str">
        <f t="shared" si="49"/>
        <v>WELL</v>
      </c>
      <c r="L482" s="477">
        <f t="shared" si="50"/>
        <v>39752.55225678</v>
      </c>
      <c r="M482" s="478">
        <f t="shared" si="51"/>
        <v>3.0620155038759686E-2</v>
      </c>
      <c r="N482" s="478">
        <f t="shared" si="52"/>
        <v>0.10640000000000001</v>
      </c>
      <c r="O482" s="479">
        <f t="shared" si="53"/>
        <v>0.13864914728682171</v>
      </c>
      <c r="P482" s="480">
        <f t="shared" si="54"/>
        <v>1.0788930962393282E-3</v>
      </c>
      <c r="Q482" s="481">
        <f t="shared" si="55"/>
        <v>1.4958760780722172E-4</v>
      </c>
    </row>
    <row r="483" spans="1:17" x14ac:dyDescent="0.35">
      <c r="A483" s="376" t="s">
        <v>2997</v>
      </c>
      <c r="B483" s="376" t="s">
        <v>2998</v>
      </c>
      <c r="C483" s="376" t="s">
        <v>2999</v>
      </c>
      <c r="D483" s="376">
        <v>159765012000.00003</v>
      </c>
      <c r="E483" s="376">
        <v>3.0004591368227729</v>
      </c>
      <c r="F483" s="376">
        <v>13.41</v>
      </c>
      <c r="G483" s="376">
        <v>3667.7</v>
      </c>
      <c r="H483" s="376">
        <v>43.56</v>
      </c>
      <c r="I483" s="474"/>
      <c r="J483" s="475" t="str">
        <f t="shared" si="49"/>
        <v>Wells Fargo &amp; Co</v>
      </c>
      <c r="K483" s="476" t="str">
        <f t="shared" si="49"/>
        <v>WFC</v>
      </c>
      <c r="L483" s="477">
        <f t="shared" si="50"/>
        <v>159765.01200000002</v>
      </c>
      <c r="M483" s="478">
        <f t="shared" si="51"/>
        <v>3.000459136822773E-2</v>
      </c>
      <c r="N483" s="478">
        <f t="shared" si="52"/>
        <v>0.1341</v>
      </c>
      <c r="O483" s="479">
        <f t="shared" si="53"/>
        <v>0.16611639921946741</v>
      </c>
      <c r="P483" s="480">
        <f t="shared" si="54"/>
        <v>4.3360579052630511E-3</v>
      </c>
      <c r="Q483" s="481">
        <f t="shared" si="55"/>
        <v>7.2029032602940459E-4</v>
      </c>
    </row>
    <row r="484" spans="1:17" x14ac:dyDescent="0.35">
      <c r="A484" s="376" t="s">
        <v>3000</v>
      </c>
      <c r="B484" s="376" t="s">
        <v>3001</v>
      </c>
      <c r="C484" s="376" t="s">
        <v>3002</v>
      </c>
      <c r="D484" s="376">
        <v>8421223285.0199995</v>
      </c>
      <c r="E484" s="376">
        <v>4.5516613563950843</v>
      </c>
      <c r="F484" s="376">
        <v>7.83</v>
      </c>
      <c r="G484" s="376">
        <v>54.757939999999998</v>
      </c>
      <c r="H484" s="376">
        <v>153.79</v>
      </c>
      <c r="I484" s="474"/>
      <c r="J484" s="475" t="str">
        <f t="shared" si="49"/>
        <v>Whirlpool Corp</v>
      </c>
      <c r="K484" s="476" t="str">
        <f t="shared" si="49"/>
        <v>WHR</v>
      </c>
      <c r="L484" s="477">
        <f t="shared" si="50"/>
        <v>8421.2232850199998</v>
      </c>
      <c r="M484" s="478">
        <f t="shared" si="51"/>
        <v>4.5516613563950842E-2</v>
      </c>
      <c r="N484" s="478">
        <f t="shared" si="52"/>
        <v>7.8299999999999995E-2</v>
      </c>
      <c r="O484" s="479">
        <f t="shared" si="53"/>
        <v>0.1255985889849795</v>
      </c>
      <c r="P484" s="480">
        <f t="shared" si="54"/>
        <v>2.2855387008637563E-4</v>
      </c>
      <c r="Q484" s="481">
        <f t="shared" si="55"/>
        <v>2.8706043589905095E-5</v>
      </c>
    </row>
    <row r="485" spans="1:17" x14ac:dyDescent="0.35">
      <c r="A485" s="376" t="s">
        <v>3003</v>
      </c>
      <c r="B485" s="376" t="s">
        <v>3004</v>
      </c>
      <c r="C485" s="376" t="s">
        <v>3005</v>
      </c>
      <c r="D485" s="376">
        <v>68564679906.239998</v>
      </c>
      <c r="E485" s="376">
        <v>1.665282392026578</v>
      </c>
      <c r="F485" s="376">
        <v>10.200000000000001</v>
      </c>
      <c r="G485" s="376">
        <v>406.7672</v>
      </c>
      <c r="H485" s="376">
        <v>168.56</v>
      </c>
      <c r="I485" s="474"/>
      <c r="J485" s="475" t="str">
        <f t="shared" si="49"/>
        <v>Waste Management Inc</v>
      </c>
      <c r="K485" s="476" t="str">
        <f t="shared" si="49"/>
        <v>WM</v>
      </c>
      <c r="L485" s="477">
        <f t="shared" si="50"/>
        <v>68564.679906239995</v>
      </c>
      <c r="M485" s="478">
        <f t="shared" si="51"/>
        <v>1.6652823920265781E-2</v>
      </c>
      <c r="N485" s="478">
        <f t="shared" si="52"/>
        <v>0.10200000000000001</v>
      </c>
      <c r="O485" s="479">
        <f t="shared" si="53"/>
        <v>0.11950211794019934</v>
      </c>
      <c r="P485" s="480">
        <f t="shared" si="54"/>
        <v>1.8608606390570831E-3</v>
      </c>
      <c r="Q485" s="481">
        <f t="shared" si="55"/>
        <v>2.2237678755887425E-4</v>
      </c>
    </row>
    <row r="486" spans="1:17" x14ac:dyDescent="0.35">
      <c r="A486" s="376" t="s">
        <v>3006</v>
      </c>
      <c r="B486" s="376" t="s">
        <v>3007</v>
      </c>
      <c r="C486" s="376" t="s">
        <v>3008</v>
      </c>
      <c r="D486" s="376">
        <v>40663085865.32</v>
      </c>
      <c r="E486" s="376">
        <v>5.3774715398442181</v>
      </c>
      <c r="F486" s="376">
        <v>3.5</v>
      </c>
      <c r="G486" s="376">
        <v>1218.1869999999999</v>
      </c>
      <c r="H486" s="376">
        <v>33.380000000000003</v>
      </c>
      <c r="I486" s="474"/>
      <c r="J486" s="475" t="str">
        <f t="shared" si="49"/>
        <v>Williams Cos Inc/The</v>
      </c>
      <c r="K486" s="476" t="str">
        <f t="shared" si="49"/>
        <v>WMB</v>
      </c>
      <c r="L486" s="477">
        <f t="shared" si="50"/>
        <v>40663.085865319998</v>
      </c>
      <c r="M486" s="478">
        <f t="shared" si="51"/>
        <v>5.3774715398442183E-2</v>
      </c>
      <c r="N486" s="478">
        <f t="shared" si="52"/>
        <v>3.5000000000000003E-2</v>
      </c>
      <c r="O486" s="479">
        <f t="shared" si="53"/>
        <v>8.9715772917914938E-2</v>
      </c>
      <c r="P486" s="480">
        <f t="shared" si="54"/>
        <v>1.1036051805805329E-3</v>
      </c>
      <c r="Q486" s="481">
        <f t="shared" si="55"/>
        <v>9.9010791771997591E-5</v>
      </c>
    </row>
    <row r="487" spans="1:17" x14ac:dyDescent="0.35">
      <c r="A487" s="376" t="s">
        <v>3009</v>
      </c>
      <c r="B487" s="376" t="s">
        <v>3010</v>
      </c>
      <c r="C487" s="376" t="s">
        <v>3011</v>
      </c>
      <c r="D487" s="376">
        <v>416473878421.91992</v>
      </c>
      <c r="E487" s="376">
        <v>1.4767877925772666</v>
      </c>
      <c r="F487" s="376">
        <v>8</v>
      </c>
      <c r="G487" s="376">
        <v>2692.835</v>
      </c>
      <c r="H487" s="376">
        <v>154.66</v>
      </c>
      <c r="I487" s="474"/>
      <c r="J487" s="475" t="str">
        <f t="shared" si="49"/>
        <v>Walmart Inc</v>
      </c>
      <c r="K487" s="476" t="str">
        <f t="shared" si="49"/>
        <v>WMT</v>
      </c>
      <c r="L487" s="477">
        <f t="shared" si="50"/>
        <v>416473.87842191994</v>
      </c>
      <c r="M487" s="478">
        <f t="shared" si="51"/>
        <v>1.4767877925772666E-2</v>
      </c>
      <c r="N487" s="478">
        <f t="shared" si="52"/>
        <v>0.08</v>
      </c>
      <c r="O487" s="479">
        <f t="shared" si="53"/>
        <v>9.5358593042803572E-2</v>
      </c>
      <c r="P487" s="480">
        <f t="shared" si="54"/>
        <v>1.130319354820271E-2</v>
      </c>
      <c r="Q487" s="481">
        <f t="shared" si="55"/>
        <v>1.0778566336471051E-3</v>
      </c>
    </row>
    <row r="488" spans="1:17" x14ac:dyDescent="0.35">
      <c r="A488" s="376" t="s">
        <v>3012</v>
      </c>
      <c r="B488" s="376" t="s">
        <v>3013</v>
      </c>
      <c r="C488" s="376" t="s">
        <v>3014</v>
      </c>
      <c r="D488" s="376">
        <v>15367452245.98</v>
      </c>
      <c r="E488" s="376">
        <v>2.2161886984557948</v>
      </c>
      <c r="F488" s="376">
        <v>9</v>
      </c>
      <c r="G488" s="376">
        <v>260.7747</v>
      </c>
      <c r="H488" s="376">
        <v>58.93</v>
      </c>
      <c r="I488" s="474"/>
      <c r="J488" s="475" t="str">
        <f t="shared" si="49"/>
        <v>W R Berkley Corp</v>
      </c>
      <c r="K488" s="476" t="str">
        <f t="shared" si="49"/>
        <v>WRB</v>
      </c>
      <c r="L488" s="477">
        <f t="shared" si="50"/>
        <v>15367.452245979999</v>
      </c>
      <c r="M488" s="478">
        <f t="shared" si="51"/>
        <v>2.2161886984557948E-2</v>
      </c>
      <c r="N488" s="478">
        <f t="shared" si="52"/>
        <v>0.09</v>
      </c>
      <c r="O488" s="479">
        <f t="shared" si="53"/>
        <v>0.11315917189886304</v>
      </c>
      <c r="P488" s="480">
        <f t="shared" si="54"/>
        <v>4.1707606666054015E-4</v>
      </c>
      <c r="Q488" s="481">
        <f t="shared" si="55"/>
        <v>4.7195982322141725E-5</v>
      </c>
    </row>
    <row r="489" spans="1:17" x14ac:dyDescent="0.35">
      <c r="A489" s="376" t="s">
        <v>3015</v>
      </c>
      <c r="B489" s="376" t="s">
        <v>3016</v>
      </c>
      <c r="C489" s="376" t="s">
        <v>3017</v>
      </c>
      <c r="D489" s="376">
        <v>7614751946.0099993</v>
      </c>
      <c r="E489" s="376">
        <v>3.6898755465859403</v>
      </c>
      <c r="F489" s="376">
        <v>-24.09</v>
      </c>
      <c r="G489" s="376">
        <v>256.1302</v>
      </c>
      <c r="H489" s="376">
        <v>29.73</v>
      </c>
      <c r="I489" s="474"/>
      <c r="J489" s="475" t="str">
        <f t="shared" si="49"/>
        <v>Westrock Co</v>
      </c>
      <c r="K489" s="476" t="str">
        <f t="shared" si="49"/>
        <v>WRK</v>
      </c>
      <c r="L489" s="477">
        <f t="shared" si="50"/>
        <v>7614.7519460099993</v>
      </c>
      <c r="M489" s="478">
        <f t="shared" si="51"/>
        <v>3.6898755465859405E-2</v>
      </c>
      <c r="N489" s="478">
        <f t="shared" si="52"/>
        <v>-0.2409</v>
      </c>
      <c r="O489" s="479">
        <f t="shared" si="53"/>
        <v>-0.20844569963000337</v>
      </c>
      <c r="P489" s="480">
        <f t="shared" si="54"/>
        <v>2.0666605884969266E-4</v>
      </c>
      <c r="Q489" s="481">
        <f t="shared" si="55"/>
        <v>-4.3078651226699638E-5</v>
      </c>
    </row>
    <row r="490" spans="1:17" x14ac:dyDescent="0.35">
      <c r="A490" s="376" t="s">
        <v>3018</v>
      </c>
      <c r="B490" s="376" t="s">
        <v>3019</v>
      </c>
      <c r="C490" s="376" t="s">
        <v>3020</v>
      </c>
      <c r="D490" s="376">
        <v>28593046375.919994</v>
      </c>
      <c r="E490" s="376">
        <v>0.19629735414016045</v>
      </c>
      <c r="F490" s="376">
        <v>16.7</v>
      </c>
      <c r="G490" s="376">
        <v>74.24257999999999</v>
      </c>
      <c r="H490" s="376">
        <v>385.13</v>
      </c>
      <c r="I490" s="474"/>
      <c r="J490" s="475" t="str">
        <f t="shared" si="49"/>
        <v>West Pharmaceutical Services Inc</v>
      </c>
      <c r="K490" s="476" t="str">
        <f t="shared" si="49"/>
        <v>WST</v>
      </c>
      <c r="L490" s="477">
        <f t="shared" si="50"/>
        <v>28593.046375919996</v>
      </c>
      <c r="M490" s="478">
        <f t="shared" si="51"/>
        <v>1.9629735414016043E-3</v>
      </c>
      <c r="N490" s="478">
        <f t="shared" si="52"/>
        <v>0.16699999999999998</v>
      </c>
      <c r="O490" s="479">
        <f t="shared" si="53"/>
        <v>0.16912688183210861</v>
      </c>
      <c r="P490" s="480">
        <f t="shared" si="54"/>
        <v>7.7602162840172356E-4</v>
      </c>
      <c r="Q490" s="481">
        <f t="shared" si="55"/>
        <v>1.3124611824585881E-4</v>
      </c>
    </row>
    <row r="491" spans="1:17" x14ac:dyDescent="0.35">
      <c r="A491" s="376" t="s">
        <v>3021</v>
      </c>
      <c r="B491" s="376" t="s">
        <v>3022</v>
      </c>
      <c r="C491" s="376" t="s">
        <v>3023</v>
      </c>
      <c r="D491" s="376">
        <v>24461169412.59</v>
      </c>
      <c r="E491" s="376">
        <v>1.4717013964414669</v>
      </c>
      <c r="F491" s="376">
        <v>12.76</v>
      </c>
      <c r="G491" s="376">
        <v>106.4131</v>
      </c>
      <c r="H491" s="376">
        <v>229.87</v>
      </c>
      <c r="I491" s="474"/>
      <c r="J491" s="475" t="str">
        <f t="shared" si="49"/>
        <v>Willis Towers Watson PLC</v>
      </c>
      <c r="K491" s="476" t="str">
        <f t="shared" si="49"/>
        <v>WTW</v>
      </c>
      <c r="L491" s="477">
        <f t="shared" si="50"/>
        <v>24461.169412589999</v>
      </c>
      <c r="M491" s="478">
        <f t="shared" si="51"/>
        <v>1.4717013964414669E-2</v>
      </c>
      <c r="N491" s="478">
        <f t="shared" si="52"/>
        <v>0.12759999999999999</v>
      </c>
      <c r="O491" s="479">
        <f t="shared" si="53"/>
        <v>0.14325595945534431</v>
      </c>
      <c r="P491" s="480">
        <f t="shared" si="54"/>
        <v>6.638815700363706E-4</v>
      </c>
      <c r="Q491" s="481">
        <f t="shared" si="55"/>
        <v>9.5104991280280628E-5</v>
      </c>
    </row>
    <row r="492" spans="1:17" x14ac:dyDescent="0.35">
      <c r="A492" s="376" t="s">
        <v>3024</v>
      </c>
      <c r="B492" s="376" t="s">
        <v>3025</v>
      </c>
      <c r="C492" s="376" t="s">
        <v>3026</v>
      </c>
      <c r="D492" s="376">
        <v>24956647680</v>
      </c>
      <c r="E492" s="376">
        <v>4.853286384976526</v>
      </c>
      <c r="F492" s="376" t="s">
        <v>1612</v>
      </c>
      <c r="G492" s="376">
        <v>732.29599999999994</v>
      </c>
      <c r="H492" s="376">
        <v>34.08</v>
      </c>
      <c r="I492" s="474"/>
      <c r="J492" s="475" t="str">
        <f t="shared" si="49"/>
        <v>Weyerhaeuser Co</v>
      </c>
      <c r="K492" s="476" t="str">
        <f t="shared" si="49"/>
        <v>WY</v>
      </c>
      <c r="L492" s="477">
        <f t="shared" si="50"/>
        <v>24956.647679999998</v>
      </c>
      <c r="M492" s="478">
        <f t="shared" si="51"/>
        <v>4.8532863849765261E-2</v>
      </c>
      <c r="N492" s="478" t="str">
        <f t="shared" si="52"/>
        <v>N/A</v>
      </c>
      <c r="O492" s="479" t="str">
        <f t="shared" si="53"/>
        <v>N/A</v>
      </c>
      <c r="P492" s="480" t="str">
        <f t="shared" si="54"/>
        <v>N/A</v>
      </c>
      <c r="Q492" s="481" t="str">
        <f t="shared" si="55"/>
        <v>N/A</v>
      </c>
    </row>
    <row r="493" spans="1:17" x14ac:dyDescent="0.35">
      <c r="A493" s="376" t="s">
        <v>3027</v>
      </c>
      <c r="B493" s="376" t="s">
        <v>3028</v>
      </c>
      <c r="C493" s="376" t="s">
        <v>3029</v>
      </c>
      <c r="D493" s="376">
        <v>12462004305.66</v>
      </c>
      <c r="E493" s="376">
        <v>0.61181627248653092</v>
      </c>
      <c r="F493" s="376" t="s">
        <v>1612</v>
      </c>
      <c r="G493" s="376">
        <v>113.7979</v>
      </c>
      <c r="H493" s="376">
        <v>109.51</v>
      </c>
      <c r="I493" s="474"/>
      <c r="J493" s="475" t="str">
        <f t="shared" si="49"/>
        <v>Wynn Resorts Ltd</v>
      </c>
      <c r="K493" s="476" t="str">
        <f t="shared" si="49"/>
        <v>WYNN</v>
      </c>
      <c r="L493" s="477">
        <f t="shared" si="50"/>
        <v>12462.004305660001</v>
      </c>
      <c r="M493" s="478">
        <f t="shared" si="51"/>
        <v>6.1181627248653092E-3</v>
      </c>
      <c r="N493" s="478" t="str">
        <f t="shared" si="52"/>
        <v>N/A</v>
      </c>
      <c r="O493" s="479" t="str">
        <f t="shared" si="53"/>
        <v>N/A</v>
      </c>
      <c r="P493" s="480" t="str">
        <f t="shared" si="54"/>
        <v>N/A</v>
      </c>
      <c r="Q493" s="481" t="str">
        <f t="shared" si="55"/>
        <v>N/A</v>
      </c>
    </row>
    <row r="494" spans="1:17" x14ac:dyDescent="0.35">
      <c r="A494" s="376" t="s">
        <v>3030</v>
      </c>
      <c r="B494" s="376" t="s">
        <v>3031</v>
      </c>
      <c r="C494" s="376" t="s">
        <v>1503</v>
      </c>
      <c r="D494" s="376">
        <v>35371401393.369995</v>
      </c>
      <c r="E494" s="376">
        <v>3.213007624085888</v>
      </c>
      <c r="F494" s="376">
        <v>6.3</v>
      </c>
      <c r="G494" s="376">
        <v>550.35629999999992</v>
      </c>
      <c r="H494" s="376">
        <v>64.27</v>
      </c>
      <c r="I494" s="474"/>
      <c r="J494" s="475" t="str">
        <f t="shared" si="49"/>
        <v>Xcel Energy Inc</v>
      </c>
      <c r="K494" s="476" t="str">
        <f t="shared" si="49"/>
        <v>XEL</v>
      </c>
      <c r="L494" s="477">
        <f t="shared" si="50"/>
        <v>35371.401393369997</v>
      </c>
      <c r="M494" s="478">
        <f t="shared" si="51"/>
        <v>3.2130076240858882E-2</v>
      </c>
      <c r="N494" s="478">
        <f t="shared" si="52"/>
        <v>6.3E-2</v>
      </c>
      <c r="O494" s="479">
        <f t="shared" si="53"/>
        <v>9.6142173642445941E-2</v>
      </c>
      <c r="P494" s="480">
        <f t="shared" si="54"/>
        <v>9.5998768886866451E-4</v>
      </c>
      <c r="Q494" s="481">
        <f t="shared" si="55"/>
        <v>9.2295303077821517E-5</v>
      </c>
    </row>
    <row r="495" spans="1:17" x14ac:dyDescent="0.35">
      <c r="A495" s="376" t="s">
        <v>3032</v>
      </c>
      <c r="B495" s="376" t="s">
        <v>3033</v>
      </c>
      <c r="C495" s="376" t="s">
        <v>3034</v>
      </c>
      <c r="D495" s="376">
        <v>408098900449.23999</v>
      </c>
      <c r="E495" s="376">
        <v>3.6407766990291264</v>
      </c>
      <c r="F495" s="376">
        <v>12.595000000000001</v>
      </c>
      <c r="G495" s="376">
        <v>4042.9849999999997</v>
      </c>
      <c r="H495" s="376">
        <v>100.94</v>
      </c>
      <c r="I495" s="474"/>
      <c r="J495" s="475" t="str">
        <f t="shared" si="49"/>
        <v>Exxon Mobil Corp</v>
      </c>
      <c r="K495" s="476" t="str">
        <f t="shared" si="49"/>
        <v>XOM</v>
      </c>
      <c r="L495" s="477">
        <f t="shared" si="50"/>
        <v>408098.90044924</v>
      </c>
      <c r="M495" s="478">
        <f t="shared" si="51"/>
        <v>3.6407766990291267E-2</v>
      </c>
      <c r="N495" s="478">
        <f t="shared" si="52"/>
        <v>0.12595000000000001</v>
      </c>
      <c r="O495" s="479">
        <f t="shared" si="53"/>
        <v>0.16465054611650487</v>
      </c>
      <c r="P495" s="480">
        <f t="shared" si="54"/>
        <v>1.1075894786163104E-2</v>
      </c>
      <c r="Q495" s="481">
        <f t="shared" si="55"/>
        <v>1.823652125270704E-3</v>
      </c>
    </row>
    <row r="496" spans="1:17" x14ac:dyDescent="0.35">
      <c r="A496" s="376" t="s">
        <v>3035</v>
      </c>
      <c r="B496" s="376" t="s">
        <v>3036</v>
      </c>
      <c r="C496" s="376" t="s">
        <v>3037</v>
      </c>
      <c r="D496" s="376">
        <v>8692467248.0100002</v>
      </c>
      <c r="E496" s="376">
        <v>1.2955267660718652</v>
      </c>
      <c r="F496" s="376">
        <v>9.33</v>
      </c>
      <c r="G496" s="376">
        <v>212.4778</v>
      </c>
      <c r="H496" s="376">
        <v>40.909999999999997</v>
      </c>
      <c r="I496" s="474"/>
      <c r="J496" s="475" t="str">
        <f t="shared" si="49"/>
        <v>DENTSPLY SIRONA Inc</v>
      </c>
      <c r="K496" s="476" t="str">
        <f t="shared" si="49"/>
        <v>XRAY</v>
      </c>
      <c r="L496" s="477">
        <f t="shared" si="50"/>
        <v>8692.4672480099998</v>
      </c>
      <c r="M496" s="478">
        <f t="shared" si="51"/>
        <v>1.2955267660718653E-2</v>
      </c>
      <c r="N496" s="478">
        <f t="shared" si="52"/>
        <v>9.3299999999999994E-2</v>
      </c>
      <c r="O496" s="479">
        <f t="shared" si="53"/>
        <v>0.10685963089709118</v>
      </c>
      <c r="P496" s="480">
        <f t="shared" si="54"/>
        <v>2.3591549147803346E-4</v>
      </c>
      <c r="Q496" s="481">
        <f t="shared" si="55"/>
        <v>2.5209842342248516E-5</v>
      </c>
    </row>
    <row r="497" spans="1:17" x14ac:dyDescent="0.35">
      <c r="A497" s="376" t="s">
        <v>3038</v>
      </c>
      <c r="B497" s="376" t="s">
        <v>3039</v>
      </c>
      <c r="C497" s="376" t="s">
        <v>3040</v>
      </c>
      <c r="D497" s="376">
        <v>26197295300</v>
      </c>
      <c r="E497" s="376">
        <v>1.1676564641388762</v>
      </c>
      <c r="F497" s="376" t="s">
        <v>1612</v>
      </c>
      <c r="G497" s="376">
        <v>239.35399999999998</v>
      </c>
      <c r="H497" s="376">
        <v>109.45</v>
      </c>
      <c r="I497" s="474"/>
      <c r="J497" s="475" t="str">
        <f t="shared" si="49"/>
        <v>Xylem Inc/NY</v>
      </c>
      <c r="K497" s="476" t="str">
        <f t="shared" si="49"/>
        <v>XYL</v>
      </c>
      <c r="L497" s="477">
        <f t="shared" si="50"/>
        <v>26197.295300000002</v>
      </c>
      <c r="M497" s="478">
        <f t="shared" si="51"/>
        <v>1.1676564641388762E-2</v>
      </c>
      <c r="N497" s="478" t="str">
        <f t="shared" si="52"/>
        <v>N/A</v>
      </c>
      <c r="O497" s="479" t="str">
        <f t="shared" si="53"/>
        <v>N/A</v>
      </c>
      <c r="P497" s="480" t="str">
        <f t="shared" si="54"/>
        <v>N/A</v>
      </c>
      <c r="Q497" s="481" t="str">
        <f t="shared" si="55"/>
        <v>N/A</v>
      </c>
    </row>
    <row r="498" spans="1:17" x14ac:dyDescent="0.35">
      <c r="A498" s="376" t="s">
        <v>3041</v>
      </c>
      <c r="B498" s="376" t="s">
        <v>3042</v>
      </c>
      <c r="C498" s="376" t="s">
        <v>3043</v>
      </c>
      <c r="D498" s="376">
        <v>37968591415.479996</v>
      </c>
      <c r="E498" s="376">
        <v>1.7645323104160517</v>
      </c>
      <c r="F498" s="376">
        <v>11.713000000000001</v>
      </c>
      <c r="G498" s="376">
        <v>280.08699999999999</v>
      </c>
      <c r="H498" s="376">
        <v>135.56</v>
      </c>
      <c r="I498" s="474"/>
      <c r="J498" s="475" t="str">
        <f t="shared" si="49"/>
        <v>Yum! Brands Inc</v>
      </c>
      <c r="K498" s="476" t="str">
        <f t="shared" si="49"/>
        <v>YUM</v>
      </c>
      <c r="L498" s="477">
        <f t="shared" si="50"/>
        <v>37968.591415479998</v>
      </c>
      <c r="M498" s="478">
        <f t="shared" si="51"/>
        <v>1.7645323104160518E-2</v>
      </c>
      <c r="N498" s="478">
        <f t="shared" si="52"/>
        <v>0.11713000000000001</v>
      </c>
      <c r="O498" s="479">
        <f t="shared" si="53"/>
        <v>0.13580872145175568</v>
      </c>
      <c r="P498" s="480">
        <f t="shared" si="54"/>
        <v>1.0304760028359329E-3</v>
      </c>
      <c r="Q498" s="481">
        <f t="shared" si="55"/>
        <v>1.3994762843186381E-4</v>
      </c>
    </row>
    <row r="499" spans="1:17" x14ac:dyDescent="0.35">
      <c r="A499" s="376" t="s">
        <v>3044</v>
      </c>
      <c r="B499" s="376" t="s">
        <v>3045</v>
      </c>
      <c r="C499" s="376" t="s">
        <v>3046</v>
      </c>
      <c r="D499" s="376">
        <v>29694009105.449997</v>
      </c>
      <c r="E499" s="376">
        <v>0.6820257076631312</v>
      </c>
      <c r="F499" s="376">
        <v>9.2000000000000011</v>
      </c>
      <c r="G499" s="376">
        <v>208.5693</v>
      </c>
      <c r="H499" s="376">
        <v>142.37</v>
      </c>
      <c r="I499" s="474"/>
      <c r="J499" s="475" t="str">
        <f t="shared" si="49"/>
        <v>Zimmer Biomet Holdings Inc</v>
      </c>
      <c r="K499" s="476" t="str">
        <f t="shared" si="49"/>
        <v>ZBH</v>
      </c>
      <c r="L499" s="477">
        <f t="shared" si="50"/>
        <v>29694.009105449997</v>
      </c>
      <c r="M499" s="478">
        <f t="shared" si="51"/>
        <v>6.8202570766313121E-3</v>
      </c>
      <c r="N499" s="478">
        <f t="shared" si="52"/>
        <v>9.2000000000000012E-2</v>
      </c>
      <c r="O499" s="479">
        <f t="shared" si="53"/>
        <v>9.913398890215637E-2</v>
      </c>
      <c r="P499" s="480">
        <f t="shared" si="54"/>
        <v>8.0590200137586735E-4</v>
      </c>
      <c r="Q499" s="481">
        <f t="shared" si="55"/>
        <v>7.989228006062084E-5</v>
      </c>
    </row>
    <row r="500" spans="1:17" x14ac:dyDescent="0.35">
      <c r="A500" s="376" t="s">
        <v>3047</v>
      </c>
      <c r="B500" s="376" t="s">
        <v>3048</v>
      </c>
      <c r="C500" s="376" t="s">
        <v>3049</v>
      </c>
      <c r="D500" s="376">
        <v>15906374936.639999</v>
      </c>
      <c r="E500" s="376" t="s">
        <v>1612</v>
      </c>
      <c r="F500" s="376" t="s">
        <v>1612</v>
      </c>
      <c r="G500" s="376">
        <v>51.430340000000001</v>
      </c>
      <c r="H500" s="376">
        <v>309.27999999999997</v>
      </c>
      <c r="I500" s="474"/>
      <c r="J500" s="475" t="str">
        <f t="shared" si="49"/>
        <v>Zebra Technologies Corp</v>
      </c>
      <c r="K500" s="476" t="str">
        <f t="shared" si="49"/>
        <v>ZBRA</v>
      </c>
      <c r="L500" s="477">
        <f t="shared" si="50"/>
        <v>15906.374936639999</v>
      </c>
      <c r="M500" s="478" t="str">
        <f t="shared" si="51"/>
        <v>0.00%</v>
      </c>
      <c r="N500" s="478" t="str">
        <f t="shared" si="52"/>
        <v>N/A</v>
      </c>
      <c r="O500" s="479" t="str">
        <f t="shared" si="53"/>
        <v>N/A</v>
      </c>
      <c r="P500" s="480" t="str">
        <f t="shared" si="54"/>
        <v>N/A</v>
      </c>
      <c r="Q500" s="481" t="str">
        <f t="shared" si="55"/>
        <v>N/A</v>
      </c>
    </row>
    <row r="501" spans="1:17" x14ac:dyDescent="0.35">
      <c r="A501" s="376" t="s">
        <v>3050</v>
      </c>
      <c r="B501" s="376" t="s">
        <v>3051</v>
      </c>
      <c r="C501" s="376" t="s">
        <v>3052</v>
      </c>
      <c r="D501" s="376">
        <v>4546691520.6999989</v>
      </c>
      <c r="E501" s="376">
        <v>5.4201954397394143</v>
      </c>
      <c r="F501" s="376">
        <v>-3</v>
      </c>
      <c r="G501" s="376">
        <v>148.10069999999999</v>
      </c>
      <c r="H501" s="376">
        <v>30.7</v>
      </c>
      <c r="I501" s="474"/>
      <c r="J501" s="475" t="str">
        <f t="shared" si="49"/>
        <v>Zions Bancorp NA</v>
      </c>
      <c r="K501" s="476" t="str">
        <f t="shared" si="49"/>
        <v>ZION</v>
      </c>
      <c r="L501" s="477">
        <f t="shared" si="50"/>
        <v>4546.6915206999993</v>
      </c>
      <c r="M501" s="478">
        <f t="shared" si="51"/>
        <v>5.4201954397394142E-2</v>
      </c>
      <c r="N501" s="478">
        <f t="shared" si="52"/>
        <v>-0.03</v>
      </c>
      <c r="O501" s="479">
        <f t="shared" si="53"/>
        <v>2.3388925081433233E-2</v>
      </c>
      <c r="P501" s="480">
        <f t="shared" si="54"/>
        <v>1.2339821757171535E-4</v>
      </c>
      <c r="Q501" s="481">
        <f t="shared" si="55"/>
        <v>2.8861516659672484E-6</v>
      </c>
    </row>
    <row r="502" spans="1:17" x14ac:dyDescent="0.35">
      <c r="A502" s="376" t="s">
        <v>3053</v>
      </c>
      <c r="B502" s="376" t="s">
        <v>3054</v>
      </c>
      <c r="C502" s="376" t="s">
        <v>3055</v>
      </c>
      <c r="D502" s="376">
        <v>79571089386.599991</v>
      </c>
      <c r="E502" s="376">
        <v>0.88216505023520531</v>
      </c>
      <c r="F502" s="376">
        <v>10.91</v>
      </c>
      <c r="G502" s="376">
        <v>462.1121</v>
      </c>
      <c r="H502" s="376">
        <v>172.19</v>
      </c>
      <c r="I502" s="474"/>
      <c r="J502" s="475" t="str">
        <f t="shared" si="49"/>
        <v>Zoetis Inc</v>
      </c>
      <c r="K502" s="476" t="str">
        <f t="shared" si="49"/>
        <v>ZTS</v>
      </c>
      <c r="L502" s="477">
        <f t="shared" si="50"/>
        <v>79571.089386599997</v>
      </c>
      <c r="M502" s="478">
        <f t="shared" si="51"/>
        <v>8.8216505023520526E-3</v>
      </c>
      <c r="N502" s="478">
        <f t="shared" si="52"/>
        <v>0.1091</v>
      </c>
      <c r="O502" s="479">
        <f t="shared" si="53"/>
        <v>0.11840287153725536</v>
      </c>
      <c r="P502" s="480">
        <f t="shared" si="54"/>
        <v>2.1595770365864567E-3</v>
      </c>
      <c r="Q502" s="481">
        <f t="shared" si="55"/>
        <v>2.5570012243775284E-4</v>
      </c>
    </row>
    <row r="503" spans="1:17" x14ac:dyDescent="0.35">
      <c r="L503" s="482"/>
      <c r="M503" s="483"/>
      <c r="N503" s="483"/>
      <c r="O503" s="483"/>
      <c r="P503" s="483"/>
      <c r="Q503" s="483"/>
    </row>
    <row r="504" spans="1:17" x14ac:dyDescent="0.35">
      <c r="J504" s="484"/>
      <c r="K504" s="485" t="s">
        <v>3056</v>
      </c>
      <c r="L504" s="486">
        <f>SUMIF(O3:O502,"&lt;&gt;n/a",L3:L502)</f>
        <v>36845682.297295734</v>
      </c>
      <c r="M504" s="487"/>
      <c r="N504" s="488"/>
      <c r="O504" s="488"/>
      <c r="P504" s="489" t="s">
        <v>3057</v>
      </c>
      <c r="Q504" s="489">
        <f>SUM(Q3:Q502)</f>
        <v>0.16041046129625078</v>
      </c>
    </row>
    <row r="505" spans="1:17" x14ac:dyDescent="0.35">
      <c r="L505" s="490"/>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75B9-4A53-4836-A29A-6BC584983092}">
  <dimension ref="A1:D25"/>
  <sheetViews>
    <sheetView view="pageBreakPreview" zoomScaleNormal="100" zoomScaleSheetLayoutView="100" workbookViewId="0">
      <selection sqref="A1:C1"/>
    </sheetView>
  </sheetViews>
  <sheetFormatPr defaultColWidth="9.15234375" defaultRowHeight="14.15" x14ac:dyDescent="0.35"/>
  <cols>
    <col min="1" max="1" width="41.3046875" style="141" customWidth="1"/>
    <col min="2" max="2" width="6.69140625" style="141" customWidth="1"/>
    <col min="3" max="3" width="18.69140625" style="141" customWidth="1"/>
    <col min="4" max="16384" width="9.15234375" style="141"/>
  </cols>
  <sheetData>
    <row r="1" spans="1:4" ht="15" customHeight="1" x14ac:dyDescent="0.35">
      <c r="A1" s="867" t="str">
        <f>Summary!A1</f>
        <v>City of Ansonia</v>
      </c>
      <c r="B1" s="867"/>
      <c r="C1" s="867"/>
    </row>
    <row r="2" spans="1:4" x14ac:dyDescent="0.35">
      <c r="A2" s="868" t="s">
        <v>705</v>
      </c>
      <c r="B2" s="868"/>
      <c r="C2" s="868"/>
    </row>
    <row r="3" spans="1:4" x14ac:dyDescent="0.35">
      <c r="A3" s="142"/>
      <c r="B3" s="142"/>
      <c r="C3" s="142"/>
    </row>
    <row r="5" spans="1:4" ht="30.75" customHeight="1" x14ac:dyDescent="0.35">
      <c r="A5" s="293" t="s">
        <v>706</v>
      </c>
      <c r="B5" s="164"/>
      <c r="C5" s="164"/>
    </row>
    <row r="7" spans="1:4" x14ac:dyDescent="0.35">
      <c r="A7" s="294" t="s">
        <v>707</v>
      </c>
      <c r="C7" s="144">
        <f>'2.4-2.6 Market Comparison'!F153*1000</f>
        <v>31089290.967025366</v>
      </c>
    </row>
    <row r="8" spans="1:4" x14ac:dyDescent="0.35">
      <c r="A8" s="294" t="s">
        <v>1132</v>
      </c>
      <c r="C8" s="298">
        <f>'2.4-2.6 Market Comparison'!G153*1000</f>
        <v>47857440.216315024</v>
      </c>
    </row>
    <row r="9" spans="1:4" x14ac:dyDescent="0.35">
      <c r="A9" s="144"/>
      <c r="C9" s="292"/>
    </row>
    <row r="10" spans="1:4" ht="14.6" thickBot="1" x14ac:dyDescent="0.4">
      <c r="A10" s="294" t="s">
        <v>708</v>
      </c>
      <c r="C10" s="161">
        <f>AVERAGE(C7:C8)</f>
        <v>39473365.591670193</v>
      </c>
    </row>
    <row r="11" spans="1:4" ht="14.6" thickTop="1" x14ac:dyDescent="0.35">
      <c r="A11" s="144"/>
      <c r="C11" s="292"/>
    </row>
    <row r="12" spans="1:4" x14ac:dyDescent="0.35">
      <c r="A12" s="141" t="s">
        <v>709</v>
      </c>
      <c r="B12" s="146"/>
      <c r="C12" s="147">
        <f>D12</f>
        <v>0.5</v>
      </c>
      <c r="D12" s="141">
        <v>0.5</v>
      </c>
    </row>
    <row r="13" spans="1:4" ht="14.6" x14ac:dyDescent="0.4">
      <c r="B13"/>
    </row>
    <row r="15" spans="1:4" ht="48" customHeight="1" x14ac:dyDescent="0.35">
      <c r="A15" s="293" t="s">
        <v>710</v>
      </c>
    </row>
    <row r="16" spans="1:4" ht="14.6" x14ac:dyDescent="0.4">
      <c r="A16" s="146"/>
      <c r="B16"/>
      <c r="C16" s="146"/>
    </row>
    <row r="17" spans="1:4" ht="15" thickBot="1" x14ac:dyDescent="0.45">
      <c r="A17" s="294" t="s">
        <v>708</v>
      </c>
      <c r="B17"/>
      <c r="C17" s="161">
        <f>'2.3 MVIC to NP Applied to NP'!C15</f>
        <v>65237255.117404006</v>
      </c>
    </row>
    <row r="18" spans="1:4" ht="15" thickTop="1" x14ac:dyDescent="0.4">
      <c r="A18" s="144"/>
      <c r="B18"/>
      <c r="C18" s="146"/>
    </row>
    <row r="19" spans="1:4" ht="14.6" x14ac:dyDescent="0.4">
      <c r="A19" s="141" t="s">
        <v>709</v>
      </c>
      <c r="B19"/>
      <c r="C19" s="147">
        <f>D19</f>
        <v>0.5</v>
      </c>
      <c r="D19" s="141">
        <v>0.5</v>
      </c>
    </row>
    <row r="20" spans="1:4" ht="14.6" x14ac:dyDescent="0.4">
      <c r="B20"/>
      <c r="C20" s="295"/>
    </row>
    <row r="22" spans="1:4" ht="31.5" customHeight="1" x14ac:dyDescent="0.35">
      <c r="A22" s="293" t="s">
        <v>1042</v>
      </c>
      <c r="B22" s="164"/>
      <c r="C22" s="164"/>
    </row>
    <row r="24" spans="1:4" ht="14.6" thickBot="1" x14ac:dyDescent="0.4">
      <c r="A24" s="141" t="s">
        <v>0</v>
      </c>
      <c r="C24" s="148">
        <f>C10*D12+C17*D19</f>
        <v>52355310.3545371</v>
      </c>
    </row>
    <row r="25" spans="1:4" ht="14.6" thickTop="1" x14ac:dyDescent="0.35"/>
  </sheetData>
  <mergeCells count="2">
    <mergeCell ref="A1:C1"/>
    <mergeCell ref="A2:C2"/>
  </mergeCells>
  <printOptions horizontalCentered="1"/>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3A0B2-1A1B-424B-A851-B0F32EA2220C}">
  <dimension ref="A1:H507"/>
  <sheetViews>
    <sheetView zoomScale="70" zoomScaleNormal="70" workbookViewId="0">
      <selection sqref="A1:H1"/>
    </sheetView>
  </sheetViews>
  <sheetFormatPr defaultColWidth="8.53515625" defaultRowHeight="14.6" x14ac:dyDescent="0.4"/>
  <cols>
    <col min="1" max="1" width="35" style="348" bestFit="1" customWidth="1"/>
    <col min="2" max="2" width="9" style="348" customWidth="1"/>
    <col min="3" max="3" width="22.53515625" style="348" bestFit="1" customWidth="1"/>
    <col min="4" max="5" width="11.53515625" style="348" customWidth="1"/>
    <col min="6" max="6" width="13" style="348" customWidth="1"/>
    <col min="7" max="7" width="12.53515625" style="348" customWidth="1"/>
    <col min="8" max="8" width="11.15234375" style="348" customWidth="1"/>
    <col min="9" max="16384" width="8.53515625" style="348"/>
  </cols>
  <sheetData>
    <row r="1" spans="1:8" x14ac:dyDescent="0.4">
      <c r="A1" s="348" t="s">
        <v>3058</v>
      </c>
      <c r="C1" s="352">
        <f>'MRP WP2'!B1</f>
        <v>45121</v>
      </c>
      <c r="E1" s="348" t="s">
        <v>1523</v>
      </c>
    </row>
    <row r="3" spans="1:8" ht="29.15" x14ac:dyDescent="0.4">
      <c r="A3" s="353" t="s">
        <v>712</v>
      </c>
      <c r="B3" s="353" t="s">
        <v>1520</v>
      </c>
      <c r="C3" s="353" t="s">
        <v>3059</v>
      </c>
      <c r="D3" s="354" t="s">
        <v>3060</v>
      </c>
      <c r="E3" s="463" t="s">
        <v>3061</v>
      </c>
      <c r="F3" s="354" t="s">
        <v>1586</v>
      </c>
      <c r="G3" s="354" t="s">
        <v>3062</v>
      </c>
      <c r="H3" s="354" t="s">
        <v>3063</v>
      </c>
    </row>
    <row r="4" spans="1:8" x14ac:dyDescent="0.4">
      <c r="A4" s="376" t="s">
        <v>1590</v>
      </c>
      <c r="B4" s="376" t="s">
        <v>1271</v>
      </c>
      <c r="C4" s="355">
        <v>35283.69</v>
      </c>
      <c r="D4" s="356">
        <v>7.4999999999999997E-3</v>
      </c>
      <c r="E4" s="357">
        <v>0.13500000000000001</v>
      </c>
      <c r="F4" s="357">
        <f t="shared" ref="F4:F67" si="0">IFERROR(D4*(1+0.5*E4)+E4,"N/A")</f>
        <v>0.14300625</v>
      </c>
      <c r="G4" s="357">
        <f t="shared" ref="G4:G67" si="1">IF(F4="N/A","N/A",C4/$C$504)</f>
        <v>9.3003299367687301E-4</v>
      </c>
      <c r="H4" s="358">
        <f>IF(ISNUMBER(G4),F4*G4,"N/A")</f>
        <v>1.3300053080200332E-4</v>
      </c>
    </row>
    <row r="5" spans="1:8" x14ac:dyDescent="0.4">
      <c r="A5" s="376" t="s">
        <v>1592</v>
      </c>
      <c r="B5" s="376" t="s">
        <v>1593</v>
      </c>
      <c r="C5" s="355">
        <v>11959.63</v>
      </c>
      <c r="D5" s="356">
        <v>0</v>
      </c>
      <c r="E5" s="357" t="s">
        <v>3064</v>
      </c>
      <c r="F5" s="357" t="str">
        <f t="shared" si="0"/>
        <v>N/A</v>
      </c>
      <c r="G5" s="357" t="str">
        <f t="shared" si="1"/>
        <v>N/A</v>
      </c>
      <c r="H5" s="358" t="str">
        <f t="shared" ref="H5:H68" si="2">IF(ISNUMBER(G5),F5*G5,"N/A")</f>
        <v>N/A</v>
      </c>
    </row>
    <row r="6" spans="1:8" x14ac:dyDescent="0.4">
      <c r="A6" s="376" t="s">
        <v>1595</v>
      </c>
      <c r="B6" s="376" t="s">
        <v>1596</v>
      </c>
      <c r="C6" s="355">
        <v>4230.04</v>
      </c>
      <c r="D6" s="356">
        <v>1.41E-2</v>
      </c>
      <c r="E6" s="357">
        <v>3.5000000000000003E-2</v>
      </c>
      <c r="F6" s="357">
        <f t="shared" si="0"/>
        <v>4.9346750000000002E-2</v>
      </c>
      <c r="G6" s="357">
        <f t="shared" si="1"/>
        <v>1.1149845054678011E-4</v>
      </c>
      <c r="H6" s="358">
        <f t="shared" si="2"/>
        <v>5.5020861645193214E-6</v>
      </c>
    </row>
    <row r="7" spans="1:8" x14ac:dyDescent="0.4">
      <c r="A7" s="376" t="s">
        <v>1598</v>
      </c>
      <c r="B7" s="376" t="s">
        <v>1599</v>
      </c>
      <c r="C7" s="355">
        <v>3008359</v>
      </c>
      <c r="D7" s="356">
        <v>5.0000000000000001E-3</v>
      </c>
      <c r="E7" s="357">
        <v>0.105</v>
      </c>
      <c r="F7" s="357">
        <f t="shared" si="0"/>
        <v>0.1102625</v>
      </c>
      <c r="G7" s="357">
        <f t="shared" si="1"/>
        <v>7.9296500077649587E-2</v>
      </c>
      <c r="H7" s="358">
        <f t="shared" si="2"/>
        <v>8.7434303398118383E-3</v>
      </c>
    </row>
    <row r="8" spans="1:8" x14ac:dyDescent="0.4">
      <c r="A8" s="376" t="s">
        <v>1601</v>
      </c>
      <c r="B8" s="376" t="s">
        <v>1602</v>
      </c>
      <c r="C8" s="355">
        <v>242757.4</v>
      </c>
      <c r="D8" s="356">
        <v>4.2999999999999997E-2</v>
      </c>
      <c r="E8" s="357">
        <v>0.02</v>
      </c>
      <c r="F8" s="357">
        <f t="shared" si="0"/>
        <v>6.343E-2</v>
      </c>
      <c r="G8" s="357">
        <f t="shared" si="1"/>
        <v>6.3987749427345643E-3</v>
      </c>
      <c r="H8" s="358">
        <f t="shared" si="2"/>
        <v>4.0587429461765343E-4</v>
      </c>
    </row>
    <row r="9" spans="1:8" x14ac:dyDescent="0.4">
      <c r="A9" s="376" t="s">
        <v>1604</v>
      </c>
      <c r="B9" s="376" t="s">
        <v>1605</v>
      </c>
      <c r="C9" s="355">
        <v>38589.660000000003</v>
      </c>
      <c r="D9" s="356">
        <v>1.03E-2</v>
      </c>
      <c r="E9" s="357">
        <v>0.09</v>
      </c>
      <c r="F9" s="357">
        <f t="shared" si="0"/>
        <v>0.10076349999999999</v>
      </c>
      <c r="G9" s="357">
        <f t="shared" si="1"/>
        <v>1.0171741395180798E-3</v>
      </c>
      <c r="H9" s="358">
        <f t="shared" si="2"/>
        <v>1.0249402640733003E-4</v>
      </c>
    </row>
    <row r="10" spans="1:8" x14ac:dyDescent="0.4">
      <c r="A10" s="376" t="s">
        <v>1607</v>
      </c>
      <c r="B10" s="376" t="s">
        <v>1608</v>
      </c>
      <c r="C10" s="355">
        <v>186710.7</v>
      </c>
      <c r="D10" s="356">
        <v>1.9E-2</v>
      </c>
      <c r="E10" s="357">
        <v>4.4999999999999998E-2</v>
      </c>
      <c r="F10" s="357">
        <f t="shared" si="0"/>
        <v>6.4427499999999999E-2</v>
      </c>
      <c r="G10" s="357">
        <f t="shared" si="1"/>
        <v>4.9214555300906605E-3</v>
      </c>
      <c r="H10" s="358">
        <f t="shared" si="2"/>
        <v>3.1707707616491604E-4</v>
      </c>
    </row>
    <row r="11" spans="1:8" x14ac:dyDescent="0.4">
      <c r="A11" s="376" t="s">
        <v>1610</v>
      </c>
      <c r="B11" s="376" t="s">
        <v>1611</v>
      </c>
      <c r="C11" s="355">
        <v>27401.360000000001</v>
      </c>
      <c r="D11" s="356">
        <v>0</v>
      </c>
      <c r="E11" s="357">
        <v>0.20499999999999999</v>
      </c>
      <c r="F11" s="357">
        <f t="shared" si="0"/>
        <v>0.20499999999999999</v>
      </c>
      <c r="G11" s="357">
        <f t="shared" si="1"/>
        <v>7.2226484451081287E-4</v>
      </c>
      <c r="H11" s="358">
        <f t="shared" si="2"/>
        <v>1.4806429312471664E-4</v>
      </c>
    </row>
    <row r="12" spans="1:8" x14ac:dyDescent="0.4">
      <c r="A12" s="376" t="s">
        <v>1614</v>
      </c>
      <c r="B12" s="376" t="s">
        <v>1615</v>
      </c>
      <c r="C12" s="355">
        <v>195589.4</v>
      </c>
      <c r="D12" s="356">
        <v>1.4999999999999999E-2</v>
      </c>
      <c r="E12" s="357">
        <v>0.09</v>
      </c>
      <c r="F12" s="357">
        <f t="shared" si="0"/>
        <v>0.10567499999999999</v>
      </c>
      <c r="G12" s="357">
        <f t="shared" si="1"/>
        <v>5.1554867195994347E-3</v>
      </c>
      <c r="H12" s="358">
        <f t="shared" si="2"/>
        <v>5.4480605909367017E-4</v>
      </c>
    </row>
    <row r="13" spans="1:8" x14ac:dyDescent="0.4">
      <c r="A13" s="376" t="s">
        <v>1617</v>
      </c>
      <c r="B13" s="376" t="s">
        <v>1618</v>
      </c>
      <c r="C13" s="355">
        <v>222190.6</v>
      </c>
      <c r="D13" s="356">
        <v>0</v>
      </c>
      <c r="E13" s="357">
        <v>0.11</v>
      </c>
      <c r="F13" s="357">
        <f t="shared" si="0"/>
        <v>0.11</v>
      </c>
      <c r="G13" s="357">
        <f t="shared" si="1"/>
        <v>5.8566603687103197E-3</v>
      </c>
      <c r="H13" s="358">
        <f t="shared" si="2"/>
        <v>6.4423264055813519E-4</v>
      </c>
    </row>
    <row r="14" spans="1:8" x14ac:dyDescent="0.4">
      <c r="A14" s="376" t="s">
        <v>1620</v>
      </c>
      <c r="B14" s="376" t="s">
        <v>1621</v>
      </c>
      <c r="C14" s="355">
        <v>95269.42</v>
      </c>
      <c r="D14" s="356">
        <v>1.8100000000000002E-2</v>
      </c>
      <c r="E14" s="357">
        <v>0.115</v>
      </c>
      <c r="F14" s="357">
        <f t="shared" si="0"/>
        <v>0.13414075</v>
      </c>
      <c r="G14" s="357">
        <f t="shared" si="1"/>
        <v>2.511180205031258E-3</v>
      </c>
      <c r="H14" s="358">
        <f t="shared" si="2"/>
        <v>3.3685159608804675E-4</v>
      </c>
    </row>
    <row r="15" spans="1:8" x14ac:dyDescent="0.4">
      <c r="A15" s="376" t="s">
        <v>1623</v>
      </c>
      <c r="B15" s="376" t="s">
        <v>1624</v>
      </c>
      <c r="C15" s="355">
        <v>42193.9</v>
      </c>
      <c r="D15" s="356">
        <v>2.3300000000000001E-2</v>
      </c>
      <c r="E15" s="357">
        <v>7.4999999999999997E-2</v>
      </c>
      <c r="F15" s="357">
        <f t="shared" si="0"/>
        <v>9.9173750000000005E-2</v>
      </c>
      <c r="G15" s="357">
        <f t="shared" si="1"/>
        <v>1.1121773015209751E-3</v>
      </c>
      <c r="H15" s="358">
        <f t="shared" si="2"/>
        <v>1.1029879365671581E-4</v>
      </c>
    </row>
    <row r="16" spans="1:8" x14ac:dyDescent="0.4">
      <c r="A16" s="376" t="s">
        <v>1626</v>
      </c>
      <c r="B16" s="376" t="s">
        <v>1627</v>
      </c>
      <c r="C16" s="355">
        <v>90845.95</v>
      </c>
      <c r="D16" s="356">
        <v>2.3599999999999999E-2</v>
      </c>
      <c r="E16" s="357">
        <v>0.11</v>
      </c>
      <c r="F16" s="357">
        <f t="shared" si="0"/>
        <v>0.13489799999999999</v>
      </c>
      <c r="G16" s="357">
        <f t="shared" si="1"/>
        <v>2.3945831867902569E-3</v>
      </c>
      <c r="H16" s="358">
        <f t="shared" si="2"/>
        <v>3.2302448273163205E-4</v>
      </c>
    </row>
    <row r="17" spans="1:8" x14ac:dyDescent="0.4">
      <c r="A17" s="376" t="s">
        <v>1629</v>
      </c>
      <c r="B17" s="376" t="s">
        <v>1630</v>
      </c>
      <c r="C17" s="355">
        <v>43623.9</v>
      </c>
      <c r="D17" s="356">
        <v>0</v>
      </c>
      <c r="E17" s="357">
        <v>0.1</v>
      </c>
      <c r="F17" s="357">
        <f t="shared" si="0"/>
        <v>0.1</v>
      </c>
      <c r="G17" s="357">
        <f t="shared" si="1"/>
        <v>1.14987027470371E-3</v>
      </c>
      <c r="H17" s="358">
        <f t="shared" si="2"/>
        <v>1.14987027470371E-4</v>
      </c>
    </row>
    <row r="18" spans="1:8" x14ac:dyDescent="0.4">
      <c r="A18" s="376" t="s">
        <v>1632</v>
      </c>
      <c r="B18" s="376" t="s">
        <v>1462</v>
      </c>
      <c r="C18" s="355">
        <v>21990.13</v>
      </c>
      <c r="D18" s="356">
        <v>3.0099999999999998E-2</v>
      </c>
      <c r="E18" s="357">
        <v>6.5000000000000002E-2</v>
      </c>
      <c r="F18" s="357">
        <f t="shared" si="0"/>
        <v>9.6078250000000004E-2</v>
      </c>
      <c r="G18" s="357">
        <f t="shared" si="1"/>
        <v>5.796317345278687E-4</v>
      </c>
      <c r="H18" s="358">
        <f t="shared" si="2"/>
        <v>5.5690002697902201E-5</v>
      </c>
    </row>
    <row r="19" spans="1:8" x14ac:dyDescent="0.4">
      <c r="A19" s="376" t="s">
        <v>1634</v>
      </c>
      <c r="B19" s="376" t="s">
        <v>1463</v>
      </c>
      <c r="C19" s="355">
        <v>44157.06</v>
      </c>
      <c r="D19" s="356">
        <v>3.8699999999999998E-2</v>
      </c>
      <c r="E19" s="357">
        <v>0.06</v>
      </c>
      <c r="F19" s="357">
        <f t="shared" si="0"/>
        <v>9.9861000000000005E-2</v>
      </c>
      <c r="G19" s="357">
        <f t="shared" si="1"/>
        <v>1.1639236911946936E-3</v>
      </c>
      <c r="H19" s="358">
        <f t="shared" si="2"/>
        <v>1.162305837263933E-4</v>
      </c>
    </row>
    <row r="20" spans="1:8" x14ac:dyDescent="0.4">
      <c r="A20" s="376" t="s">
        <v>1636</v>
      </c>
      <c r="B20" s="376" t="s">
        <v>1464</v>
      </c>
      <c r="C20" s="355">
        <v>14357.26</v>
      </c>
      <c r="D20" s="356">
        <v>3.0800000000000001E-2</v>
      </c>
      <c r="E20" s="357" t="s">
        <v>3064</v>
      </c>
      <c r="F20" s="357" t="str">
        <f t="shared" si="0"/>
        <v>N/A</v>
      </c>
      <c r="G20" s="357" t="str">
        <f t="shared" si="1"/>
        <v>N/A</v>
      </c>
      <c r="H20" s="358" t="str">
        <f t="shared" si="2"/>
        <v>N/A</v>
      </c>
    </row>
    <row r="21" spans="1:8" x14ac:dyDescent="0.4">
      <c r="A21" s="376" t="s">
        <v>1638</v>
      </c>
      <c r="B21" s="376" t="s">
        <v>1639</v>
      </c>
      <c r="C21" s="355">
        <v>42241.51</v>
      </c>
      <c r="D21" s="356">
        <v>2.46E-2</v>
      </c>
      <c r="E21" s="357">
        <v>0.08</v>
      </c>
      <c r="F21" s="357">
        <f t="shared" si="0"/>
        <v>0.10558400000000001</v>
      </c>
      <c r="G21" s="357">
        <f t="shared" si="1"/>
        <v>1.1134322402994576E-3</v>
      </c>
      <c r="H21" s="358">
        <f t="shared" si="2"/>
        <v>1.1756062965977794E-4</v>
      </c>
    </row>
    <row r="22" spans="1:8" x14ac:dyDescent="0.4">
      <c r="A22" s="376" t="s">
        <v>1641</v>
      </c>
      <c r="B22" s="376" t="s">
        <v>1642</v>
      </c>
      <c r="C22" s="355">
        <v>41988.58</v>
      </c>
      <c r="D22" s="356">
        <v>2.5000000000000001E-2</v>
      </c>
      <c r="E22" s="357">
        <v>0.04</v>
      </c>
      <c r="F22" s="357">
        <f t="shared" si="0"/>
        <v>6.5500000000000003E-2</v>
      </c>
      <c r="G22" s="357">
        <f t="shared" si="1"/>
        <v>1.1067653286161645E-3</v>
      </c>
      <c r="H22" s="358">
        <f t="shared" si="2"/>
        <v>7.2493129024358768E-5</v>
      </c>
    </row>
    <row r="23" spans="1:8" x14ac:dyDescent="0.4">
      <c r="A23" s="376" t="s">
        <v>1644</v>
      </c>
      <c r="B23" s="376" t="s">
        <v>1645</v>
      </c>
      <c r="C23" s="355">
        <v>6600.31</v>
      </c>
      <c r="D23" s="356">
        <v>2.2499999999999999E-2</v>
      </c>
      <c r="E23" s="357">
        <v>0.105</v>
      </c>
      <c r="F23" s="357">
        <f t="shared" si="0"/>
        <v>0.12868125</v>
      </c>
      <c r="G23" s="357">
        <f t="shared" si="1"/>
        <v>1.7397573973967581E-4</v>
      </c>
      <c r="H23" s="358">
        <f t="shared" si="2"/>
        <v>2.2387415659376158E-5</v>
      </c>
    </row>
    <row r="24" spans="1:8" x14ac:dyDescent="0.4">
      <c r="A24" s="376" t="s">
        <v>1647</v>
      </c>
      <c r="B24" s="376" t="s">
        <v>1648</v>
      </c>
      <c r="C24" s="355">
        <v>46256.49</v>
      </c>
      <c r="D24" s="356">
        <v>1.0200000000000001E-2</v>
      </c>
      <c r="E24" s="357">
        <v>0.16500000000000001</v>
      </c>
      <c r="F24" s="357">
        <f t="shared" si="0"/>
        <v>0.17604150000000002</v>
      </c>
      <c r="G24" s="357">
        <f t="shared" si="1"/>
        <v>1.2192619839842243E-3</v>
      </c>
      <c r="H24" s="358">
        <f t="shared" si="2"/>
        <v>2.1464070855355883E-4</v>
      </c>
    </row>
    <row r="25" spans="1:8" x14ac:dyDescent="0.4">
      <c r="A25" s="376" t="s">
        <v>1650</v>
      </c>
      <c r="B25" s="376" t="s">
        <v>1651</v>
      </c>
      <c r="C25" s="355">
        <v>13780.56</v>
      </c>
      <c r="D25" s="356">
        <v>0</v>
      </c>
      <c r="E25" s="357">
        <v>0.05</v>
      </c>
      <c r="F25" s="357">
        <f t="shared" si="0"/>
        <v>0.05</v>
      </c>
      <c r="G25" s="357">
        <f t="shared" si="1"/>
        <v>3.6323795700913847E-4</v>
      </c>
      <c r="H25" s="358">
        <f t="shared" si="2"/>
        <v>1.8161897850456924E-5</v>
      </c>
    </row>
    <row r="26" spans="1:8" x14ac:dyDescent="0.4">
      <c r="A26" s="376" t="s">
        <v>1653</v>
      </c>
      <c r="B26" s="376" t="s">
        <v>1654</v>
      </c>
      <c r="C26" s="355">
        <v>26863.82</v>
      </c>
      <c r="D26" s="356">
        <v>6.9999999999999993E-3</v>
      </c>
      <c r="E26" s="357">
        <v>-4.4999999999999998E-2</v>
      </c>
      <c r="F26" s="357">
        <f t="shared" si="0"/>
        <v>-3.8157499999999997E-2</v>
      </c>
      <c r="G26" s="357">
        <f t="shared" si="1"/>
        <v>7.0809597681525526E-4</v>
      </c>
      <c r="H26" s="358">
        <f t="shared" si="2"/>
        <v>-2.7019172235328101E-5</v>
      </c>
    </row>
    <row r="27" spans="1:8" x14ac:dyDescent="0.4">
      <c r="A27" s="376" t="s">
        <v>1656</v>
      </c>
      <c r="B27" s="376" t="s">
        <v>1657</v>
      </c>
      <c r="C27" s="355">
        <v>25772.12</v>
      </c>
      <c r="D27" s="356">
        <v>0</v>
      </c>
      <c r="E27" s="357">
        <v>0.15</v>
      </c>
      <c r="F27" s="357">
        <f t="shared" si="0"/>
        <v>0.15</v>
      </c>
      <c r="G27" s="357">
        <f t="shared" si="1"/>
        <v>6.7932015945610031E-4</v>
      </c>
      <c r="H27" s="358">
        <f t="shared" si="2"/>
        <v>1.0189802391841504E-4</v>
      </c>
    </row>
    <row r="28" spans="1:8" x14ac:dyDescent="0.4">
      <c r="A28" s="376" t="s">
        <v>1659</v>
      </c>
      <c r="B28" s="376" t="s">
        <v>1660</v>
      </c>
      <c r="C28" s="355">
        <v>6826.59</v>
      </c>
      <c r="D28" s="356">
        <v>0</v>
      </c>
      <c r="E28" s="357" t="s">
        <v>3064</v>
      </c>
      <c r="F28" s="357" t="str">
        <f t="shared" si="0"/>
        <v>N/A</v>
      </c>
      <c r="G28" s="357" t="str">
        <f t="shared" si="1"/>
        <v>N/A</v>
      </c>
      <c r="H28" s="358" t="str">
        <f t="shared" si="2"/>
        <v>N/A</v>
      </c>
    </row>
    <row r="29" spans="1:8" x14ac:dyDescent="0.4">
      <c r="A29" s="376" t="s">
        <v>1662</v>
      </c>
      <c r="B29" s="376" t="s">
        <v>1663</v>
      </c>
      <c r="C29" s="355">
        <v>28940.52</v>
      </c>
      <c r="D29" s="356">
        <v>3.2400000000000005E-2</v>
      </c>
      <c r="E29" s="357">
        <v>0.105</v>
      </c>
      <c r="F29" s="357">
        <f t="shared" si="0"/>
        <v>0.139101</v>
      </c>
      <c r="G29" s="357">
        <f t="shared" si="1"/>
        <v>7.6283513584223808E-4</v>
      </c>
      <c r="H29" s="358">
        <f t="shared" si="2"/>
        <v>1.0611113023079116E-4</v>
      </c>
    </row>
    <row r="30" spans="1:8" x14ac:dyDescent="0.4">
      <c r="A30" s="376" t="s">
        <v>1665</v>
      </c>
      <c r="B30" s="376" t="s">
        <v>1666</v>
      </c>
      <c r="C30" s="355">
        <v>10251.870000000001</v>
      </c>
      <c r="D30" s="356">
        <v>1.54E-2</v>
      </c>
      <c r="E30" s="357">
        <v>0.105</v>
      </c>
      <c r="F30" s="357">
        <f t="shared" si="0"/>
        <v>0.1212085</v>
      </c>
      <c r="G30" s="357">
        <f t="shared" si="1"/>
        <v>2.7022619649152697E-4</v>
      </c>
      <c r="H30" s="358">
        <f t="shared" si="2"/>
        <v>3.2753711937443246E-5</v>
      </c>
    </row>
    <row r="31" spans="1:8" x14ac:dyDescent="0.4">
      <c r="A31" s="376" t="s">
        <v>1668</v>
      </c>
      <c r="B31" s="376" t="s">
        <v>1669</v>
      </c>
      <c r="C31" s="355">
        <v>119462.39999999999</v>
      </c>
      <c r="D31" s="356">
        <v>9.0000000000000011E-3</v>
      </c>
      <c r="E31" s="357">
        <v>0.05</v>
      </c>
      <c r="F31" s="357">
        <f t="shared" si="0"/>
        <v>5.9225E-2</v>
      </c>
      <c r="G31" s="357">
        <f t="shared" si="1"/>
        <v>3.1488762514301672E-3</v>
      </c>
      <c r="H31" s="358">
        <f t="shared" si="2"/>
        <v>1.8649219599095165E-4</v>
      </c>
    </row>
    <row r="32" spans="1:8" x14ac:dyDescent="0.4">
      <c r="A32" s="376" t="s">
        <v>1671</v>
      </c>
      <c r="B32" s="376" t="s">
        <v>1672</v>
      </c>
      <c r="C32" s="355">
        <v>14347.2</v>
      </c>
      <c r="D32" s="356">
        <v>5.0199999999999995E-2</v>
      </c>
      <c r="E32" s="357">
        <v>0.13</v>
      </c>
      <c r="F32" s="357">
        <f t="shared" si="0"/>
        <v>0.18346299999999999</v>
      </c>
      <c r="G32" s="357">
        <f t="shared" si="1"/>
        <v>3.7817386352960344E-4</v>
      </c>
      <c r="H32" s="358">
        <f t="shared" si="2"/>
        <v>6.9380911524731634E-5</v>
      </c>
    </row>
    <row r="33" spans="1:8" x14ac:dyDescent="0.4">
      <c r="A33" s="376" t="s">
        <v>1674</v>
      </c>
      <c r="B33" s="376" t="s">
        <v>1675</v>
      </c>
      <c r="C33" s="355">
        <v>183345.5</v>
      </c>
      <c r="D33" s="356">
        <v>0</v>
      </c>
      <c r="E33" s="357">
        <v>0.14000000000000001</v>
      </c>
      <c r="F33" s="357">
        <f t="shared" si="0"/>
        <v>0.14000000000000001</v>
      </c>
      <c r="G33" s="357">
        <f t="shared" si="1"/>
        <v>4.8327531571154582E-3</v>
      </c>
      <c r="H33" s="358">
        <f t="shared" si="2"/>
        <v>6.7658544199616423E-4</v>
      </c>
    </row>
    <row r="34" spans="1:8" x14ac:dyDescent="0.4">
      <c r="A34" s="376" t="s">
        <v>1677</v>
      </c>
      <c r="B34" s="376" t="s">
        <v>1678</v>
      </c>
      <c r="C34" s="355">
        <v>36518.769999999997</v>
      </c>
      <c r="D34" s="356">
        <v>6.3E-3</v>
      </c>
      <c r="E34" s="357">
        <v>0.13</v>
      </c>
      <c r="F34" s="357">
        <f t="shared" si="0"/>
        <v>0.13670950000000001</v>
      </c>
      <c r="G34" s="357">
        <f t="shared" si="1"/>
        <v>9.6258812466885337E-4</v>
      </c>
      <c r="H34" s="358">
        <f t="shared" si="2"/>
        <v>1.3159494122941663E-4</v>
      </c>
    </row>
    <row r="35" spans="1:8" x14ac:dyDescent="0.4">
      <c r="A35" s="376" t="s">
        <v>1680</v>
      </c>
      <c r="B35" s="376" t="s">
        <v>1681</v>
      </c>
      <c r="C35" s="355">
        <v>120687.7</v>
      </c>
      <c r="D35" s="356">
        <v>3.8800000000000001E-2</v>
      </c>
      <c r="E35" s="357">
        <v>0.06</v>
      </c>
      <c r="F35" s="357">
        <f t="shared" si="0"/>
        <v>9.9963999999999997E-2</v>
      </c>
      <c r="G35" s="357">
        <f t="shared" si="1"/>
        <v>3.1811735941160448E-3</v>
      </c>
      <c r="H35" s="358">
        <f t="shared" si="2"/>
        <v>3.1800283716221629E-4</v>
      </c>
    </row>
    <row r="36" spans="1:8" x14ac:dyDescent="0.4">
      <c r="A36" s="376" t="s">
        <v>1683</v>
      </c>
      <c r="B36" s="376" t="s">
        <v>1684</v>
      </c>
      <c r="C36" s="355">
        <v>34660.800000000003</v>
      </c>
      <c r="D36" s="356">
        <v>1.6299999999999999E-2</v>
      </c>
      <c r="E36" s="357">
        <v>0.11</v>
      </c>
      <c r="F36" s="357">
        <f t="shared" si="0"/>
        <v>0.12719649999999999</v>
      </c>
      <c r="G36" s="357">
        <f t="shared" si="1"/>
        <v>9.1361440901547891E-4</v>
      </c>
      <c r="H36" s="358">
        <f t="shared" si="2"/>
        <v>1.1620855517633735E-4</v>
      </c>
    </row>
    <row r="37" spans="1:8" x14ac:dyDescent="0.4">
      <c r="A37" s="376" t="s">
        <v>1686</v>
      </c>
      <c r="B37" s="376" t="s">
        <v>1687</v>
      </c>
      <c r="C37" s="355">
        <v>92443.29</v>
      </c>
      <c r="D37" s="356">
        <v>3.4300000000000004E-2</v>
      </c>
      <c r="E37" s="357">
        <v>7.4999999999999997E-2</v>
      </c>
      <c r="F37" s="357">
        <f t="shared" si="0"/>
        <v>0.11058625</v>
      </c>
      <c r="G37" s="357">
        <f t="shared" si="1"/>
        <v>2.4366870285970465E-3</v>
      </c>
      <c r="H37" s="358">
        <f t="shared" si="2"/>
        <v>2.6946408091619011E-4</v>
      </c>
    </row>
    <row r="38" spans="1:8" x14ac:dyDescent="0.4">
      <c r="A38" s="376" t="s">
        <v>1689</v>
      </c>
      <c r="B38" s="376" t="s">
        <v>1690</v>
      </c>
      <c r="C38" s="355">
        <v>1337438</v>
      </c>
      <c r="D38" s="356">
        <v>0</v>
      </c>
      <c r="E38" s="357">
        <v>0.19500000000000001</v>
      </c>
      <c r="F38" s="357">
        <f t="shared" si="0"/>
        <v>0.19500000000000001</v>
      </c>
      <c r="G38" s="357">
        <f t="shared" si="1"/>
        <v>3.5253157110189143E-2</v>
      </c>
      <c r="H38" s="358">
        <f t="shared" si="2"/>
        <v>6.8743656364868835E-3</v>
      </c>
    </row>
    <row r="39" spans="1:8" x14ac:dyDescent="0.4">
      <c r="A39" s="376" t="s">
        <v>1692</v>
      </c>
      <c r="B39" s="376" t="s">
        <v>1693</v>
      </c>
      <c r="C39" s="355">
        <v>49197.09</v>
      </c>
      <c r="D39" s="356">
        <v>0</v>
      </c>
      <c r="E39" s="357">
        <v>0.13</v>
      </c>
      <c r="F39" s="357">
        <f t="shared" si="0"/>
        <v>0.13</v>
      </c>
      <c r="G39" s="357">
        <f t="shared" si="1"/>
        <v>1.2967724433836298E-3</v>
      </c>
      <c r="H39" s="358">
        <f t="shared" si="2"/>
        <v>1.6858041763987187E-4</v>
      </c>
    </row>
    <row r="40" spans="1:8" x14ac:dyDescent="0.4">
      <c r="A40" s="376" t="s">
        <v>1695</v>
      </c>
      <c r="B40" s="376" t="s">
        <v>1696</v>
      </c>
      <c r="C40" s="355">
        <v>28069.61</v>
      </c>
      <c r="D40" s="356">
        <v>0</v>
      </c>
      <c r="E40" s="357">
        <v>0.09</v>
      </c>
      <c r="F40" s="357">
        <f t="shared" si="0"/>
        <v>0.09</v>
      </c>
      <c r="G40" s="357">
        <f t="shared" si="1"/>
        <v>7.3987906082505239E-4</v>
      </c>
      <c r="H40" s="358">
        <f t="shared" si="2"/>
        <v>6.6589115474254706E-5</v>
      </c>
    </row>
    <row r="41" spans="1:8" x14ac:dyDescent="0.4">
      <c r="A41" s="376" t="s">
        <v>1698</v>
      </c>
      <c r="B41" s="376" t="s">
        <v>1699</v>
      </c>
      <c r="C41" s="355">
        <v>69215.070000000007</v>
      </c>
      <c r="D41" s="356">
        <v>7.3000000000000001E-3</v>
      </c>
      <c r="E41" s="357">
        <v>0.08</v>
      </c>
      <c r="F41" s="357">
        <f t="shared" si="0"/>
        <v>8.7592000000000003E-2</v>
      </c>
      <c r="G41" s="357">
        <f t="shared" si="1"/>
        <v>1.8244208233224566E-3</v>
      </c>
      <c r="H41" s="358">
        <f t="shared" si="2"/>
        <v>1.5980466875646063E-4</v>
      </c>
    </row>
    <row r="42" spans="1:8" x14ac:dyDescent="0.4">
      <c r="A42" s="376" t="s">
        <v>1701</v>
      </c>
      <c r="B42" s="376" t="s">
        <v>1702</v>
      </c>
      <c r="C42" s="355">
        <v>10688.91</v>
      </c>
      <c r="D42" s="356">
        <v>1.72E-2</v>
      </c>
      <c r="E42" s="357">
        <v>9.5000000000000001E-2</v>
      </c>
      <c r="F42" s="357">
        <f t="shared" si="0"/>
        <v>0.11301700000000001</v>
      </c>
      <c r="G42" s="357">
        <f t="shared" si="1"/>
        <v>2.8174601257529083E-4</v>
      </c>
      <c r="H42" s="358">
        <f t="shared" si="2"/>
        <v>3.1842089103221645E-5</v>
      </c>
    </row>
    <row r="43" spans="1:8" x14ac:dyDescent="0.4">
      <c r="A43" s="376" t="s">
        <v>1704</v>
      </c>
      <c r="B43" s="376" t="s">
        <v>1705</v>
      </c>
      <c r="C43" s="355">
        <v>10600.38</v>
      </c>
      <c r="D43" s="356">
        <v>3.0600000000000002E-2</v>
      </c>
      <c r="E43" s="357">
        <v>0.21</v>
      </c>
      <c r="F43" s="357">
        <f t="shared" si="0"/>
        <v>0.243813</v>
      </c>
      <c r="G43" s="357">
        <f t="shared" si="1"/>
        <v>2.7941247487188697E-4</v>
      </c>
      <c r="H43" s="358">
        <f t="shared" si="2"/>
        <v>6.8124393735939374E-5</v>
      </c>
    </row>
    <row r="44" spans="1:8" x14ac:dyDescent="0.4">
      <c r="A44" s="376" t="s">
        <v>1707</v>
      </c>
      <c r="B44" s="376" t="s">
        <v>1708</v>
      </c>
      <c r="C44" s="355">
        <v>63964.75</v>
      </c>
      <c r="D44" s="356">
        <v>2.4300000000000002E-2</v>
      </c>
      <c r="E44" s="357">
        <v>0.105</v>
      </c>
      <c r="F44" s="357">
        <f t="shared" si="0"/>
        <v>0.13057574999999999</v>
      </c>
      <c r="G44" s="357">
        <f t="shared" si="1"/>
        <v>1.6860290953778577E-3</v>
      </c>
      <c r="H44" s="358">
        <f t="shared" si="2"/>
        <v>2.2015451365078528E-4</v>
      </c>
    </row>
    <row r="45" spans="1:8" x14ac:dyDescent="0.4">
      <c r="A45" s="376" t="s">
        <v>1710</v>
      </c>
      <c r="B45" s="376" t="s">
        <v>1711</v>
      </c>
      <c r="C45" s="355">
        <v>49921.86</v>
      </c>
      <c r="D45" s="356">
        <v>1.0700000000000001E-2</v>
      </c>
      <c r="E45" s="357">
        <v>0.125</v>
      </c>
      <c r="F45" s="357">
        <f t="shared" si="0"/>
        <v>0.13636875000000001</v>
      </c>
      <c r="G45" s="357">
        <f t="shared" si="1"/>
        <v>1.3158764546938753E-3</v>
      </c>
      <c r="H45" s="358">
        <f t="shared" si="2"/>
        <v>1.7944442728103544E-4</v>
      </c>
    </row>
    <row r="46" spans="1:8" x14ac:dyDescent="0.4">
      <c r="A46" s="376" t="s">
        <v>1713</v>
      </c>
      <c r="B46" s="376" t="s">
        <v>1714</v>
      </c>
      <c r="C46" s="355">
        <v>28011.19</v>
      </c>
      <c r="D46" s="356">
        <v>0</v>
      </c>
      <c r="E46" s="357">
        <v>0.33500000000000002</v>
      </c>
      <c r="F46" s="357">
        <f t="shared" si="0"/>
        <v>0.33500000000000002</v>
      </c>
      <c r="G46" s="357">
        <f t="shared" si="1"/>
        <v>7.383391842562863E-4</v>
      </c>
      <c r="H46" s="358">
        <f t="shared" si="2"/>
        <v>2.4734362672585591E-4</v>
      </c>
    </row>
    <row r="47" spans="1:8" x14ac:dyDescent="0.4">
      <c r="A47" s="376" t="s">
        <v>1716</v>
      </c>
      <c r="B47" s="376" t="s">
        <v>1717</v>
      </c>
      <c r="C47" s="355">
        <v>18486.41</v>
      </c>
      <c r="D47" s="356">
        <v>4.24E-2</v>
      </c>
      <c r="E47" s="357">
        <v>0.11</v>
      </c>
      <c r="F47" s="357">
        <f t="shared" si="0"/>
        <v>0.15473200000000001</v>
      </c>
      <c r="G47" s="357">
        <f t="shared" si="1"/>
        <v>4.872781513112172E-4</v>
      </c>
      <c r="H47" s="358">
        <f t="shared" si="2"/>
        <v>7.5397522908687267E-5</v>
      </c>
    </row>
    <row r="48" spans="1:8" x14ac:dyDescent="0.4">
      <c r="A48" s="376" t="s">
        <v>1719</v>
      </c>
      <c r="B48" s="376" t="s">
        <v>1466</v>
      </c>
      <c r="C48" s="355">
        <v>17134.48</v>
      </c>
      <c r="D48" s="356">
        <v>2.6499999999999999E-2</v>
      </c>
      <c r="E48" s="357">
        <v>7.4999999999999997E-2</v>
      </c>
      <c r="F48" s="357">
        <f t="shared" si="0"/>
        <v>0.10249374999999999</v>
      </c>
      <c r="G48" s="357">
        <f t="shared" si="1"/>
        <v>4.5164300359447969E-4</v>
      </c>
      <c r="H48" s="358">
        <f t="shared" si="2"/>
        <v>4.6290585099661699E-5</v>
      </c>
    </row>
    <row r="49" spans="1:8" x14ac:dyDescent="0.4">
      <c r="A49" s="376" t="s">
        <v>1721</v>
      </c>
      <c r="B49" s="376" t="s">
        <v>1722</v>
      </c>
      <c r="C49" s="355">
        <v>65143.03</v>
      </c>
      <c r="D49" s="356">
        <v>6.3E-3</v>
      </c>
      <c r="E49" s="357">
        <v>0.14000000000000001</v>
      </c>
      <c r="F49" s="357">
        <f t="shared" si="0"/>
        <v>0.14674100000000001</v>
      </c>
      <c r="G49" s="357">
        <f t="shared" si="1"/>
        <v>1.7170870509315309E-3</v>
      </c>
      <c r="H49" s="358">
        <f t="shared" si="2"/>
        <v>2.5196707094074381E-4</v>
      </c>
    </row>
    <row r="50" spans="1:8" x14ac:dyDescent="0.4">
      <c r="A50" s="376" t="s">
        <v>1724</v>
      </c>
      <c r="B50" s="376" t="s">
        <v>1725</v>
      </c>
      <c r="C50" s="355">
        <v>26605.21</v>
      </c>
      <c r="D50" s="356">
        <v>3.5799999999999998E-2</v>
      </c>
      <c r="E50" s="357">
        <v>0.06</v>
      </c>
      <c r="F50" s="357">
        <f t="shared" si="0"/>
        <v>9.6873999999999988E-2</v>
      </c>
      <c r="G50" s="357">
        <f t="shared" si="1"/>
        <v>7.0127934758813142E-4</v>
      </c>
      <c r="H50" s="358">
        <f t="shared" si="2"/>
        <v>6.7935735518252633E-5</v>
      </c>
    </row>
    <row r="51" spans="1:8" x14ac:dyDescent="0.4">
      <c r="A51" s="376" t="s">
        <v>1727</v>
      </c>
      <c r="B51" s="376" t="s">
        <v>1728</v>
      </c>
      <c r="C51" s="355">
        <v>356810</v>
      </c>
      <c r="D51" s="356">
        <v>2.1400000000000002E-2</v>
      </c>
      <c r="E51" s="357">
        <v>0.19500000000000001</v>
      </c>
      <c r="F51" s="357">
        <f t="shared" si="0"/>
        <v>0.2184865</v>
      </c>
      <c r="G51" s="357">
        <f t="shared" si="1"/>
        <v>9.4050557771549696E-3</v>
      </c>
      <c r="H51" s="358">
        <f t="shared" si="2"/>
        <v>2.0548777190553692E-3</v>
      </c>
    </row>
    <row r="52" spans="1:8" x14ac:dyDescent="0.4">
      <c r="A52" s="376" t="s">
        <v>1730</v>
      </c>
      <c r="B52" s="376" t="s">
        <v>1731</v>
      </c>
      <c r="C52" s="355">
        <v>13631.04</v>
      </c>
      <c r="D52" s="356">
        <v>1.95E-2</v>
      </c>
      <c r="E52" s="357">
        <v>9.5000000000000001E-2</v>
      </c>
      <c r="F52" s="357">
        <f t="shared" si="0"/>
        <v>0.11542625000000001</v>
      </c>
      <c r="G52" s="357">
        <f t="shared" si="1"/>
        <v>3.5929680082012977E-4</v>
      </c>
      <c r="H52" s="358">
        <f t="shared" si="2"/>
        <v>4.147228235566451E-5</v>
      </c>
    </row>
    <row r="53" spans="1:8" x14ac:dyDescent="0.4">
      <c r="A53" s="376" t="s">
        <v>1733</v>
      </c>
      <c r="B53" s="376" t="s">
        <v>1435</v>
      </c>
      <c r="C53" s="355">
        <v>28184.3</v>
      </c>
      <c r="D53" s="356">
        <v>1.9900000000000001E-2</v>
      </c>
      <c r="E53" s="357">
        <v>0.03</v>
      </c>
      <c r="F53" s="357">
        <f t="shared" si="0"/>
        <v>5.0198499999999993E-2</v>
      </c>
      <c r="G53" s="357">
        <f t="shared" si="1"/>
        <v>7.4290214270919769E-4</v>
      </c>
      <c r="H53" s="358">
        <f t="shared" si="2"/>
        <v>3.7292573210787654E-5</v>
      </c>
    </row>
    <row r="54" spans="1:8" x14ac:dyDescent="0.4">
      <c r="A54" s="376" t="s">
        <v>1735</v>
      </c>
      <c r="B54" s="376" t="s">
        <v>1736</v>
      </c>
      <c r="C54" s="355">
        <v>14302.74</v>
      </c>
      <c r="D54" s="356">
        <v>0</v>
      </c>
      <c r="E54" s="357">
        <v>0.215</v>
      </c>
      <c r="F54" s="357">
        <f t="shared" si="0"/>
        <v>0.215</v>
      </c>
      <c r="G54" s="357">
        <f t="shared" si="1"/>
        <v>3.7700195472701291E-4</v>
      </c>
      <c r="H54" s="358">
        <f t="shared" si="2"/>
        <v>8.1055420266307773E-5</v>
      </c>
    </row>
    <row r="55" spans="1:8" x14ac:dyDescent="0.4">
      <c r="A55" s="376" t="s">
        <v>1738</v>
      </c>
      <c r="B55" s="376" t="s">
        <v>1739</v>
      </c>
      <c r="C55" s="355">
        <v>130448.5</v>
      </c>
      <c r="D55" s="356">
        <v>1.3999999999999999E-2</v>
      </c>
      <c r="E55" s="357">
        <v>8.5000000000000006E-2</v>
      </c>
      <c r="F55" s="357">
        <f t="shared" si="0"/>
        <v>9.9595000000000003E-2</v>
      </c>
      <c r="G55" s="357">
        <f t="shared" si="1"/>
        <v>3.4384558127468403E-3</v>
      </c>
      <c r="H55" s="358">
        <f t="shared" si="2"/>
        <v>3.4245300667052155E-4</v>
      </c>
    </row>
    <row r="56" spans="1:8" x14ac:dyDescent="0.4">
      <c r="A56" s="376" t="s">
        <v>1741</v>
      </c>
      <c r="B56" s="376" t="s">
        <v>1742</v>
      </c>
      <c r="C56" s="355">
        <v>45424.54</v>
      </c>
      <c r="D56" s="356">
        <v>0</v>
      </c>
      <c r="E56" s="357">
        <v>0.13</v>
      </c>
      <c r="F56" s="357">
        <f t="shared" si="0"/>
        <v>0.13</v>
      </c>
      <c r="G56" s="357">
        <f t="shared" si="1"/>
        <v>1.1973328447958495E-3</v>
      </c>
      <c r="H56" s="358">
        <f t="shared" si="2"/>
        <v>1.5565326982346046E-4</v>
      </c>
    </row>
    <row r="57" spans="1:8" x14ac:dyDescent="0.4">
      <c r="A57" s="376" t="s">
        <v>1744</v>
      </c>
      <c r="B57" s="376" t="s">
        <v>1745</v>
      </c>
      <c r="C57" s="355">
        <v>128258.4</v>
      </c>
      <c r="D57" s="356">
        <v>0</v>
      </c>
      <c r="E57" s="357" t="s">
        <v>3064</v>
      </c>
      <c r="F57" s="357" t="str">
        <f t="shared" si="0"/>
        <v>N/A</v>
      </c>
      <c r="G57" s="357" t="str">
        <f t="shared" si="1"/>
        <v>N/A</v>
      </c>
      <c r="H57" s="358" t="str">
        <f t="shared" si="2"/>
        <v>N/A</v>
      </c>
    </row>
    <row r="58" spans="1:8" x14ac:dyDescent="0.4">
      <c r="A58" s="376" t="s">
        <v>1747</v>
      </c>
      <c r="B58" s="376" t="s">
        <v>1748</v>
      </c>
      <c r="C58" s="355">
        <v>231838.5</v>
      </c>
      <c r="D58" s="356">
        <v>3.2300000000000002E-2</v>
      </c>
      <c r="E58" s="357">
        <v>3.5000000000000003E-2</v>
      </c>
      <c r="F58" s="357">
        <f t="shared" si="0"/>
        <v>6.7865250000000016E-2</v>
      </c>
      <c r="G58" s="357">
        <f t="shared" si="1"/>
        <v>6.1109666875702549E-3</v>
      </c>
      <c r="H58" s="358">
        <f t="shared" si="2"/>
        <v>4.1472228199362736E-4</v>
      </c>
    </row>
    <row r="59" spans="1:8" x14ac:dyDescent="0.4">
      <c r="A59" s="376" t="s">
        <v>1750</v>
      </c>
      <c r="B59" s="376" t="s">
        <v>1751</v>
      </c>
      <c r="C59" s="355">
        <v>17818.84</v>
      </c>
      <c r="D59" s="356">
        <v>1.4800000000000001E-2</v>
      </c>
      <c r="E59" s="357">
        <v>0.13</v>
      </c>
      <c r="F59" s="357">
        <f t="shared" si="0"/>
        <v>0.145762</v>
      </c>
      <c r="G59" s="357">
        <f t="shared" si="1"/>
        <v>4.6968185892828137E-4</v>
      </c>
      <c r="H59" s="358">
        <f t="shared" si="2"/>
        <v>6.8461767121104155E-5</v>
      </c>
    </row>
    <row r="60" spans="1:8" x14ac:dyDescent="0.4">
      <c r="A60" s="376" t="s">
        <v>1753</v>
      </c>
      <c r="B60" s="376" t="s">
        <v>1754</v>
      </c>
      <c r="C60" s="355">
        <v>22833.439999999999</v>
      </c>
      <c r="D60" s="356">
        <v>2.5699999999999997E-2</v>
      </c>
      <c r="E60" s="357">
        <v>0.06</v>
      </c>
      <c r="F60" s="357">
        <f t="shared" si="0"/>
        <v>8.6470999999999992E-2</v>
      </c>
      <c r="G60" s="357">
        <f t="shared" si="1"/>
        <v>6.0186030880390504E-4</v>
      </c>
      <c r="H60" s="358">
        <f t="shared" si="2"/>
        <v>5.2043462762582468E-5</v>
      </c>
    </row>
    <row r="61" spans="1:8" x14ac:dyDescent="0.4">
      <c r="A61" s="376" t="s">
        <v>1756</v>
      </c>
      <c r="B61" s="376" t="s">
        <v>1757</v>
      </c>
      <c r="C61" s="355">
        <v>8750.09</v>
      </c>
      <c r="D61" s="356">
        <v>2.0899999999999998E-2</v>
      </c>
      <c r="E61" s="357">
        <v>0.17499999999999999</v>
      </c>
      <c r="F61" s="357">
        <f t="shared" si="0"/>
        <v>0.19772874999999998</v>
      </c>
      <c r="G61" s="357">
        <f t="shared" si="1"/>
        <v>2.3064119420735388E-4</v>
      </c>
      <c r="H61" s="358">
        <f t="shared" si="2"/>
        <v>4.5604395029127321E-5</v>
      </c>
    </row>
    <row r="62" spans="1:8" x14ac:dyDescent="0.4">
      <c r="A62" s="376" t="s">
        <v>1759</v>
      </c>
      <c r="B62" s="376" t="s">
        <v>1760</v>
      </c>
      <c r="C62" s="355">
        <v>17709.43</v>
      </c>
      <c r="D62" s="356">
        <v>4.5400000000000003E-2</v>
      </c>
      <c r="E62" s="357">
        <v>0.03</v>
      </c>
      <c r="F62" s="357">
        <f t="shared" si="0"/>
        <v>7.6080999999999996E-2</v>
      </c>
      <c r="G62" s="357">
        <f t="shared" si="1"/>
        <v>4.6679795109896458E-4</v>
      </c>
      <c r="H62" s="358">
        <f t="shared" si="2"/>
        <v>3.551445491756032E-5</v>
      </c>
    </row>
    <row r="63" spans="1:8" x14ac:dyDescent="0.4">
      <c r="A63" s="376" t="s">
        <v>1762</v>
      </c>
      <c r="B63" s="376" t="s">
        <v>1763</v>
      </c>
      <c r="C63" s="355">
        <v>73928.84</v>
      </c>
      <c r="D63" s="356">
        <v>1.43E-2</v>
      </c>
      <c r="E63" s="357">
        <v>0.05</v>
      </c>
      <c r="F63" s="357">
        <f t="shared" si="0"/>
        <v>6.4657500000000007E-2</v>
      </c>
      <c r="G63" s="357">
        <f t="shared" si="1"/>
        <v>1.948669778706778E-3</v>
      </c>
      <c r="H63" s="358">
        <f t="shared" si="2"/>
        <v>1.2599611621673352E-4</v>
      </c>
    </row>
    <row r="64" spans="1:8" x14ac:dyDescent="0.4">
      <c r="A64" s="376" t="s">
        <v>1765</v>
      </c>
      <c r="B64" s="376" t="s">
        <v>1766</v>
      </c>
      <c r="C64" s="355">
        <v>13289.2</v>
      </c>
      <c r="D64" s="356">
        <v>4.5199999999999997E-2</v>
      </c>
      <c r="E64" s="357">
        <v>0.02</v>
      </c>
      <c r="F64" s="357">
        <f t="shared" si="0"/>
        <v>6.5652000000000002E-2</v>
      </c>
      <c r="G64" s="357">
        <f t="shared" si="1"/>
        <v>3.5028633511888073E-4</v>
      </c>
      <c r="H64" s="358">
        <f t="shared" si="2"/>
        <v>2.2996998473224759E-5</v>
      </c>
    </row>
    <row r="65" spans="1:8" x14ac:dyDescent="0.4">
      <c r="A65" s="376" t="s">
        <v>1768</v>
      </c>
      <c r="B65" s="376" t="s">
        <v>1769</v>
      </c>
      <c r="C65" s="355">
        <v>32114.17</v>
      </c>
      <c r="D65" s="356">
        <v>1.2500000000000001E-2</v>
      </c>
      <c r="E65" s="357">
        <v>0.155</v>
      </c>
      <c r="F65" s="357">
        <f t="shared" si="0"/>
        <v>0.16846875</v>
      </c>
      <c r="G65" s="357">
        <f t="shared" si="1"/>
        <v>8.4648849552152914E-4</v>
      </c>
      <c r="H65" s="358">
        <f t="shared" si="2"/>
        <v>1.4260685872989262E-4</v>
      </c>
    </row>
    <row r="66" spans="1:8" x14ac:dyDescent="0.4">
      <c r="A66" s="376" t="s">
        <v>1771</v>
      </c>
      <c r="B66" s="376" t="s">
        <v>1772</v>
      </c>
      <c r="C66" s="355">
        <v>14826.7</v>
      </c>
      <c r="D66" s="356">
        <v>2.7300000000000001E-2</v>
      </c>
      <c r="E66" s="357">
        <v>1.4999999999999999E-2</v>
      </c>
      <c r="F66" s="357">
        <f t="shared" si="0"/>
        <v>4.2504750000000001E-2</v>
      </c>
      <c r="G66" s="357">
        <f t="shared" si="1"/>
        <v>3.9081287097094704E-4</v>
      </c>
      <c r="H66" s="358">
        <f t="shared" si="2"/>
        <v>1.6611403377402363E-5</v>
      </c>
    </row>
    <row r="67" spans="1:8" x14ac:dyDescent="0.4">
      <c r="A67" s="376" t="s">
        <v>1774</v>
      </c>
      <c r="B67" s="376" t="s">
        <v>1775</v>
      </c>
      <c r="C67" s="355">
        <v>41396.879999999997</v>
      </c>
      <c r="D67" s="356">
        <v>0</v>
      </c>
      <c r="E67" s="357">
        <v>-0.01</v>
      </c>
      <c r="F67" s="357">
        <f t="shared" si="0"/>
        <v>-0.01</v>
      </c>
      <c r="G67" s="357">
        <f t="shared" si="1"/>
        <v>1.091168872509714E-3</v>
      </c>
      <c r="H67" s="358">
        <f t="shared" si="2"/>
        <v>-1.091168872509714E-5</v>
      </c>
    </row>
    <row r="68" spans="1:8" x14ac:dyDescent="0.4">
      <c r="A68" s="376" t="s">
        <v>1777</v>
      </c>
      <c r="B68" s="376" t="s">
        <v>1778</v>
      </c>
      <c r="C68" s="355">
        <v>11172.36</v>
      </c>
      <c r="D68" s="356">
        <v>0</v>
      </c>
      <c r="E68" s="357">
        <v>0.125</v>
      </c>
      <c r="F68" s="357">
        <f t="shared" ref="F68:F131" si="3">IFERROR(D68*(1+0.5*E68)+E68,"N/A")</f>
        <v>0.125</v>
      </c>
      <c r="G68" s="357">
        <f t="shared" ref="G68:G131" si="4">IF(F68="N/A","N/A",C68/$C$504)</f>
        <v>2.9448913697053083E-4</v>
      </c>
      <c r="H68" s="358">
        <f t="shared" si="2"/>
        <v>3.6811142121316354E-5</v>
      </c>
    </row>
    <row r="69" spans="1:8" x14ac:dyDescent="0.4">
      <c r="A69" s="376" t="s">
        <v>1780</v>
      </c>
      <c r="B69" s="376" t="s">
        <v>1781</v>
      </c>
      <c r="C69" s="355">
        <v>35100.68</v>
      </c>
      <c r="D69" s="356">
        <v>3.5299999999999998E-2</v>
      </c>
      <c r="E69" s="357">
        <v>7.0000000000000007E-2</v>
      </c>
      <c r="F69" s="357">
        <f t="shared" si="3"/>
        <v>0.10653550000000001</v>
      </c>
      <c r="G69" s="357">
        <f t="shared" si="4"/>
        <v>9.2520908387115814E-4</v>
      </c>
      <c r="H69" s="358">
        <f t="shared" ref="H69:H132" si="5">IF(ISNUMBER(G69),F69*G69,"N/A")</f>
        <v>9.8567612354755776E-5</v>
      </c>
    </row>
    <row r="70" spans="1:8" x14ac:dyDescent="0.4">
      <c r="A70" s="376" t="s">
        <v>1783</v>
      </c>
      <c r="B70" s="376" t="s">
        <v>1784</v>
      </c>
      <c r="C70" s="355">
        <v>99504.89</v>
      </c>
      <c r="D70" s="356">
        <v>0</v>
      </c>
      <c r="E70" s="357">
        <v>0.27</v>
      </c>
      <c r="F70" s="357">
        <f t="shared" si="3"/>
        <v>0.27</v>
      </c>
      <c r="G70" s="357">
        <f t="shared" si="4"/>
        <v>2.6228217834412429E-3</v>
      </c>
      <c r="H70" s="358">
        <f t="shared" si="5"/>
        <v>7.0816188152913562E-4</v>
      </c>
    </row>
    <row r="71" spans="1:8" x14ac:dyDescent="0.4">
      <c r="A71" s="376" t="s">
        <v>1786</v>
      </c>
      <c r="B71" s="376" t="s">
        <v>1787</v>
      </c>
      <c r="C71" s="355">
        <v>31918.48</v>
      </c>
      <c r="D71" s="356">
        <v>2.4399999999999998E-2</v>
      </c>
      <c r="E71" s="357" t="s">
        <v>3064</v>
      </c>
      <c r="F71" s="357" t="str">
        <f t="shared" si="3"/>
        <v>N/A</v>
      </c>
      <c r="G71" s="357" t="str">
        <f t="shared" si="4"/>
        <v>N/A</v>
      </c>
      <c r="H71" s="358" t="str">
        <f t="shared" si="5"/>
        <v>N/A</v>
      </c>
    </row>
    <row r="72" spans="1:8" x14ac:dyDescent="0.4">
      <c r="A72" s="376" t="s">
        <v>1789</v>
      </c>
      <c r="B72" s="376" t="s">
        <v>1790</v>
      </c>
      <c r="C72" s="355">
        <v>103858.7</v>
      </c>
      <c r="D72" s="356">
        <v>2.9600000000000001E-2</v>
      </c>
      <c r="E72" s="357">
        <v>7.4999999999999997E-2</v>
      </c>
      <c r="F72" s="357">
        <f t="shared" si="3"/>
        <v>0.10571</v>
      </c>
      <c r="G72" s="357">
        <f t="shared" si="4"/>
        <v>2.7375826530725172E-3</v>
      </c>
      <c r="H72" s="358">
        <f t="shared" si="5"/>
        <v>2.893898622562958E-4</v>
      </c>
    </row>
    <row r="73" spans="1:8" x14ac:dyDescent="0.4">
      <c r="A73" s="376" t="s">
        <v>1792</v>
      </c>
      <c r="B73" s="376" t="s">
        <v>1793</v>
      </c>
      <c r="C73" s="355">
        <v>135987.79999999999</v>
      </c>
      <c r="D73" s="356">
        <v>3.5200000000000002E-2</v>
      </c>
      <c r="E73" s="357">
        <v>0.30499999999999999</v>
      </c>
      <c r="F73" s="357">
        <f t="shared" si="3"/>
        <v>0.34556799999999999</v>
      </c>
      <c r="G73" s="357">
        <f t="shared" si="4"/>
        <v>3.584464684321052E-3</v>
      </c>
      <c r="H73" s="358">
        <f t="shared" si="5"/>
        <v>1.2386762920314571E-3</v>
      </c>
    </row>
    <row r="74" spans="1:8" x14ac:dyDescent="0.4">
      <c r="A74" s="376" t="s">
        <v>1795</v>
      </c>
      <c r="B74" s="376" t="s">
        <v>1796</v>
      </c>
      <c r="C74" s="355">
        <v>19295.740000000002</v>
      </c>
      <c r="D74" s="356">
        <v>1.77E-2</v>
      </c>
      <c r="E74" s="357">
        <v>8.5000000000000006E-2</v>
      </c>
      <c r="F74" s="357">
        <f t="shared" si="3"/>
        <v>0.10345225000000001</v>
      </c>
      <c r="G74" s="357">
        <f t="shared" si="4"/>
        <v>5.0861105619651984E-4</v>
      </c>
      <c r="H74" s="358">
        <f t="shared" si="5"/>
        <v>5.2616958138406423E-5</v>
      </c>
    </row>
    <row r="75" spans="1:8" x14ac:dyDescent="0.4">
      <c r="A75" s="376" t="s">
        <v>1798</v>
      </c>
      <c r="B75" s="376" t="s">
        <v>1799</v>
      </c>
      <c r="C75" s="355" t="s">
        <v>46</v>
      </c>
      <c r="D75" s="356">
        <v>0</v>
      </c>
      <c r="E75" s="357" t="s">
        <v>3064</v>
      </c>
      <c r="F75" s="357" t="str">
        <f t="shared" si="3"/>
        <v>N/A</v>
      </c>
      <c r="G75" s="357" t="str">
        <f t="shared" si="4"/>
        <v>N/A</v>
      </c>
      <c r="H75" s="358" t="str">
        <f t="shared" si="5"/>
        <v>N/A</v>
      </c>
    </row>
    <row r="76" spans="1:8" x14ac:dyDescent="0.4">
      <c r="A76" s="376" t="s">
        <v>1801</v>
      </c>
      <c r="B76" s="376" t="s">
        <v>1802</v>
      </c>
      <c r="C76" s="355">
        <v>19120.310000000001</v>
      </c>
      <c r="D76" s="356">
        <v>6.8000000000000005E-3</v>
      </c>
      <c r="E76" s="357">
        <v>6.5000000000000002E-2</v>
      </c>
      <c r="F76" s="357">
        <f t="shared" si="3"/>
        <v>7.2021000000000002E-2</v>
      </c>
      <c r="G76" s="357">
        <f t="shared" si="4"/>
        <v>5.0398694550739601E-4</v>
      </c>
      <c r="H76" s="358">
        <f t="shared" si="5"/>
        <v>3.6297643802388165E-5</v>
      </c>
    </row>
    <row r="77" spans="1:8" x14ac:dyDescent="0.4">
      <c r="A77" s="376" t="s">
        <v>1804</v>
      </c>
      <c r="B77" s="376" t="s">
        <v>1805</v>
      </c>
      <c r="C77" s="355">
        <v>76548.95</v>
      </c>
      <c r="D77" s="356">
        <v>0</v>
      </c>
      <c r="E77" s="357">
        <v>0.13</v>
      </c>
      <c r="F77" s="357">
        <f t="shared" si="3"/>
        <v>0.13</v>
      </c>
      <c r="G77" s="357">
        <f t="shared" si="4"/>
        <v>2.0177325311304252E-3</v>
      </c>
      <c r="H77" s="358">
        <f t="shared" si="5"/>
        <v>2.6230522904695529E-4</v>
      </c>
    </row>
    <row r="78" spans="1:8" x14ac:dyDescent="0.4">
      <c r="A78" s="376" t="s">
        <v>1807</v>
      </c>
      <c r="B78" s="376" t="s">
        <v>1808</v>
      </c>
      <c r="C78" s="355">
        <v>10120.23</v>
      </c>
      <c r="D78" s="356">
        <v>1.5800000000000002E-2</v>
      </c>
      <c r="E78" s="357">
        <v>0.12</v>
      </c>
      <c r="F78" s="357">
        <f t="shared" si="3"/>
        <v>0.13674800000000001</v>
      </c>
      <c r="G78" s="357">
        <f t="shared" si="4"/>
        <v>2.6675633426091489E-4</v>
      </c>
      <c r="H78" s="358">
        <f t="shared" si="5"/>
        <v>3.6478395197511589E-5</v>
      </c>
    </row>
    <row r="79" spans="1:8" x14ac:dyDescent="0.4">
      <c r="A79" s="376" t="s">
        <v>1810</v>
      </c>
      <c r="B79" s="376" t="s">
        <v>1811</v>
      </c>
      <c r="C79" s="355">
        <v>9090.57</v>
      </c>
      <c r="D79" s="356">
        <v>6.7500000000000004E-2</v>
      </c>
      <c r="E79" s="357" t="s">
        <v>3064</v>
      </c>
      <c r="F79" s="357" t="str">
        <f t="shared" si="3"/>
        <v>N/A</v>
      </c>
      <c r="G79" s="357" t="str">
        <f t="shared" si="4"/>
        <v>N/A</v>
      </c>
      <c r="H79" s="358" t="str">
        <f t="shared" si="5"/>
        <v>N/A</v>
      </c>
    </row>
    <row r="80" spans="1:8" x14ac:dyDescent="0.4">
      <c r="A80" s="376" t="s">
        <v>1813</v>
      </c>
      <c r="B80" s="376" t="s">
        <v>1814</v>
      </c>
      <c r="C80" s="355">
        <v>91108</v>
      </c>
      <c r="D80" s="356">
        <v>4.36E-2</v>
      </c>
      <c r="E80" s="357">
        <v>2.5000000000000001E-2</v>
      </c>
      <c r="F80" s="357">
        <f t="shared" si="3"/>
        <v>6.9144999999999998E-2</v>
      </c>
      <c r="G80" s="357">
        <f t="shared" si="4"/>
        <v>2.4014904900227993E-3</v>
      </c>
      <c r="H80" s="358">
        <f t="shared" si="5"/>
        <v>1.6605105993262645E-4</v>
      </c>
    </row>
    <row r="81" spans="1:8" x14ac:dyDescent="0.4">
      <c r="A81" s="376" t="s">
        <v>1816</v>
      </c>
      <c r="B81" s="376" t="s">
        <v>1817</v>
      </c>
      <c r="C81" s="355">
        <v>16057.46</v>
      </c>
      <c r="D81" s="356">
        <v>4.0399999999999998E-2</v>
      </c>
      <c r="E81" s="357">
        <v>4.4999999999999998E-2</v>
      </c>
      <c r="F81" s="357">
        <f t="shared" si="3"/>
        <v>8.6308999999999997E-2</v>
      </c>
      <c r="G81" s="357">
        <f t="shared" si="4"/>
        <v>4.2325413228170411E-4</v>
      </c>
      <c r="H81" s="358">
        <f t="shared" si="5"/>
        <v>3.6530640903101597E-5</v>
      </c>
    </row>
    <row r="82" spans="1:8" x14ac:dyDescent="0.4">
      <c r="A82" s="376" t="s">
        <v>1819</v>
      </c>
      <c r="B82" s="376" t="s">
        <v>1820</v>
      </c>
      <c r="C82" s="355">
        <v>24130.65</v>
      </c>
      <c r="D82" s="356">
        <v>2.1099999999999997E-2</v>
      </c>
      <c r="E82" s="357">
        <v>6.5000000000000002E-2</v>
      </c>
      <c r="F82" s="357">
        <f t="shared" si="3"/>
        <v>8.6785749999999995E-2</v>
      </c>
      <c r="G82" s="357">
        <f t="shared" si="4"/>
        <v>6.3605310722514676E-4</v>
      </c>
      <c r="H82" s="358">
        <f t="shared" si="5"/>
        <v>5.5200345950364777E-5</v>
      </c>
    </row>
    <row r="83" spans="1:8" x14ac:dyDescent="0.4">
      <c r="A83" s="376" t="s">
        <v>1822</v>
      </c>
      <c r="B83" s="376" t="s">
        <v>1823</v>
      </c>
      <c r="C83" s="355">
        <v>41107.42</v>
      </c>
      <c r="D83" s="356">
        <v>1.4999999999999999E-2</v>
      </c>
      <c r="E83" s="357">
        <v>0.125</v>
      </c>
      <c r="F83" s="357">
        <f t="shared" si="3"/>
        <v>0.14093749999999999</v>
      </c>
      <c r="G83" s="357">
        <f t="shared" si="4"/>
        <v>1.0835390766932983E-3</v>
      </c>
      <c r="H83" s="358">
        <f t="shared" si="5"/>
        <v>1.5271128862146173E-4</v>
      </c>
    </row>
    <row r="84" spans="1:8" x14ac:dyDescent="0.4">
      <c r="A84" s="376" t="s">
        <v>1825</v>
      </c>
      <c r="B84" s="376" t="s">
        <v>1826</v>
      </c>
      <c r="C84" s="355">
        <v>126312.7</v>
      </c>
      <c r="D84" s="356">
        <v>2.12E-2</v>
      </c>
      <c r="E84" s="357">
        <v>0.12</v>
      </c>
      <c r="F84" s="357">
        <f t="shared" si="3"/>
        <v>0.14247199999999999</v>
      </c>
      <c r="G84" s="357">
        <f t="shared" si="4"/>
        <v>3.3294414082089699E-3</v>
      </c>
      <c r="H84" s="358">
        <f t="shared" si="5"/>
        <v>4.7435217631034831E-4</v>
      </c>
    </row>
    <row r="85" spans="1:8" x14ac:dyDescent="0.4">
      <c r="A85" s="376" t="s">
        <v>1828</v>
      </c>
      <c r="B85" s="376" t="s">
        <v>1829</v>
      </c>
      <c r="C85" s="355">
        <v>79154.06</v>
      </c>
      <c r="D85" s="356">
        <v>1.8000000000000002E-2</v>
      </c>
      <c r="E85" s="357">
        <v>0.15</v>
      </c>
      <c r="F85" s="357">
        <f t="shared" si="3"/>
        <v>0.16935</v>
      </c>
      <c r="G85" s="357">
        <f t="shared" si="4"/>
        <v>2.086399902716491E-3</v>
      </c>
      <c r="H85" s="358">
        <f t="shared" si="5"/>
        <v>3.5333182352503774E-4</v>
      </c>
    </row>
    <row r="86" spans="1:8" x14ac:dyDescent="0.4">
      <c r="A86" s="376" t="s">
        <v>1831</v>
      </c>
      <c r="B86" s="376" t="s">
        <v>1832</v>
      </c>
      <c r="C86" s="355">
        <v>14576.6</v>
      </c>
      <c r="D86" s="356">
        <v>1.4499999999999999E-2</v>
      </c>
      <c r="E86" s="357">
        <v>0.125</v>
      </c>
      <c r="F86" s="357">
        <f t="shared" si="3"/>
        <v>0.14040625000000001</v>
      </c>
      <c r="G86" s="357">
        <f t="shared" si="4"/>
        <v>3.8422055447234424E-4</v>
      </c>
      <c r="H86" s="358">
        <f t="shared" si="5"/>
        <v>5.3946967226382586E-5</v>
      </c>
    </row>
    <row r="87" spans="1:8" x14ac:dyDescent="0.4">
      <c r="A87" s="376" t="s">
        <v>1834</v>
      </c>
      <c r="B87" s="376" t="s">
        <v>1835</v>
      </c>
      <c r="C87" s="355">
        <v>25475.13</v>
      </c>
      <c r="D87" s="356">
        <v>0</v>
      </c>
      <c r="E87" s="357">
        <v>0.05</v>
      </c>
      <c r="F87" s="357">
        <f t="shared" si="3"/>
        <v>0.05</v>
      </c>
      <c r="G87" s="357">
        <f t="shared" si="4"/>
        <v>6.7149188245921895E-4</v>
      </c>
      <c r="H87" s="358">
        <f t="shared" si="5"/>
        <v>3.3574594122960946E-5</v>
      </c>
    </row>
    <row r="88" spans="1:8" x14ac:dyDescent="0.4">
      <c r="A88" s="376" t="s">
        <v>1837</v>
      </c>
      <c r="B88" s="376" t="s">
        <v>1838</v>
      </c>
      <c r="C88" s="355">
        <v>51155.58</v>
      </c>
      <c r="D88" s="356">
        <v>5.4699999999999999E-2</v>
      </c>
      <c r="E88" s="357">
        <v>0.09</v>
      </c>
      <c r="F88" s="357">
        <f t="shared" si="3"/>
        <v>0.1471615</v>
      </c>
      <c r="G88" s="357">
        <f t="shared" si="4"/>
        <v>1.3483957378232485E-3</v>
      </c>
      <c r="H88" s="358">
        <f t="shared" si="5"/>
        <v>1.9843193937167598E-4</v>
      </c>
    </row>
    <row r="89" spans="1:8" x14ac:dyDescent="0.4">
      <c r="A89" s="376" t="s">
        <v>1840</v>
      </c>
      <c r="B89" s="376" t="s">
        <v>1841</v>
      </c>
      <c r="C89" s="355">
        <v>21438.63</v>
      </c>
      <c r="D89" s="356">
        <v>0</v>
      </c>
      <c r="E89" s="357" t="s">
        <v>3064</v>
      </c>
      <c r="F89" s="357" t="str">
        <f t="shared" si="3"/>
        <v>N/A</v>
      </c>
      <c r="G89" s="357" t="str">
        <f t="shared" si="4"/>
        <v>N/A</v>
      </c>
      <c r="H89" s="358" t="str">
        <f t="shared" si="5"/>
        <v>N/A</v>
      </c>
    </row>
    <row r="90" spans="1:8" x14ac:dyDescent="0.4">
      <c r="A90" s="376" t="s">
        <v>1843</v>
      </c>
      <c r="B90" s="376" t="s">
        <v>1844</v>
      </c>
      <c r="C90" s="355">
        <v>10117.31</v>
      </c>
      <c r="D90" s="356">
        <v>0</v>
      </c>
      <c r="E90" s="357" t="s">
        <v>3064</v>
      </c>
      <c r="F90" s="357" t="str">
        <f t="shared" si="3"/>
        <v>N/A</v>
      </c>
      <c r="G90" s="357" t="str">
        <f t="shared" si="4"/>
        <v>N/A</v>
      </c>
      <c r="H90" s="358" t="str">
        <f t="shared" si="5"/>
        <v>N/A</v>
      </c>
    </row>
    <row r="91" spans="1:8" x14ac:dyDescent="0.4">
      <c r="A91" s="376" t="s">
        <v>1846</v>
      </c>
      <c r="B91" s="376" t="s">
        <v>1847</v>
      </c>
      <c r="C91" s="355">
        <v>63404.480000000003</v>
      </c>
      <c r="D91" s="356">
        <v>0</v>
      </c>
      <c r="E91" s="357">
        <v>0.1</v>
      </c>
      <c r="F91" s="357">
        <f t="shared" si="3"/>
        <v>0.1</v>
      </c>
      <c r="G91" s="357">
        <f t="shared" si="4"/>
        <v>1.6712610939197522E-3</v>
      </c>
      <c r="H91" s="358">
        <f t="shared" si="5"/>
        <v>1.6712610939197524E-4</v>
      </c>
    </row>
    <row r="92" spans="1:8" x14ac:dyDescent="0.4">
      <c r="A92" s="376" t="s">
        <v>1849</v>
      </c>
      <c r="B92" s="376" t="s">
        <v>1850</v>
      </c>
      <c r="C92" s="355">
        <v>24871.05</v>
      </c>
      <c r="D92" s="356">
        <v>1.2800000000000001E-2</v>
      </c>
      <c r="E92" s="357">
        <v>7.0000000000000007E-2</v>
      </c>
      <c r="F92" s="357">
        <f t="shared" si="3"/>
        <v>8.3248000000000003E-2</v>
      </c>
      <c r="G92" s="357">
        <f t="shared" si="4"/>
        <v>6.5556910536815143E-4</v>
      </c>
      <c r="H92" s="358">
        <f t="shared" si="5"/>
        <v>5.4574816883687873E-5</v>
      </c>
    </row>
    <row r="93" spans="1:8" x14ac:dyDescent="0.4">
      <c r="A93" s="376" t="s">
        <v>1852</v>
      </c>
      <c r="B93" s="376" t="s">
        <v>1853</v>
      </c>
      <c r="C93" s="355">
        <v>12460.46</v>
      </c>
      <c r="D93" s="356">
        <v>2.46E-2</v>
      </c>
      <c r="E93" s="357">
        <v>6.5000000000000002E-2</v>
      </c>
      <c r="F93" s="357">
        <f t="shared" si="3"/>
        <v>9.0399499999999994E-2</v>
      </c>
      <c r="G93" s="357">
        <f t="shared" si="4"/>
        <v>3.2844180742974807E-4</v>
      </c>
      <c r="H93" s="358">
        <f t="shared" si="5"/>
        <v>2.9690975170745507E-5</v>
      </c>
    </row>
    <row r="94" spans="1:8" x14ac:dyDescent="0.4">
      <c r="A94" s="376" t="s">
        <v>1855</v>
      </c>
      <c r="B94" s="376" t="s">
        <v>1468</v>
      </c>
      <c r="C94" s="355">
        <v>30141.759999999998</v>
      </c>
      <c r="D94" s="356">
        <v>1.23E-2</v>
      </c>
      <c r="E94" s="357" t="s">
        <v>3064</v>
      </c>
      <c r="F94" s="357" t="str">
        <f t="shared" si="3"/>
        <v>N/A</v>
      </c>
      <c r="G94" s="357" t="str">
        <f t="shared" si="4"/>
        <v>N/A</v>
      </c>
      <c r="H94" s="358" t="str">
        <f t="shared" si="5"/>
        <v>N/A</v>
      </c>
    </row>
    <row r="95" spans="1:8" x14ac:dyDescent="0.4">
      <c r="A95" s="376" t="s">
        <v>1857</v>
      </c>
      <c r="B95" s="376" t="s">
        <v>1858</v>
      </c>
      <c r="C95" s="355">
        <v>13667.65</v>
      </c>
      <c r="D95" s="356">
        <v>2.4199999999999999E-2</v>
      </c>
      <c r="E95" s="357">
        <v>0.09</v>
      </c>
      <c r="F95" s="357">
        <f t="shared" si="3"/>
        <v>0.115289</v>
      </c>
      <c r="G95" s="357">
        <f t="shared" si="4"/>
        <v>3.6026179365105271E-4</v>
      </c>
      <c r="H95" s="358">
        <f t="shared" si="5"/>
        <v>4.1534221928236217E-5</v>
      </c>
    </row>
    <row r="96" spans="1:8" x14ac:dyDescent="0.4">
      <c r="A96" s="376" t="s">
        <v>1860</v>
      </c>
      <c r="B96" s="376" t="s">
        <v>1861</v>
      </c>
      <c r="C96" s="355">
        <v>12704.53</v>
      </c>
      <c r="D96" s="356">
        <v>6.4000000000000001E-2</v>
      </c>
      <c r="E96" s="357">
        <v>0.06</v>
      </c>
      <c r="F96" s="357">
        <f t="shared" si="3"/>
        <v>0.12592</v>
      </c>
      <c r="G96" s="357">
        <f t="shared" si="4"/>
        <v>3.3487518083164327E-4</v>
      </c>
      <c r="H96" s="358">
        <f t="shared" si="5"/>
        <v>4.2167482770320524E-5</v>
      </c>
    </row>
    <row r="97" spans="1:8" x14ac:dyDescent="0.4">
      <c r="A97" s="376" t="s">
        <v>1863</v>
      </c>
      <c r="B97" s="376" t="s">
        <v>1864</v>
      </c>
      <c r="C97" s="355">
        <v>24399.86</v>
      </c>
      <c r="D97" s="356">
        <v>1.09E-2</v>
      </c>
      <c r="E97" s="357">
        <v>0.06</v>
      </c>
      <c r="F97" s="357">
        <f t="shared" si="3"/>
        <v>7.1226999999999999E-2</v>
      </c>
      <c r="G97" s="357">
        <f t="shared" si="4"/>
        <v>6.4314913891082781E-4</v>
      </c>
      <c r="H97" s="358">
        <f t="shared" si="5"/>
        <v>4.5809583717201529E-5</v>
      </c>
    </row>
    <row r="98" spans="1:8" x14ac:dyDescent="0.4">
      <c r="A98" s="376" t="s">
        <v>1866</v>
      </c>
      <c r="B98" s="376" t="s">
        <v>1867</v>
      </c>
      <c r="C98" s="355">
        <v>11020.76</v>
      </c>
      <c r="D98" s="356">
        <v>2.58E-2</v>
      </c>
      <c r="E98" s="357">
        <v>0.06</v>
      </c>
      <c r="F98" s="357">
        <f t="shared" si="3"/>
        <v>8.6573999999999998E-2</v>
      </c>
      <c r="G98" s="357">
        <f t="shared" si="4"/>
        <v>2.9049315463871081E-4</v>
      </c>
      <c r="H98" s="358">
        <f t="shared" si="5"/>
        <v>2.5149154369691749E-5</v>
      </c>
    </row>
    <row r="99" spans="1:8" x14ac:dyDescent="0.4">
      <c r="A99" s="376" t="s">
        <v>1869</v>
      </c>
      <c r="B99" s="376" t="s">
        <v>1870</v>
      </c>
      <c r="C99" s="355">
        <v>55358.9</v>
      </c>
      <c r="D99" s="356">
        <v>0</v>
      </c>
      <c r="E99" s="357">
        <v>0.155</v>
      </c>
      <c r="F99" s="357">
        <f t="shared" si="3"/>
        <v>0.155</v>
      </c>
      <c r="G99" s="357">
        <f t="shared" si="4"/>
        <v>1.459189883304684E-3</v>
      </c>
      <c r="H99" s="358">
        <f t="shared" si="5"/>
        <v>2.2617443191222603E-4</v>
      </c>
    </row>
    <row r="100" spans="1:8" x14ac:dyDescent="0.4">
      <c r="A100" s="376" t="s">
        <v>1872</v>
      </c>
      <c r="B100" s="376" t="s">
        <v>1873</v>
      </c>
      <c r="C100" s="355">
        <v>83066.06</v>
      </c>
      <c r="D100" s="356">
        <v>1.7500000000000002E-2</v>
      </c>
      <c r="E100" s="357">
        <v>0.115</v>
      </c>
      <c r="F100" s="357">
        <f t="shared" si="3"/>
        <v>0.13350625000000002</v>
      </c>
      <c r="G100" s="357">
        <f t="shared" si="4"/>
        <v>2.1895152251576507E-3</v>
      </c>
      <c r="H100" s="358">
        <f t="shared" si="5"/>
        <v>2.9231396702870363E-4</v>
      </c>
    </row>
    <row r="101" spans="1:8" x14ac:dyDescent="0.4">
      <c r="A101" s="376" t="s">
        <v>1875</v>
      </c>
      <c r="B101" s="376" t="s">
        <v>1876</v>
      </c>
      <c r="C101" s="355">
        <v>15246.83</v>
      </c>
      <c r="D101" s="356">
        <v>3.1600000000000003E-2</v>
      </c>
      <c r="E101" s="357">
        <v>0.105</v>
      </c>
      <c r="F101" s="357">
        <f t="shared" si="3"/>
        <v>0.13825899999999999</v>
      </c>
      <c r="G101" s="357">
        <f t="shared" si="4"/>
        <v>4.0188696105714446E-4</v>
      </c>
      <c r="H101" s="358">
        <f t="shared" si="5"/>
        <v>5.5564489348799734E-5</v>
      </c>
    </row>
    <row r="102" spans="1:8" x14ac:dyDescent="0.4">
      <c r="A102" s="376" t="s">
        <v>1878</v>
      </c>
      <c r="B102" s="376" t="s">
        <v>1879</v>
      </c>
      <c r="C102" s="355">
        <v>63768.89</v>
      </c>
      <c r="D102" s="356">
        <v>2.5399999999999999E-2</v>
      </c>
      <c r="E102" s="357">
        <v>8.5000000000000006E-2</v>
      </c>
      <c r="F102" s="357">
        <f t="shared" si="3"/>
        <v>0.11147950000000001</v>
      </c>
      <c r="G102" s="357">
        <f t="shared" si="4"/>
        <v>1.6808664759879483E-3</v>
      </c>
      <c r="H102" s="358">
        <f t="shared" si="5"/>
        <v>1.8738215430989851E-4</v>
      </c>
    </row>
    <row r="103" spans="1:8" x14ac:dyDescent="0.4">
      <c r="A103" s="376" t="s">
        <v>1881</v>
      </c>
      <c r="B103" s="376" t="s">
        <v>1882</v>
      </c>
      <c r="C103" s="355">
        <v>19770.34</v>
      </c>
      <c r="D103" s="356">
        <v>2.9500000000000002E-2</v>
      </c>
      <c r="E103" s="357">
        <v>7.0000000000000007E-2</v>
      </c>
      <c r="F103" s="357">
        <f t="shared" si="3"/>
        <v>0.10053250000000001</v>
      </c>
      <c r="G103" s="357">
        <f t="shared" si="4"/>
        <v>5.211209058975869E-4</v>
      </c>
      <c r="H103" s="358">
        <f t="shared" si="5"/>
        <v>5.2389587472149163E-5</v>
      </c>
    </row>
    <row r="104" spans="1:8" x14ac:dyDescent="0.4">
      <c r="A104" s="376" t="s">
        <v>1884</v>
      </c>
      <c r="B104" s="376" t="s">
        <v>1885</v>
      </c>
      <c r="C104" s="355">
        <v>5721.73</v>
      </c>
      <c r="D104" s="356">
        <v>6.5299999999999997E-2</v>
      </c>
      <c r="E104" s="357">
        <v>0.04</v>
      </c>
      <c r="F104" s="357">
        <f t="shared" si="3"/>
        <v>0.10660600000000001</v>
      </c>
      <c r="G104" s="357">
        <f t="shared" si="4"/>
        <v>1.5081749332087357E-4</v>
      </c>
      <c r="H104" s="358">
        <f t="shared" si="5"/>
        <v>1.6078049692965049E-5</v>
      </c>
    </row>
    <row r="105" spans="1:8" x14ac:dyDescent="0.4">
      <c r="A105" s="376" t="s">
        <v>1887</v>
      </c>
      <c r="B105" s="376" t="s">
        <v>1888</v>
      </c>
      <c r="C105" s="355">
        <v>173361</v>
      </c>
      <c r="D105" s="356">
        <v>2.7999999999999997E-2</v>
      </c>
      <c r="E105" s="357">
        <v>8.5000000000000006E-2</v>
      </c>
      <c r="F105" s="357">
        <f t="shared" si="3"/>
        <v>0.11419</v>
      </c>
      <c r="G105" s="357">
        <f t="shared" si="4"/>
        <v>4.5695744922602021E-3</v>
      </c>
      <c r="H105" s="358">
        <f t="shared" si="5"/>
        <v>5.2179971127119243E-4</v>
      </c>
    </row>
    <row r="106" spans="1:8" x14ac:dyDescent="0.4">
      <c r="A106" s="376" t="s">
        <v>1890</v>
      </c>
      <c r="B106" s="376" t="s">
        <v>1891</v>
      </c>
      <c r="C106" s="355">
        <v>65990.02</v>
      </c>
      <c r="D106" s="356">
        <v>2.3900000000000001E-2</v>
      </c>
      <c r="E106" s="357">
        <v>7.4999999999999997E-2</v>
      </c>
      <c r="F106" s="357">
        <f t="shared" si="3"/>
        <v>9.9796250000000003E-2</v>
      </c>
      <c r="G106" s="357">
        <f t="shared" si="4"/>
        <v>1.7394126253063873E-3</v>
      </c>
      <c r="H106" s="358">
        <f t="shared" si="5"/>
        <v>1.7358685720823255E-4</v>
      </c>
    </row>
    <row r="107" spans="1:8" x14ac:dyDescent="0.4">
      <c r="A107" s="376" t="s">
        <v>1893</v>
      </c>
      <c r="B107" s="376" t="s">
        <v>1894</v>
      </c>
      <c r="C107" s="355">
        <v>58533.71</v>
      </c>
      <c r="D107" s="356">
        <v>0</v>
      </c>
      <c r="E107" s="357">
        <v>0.19</v>
      </c>
      <c r="F107" s="357">
        <f t="shared" si="3"/>
        <v>0.19</v>
      </c>
      <c r="G107" s="357">
        <f t="shared" si="4"/>
        <v>1.5428738191020815E-3</v>
      </c>
      <c r="H107" s="358">
        <f t="shared" si="5"/>
        <v>2.9314602562939546E-4</v>
      </c>
    </row>
    <row r="108" spans="1:8" x14ac:dyDescent="0.4">
      <c r="A108" s="376" t="s">
        <v>1896</v>
      </c>
      <c r="B108" s="376" t="s">
        <v>1897</v>
      </c>
      <c r="C108" s="355">
        <v>34442.03</v>
      </c>
      <c r="D108" s="356">
        <v>2.58E-2</v>
      </c>
      <c r="E108" s="357">
        <v>0.1</v>
      </c>
      <c r="F108" s="357">
        <f t="shared" si="3"/>
        <v>0.12709000000000001</v>
      </c>
      <c r="G108" s="357">
        <f t="shared" si="4"/>
        <v>9.0784791129297048E-4</v>
      </c>
      <c r="H108" s="358">
        <f t="shared" si="5"/>
        <v>1.1537839104622363E-4</v>
      </c>
    </row>
    <row r="109" spans="1:8" x14ac:dyDescent="0.4">
      <c r="A109" s="376" t="s">
        <v>1899</v>
      </c>
      <c r="B109" s="376" t="s">
        <v>1470</v>
      </c>
      <c r="C109" s="355">
        <v>17566.169999999998</v>
      </c>
      <c r="D109" s="356">
        <v>3.2400000000000005E-2</v>
      </c>
      <c r="E109" s="357">
        <v>5.5E-2</v>
      </c>
      <c r="F109" s="357">
        <f t="shared" si="3"/>
        <v>8.8291000000000008E-2</v>
      </c>
      <c r="G109" s="357">
        <f t="shared" si="4"/>
        <v>4.6302180051283965E-4</v>
      </c>
      <c r="H109" s="358">
        <f t="shared" si="5"/>
        <v>4.0880657789079128E-5</v>
      </c>
    </row>
    <row r="110" spans="1:8" x14ac:dyDescent="0.4">
      <c r="A110" s="376" t="s">
        <v>1901</v>
      </c>
      <c r="B110" s="376" t="s">
        <v>1902</v>
      </c>
      <c r="C110" s="355">
        <v>37207.589999999997</v>
      </c>
      <c r="D110" s="356">
        <v>0</v>
      </c>
      <c r="E110" s="357">
        <v>0.1</v>
      </c>
      <c r="F110" s="357">
        <f t="shared" si="3"/>
        <v>0.1</v>
      </c>
      <c r="G110" s="357">
        <f t="shared" si="4"/>
        <v>9.8074453990502929E-4</v>
      </c>
      <c r="H110" s="358">
        <f t="shared" si="5"/>
        <v>9.8074453990502929E-5</v>
      </c>
    </row>
    <row r="111" spans="1:8" x14ac:dyDescent="0.4">
      <c r="A111" s="376" t="s">
        <v>1904</v>
      </c>
      <c r="B111" s="376" t="s">
        <v>1472</v>
      </c>
      <c r="C111" s="355">
        <v>18697.060000000001</v>
      </c>
      <c r="D111" s="356">
        <v>2.5699999999999997E-2</v>
      </c>
      <c r="E111" s="357">
        <v>7.4999999999999997E-2</v>
      </c>
      <c r="F111" s="357">
        <f t="shared" si="3"/>
        <v>0.10166375</v>
      </c>
      <c r="G111" s="357">
        <f t="shared" si="4"/>
        <v>4.9283061620698169E-4</v>
      </c>
      <c r="H111" s="358">
        <f t="shared" si="5"/>
        <v>5.0103008558412535E-5</v>
      </c>
    </row>
    <row r="112" spans="1:8" x14ac:dyDescent="0.4">
      <c r="A112" s="376" t="s">
        <v>1906</v>
      </c>
      <c r="B112" s="376" t="s">
        <v>1907</v>
      </c>
      <c r="C112" s="355">
        <v>41687.11</v>
      </c>
      <c r="D112" s="356">
        <v>2.2000000000000002E-2</v>
      </c>
      <c r="E112" s="357">
        <v>5.0000000000000001E-3</v>
      </c>
      <c r="F112" s="357">
        <f t="shared" si="3"/>
        <v>2.7055000000000003E-2</v>
      </c>
      <c r="G112" s="357">
        <f t="shared" si="4"/>
        <v>1.0988189645424588E-3</v>
      </c>
      <c r="H112" s="358">
        <f t="shared" si="5"/>
        <v>2.9728547085696228E-5</v>
      </c>
    </row>
    <row r="113" spans="1:8" x14ac:dyDescent="0.4">
      <c r="A113" s="376" t="s">
        <v>1909</v>
      </c>
      <c r="B113" s="376" t="s">
        <v>1910</v>
      </c>
      <c r="C113" s="355">
        <v>18676.349999999999</v>
      </c>
      <c r="D113" s="356">
        <v>2.0000000000000001E-4</v>
      </c>
      <c r="E113" s="357">
        <v>0.1</v>
      </c>
      <c r="F113" s="357">
        <f t="shared" si="3"/>
        <v>0.10021000000000001</v>
      </c>
      <c r="G113" s="357">
        <f t="shared" si="4"/>
        <v>4.922847270638945E-4</v>
      </c>
      <c r="H113" s="358">
        <f t="shared" si="5"/>
        <v>4.9331852499072873E-5</v>
      </c>
    </row>
    <row r="114" spans="1:8" x14ac:dyDescent="0.4">
      <c r="A114" s="376" t="s">
        <v>1912</v>
      </c>
      <c r="B114" s="376" t="s">
        <v>1913</v>
      </c>
      <c r="C114" s="355">
        <v>125870.3</v>
      </c>
      <c r="D114" s="356">
        <v>2.3099999999999999E-2</v>
      </c>
      <c r="E114" s="357">
        <v>0.09</v>
      </c>
      <c r="F114" s="357">
        <f t="shared" si="3"/>
        <v>0.11413949999999999</v>
      </c>
      <c r="G114" s="357">
        <f t="shared" si="4"/>
        <v>3.3177803093725772E-3</v>
      </c>
      <c r="H114" s="358">
        <f t="shared" si="5"/>
        <v>3.7868978562163126E-4</v>
      </c>
    </row>
    <row r="115" spans="1:8" x14ac:dyDescent="0.4">
      <c r="A115" s="376" t="s">
        <v>1915</v>
      </c>
      <c r="B115" s="376" t="s">
        <v>1916</v>
      </c>
      <c r="C115" s="355">
        <v>239840.7</v>
      </c>
      <c r="D115" s="356">
        <v>7.4999999999999997E-3</v>
      </c>
      <c r="E115" s="357">
        <v>0.105</v>
      </c>
      <c r="F115" s="357">
        <f t="shared" si="3"/>
        <v>0.11289375</v>
      </c>
      <c r="G115" s="357">
        <f t="shared" si="4"/>
        <v>6.3218944568030387E-3</v>
      </c>
      <c r="H115" s="358">
        <f t="shared" si="5"/>
        <v>7.1370237233270805E-4</v>
      </c>
    </row>
    <row r="116" spans="1:8" x14ac:dyDescent="0.4">
      <c r="A116" s="376" t="s">
        <v>1918</v>
      </c>
      <c r="B116" s="376" t="s">
        <v>1919</v>
      </c>
      <c r="C116" s="355">
        <v>13702.04</v>
      </c>
      <c r="D116" s="356">
        <v>3.39E-2</v>
      </c>
      <c r="E116" s="357">
        <v>4.4999999999999998E-2</v>
      </c>
      <c r="F116" s="357">
        <f t="shared" si="3"/>
        <v>7.9662750000000004E-2</v>
      </c>
      <c r="G116" s="357">
        <f t="shared" si="4"/>
        <v>3.6116827011801377E-4</v>
      </c>
      <c r="H116" s="358">
        <f t="shared" si="5"/>
        <v>2.8771657610343803E-5</v>
      </c>
    </row>
    <row r="117" spans="1:8" x14ac:dyDescent="0.4">
      <c r="A117" s="376" t="s">
        <v>1921</v>
      </c>
      <c r="B117" s="376" t="s">
        <v>1922</v>
      </c>
      <c r="C117" s="355">
        <v>43175.5</v>
      </c>
      <c r="D117" s="356">
        <v>0</v>
      </c>
      <c r="E117" s="357">
        <v>7.4999999999999997E-2</v>
      </c>
      <c r="F117" s="357">
        <f t="shared" si="3"/>
        <v>7.4999999999999997E-2</v>
      </c>
      <c r="G117" s="357">
        <f t="shared" si="4"/>
        <v>1.1380510235322844E-3</v>
      </c>
      <c r="H117" s="358">
        <f t="shared" si="5"/>
        <v>8.535382676492133E-5</v>
      </c>
    </row>
    <row r="118" spans="1:8" x14ac:dyDescent="0.4">
      <c r="A118" s="376" t="s">
        <v>1924</v>
      </c>
      <c r="B118" s="376" t="s">
        <v>1925</v>
      </c>
      <c r="C118" s="355">
        <v>11669.98</v>
      </c>
      <c r="D118" s="356">
        <v>3.7999999999999999E-2</v>
      </c>
      <c r="E118" s="357">
        <v>-0.04</v>
      </c>
      <c r="F118" s="357">
        <f t="shared" si="3"/>
        <v>-2.7600000000000055E-3</v>
      </c>
      <c r="G118" s="357">
        <f t="shared" si="4"/>
        <v>3.076057644636724E-4</v>
      </c>
      <c r="H118" s="358">
        <f t="shared" si="5"/>
        <v>-8.4899190991973751E-7</v>
      </c>
    </row>
    <row r="119" spans="1:8" x14ac:dyDescent="0.4">
      <c r="A119" s="376" t="s">
        <v>1927</v>
      </c>
      <c r="B119" s="376" t="s">
        <v>1928</v>
      </c>
      <c r="C119" s="355">
        <v>10590.58</v>
      </c>
      <c r="D119" s="356">
        <v>0</v>
      </c>
      <c r="E119" s="357">
        <v>0.08</v>
      </c>
      <c r="F119" s="357">
        <f t="shared" si="3"/>
        <v>0.08</v>
      </c>
      <c r="G119" s="357">
        <f t="shared" si="4"/>
        <v>2.79154159391334E-4</v>
      </c>
      <c r="H119" s="358">
        <f t="shared" si="5"/>
        <v>2.2332332751306719E-5</v>
      </c>
    </row>
    <row r="120" spans="1:8" x14ac:dyDescent="0.4">
      <c r="A120" s="376" t="s">
        <v>1930</v>
      </c>
      <c r="B120" s="376" t="s">
        <v>1931</v>
      </c>
      <c r="C120" s="355">
        <v>208260.7</v>
      </c>
      <c r="D120" s="356">
        <v>0</v>
      </c>
      <c r="E120" s="357">
        <v>0.18</v>
      </c>
      <c r="F120" s="357">
        <f t="shared" si="3"/>
        <v>0.18</v>
      </c>
      <c r="G120" s="357">
        <f t="shared" si="4"/>
        <v>5.4894860000822233E-3</v>
      </c>
      <c r="H120" s="358">
        <f t="shared" si="5"/>
        <v>9.8810748001480027E-4</v>
      </c>
    </row>
    <row r="121" spans="1:8" x14ac:dyDescent="0.4">
      <c r="A121" s="376" t="s">
        <v>1933</v>
      </c>
      <c r="B121" s="376" t="s">
        <v>1934</v>
      </c>
      <c r="C121" s="355">
        <v>209903.3</v>
      </c>
      <c r="D121" s="356">
        <v>3.0299999999999997E-2</v>
      </c>
      <c r="E121" s="357">
        <v>8.5000000000000006E-2</v>
      </c>
      <c r="F121" s="357">
        <f t="shared" si="3"/>
        <v>0.11658775</v>
      </c>
      <c r="G121" s="357">
        <f t="shared" si="4"/>
        <v>5.5327828376696081E-3</v>
      </c>
      <c r="H121" s="358">
        <f t="shared" si="5"/>
        <v>6.4505470228251485E-4</v>
      </c>
    </row>
    <row r="122" spans="1:8" x14ac:dyDescent="0.4">
      <c r="A122" s="376" t="s">
        <v>1936</v>
      </c>
      <c r="B122" s="376" t="s">
        <v>1937</v>
      </c>
      <c r="C122" s="355">
        <v>36123.550000000003</v>
      </c>
      <c r="D122" s="356">
        <v>0</v>
      </c>
      <c r="E122" s="357">
        <v>0.13</v>
      </c>
      <c r="F122" s="357">
        <f t="shared" si="3"/>
        <v>0.13</v>
      </c>
      <c r="G122" s="357">
        <f t="shared" si="4"/>
        <v>9.5217063036026584E-4</v>
      </c>
      <c r="H122" s="358">
        <f t="shared" si="5"/>
        <v>1.2378218194683457E-4</v>
      </c>
    </row>
    <row r="123" spans="1:8" x14ac:dyDescent="0.4">
      <c r="A123" s="376" t="s">
        <v>1939</v>
      </c>
      <c r="B123" s="376" t="s">
        <v>1940</v>
      </c>
      <c r="C123" s="355">
        <v>68860.259999999995</v>
      </c>
      <c r="D123" s="356">
        <v>1.3000000000000001E-2</v>
      </c>
      <c r="E123" s="357">
        <v>8.5000000000000006E-2</v>
      </c>
      <c r="F123" s="357">
        <f t="shared" si="3"/>
        <v>9.8552500000000001E-2</v>
      </c>
      <c r="G123" s="357">
        <f t="shared" si="4"/>
        <v>1.8150684849903122E-3</v>
      </c>
      <c r="H123" s="358">
        <f t="shared" si="5"/>
        <v>1.7887953686700775E-4</v>
      </c>
    </row>
    <row r="124" spans="1:8" x14ac:dyDescent="0.4">
      <c r="A124" s="376" t="s">
        <v>1942</v>
      </c>
      <c r="B124" s="376" t="s">
        <v>1943</v>
      </c>
      <c r="C124" s="355">
        <v>49489.86</v>
      </c>
      <c r="D124" s="356">
        <v>9.4999999999999998E-3</v>
      </c>
      <c r="E124" s="357">
        <v>0.14000000000000001</v>
      </c>
      <c r="F124" s="357">
        <f t="shared" si="3"/>
        <v>0.15016500000000002</v>
      </c>
      <c r="G124" s="357">
        <f t="shared" si="4"/>
        <v>1.3044894865715385E-3</v>
      </c>
      <c r="H124" s="358">
        <f t="shared" si="5"/>
        <v>1.9588866375101511E-4</v>
      </c>
    </row>
    <row r="125" spans="1:8" x14ac:dyDescent="0.4">
      <c r="A125" s="376" t="s">
        <v>1945</v>
      </c>
      <c r="B125" s="376" t="s">
        <v>1946</v>
      </c>
      <c r="C125" s="355">
        <v>8056.8</v>
      </c>
      <c r="D125" s="356">
        <v>0</v>
      </c>
      <c r="E125" s="357">
        <v>8.5000000000000006E-2</v>
      </c>
      <c r="F125" s="357">
        <f t="shared" si="3"/>
        <v>8.5000000000000006E-2</v>
      </c>
      <c r="G125" s="357">
        <f t="shared" si="4"/>
        <v>2.1236695548157889E-4</v>
      </c>
      <c r="H125" s="358">
        <f t="shared" si="5"/>
        <v>1.8051191215934207E-5</v>
      </c>
    </row>
    <row r="126" spans="1:8" x14ac:dyDescent="0.4">
      <c r="A126" s="376" t="s">
        <v>1948</v>
      </c>
      <c r="B126" s="376" t="s">
        <v>1949</v>
      </c>
      <c r="C126" s="355">
        <v>19352.09</v>
      </c>
      <c r="D126" s="356">
        <v>3.1800000000000002E-2</v>
      </c>
      <c r="E126" s="357" t="s">
        <v>3064</v>
      </c>
      <c r="F126" s="357" t="str">
        <f t="shared" si="3"/>
        <v>N/A</v>
      </c>
      <c r="G126" s="357" t="str">
        <f t="shared" si="4"/>
        <v>N/A</v>
      </c>
      <c r="H126" s="358" t="str">
        <f t="shared" si="5"/>
        <v>N/A</v>
      </c>
    </row>
    <row r="127" spans="1:8" x14ac:dyDescent="0.4">
      <c r="A127" s="376" t="s">
        <v>1951</v>
      </c>
      <c r="B127" s="376" t="s">
        <v>1952</v>
      </c>
      <c r="C127" s="355">
        <v>33223.71</v>
      </c>
      <c r="D127" s="356">
        <v>1.77E-2</v>
      </c>
      <c r="E127" s="357">
        <v>0.08</v>
      </c>
      <c r="F127" s="357">
        <f t="shared" si="3"/>
        <v>9.8407999999999995E-2</v>
      </c>
      <c r="G127" s="357">
        <f t="shared" si="4"/>
        <v>8.7573455249018064E-4</v>
      </c>
      <c r="H127" s="358">
        <f t="shared" si="5"/>
        <v>8.6179285841453686E-5</v>
      </c>
    </row>
    <row r="128" spans="1:8" x14ac:dyDescent="0.4">
      <c r="A128" s="376" t="s">
        <v>1954</v>
      </c>
      <c r="B128" s="376" t="s">
        <v>1955</v>
      </c>
      <c r="C128" s="355">
        <v>40188.839999999997</v>
      </c>
      <c r="D128" s="356">
        <v>1.1299999999999999E-2</v>
      </c>
      <c r="E128" s="357">
        <v>0.155</v>
      </c>
      <c r="F128" s="357">
        <f t="shared" si="3"/>
        <v>0.16717574999999998</v>
      </c>
      <c r="G128" s="357">
        <f t="shared" si="4"/>
        <v>1.0593264813742796E-3</v>
      </c>
      <c r="H128" s="358">
        <f t="shared" si="5"/>
        <v>1.770936990186062E-4</v>
      </c>
    </row>
    <row r="129" spans="1:8" x14ac:dyDescent="0.4">
      <c r="A129" s="376" t="s">
        <v>1957</v>
      </c>
      <c r="B129" s="376" t="s">
        <v>1958</v>
      </c>
      <c r="C129" s="355">
        <v>89005.6</v>
      </c>
      <c r="D129" s="356">
        <v>3.56E-2</v>
      </c>
      <c r="E129" s="357">
        <v>0.05</v>
      </c>
      <c r="F129" s="357">
        <f t="shared" si="3"/>
        <v>8.6489999999999997E-2</v>
      </c>
      <c r="G129" s="357">
        <f t="shared" si="4"/>
        <v>2.3460739118274275E-3</v>
      </c>
      <c r="H129" s="358">
        <f t="shared" si="5"/>
        <v>2.0291193263395421E-4</v>
      </c>
    </row>
    <row r="130" spans="1:8" x14ac:dyDescent="0.4">
      <c r="A130" s="376" t="s">
        <v>1960</v>
      </c>
      <c r="B130" s="376" t="s">
        <v>1961</v>
      </c>
      <c r="C130" s="355">
        <v>296084.8</v>
      </c>
      <c r="D130" s="356">
        <v>3.9E-2</v>
      </c>
      <c r="E130" s="357">
        <v>0.215</v>
      </c>
      <c r="F130" s="357">
        <f t="shared" si="3"/>
        <v>0.25819249999999999</v>
      </c>
      <c r="G130" s="357">
        <f t="shared" si="4"/>
        <v>7.8044170812695103E-3</v>
      </c>
      <c r="H130" s="358">
        <f t="shared" si="5"/>
        <v>2.0150419572556779E-3</v>
      </c>
    </row>
    <row r="131" spans="1:8" x14ac:dyDescent="0.4">
      <c r="A131" s="376" t="s">
        <v>1963</v>
      </c>
      <c r="B131" s="376" t="s">
        <v>1964</v>
      </c>
      <c r="C131" s="355">
        <v>10584.45</v>
      </c>
      <c r="D131" s="356">
        <v>0</v>
      </c>
      <c r="E131" s="357" t="s">
        <v>3064</v>
      </c>
      <c r="F131" s="357" t="str">
        <f t="shared" si="3"/>
        <v>N/A</v>
      </c>
      <c r="G131" s="357" t="str">
        <f t="shared" si="4"/>
        <v>N/A</v>
      </c>
      <c r="H131" s="358" t="str">
        <f t="shared" si="5"/>
        <v>N/A</v>
      </c>
    </row>
    <row r="132" spans="1:8" x14ac:dyDescent="0.4">
      <c r="A132" s="376" t="s">
        <v>1966</v>
      </c>
      <c r="B132" s="376" t="s">
        <v>1474</v>
      </c>
      <c r="C132" s="355">
        <v>44383.24</v>
      </c>
      <c r="D132" s="356">
        <v>5.0300000000000004E-2</v>
      </c>
      <c r="E132" s="357">
        <v>4.4999999999999998E-2</v>
      </c>
      <c r="F132" s="357">
        <f t="shared" ref="F132:F195" si="6">IFERROR(D132*(1+0.5*E132)+E132,"N/A")</f>
        <v>9.6431750000000011E-2</v>
      </c>
      <c r="G132" s="357">
        <f t="shared" ref="G132:G195" si="7">IF(F132="N/A","N/A",C132/$C$504)</f>
        <v>1.169885507050967E-3</v>
      </c>
      <c r="H132" s="358">
        <f t="shared" si="5"/>
        <v>1.128141067445621E-4</v>
      </c>
    </row>
    <row r="133" spans="1:8" x14ac:dyDescent="0.4">
      <c r="A133" s="376" t="s">
        <v>1968</v>
      </c>
      <c r="B133" s="376" t="s">
        <v>1969</v>
      </c>
      <c r="C133" s="355">
        <v>31184.63</v>
      </c>
      <c r="D133" s="356">
        <v>8.199999999999999E-3</v>
      </c>
      <c r="E133" s="357" t="s">
        <v>3064</v>
      </c>
      <c r="F133" s="357" t="str">
        <f t="shared" si="6"/>
        <v>N/A</v>
      </c>
      <c r="G133" s="357" t="str">
        <f t="shared" si="7"/>
        <v>N/A</v>
      </c>
      <c r="H133" s="358" t="str">
        <f t="shared" ref="H133:H196" si="8">IF(ISNUMBER(G133),F133*G133,"N/A")</f>
        <v>N/A</v>
      </c>
    </row>
    <row r="134" spans="1:8" x14ac:dyDescent="0.4">
      <c r="A134" s="376" t="s">
        <v>1971</v>
      </c>
      <c r="B134" s="376" t="s">
        <v>1972</v>
      </c>
      <c r="C134" s="355">
        <v>32034.79</v>
      </c>
      <c r="D134" s="356">
        <v>2.12E-2</v>
      </c>
      <c r="E134" s="357">
        <v>9.5000000000000001E-2</v>
      </c>
      <c r="F134" s="357">
        <f t="shared" si="6"/>
        <v>0.11720700000000001</v>
      </c>
      <c r="G134" s="357">
        <f t="shared" si="7"/>
        <v>8.4439614012904983E-4</v>
      </c>
      <c r="H134" s="358">
        <f t="shared" si="8"/>
        <v>9.896913839610555E-5</v>
      </c>
    </row>
    <row r="135" spans="1:8" x14ac:dyDescent="0.4">
      <c r="A135" s="376" t="s">
        <v>1974</v>
      </c>
      <c r="B135" s="376" t="s">
        <v>887</v>
      </c>
      <c r="C135" s="355">
        <v>118643.1</v>
      </c>
      <c r="D135" s="356">
        <v>1.24E-2</v>
      </c>
      <c r="E135" s="357">
        <v>0.13</v>
      </c>
      <c r="F135" s="357">
        <f t="shared" si="6"/>
        <v>0.143206</v>
      </c>
      <c r="G135" s="357">
        <f t="shared" si="7"/>
        <v>3.1272805500814856E-3</v>
      </c>
      <c r="H135" s="358">
        <f t="shared" si="8"/>
        <v>4.4784533845496923E-4</v>
      </c>
    </row>
    <row r="136" spans="1:8" x14ac:dyDescent="0.4">
      <c r="A136" s="376" t="s">
        <v>1976</v>
      </c>
      <c r="B136" s="376" t="s">
        <v>1977</v>
      </c>
      <c r="C136" s="355">
        <v>29842.81</v>
      </c>
      <c r="D136" s="356">
        <v>2.41E-2</v>
      </c>
      <c r="E136" s="357">
        <v>0.04</v>
      </c>
      <c r="F136" s="357">
        <f t="shared" si="6"/>
        <v>6.4582000000000001E-2</v>
      </c>
      <c r="G136" s="357">
        <f t="shared" si="7"/>
        <v>7.8661834757164355E-4</v>
      </c>
      <c r="H136" s="358">
        <f t="shared" si="8"/>
        <v>5.0801386122871886E-5</v>
      </c>
    </row>
    <row r="137" spans="1:8" x14ac:dyDescent="0.4">
      <c r="A137" s="376" t="s">
        <v>1979</v>
      </c>
      <c r="B137" s="376" t="s">
        <v>1980</v>
      </c>
      <c r="C137" s="355">
        <v>37322.21</v>
      </c>
      <c r="D137" s="356">
        <v>1.3899999999999999E-2</v>
      </c>
      <c r="E137" s="357">
        <v>7.0000000000000007E-2</v>
      </c>
      <c r="F137" s="357">
        <f t="shared" si="6"/>
        <v>8.4386500000000003E-2</v>
      </c>
      <c r="G137" s="357">
        <f t="shared" si="7"/>
        <v>9.837657766785992E-4</v>
      </c>
      <c r="H137" s="358">
        <f t="shared" si="8"/>
        <v>8.301655071368862E-5</v>
      </c>
    </row>
    <row r="138" spans="1:8" x14ac:dyDescent="0.4">
      <c r="A138" s="376" t="s">
        <v>1982</v>
      </c>
      <c r="B138" s="376" t="s">
        <v>1983</v>
      </c>
      <c r="C138" s="355">
        <v>15478.4</v>
      </c>
      <c r="D138" s="356">
        <v>2.06E-2</v>
      </c>
      <c r="E138" s="357">
        <v>0.04</v>
      </c>
      <c r="F138" s="357">
        <f t="shared" si="6"/>
        <v>6.1011999999999997E-2</v>
      </c>
      <c r="G138" s="357">
        <f t="shared" si="7"/>
        <v>4.0799085042772201E-4</v>
      </c>
      <c r="H138" s="358">
        <f t="shared" si="8"/>
        <v>2.4892337766296172E-5</v>
      </c>
    </row>
    <row r="139" spans="1:8" x14ac:dyDescent="0.4">
      <c r="A139" s="376" t="s">
        <v>1985</v>
      </c>
      <c r="B139" s="376" t="s">
        <v>1986</v>
      </c>
      <c r="C139" s="355">
        <v>40686.239999999998</v>
      </c>
      <c r="D139" s="356">
        <v>8.5000000000000006E-3</v>
      </c>
      <c r="E139" s="357">
        <v>0.03</v>
      </c>
      <c r="F139" s="357">
        <f t="shared" si="6"/>
        <v>3.8627499999999995E-2</v>
      </c>
      <c r="G139" s="357">
        <f t="shared" si="7"/>
        <v>1.0724373099484702E-3</v>
      </c>
      <c r="H139" s="358">
        <f t="shared" si="8"/>
        <v>4.1425572190034527E-5</v>
      </c>
    </row>
    <row r="140" spans="1:8" x14ac:dyDescent="0.4">
      <c r="A140" s="376" t="s">
        <v>1988</v>
      </c>
      <c r="B140" s="376" t="s">
        <v>1989</v>
      </c>
      <c r="C140" s="355">
        <v>173097.5</v>
      </c>
      <c r="D140" s="356">
        <v>4.5999999999999999E-3</v>
      </c>
      <c r="E140" s="357">
        <v>0.105</v>
      </c>
      <c r="F140" s="357">
        <f t="shared" si="6"/>
        <v>0.10984149999999999</v>
      </c>
      <c r="G140" s="357">
        <f t="shared" si="7"/>
        <v>4.5626289688800274E-3</v>
      </c>
      <c r="H140" s="358">
        <f t="shared" si="8"/>
        <v>5.0116600988523547E-4</v>
      </c>
    </row>
    <row r="141" spans="1:8" x14ac:dyDescent="0.4">
      <c r="A141" s="376" t="s">
        <v>1991</v>
      </c>
      <c r="B141" s="376" t="s">
        <v>1992</v>
      </c>
      <c r="C141" s="355">
        <v>162340.29999999999</v>
      </c>
      <c r="D141" s="356">
        <v>0</v>
      </c>
      <c r="E141" s="357">
        <v>0.65</v>
      </c>
      <c r="F141" s="357">
        <f t="shared" si="6"/>
        <v>0.65</v>
      </c>
      <c r="G141" s="357">
        <f t="shared" si="7"/>
        <v>4.2790829191448419E-3</v>
      </c>
      <c r="H141" s="358">
        <f t="shared" si="8"/>
        <v>2.7814038974441472E-3</v>
      </c>
    </row>
    <row r="142" spans="1:8" x14ac:dyDescent="0.4">
      <c r="A142" s="376" t="s">
        <v>1994</v>
      </c>
      <c r="B142" s="376" t="s">
        <v>1995</v>
      </c>
      <c r="C142" s="355">
        <v>33569.370000000003</v>
      </c>
      <c r="D142" s="356">
        <v>4.3400000000000001E-2</v>
      </c>
      <c r="E142" s="357">
        <v>-0.01</v>
      </c>
      <c r="F142" s="357">
        <f t="shared" si="6"/>
        <v>3.3182999999999997E-2</v>
      </c>
      <c r="G142" s="357">
        <f t="shared" si="7"/>
        <v>8.8484570851140036E-4</v>
      </c>
      <c r="H142" s="358">
        <f t="shared" si="8"/>
        <v>2.9361835145533796E-5</v>
      </c>
    </row>
    <row r="143" spans="1:8" x14ac:dyDescent="0.4">
      <c r="A143" s="376" t="s">
        <v>1997</v>
      </c>
      <c r="B143" s="376" t="s">
        <v>1998</v>
      </c>
      <c r="C143" s="355">
        <v>32091.05</v>
      </c>
      <c r="D143" s="356">
        <v>0</v>
      </c>
      <c r="E143" s="357">
        <v>0.105</v>
      </c>
      <c r="F143" s="357">
        <f t="shared" si="6"/>
        <v>0.105</v>
      </c>
      <c r="G143" s="357">
        <f t="shared" si="7"/>
        <v>8.4587908185720408E-4</v>
      </c>
      <c r="H143" s="358">
        <f t="shared" si="8"/>
        <v>8.8817303595006421E-5</v>
      </c>
    </row>
    <row r="144" spans="1:8" x14ac:dyDescent="0.4">
      <c r="A144" s="376" t="s">
        <v>2000</v>
      </c>
      <c r="B144" s="376" t="s">
        <v>2001</v>
      </c>
      <c r="C144" s="355">
        <v>20278.39</v>
      </c>
      <c r="D144" s="356">
        <v>1.3899999999999999E-2</v>
      </c>
      <c r="E144" s="357">
        <v>6.5000000000000002E-2</v>
      </c>
      <c r="F144" s="357">
        <f t="shared" si="6"/>
        <v>7.9351749999999999E-2</v>
      </c>
      <c r="G144" s="357">
        <f t="shared" si="7"/>
        <v>5.3451245486645994E-4</v>
      </c>
      <c r="H144" s="358">
        <f t="shared" si="8"/>
        <v>4.241449869044961E-5</v>
      </c>
    </row>
    <row r="145" spans="1:8" x14ac:dyDescent="0.4">
      <c r="A145" s="376" t="s">
        <v>2003</v>
      </c>
      <c r="B145" s="376" t="s">
        <v>2004</v>
      </c>
      <c r="C145" s="355">
        <v>37374.519999999997</v>
      </c>
      <c r="D145" s="356">
        <v>5.4900000000000004E-2</v>
      </c>
      <c r="E145" s="357">
        <v>7.0000000000000007E-2</v>
      </c>
      <c r="F145" s="357">
        <f t="shared" si="6"/>
        <v>0.1268215</v>
      </c>
      <c r="G145" s="357">
        <f t="shared" si="7"/>
        <v>9.8514460145285722E-4</v>
      </c>
      <c r="H145" s="358">
        <f t="shared" si="8"/>
        <v>1.2493751607315354E-4</v>
      </c>
    </row>
    <row r="146" spans="1:8" x14ac:dyDescent="0.4">
      <c r="A146" s="376" t="s">
        <v>2006</v>
      </c>
      <c r="B146" s="376" t="s">
        <v>2007</v>
      </c>
      <c r="C146" s="355">
        <v>11834.14</v>
      </c>
      <c r="D146" s="356">
        <v>1.47E-2</v>
      </c>
      <c r="E146" s="357">
        <v>0.13500000000000001</v>
      </c>
      <c r="F146" s="357">
        <f t="shared" si="6"/>
        <v>0.15069225</v>
      </c>
      <c r="G146" s="357">
        <f t="shared" si="7"/>
        <v>3.1193281235016035E-4</v>
      </c>
      <c r="H146" s="358">
        <f t="shared" si="8"/>
        <v>4.7005857341873454E-5</v>
      </c>
    </row>
    <row r="147" spans="1:8" x14ac:dyDescent="0.4">
      <c r="A147" s="376" t="s">
        <v>2009</v>
      </c>
      <c r="B147" s="376" t="s">
        <v>2010</v>
      </c>
      <c r="C147" s="355">
        <v>19947.240000000002</v>
      </c>
      <c r="D147" s="356">
        <v>3.1800000000000002E-2</v>
      </c>
      <c r="E147" s="357">
        <v>0.17499999999999999</v>
      </c>
      <c r="F147" s="357">
        <f t="shared" si="6"/>
        <v>0.2095825</v>
      </c>
      <c r="G147" s="357">
        <f t="shared" si="7"/>
        <v>5.257837639087938E-4</v>
      </c>
      <c r="H147" s="358">
        <f t="shared" si="8"/>
        <v>1.1019507569941478E-4</v>
      </c>
    </row>
    <row r="148" spans="1:8" x14ac:dyDescent="0.4">
      <c r="A148" s="376" t="s">
        <v>2012</v>
      </c>
      <c r="B148" s="376" t="s">
        <v>1476</v>
      </c>
      <c r="C148" s="355">
        <v>23187.26</v>
      </c>
      <c r="D148" s="356">
        <v>3.39E-2</v>
      </c>
      <c r="E148" s="357">
        <v>0.05</v>
      </c>
      <c r="F148" s="357">
        <f t="shared" si="6"/>
        <v>8.4747500000000003E-2</v>
      </c>
      <c r="G148" s="357">
        <f t="shared" si="7"/>
        <v>6.1118655200076888E-4</v>
      </c>
      <c r="H148" s="358">
        <f t="shared" si="8"/>
        <v>5.179653231568516E-5</v>
      </c>
    </row>
    <row r="149" spans="1:8" x14ac:dyDescent="0.4">
      <c r="A149" s="376" t="s">
        <v>2014</v>
      </c>
      <c r="B149" s="376" t="s">
        <v>1477</v>
      </c>
      <c r="C149" s="355">
        <v>70631.31</v>
      </c>
      <c r="D149" s="356">
        <v>4.3899999999999995E-2</v>
      </c>
      <c r="E149" s="357">
        <v>0.05</v>
      </c>
      <c r="F149" s="357">
        <f t="shared" si="6"/>
        <v>9.4997499999999985E-2</v>
      </c>
      <c r="G149" s="357">
        <f t="shared" si="7"/>
        <v>1.8617511004835167E-3</v>
      </c>
      <c r="H149" s="358">
        <f t="shared" si="8"/>
        <v>1.7686170016818284E-4</v>
      </c>
    </row>
    <row r="150" spans="1:8" x14ac:dyDescent="0.4">
      <c r="A150" s="376" t="s">
        <v>2016</v>
      </c>
      <c r="B150" s="376" t="s">
        <v>2017</v>
      </c>
      <c r="C150" s="355">
        <v>9188.2800000000007</v>
      </c>
      <c r="D150" s="356">
        <v>0</v>
      </c>
      <c r="E150" s="357">
        <v>7.0000000000000007E-2</v>
      </c>
      <c r="F150" s="357">
        <f t="shared" si="6"/>
        <v>7.0000000000000007E-2</v>
      </c>
      <c r="G150" s="357">
        <f t="shared" si="7"/>
        <v>2.4219132282199903E-4</v>
      </c>
      <c r="H150" s="358">
        <f t="shared" si="8"/>
        <v>1.6953392597539932E-5</v>
      </c>
    </row>
    <row r="151" spans="1:8" x14ac:dyDescent="0.4">
      <c r="A151" s="376" t="s">
        <v>2019</v>
      </c>
      <c r="B151" s="376" t="s">
        <v>2020</v>
      </c>
      <c r="C151" s="355">
        <v>31253.4</v>
      </c>
      <c r="D151" s="356">
        <v>1.6500000000000001E-2</v>
      </c>
      <c r="E151" s="357">
        <v>0.14499999999999999</v>
      </c>
      <c r="F151" s="357">
        <f t="shared" si="6"/>
        <v>0.16269624999999999</v>
      </c>
      <c r="G151" s="357">
        <f t="shared" si="7"/>
        <v>8.2379969795054833E-4</v>
      </c>
      <c r="H151" s="358">
        <f t="shared" si="8"/>
        <v>1.3402912160768689E-4</v>
      </c>
    </row>
    <row r="152" spans="1:8" x14ac:dyDescent="0.4">
      <c r="A152" s="376" t="s">
        <v>2022</v>
      </c>
      <c r="B152" s="376" t="s">
        <v>2023</v>
      </c>
      <c r="C152" s="355">
        <v>6043.91</v>
      </c>
      <c r="D152" s="356">
        <v>0</v>
      </c>
      <c r="E152" s="357">
        <v>0.09</v>
      </c>
      <c r="F152" s="357">
        <f t="shared" si="6"/>
        <v>0.09</v>
      </c>
      <c r="G152" s="357">
        <f t="shared" si="7"/>
        <v>1.5930974653766624E-4</v>
      </c>
      <c r="H152" s="358">
        <f t="shared" si="8"/>
        <v>1.4337877188389961E-5</v>
      </c>
    </row>
    <row r="153" spans="1:8" x14ac:dyDescent="0.4">
      <c r="A153" s="376" t="s">
        <v>2025</v>
      </c>
      <c r="B153" s="376" t="s">
        <v>2026</v>
      </c>
      <c r="C153" s="355">
        <v>49639.93</v>
      </c>
      <c r="D153" s="356">
        <v>0</v>
      </c>
      <c r="E153" s="357">
        <v>0.27</v>
      </c>
      <c r="F153" s="357">
        <f t="shared" si="6"/>
        <v>0.27</v>
      </c>
      <c r="G153" s="357">
        <f t="shared" si="7"/>
        <v>1.3084451400579252E-3</v>
      </c>
      <c r="H153" s="358">
        <f t="shared" si="8"/>
        <v>3.5328018781563981E-4</v>
      </c>
    </row>
    <row r="154" spans="1:8" x14ac:dyDescent="0.4">
      <c r="A154" s="376" t="s">
        <v>2028</v>
      </c>
      <c r="B154" s="376" t="s">
        <v>2029</v>
      </c>
      <c r="C154" s="355">
        <v>35448.800000000003</v>
      </c>
      <c r="D154" s="356">
        <v>5.8999999999999999E-3</v>
      </c>
      <c r="E154" s="357">
        <v>0.16</v>
      </c>
      <c r="F154" s="357">
        <f t="shared" si="6"/>
        <v>0.16637199999999999</v>
      </c>
      <c r="G154" s="357">
        <f t="shared" si="7"/>
        <v>9.343850823497411E-4</v>
      </c>
      <c r="H154" s="358">
        <f t="shared" si="8"/>
        <v>1.5545551492069111E-4</v>
      </c>
    </row>
    <row r="155" spans="1:8" x14ac:dyDescent="0.4">
      <c r="A155" s="376" t="s">
        <v>2031</v>
      </c>
      <c r="B155" s="376" t="s">
        <v>2032</v>
      </c>
      <c r="C155" s="355">
        <v>24136.080000000002</v>
      </c>
      <c r="D155" s="356">
        <v>2.29E-2</v>
      </c>
      <c r="E155" s="357">
        <v>0.105</v>
      </c>
      <c r="F155" s="357">
        <f t="shared" si="6"/>
        <v>0.12910225</v>
      </c>
      <c r="G155" s="357">
        <f t="shared" si="7"/>
        <v>6.3619623508835114E-4</v>
      </c>
      <c r="H155" s="358">
        <f t="shared" si="8"/>
        <v>8.2134365391435082E-5</v>
      </c>
    </row>
    <row r="156" spans="1:8" x14ac:dyDescent="0.4">
      <c r="A156" s="376" t="s">
        <v>2034</v>
      </c>
      <c r="B156" s="376" t="s">
        <v>2035</v>
      </c>
      <c r="C156" s="355">
        <v>52320.34</v>
      </c>
      <c r="D156" s="356">
        <v>1.15E-2</v>
      </c>
      <c r="E156" s="357">
        <v>0.105</v>
      </c>
      <c r="F156" s="357">
        <f t="shared" si="6"/>
        <v>0.11710374999999999</v>
      </c>
      <c r="G156" s="357">
        <f t="shared" si="7"/>
        <v>1.3790973234486484E-3</v>
      </c>
      <c r="H156" s="358">
        <f t="shared" si="8"/>
        <v>1.6149746819079966E-4</v>
      </c>
    </row>
    <row r="157" spans="1:8" x14ac:dyDescent="0.4">
      <c r="A157" s="376" t="s">
        <v>2037</v>
      </c>
      <c r="B157" s="376" t="s">
        <v>1478</v>
      </c>
      <c r="C157" s="355">
        <v>32126.1</v>
      </c>
      <c r="D157" s="356">
        <v>3.5200000000000002E-2</v>
      </c>
      <c r="E157" s="357">
        <v>5.5E-2</v>
      </c>
      <c r="F157" s="357">
        <f t="shared" si="6"/>
        <v>9.1167999999999999E-2</v>
      </c>
      <c r="G157" s="357">
        <f t="shared" si="7"/>
        <v>8.4680295508101874E-4</v>
      </c>
      <c r="H157" s="358">
        <f t="shared" si="8"/>
        <v>7.7201331808826314E-5</v>
      </c>
    </row>
    <row r="158" spans="1:8" x14ac:dyDescent="0.4">
      <c r="A158" s="376" t="s">
        <v>2039</v>
      </c>
      <c r="B158" s="376" t="s">
        <v>2040</v>
      </c>
      <c r="C158" s="355">
        <v>28354.93</v>
      </c>
      <c r="D158" s="356">
        <v>6.8000000000000005E-3</v>
      </c>
      <c r="E158" s="357">
        <v>4.4999999999999998E-2</v>
      </c>
      <c r="F158" s="357">
        <f t="shared" si="6"/>
        <v>5.1952999999999999E-2</v>
      </c>
      <c r="G158" s="357">
        <f t="shared" si="7"/>
        <v>7.4739973153029559E-4</v>
      </c>
      <c r="H158" s="358">
        <f t="shared" si="8"/>
        <v>3.8829658252193445E-5</v>
      </c>
    </row>
    <row r="159" spans="1:8" x14ac:dyDescent="0.4">
      <c r="A159" s="376" t="s">
        <v>2042</v>
      </c>
      <c r="B159" s="376" t="s">
        <v>2043</v>
      </c>
      <c r="C159" s="355" t="s">
        <v>3064</v>
      </c>
      <c r="D159" s="356">
        <v>0</v>
      </c>
      <c r="E159" s="357" t="s">
        <v>3064</v>
      </c>
      <c r="F159" s="357" t="str">
        <f t="shared" si="6"/>
        <v>N/A</v>
      </c>
      <c r="G159" s="357" t="str">
        <f t="shared" si="7"/>
        <v>N/A</v>
      </c>
      <c r="H159" s="358" t="str">
        <f t="shared" si="8"/>
        <v>N/A</v>
      </c>
    </row>
    <row r="160" spans="1:8" x14ac:dyDescent="0.4">
      <c r="A160" s="376" t="s">
        <v>2045</v>
      </c>
      <c r="B160" s="376" t="s">
        <v>1480</v>
      </c>
      <c r="C160" s="355">
        <v>26874.14</v>
      </c>
      <c r="D160" s="356">
        <v>4.2000000000000003E-2</v>
      </c>
      <c r="E160" s="357">
        <v>0.24</v>
      </c>
      <c r="F160" s="357">
        <f t="shared" si="6"/>
        <v>0.28704000000000002</v>
      </c>
      <c r="G160" s="357">
        <f t="shared" si="7"/>
        <v>7.083679988315111E-4</v>
      </c>
      <c r="H160" s="358">
        <f t="shared" si="8"/>
        <v>2.0332995038459695E-4</v>
      </c>
    </row>
    <row r="161" spans="1:8" x14ac:dyDescent="0.4">
      <c r="A161" s="376" t="s">
        <v>2047</v>
      </c>
      <c r="B161" s="376" t="s">
        <v>2048</v>
      </c>
      <c r="C161" s="355">
        <v>69915.48</v>
      </c>
      <c r="D161" s="356">
        <v>1.41E-2</v>
      </c>
      <c r="E161" s="357">
        <v>0.115</v>
      </c>
      <c r="F161" s="357">
        <f t="shared" si="6"/>
        <v>0.12991075000000002</v>
      </c>
      <c r="G161" s="357">
        <f t="shared" si="7"/>
        <v>1.8428827361524698E-3</v>
      </c>
      <c r="H161" s="358">
        <f t="shared" si="8"/>
        <v>2.3941027841561951E-4</v>
      </c>
    </row>
    <row r="162" spans="1:8" x14ac:dyDescent="0.4">
      <c r="A162" s="376" t="s">
        <v>2050</v>
      </c>
      <c r="B162" s="376" t="s">
        <v>2051</v>
      </c>
      <c r="C162" s="355">
        <v>105048.6</v>
      </c>
      <c r="D162" s="356">
        <v>1.34E-2</v>
      </c>
      <c r="E162" s="357">
        <v>0.11</v>
      </c>
      <c r="F162" s="357">
        <f t="shared" si="6"/>
        <v>0.124137</v>
      </c>
      <c r="G162" s="357">
        <f t="shared" si="7"/>
        <v>2.7689468969817038E-3</v>
      </c>
      <c r="H162" s="358">
        <f t="shared" si="8"/>
        <v>3.4372876095061774E-4</v>
      </c>
    </row>
    <row r="163" spans="1:8" x14ac:dyDescent="0.4">
      <c r="A163" s="376" t="s">
        <v>2053</v>
      </c>
      <c r="B163" s="376" t="s">
        <v>2054</v>
      </c>
      <c r="C163" s="355">
        <v>9865.7900000000009</v>
      </c>
      <c r="D163" s="356">
        <v>3.8199999999999998E-2</v>
      </c>
      <c r="E163" s="357">
        <v>0.06</v>
      </c>
      <c r="F163" s="357">
        <f t="shared" si="6"/>
        <v>9.934599999999999E-2</v>
      </c>
      <c r="G163" s="357">
        <f t="shared" si="7"/>
        <v>2.6004962090663865E-4</v>
      </c>
      <c r="H163" s="358">
        <f t="shared" si="8"/>
        <v>2.5834889638590921E-5</v>
      </c>
    </row>
    <row r="164" spans="1:8" x14ac:dyDescent="0.4">
      <c r="A164" s="376" t="s">
        <v>2056</v>
      </c>
      <c r="B164" s="376" t="s">
        <v>2057</v>
      </c>
      <c r="C164" s="355">
        <v>51097.82</v>
      </c>
      <c r="D164" s="356">
        <v>2.35E-2</v>
      </c>
      <c r="E164" s="357">
        <v>6.5000000000000002E-2</v>
      </c>
      <c r="F164" s="357">
        <f t="shared" si="6"/>
        <v>8.9263750000000003E-2</v>
      </c>
      <c r="G164" s="357">
        <f t="shared" si="7"/>
        <v>1.346873258011336E-3</v>
      </c>
      <c r="H164" s="358">
        <f t="shared" si="8"/>
        <v>1.202269577848094E-4</v>
      </c>
    </row>
    <row r="165" spans="1:8" x14ac:dyDescent="0.4">
      <c r="A165" s="376" t="s">
        <v>2059</v>
      </c>
      <c r="B165" s="376" t="s">
        <v>2060</v>
      </c>
      <c r="C165" s="355">
        <v>22651.91</v>
      </c>
      <c r="D165" s="356">
        <v>0</v>
      </c>
      <c r="E165" s="357">
        <v>0.27500000000000002</v>
      </c>
      <c r="F165" s="357">
        <f t="shared" si="6"/>
        <v>0.27500000000000002</v>
      </c>
      <c r="G165" s="357">
        <f t="shared" si="7"/>
        <v>5.9707540990749822E-4</v>
      </c>
      <c r="H165" s="358">
        <f t="shared" si="8"/>
        <v>1.6419573772456203E-4</v>
      </c>
    </row>
    <row r="166" spans="1:8" x14ac:dyDescent="0.4">
      <c r="A166" s="376" t="s">
        <v>2062</v>
      </c>
      <c r="B166" s="376" t="s">
        <v>2063</v>
      </c>
      <c r="C166" s="355">
        <v>66841.240000000005</v>
      </c>
      <c r="D166" s="356">
        <v>2.98E-2</v>
      </c>
      <c r="E166" s="357">
        <v>0.16500000000000001</v>
      </c>
      <c r="F166" s="357">
        <f t="shared" si="6"/>
        <v>0.1972585</v>
      </c>
      <c r="G166" s="357">
        <f t="shared" si="7"/>
        <v>1.7618496970774416E-3</v>
      </c>
      <c r="H166" s="358">
        <f t="shared" si="8"/>
        <v>3.4753982847095049E-4</v>
      </c>
    </row>
    <row r="167" spans="1:8" x14ac:dyDescent="0.4">
      <c r="A167" s="376" t="s">
        <v>2065</v>
      </c>
      <c r="B167" s="376" t="s">
        <v>2066</v>
      </c>
      <c r="C167" s="355">
        <v>13466.44</v>
      </c>
      <c r="D167" s="356">
        <v>0</v>
      </c>
      <c r="E167" s="357">
        <v>6.5000000000000002E-2</v>
      </c>
      <c r="F167" s="357">
        <f t="shared" si="6"/>
        <v>6.5000000000000002E-2</v>
      </c>
      <c r="G167" s="357">
        <f t="shared" si="7"/>
        <v>3.5495815509573942E-4</v>
      </c>
      <c r="H167" s="358">
        <f t="shared" si="8"/>
        <v>2.3072280081223065E-5</v>
      </c>
    </row>
    <row r="168" spans="1:8" x14ac:dyDescent="0.4">
      <c r="A168" s="376" t="s">
        <v>2068</v>
      </c>
      <c r="B168" s="376" t="s">
        <v>2069</v>
      </c>
      <c r="C168" s="355">
        <v>73888.070000000007</v>
      </c>
      <c r="D168" s="356">
        <v>1.7299999999999999E-2</v>
      </c>
      <c r="E168" s="357">
        <v>0.125</v>
      </c>
      <c r="F168" s="357">
        <f t="shared" si="6"/>
        <v>0.14338124999999999</v>
      </c>
      <c r="G168" s="357">
        <f t="shared" si="7"/>
        <v>1.9475951335902327E-3</v>
      </c>
      <c r="H168" s="358">
        <f t="shared" si="8"/>
        <v>2.7924862474808454E-4</v>
      </c>
    </row>
    <row r="169" spans="1:8" x14ac:dyDescent="0.4">
      <c r="A169" s="376" t="s">
        <v>2071</v>
      </c>
      <c r="B169" s="376" t="s">
        <v>2072</v>
      </c>
      <c r="C169" s="355">
        <v>24987.56</v>
      </c>
      <c r="D169" s="356">
        <v>3.9800000000000002E-2</v>
      </c>
      <c r="E169" s="357">
        <v>-0.05</v>
      </c>
      <c r="F169" s="357">
        <f t="shared" si="6"/>
        <v>-1.1195000000000004E-2</v>
      </c>
      <c r="G169" s="357">
        <f t="shared" si="7"/>
        <v>6.5864016012725666E-4</v>
      </c>
      <c r="H169" s="358">
        <f t="shared" si="8"/>
        <v>-7.3734765926246406E-6</v>
      </c>
    </row>
    <row r="170" spans="1:8" x14ac:dyDescent="0.4">
      <c r="A170" s="376" t="s">
        <v>2074</v>
      </c>
      <c r="B170" s="376" t="s">
        <v>2075</v>
      </c>
      <c r="C170" s="355">
        <v>14608.08</v>
      </c>
      <c r="D170" s="356">
        <v>1.49E-2</v>
      </c>
      <c r="E170" s="357" t="s">
        <v>3064</v>
      </c>
      <c r="F170" s="357" t="str">
        <f t="shared" si="6"/>
        <v>N/A</v>
      </c>
      <c r="G170" s="357" t="str">
        <f t="shared" si="7"/>
        <v>N/A</v>
      </c>
      <c r="H170" s="358" t="str">
        <f t="shared" si="8"/>
        <v>N/A</v>
      </c>
    </row>
    <row r="171" spans="1:8" x14ac:dyDescent="0.4">
      <c r="A171" s="376" t="s">
        <v>789</v>
      </c>
      <c r="B171" s="376" t="s">
        <v>1481</v>
      </c>
      <c r="C171" s="355">
        <v>24988.61</v>
      </c>
      <c r="D171" s="356">
        <v>3.8300000000000001E-2</v>
      </c>
      <c r="E171" s="357">
        <v>6.5000000000000002E-2</v>
      </c>
      <c r="F171" s="357">
        <f t="shared" si="6"/>
        <v>0.10454474999999999</v>
      </c>
      <c r="G171" s="357">
        <f t="shared" si="7"/>
        <v>6.5866783678588737E-4</v>
      </c>
      <c r="H171" s="358">
        <f t="shared" si="8"/>
        <v>6.8860264329821392E-5</v>
      </c>
    </row>
    <row r="172" spans="1:8" x14ac:dyDescent="0.4">
      <c r="A172" s="376" t="s">
        <v>2078</v>
      </c>
      <c r="B172" s="376" t="s">
        <v>2079</v>
      </c>
      <c r="C172" s="355">
        <v>14642.6</v>
      </c>
      <c r="D172" s="356">
        <v>4.0199999999999993E-2</v>
      </c>
      <c r="E172" s="357">
        <v>-0.03</v>
      </c>
      <c r="F172" s="357">
        <f t="shared" si="6"/>
        <v>9.5969999999999944E-3</v>
      </c>
      <c r="G172" s="357">
        <f t="shared" si="7"/>
        <v>3.8596023015770119E-4</v>
      </c>
      <c r="H172" s="358">
        <f t="shared" si="8"/>
        <v>3.7040603288234561E-6</v>
      </c>
    </row>
    <row r="173" spans="1:8" x14ac:dyDescent="0.4">
      <c r="A173" s="376" t="s">
        <v>2081</v>
      </c>
      <c r="B173" s="376" t="s">
        <v>2082</v>
      </c>
      <c r="C173" s="355">
        <v>79281.539999999994</v>
      </c>
      <c r="D173" s="356">
        <v>1.7299999999999999E-2</v>
      </c>
      <c r="E173" s="357">
        <v>0.115</v>
      </c>
      <c r="F173" s="357">
        <f t="shared" si="6"/>
        <v>0.13329475000000002</v>
      </c>
      <c r="G173" s="357">
        <f t="shared" si="7"/>
        <v>2.0897601126614804E-3</v>
      </c>
      <c r="H173" s="358">
        <f t="shared" si="8"/>
        <v>2.7855405177718392E-4</v>
      </c>
    </row>
    <row r="174" spans="1:8" x14ac:dyDescent="0.4">
      <c r="A174" s="376" t="s">
        <v>2084</v>
      </c>
      <c r="B174" s="376" t="s">
        <v>1482</v>
      </c>
      <c r="C174" s="355">
        <v>20966.990000000002</v>
      </c>
      <c r="D174" s="356">
        <v>4.3200000000000002E-2</v>
      </c>
      <c r="E174" s="357">
        <v>5.0000000000000001E-3</v>
      </c>
      <c r="F174" s="357">
        <f t="shared" si="6"/>
        <v>4.8307999999999997E-2</v>
      </c>
      <c r="G174" s="357">
        <f t="shared" si="7"/>
        <v>5.526630711836846E-4</v>
      </c>
      <c r="H174" s="358">
        <f t="shared" si="8"/>
        <v>2.6698047642741434E-5</v>
      </c>
    </row>
    <row r="175" spans="1:8" x14ac:dyDescent="0.4">
      <c r="A175" s="376" t="s">
        <v>2086</v>
      </c>
      <c r="B175" s="376" t="s">
        <v>2087</v>
      </c>
      <c r="C175" s="355">
        <v>10469.450000000001</v>
      </c>
      <c r="D175" s="356">
        <v>0</v>
      </c>
      <c r="E175" s="357">
        <v>0.1</v>
      </c>
      <c r="F175" s="357">
        <f t="shared" si="6"/>
        <v>0.1</v>
      </c>
      <c r="G175" s="357">
        <f t="shared" si="7"/>
        <v>2.7596132733425386E-4</v>
      </c>
      <c r="H175" s="358">
        <f t="shared" si="8"/>
        <v>2.7596132733425388E-5</v>
      </c>
    </row>
    <row r="176" spans="1:8" x14ac:dyDescent="0.4">
      <c r="A176" s="376" t="s">
        <v>2089</v>
      </c>
      <c r="B176" s="376" t="s">
        <v>1484</v>
      </c>
      <c r="C176" s="355">
        <v>13723.2</v>
      </c>
      <c r="D176" s="356">
        <v>4.2300000000000004E-2</v>
      </c>
      <c r="E176" s="357">
        <v>7.0000000000000007E-2</v>
      </c>
      <c r="F176" s="357">
        <f t="shared" si="6"/>
        <v>0.11378050000000001</v>
      </c>
      <c r="G176" s="357">
        <f t="shared" si="7"/>
        <v>3.6172602068622821E-4</v>
      </c>
      <c r="H176" s="358">
        <f t="shared" si="8"/>
        <v>4.115736749668939E-5</v>
      </c>
    </row>
    <row r="177" spans="1:8" x14ac:dyDescent="0.4">
      <c r="A177" s="376" t="s">
        <v>2091</v>
      </c>
      <c r="B177" s="376" t="s">
        <v>2092</v>
      </c>
      <c r="C177" s="355">
        <v>55121.77</v>
      </c>
      <c r="D177" s="356">
        <v>0</v>
      </c>
      <c r="E177" s="357">
        <v>0.105</v>
      </c>
      <c r="F177" s="357">
        <f t="shared" si="6"/>
        <v>0.105</v>
      </c>
      <c r="G177" s="357">
        <f t="shared" si="7"/>
        <v>1.4529394394369763E-3</v>
      </c>
      <c r="H177" s="358">
        <f t="shared" si="8"/>
        <v>1.525586411408825E-4</v>
      </c>
    </row>
    <row r="178" spans="1:8" x14ac:dyDescent="0.4">
      <c r="A178" s="376" t="s">
        <v>2094</v>
      </c>
      <c r="B178" s="376" t="s">
        <v>1486</v>
      </c>
      <c r="C178" s="355">
        <v>41254.730000000003</v>
      </c>
      <c r="D178" s="356">
        <v>3.4700000000000002E-2</v>
      </c>
      <c r="E178" s="357">
        <v>-5.0000000000000001E-3</v>
      </c>
      <c r="F178" s="357">
        <f t="shared" si="6"/>
        <v>2.9613250000000004E-2</v>
      </c>
      <c r="G178" s="357">
        <f t="shared" si="7"/>
        <v>1.0874219801055701E-3</v>
      </c>
      <c r="H178" s="358">
        <f t="shared" si="8"/>
        <v>3.220209895236128E-5</v>
      </c>
    </row>
    <row r="179" spans="1:8" x14ac:dyDescent="0.4">
      <c r="A179" s="376" t="s">
        <v>2096</v>
      </c>
      <c r="B179" s="376" t="s">
        <v>2097</v>
      </c>
      <c r="C179" s="355">
        <v>18502.59</v>
      </c>
      <c r="D179" s="356">
        <v>1.1399999999999999E-2</v>
      </c>
      <c r="E179" s="357">
        <v>2.5000000000000001E-2</v>
      </c>
      <c r="F179" s="357">
        <f t="shared" si="6"/>
        <v>3.6542499999999999E-2</v>
      </c>
      <c r="G179" s="357">
        <f t="shared" si="7"/>
        <v>4.8770463544135475E-4</v>
      </c>
      <c r="H179" s="358">
        <f t="shared" si="8"/>
        <v>1.7821946640615706E-5</v>
      </c>
    </row>
    <row r="180" spans="1:8" x14ac:dyDescent="0.4">
      <c r="A180" s="376" t="s">
        <v>2099</v>
      </c>
      <c r="B180" s="376" t="s">
        <v>2100</v>
      </c>
      <c r="C180" s="355">
        <v>16687.28</v>
      </c>
      <c r="D180" s="356">
        <v>0</v>
      </c>
      <c r="E180" s="357" t="s">
        <v>3064</v>
      </c>
      <c r="F180" s="357" t="str">
        <f t="shared" si="6"/>
        <v>N/A</v>
      </c>
      <c r="G180" s="357" t="str">
        <f t="shared" si="7"/>
        <v>N/A</v>
      </c>
      <c r="H180" s="358" t="str">
        <f t="shared" si="8"/>
        <v>N/A</v>
      </c>
    </row>
    <row r="181" spans="1:8" x14ac:dyDescent="0.4">
      <c r="A181" s="376" t="s">
        <v>2102</v>
      </c>
      <c r="B181" s="376" t="s">
        <v>2103</v>
      </c>
      <c r="C181" s="355">
        <v>20041.43</v>
      </c>
      <c r="D181" s="356">
        <v>4.4600000000000001E-2</v>
      </c>
      <c r="E181" s="357">
        <v>6.5000000000000002E-2</v>
      </c>
      <c r="F181" s="357">
        <f t="shared" si="6"/>
        <v>0.1110495</v>
      </c>
      <c r="G181" s="357">
        <f t="shared" si="7"/>
        <v>5.2826649198157831E-4</v>
      </c>
      <c r="H181" s="358">
        <f t="shared" si="8"/>
        <v>5.8663729801308277E-5</v>
      </c>
    </row>
    <row r="182" spans="1:8" x14ac:dyDescent="0.4">
      <c r="A182" s="376" t="s">
        <v>2105</v>
      </c>
      <c r="B182" s="376" t="s">
        <v>2106</v>
      </c>
      <c r="C182" s="355">
        <v>63748.55</v>
      </c>
      <c r="D182" s="356">
        <v>3.9100000000000003E-2</v>
      </c>
      <c r="E182" s="357">
        <v>0.27500000000000002</v>
      </c>
      <c r="F182" s="357">
        <f t="shared" si="6"/>
        <v>0.31947625000000002</v>
      </c>
      <c r="G182" s="357">
        <f t="shared" si="7"/>
        <v>1.6803303395721884E-3</v>
      </c>
      <c r="H182" s="358">
        <f t="shared" si="8"/>
        <v>5.3682563564774939E-4</v>
      </c>
    </row>
    <row r="183" spans="1:8" x14ac:dyDescent="0.4">
      <c r="A183" s="376" t="s">
        <v>2108</v>
      </c>
      <c r="B183" s="376" t="s">
        <v>2109</v>
      </c>
      <c r="C183" s="355">
        <v>23717.61</v>
      </c>
      <c r="D183" s="356">
        <v>2.5399999999999999E-2</v>
      </c>
      <c r="E183" s="357">
        <v>0.34</v>
      </c>
      <c r="F183" s="357">
        <f t="shared" si="6"/>
        <v>0.36971800000000005</v>
      </c>
      <c r="G183" s="357">
        <f t="shared" si="7"/>
        <v>6.2516590048151261E-4</v>
      </c>
      <c r="H183" s="358">
        <f t="shared" si="8"/>
        <v>2.311350863942239E-4</v>
      </c>
    </row>
    <row r="184" spans="1:8" x14ac:dyDescent="0.4">
      <c r="A184" s="376" t="s">
        <v>2111</v>
      </c>
      <c r="B184" s="376" t="s">
        <v>2112</v>
      </c>
      <c r="C184" s="355">
        <v>33262.15</v>
      </c>
      <c r="D184" s="356">
        <v>2.4E-2</v>
      </c>
      <c r="E184" s="357">
        <v>6.5000000000000002E-2</v>
      </c>
      <c r="F184" s="357">
        <f t="shared" si="6"/>
        <v>8.9779999999999999E-2</v>
      </c>
      <c r="G184" s="357">
        <f t="shared" si="7"/>
        <v>8.7674778178328859E-4</v>
      </c>
      <c r="H184" s="358">
        <f t="shared" si="8"/>
        <v>7.8714415848503655E-5</v>
      </c>
    </row>
    <row r="185" spans="1:8" x14ac:dyDescent="0.4">
      <c r="A185" s="376" t="s">
        <v>2114</v>
      </c>
      <c r="B185" s="376" t="s">
        <v>2115</v>
      </c>
      <c r="C185" s="355">
        <v>56184.12</v>
      </c>
      <c r="D185" s="356">
        <v>1.61E-2</v>
      </c>
      <c r="E185" s="357">
        <v>0.19</v>
      </c>
      <c r="F185" s="357">
        <f t="shared" si="6"/>
        <v>0.20762949999999999</v>
      </c>
      <c r="G185" s="357">
        <f t="shared" si="7"/>
        <v>1.4809416282905977E-3</v>
      </c>
      <c r="H185" s="358">
        <f t="shared" si="8"/>
        <v>3.0748716981116264E-4</v>
      </c>
    </row>
    <row r="186" spans="1:8" x14ac:dyDescent="0.4">
      <c r="A186" s="376" t="s">
        <v>2117</v>
      </c>
      <c r="B186" s="376" t="s">
        <v>2118</v>
      </c>
      <c r="C186" s="355">
        <v>15151.27</v>
      </c>
      <c r="D186" s="356">
        <v>9.8999999999999991E-3</v>
      </c>
      <c r="E186" s="357">
        <v>0.105</v>
      </c>
      <c r="F186" s="357">
        <f t="shared" si="6"/>
        <v>0.11541974999999999</v>
      </c>
      <c r="G186" s="357">
        <f t="shared" si="7"/>
        <v>3.993681215345276E-4</v>
      </c>
      <c r="H186" s="358">
        <f t="shared" si="8"/>
        <v>4.6094968745484787E-5</v>
      </c>
    </row>
    <row r="187" spans="1:8" x14ac:dyDescent="0.4">
      <c r="A187" s="376" t="s">
        <v>2120</v>
      </c>
      <c r="B187" s="376" t="s">
        <v>2121</v>
      </c>
      <c r="C187" s="355">
        <v>62415.73</v>
      </c>
      <c r="D187" s="356">
        <v>2.0299999999999999E-2</v>
      </c>
      <c r="E187" s="357">
        <v>7.0000000000000007E-2</v>
      </c>
      <c r="F187" s="357">
        <f t="shared" si="6"/>
        <v>9.1010500000000008E-2</v>
      </c>
      <c r="G187" s="357">
        <f t="shared" si="7"/>
        <v>1.645198907042529E-3</v>
      </c>
      <c r="H187" s="358">
        <f t="shared" si="8"/>
        <v>1.4973037512939409E-4</v>
      </c>
    </row>
    <row r="188" spans="1:8" x14ac:dyDescent="0.4">
      <c r="A188" s="376" t="s">
        <v>2123</v>
      </c>
      <c r="B188" s="376" t="s">
        <v>1487</v>
      </c>
      <c r="C188" s="355">
        <v>22649.98</v>
      </c>
      <c r="D188" s="356">
        <v>4.1700000000000001E-2</v>
      </c>
      <c r="E188" s="357">
        <v>0.04</v>
      </c>
      <c r="F188" s="357">
        <f t="shared" si="6"/>
        <v>8.2533999999999996E-2</v>
      </c>
      <c r="G188" s="357">
        <f t="shared" si="7"/>
        <v>5.9702453757306281E-4</v>
      </c>
      <c r="H188" s="358">
        <f t="shared" si="8"/>
        <v>4.9274823184055165E-5</v>
      </c>
    </row>
    <row r="189" spans="1:8" x14ac:dyDescent="0.4">
      <c r="A189" s="376" t="s">
        <v>2125</v>
      </c>
      <c r="B189" s="376" t="s">
        <v>2126</v>
      </c>
      <c r="C189" s="355">
        <v>8842.4</v>
      </c>
      <c r="D189" s="356">
        <v>0</v>
      </c>
      <c r="E189" s="357">
        <v>8.5000000000000006E-2</v>
      </c>
      <c r="F189" s="357">
        <f t="shared" si="6"/>
        <v>8.5000000000000006E-2</v>
      </c>
      <c r="G189" s="357">
        <f t="shared" si="7"/>
        <v>2.3307436788182816E-4</v>
      </c>
      <c r="H189" s="358">
        <f t="shared" si="8"/>
        <v>1.9811321269955396E-5</v>
      </c>
    </row>
    <row r="190" spans="1:8" x14ac:dyDescent="0.4">
      <c r="A190" s="376" t="s">
        <v>2128</v>
      </c>
      <c r="B190" s="376" t="s">
        <v>2129</v>
      </c>
      <c r="C190" s="355">
        <v>77313.09</v>
      </c>
      <c r="D190" s="356">
        <v>0</v>
      </c>
      <c r="E190" s="357">
        <v>9.5000000000000001E-2</v>
      </c>
      <c r="F190" s="357">
        <f t="shared" si="6"/>
        <v>9.5000000000000001E-2</v>
      </c>
      <c r="G190" s="357">
        <f t="shared" si="7"/>
        <v>2.0378742853457083E-3</v>
      </c>
      <c r="H190" s="358">
        <f t="shared" si="8"/>
        <v>1.9359805710784228E-4</v>
      </c>
    </row>
    <row r="191" spans="1:8" x14ac:dyDescent="0.4">
      <c r="A191" s="376" t="s">
        <v>2131</v>
      </c>
      <c r="B191" s="376" t="s">
        <v>2132</v>
      </c>
      <c r="C191" s="355">
        <v>19811.919999999998</v>
      </c>
      <c r="D191" s="356">
        <v>0</v>
      </c>
      <c r="E191" s="357">
        <v>0.16</v>
      </c>
      <c r="F191" s="357">
        <f t="shared" si="6"/>
        <v>0.16</v>
      </c>
      <c r="G191" s="357">
        <f t="shared" si="7"/>
        <v>5.2221690157936177E-4</v>
      </c>
      <c r="H191" s="358">
        <f t="shared" si="8"/>
        <v>8.3554704252697886E-5</v>
      </c>
    </row>
    <row r="192" spans="1:8" x14ac:dyDescent="0.4">
      <c r="A192" s="376" t="s">
        <v>2134</v>
      </c>
      <c r="B192" s="376" t="s">
        <v>2135</v>
      </c>
      <c r="C192" s="355">
        <v>35401.599999999999</v>
      </c>
      <c r="D192" s="356">
        <v>3.56E-2</v>
      </c>
      <c r="E192" s="357">
        <v>0.35499999999999998</v>
      </c>
      <c r="F192" s="357">
        <f t="shared" si="6"/>
        <v>0.39691899999999997</v>
      </c>
      <c r="G192" s="357">
        <f t="shared" si="7"/>
        <v>9.331409506474857E-4</v>
      </c>
      <c r="H192" s="358">
        <f t="shared" si="8"/>
        <v>3.7038137299004936E-4</v>
      </c>
    </row>
    <row r="193" spans="1:8" x14ac:dyDescent="0.4">
      <c r="A193" s="376" t="s">
        <v>2137</v>
      </c>
      <c r="B193" s="376" t="s">
        <v>2138</v>
      </c>
      <c r="C193" s="355">
        <v>18061.45</v>
      </c>
      <c r="D193" s="356">
        <v>4.9699999999999994E-2</v>
      </c>
      <c r="E193" s="357">
        <v>9.5000000000000001E-2</v>
      </c>
      <c r="F193" s="357">
        <f t="shared" si="6"/>
        <v>0.14706074999999999</v>
      </c>
      <c r="G193" s="357">
        <f t="shared" si="7"/>
        <v>4.7607674859531863E-4</v>
      </c>
      <c r="H193" s="358">
        <f t="shared" si="8"/>
        <v>7.0012203705989E-5</v>
      </c>
    </row>
    <row r="194" spans="1:8" x14ac:dyDescent="0.4">
      <c r="A194" s="376" t="s">
        <v>2140</v>
      </c>
      <c r="B194" s="376" t="s">
        <v>2141</v>
      </c>
      <c r="C194" s="355">
        <v>18528.080000000002</v>
      </c>
      <c r="D194" s="356">
        <v>0</v>
      </c>
      <c r="E194" s="357">
        <v>0.13</v>
      </c>
      <c r="F194" s="357">
        <f t="shared" si="6"/>
        <v>0.13</v>
      </c>
      <c r="G194" s="357">
        <f t="shared" si="7"/>
        <v>4.8837651927801761E-4</v>
      </c>
      <c r="H194" s="358">
        <f t="shared" si="8"/>
        <v>6.3488947506142298E-5</v>
      </c>
    </row>
    <row r="195" spans="1:8" x14ac:dyDescent="0.4">
      <c r="A195" s="376" t="s">
        <v>2143</v>
      </c>
      <c r="B195" s="376" t="s">
        <v>2144</v>
      </c>
      <c r="C195" s="355">
        <v>12821.5</v>
      </c>
      <c r="D195" s="356">
        <v>2.3599999999999999E-2</v>
      </c>
      <c r="E195" s="357">
        <v>0.105</v>
      </c>
      <c r="F195" s="357">
        <f t="shared" si="6"/>
        <v>0.12983899999999998</v>
      </c>
      <c r="G195" s="357">
        <f t="shared" si="7"/>
        <v>3.3795836060310095E-4</v>
      </c>
      <c r="H195" s="358">
        <f t="shared" si="8"/>
        <v>4.3880175582346019E-5</v>
      </c>
    </row>
    <row r="196" spans="1:8" x14ac:dyDescent="0.4">
      <c r="A196" s="376" t="s">
        <v>2146</v>
      </c>
      <c r="B196" s="376" t="s">
        <v>2147</v>
      </c>
      <c r="C196" s="355">
        <v>17314.37</v>
      </c>
      <c r="D196" s="356">
        <v>1.46E-2</v>
      </c>
      <c r="E196" s="357">
        <v>8.5000000000000006E-2</v>
      </c>
      <c r="F196" s="357">
        <f t="shared" ref="F196:F259" si="9">IFERROR(D196*(1+0.5*E196)+E196,"N/A")</f>
        <v>0.1002205</v>
      </c>
      <c r="G196" s="357">
        <f t="shared" ref="G196:G259" si="10">IF(F196="N/A","N/A",C196/$C$504)</f>
        <v>4.5638467418597766E-4</v>
      </c>
      <c r="H196" s="358">
        <f t="shared" si="8"/>
        <v>4.5739100239255776E-5</v>
      </c>
    </row>
    <row r="197" spans="1:8" x14ac:dyDescent="0.4">
      <c r="A197" s="376" t="s">
        <v>2149</v>
      </c>
      <c r="B197" s="376" t="s">
        <v>2150</v>
      </c>
      <c r="C197" s="355">
        <v>7622.92</v>
      </c>
      <c r="D197" s="356">
        <v>4.4600000000000001E-2</v>
      </c>
      <c r="E197" s="357" t="s">
        <v>3064</v>
      </c>
      <c r="F197" s="357" t="str">
        <f t="shared" si="9"/>
        <v>N/A</v>
      </c>
      <c r="G197" s="357" t="str">
        <f t="shared" si="10"/>
        <v>N/A</v>
      </c>
      <c r="H197" s="358" t="str">
        <f t="shared" ref="H197:H260" si="11">IF(ISNUMBER(G197),F197*G197,"N/A")</f>
        <v>N/A</v>
      </c>
    </row>
    <row r="198" spans="1:8" x14ac:dyDescent="0.4">
      <c r="A198" s="376" t="s">
        <v>2152</v>
      </c>
      <c r="B198" s="376" t="s">
        <v>2153</v>
      </c>
      <c r="C198" s="355">
        <v>19970.939999999999</v>
      </c>
      <c r="D198" s="356">
        <v>0</v>
      </c>
      <c r="E198" s="357">
        <v>0.27500000000000002</v>
      </c>
      <c r="F198" s="357">
        <f t="shared" si="9"/>
        <v>0.27500000000000002</v>
      </c>
      <c r="G198" s="357">
        <f t="shared" si="10"/>
        <v>5.2640846563217194E-4</v>
      </c>
      <c r="H198" s="358">
        <f t="shared" si="11"/>
        <v>1.447623280488473E-4</v>
      </c>
    </row>
    <row r="199" spans="1:8" x14ac:dyDescent="0.4">
      <c r="A199" s="376" t="s">
        <v>2155</v>
      </c>
      <c r="B199" s="376" t="s">
        <v>2156</v>
      </c>
      <c r="C199" s="355">
        <v>58288.76</v>
      </c>
      <c r="D199" s="356">
        <v>0</v>
      </c>
      <c r="E199" s="357">
        <v>0.20499999999999999</v>
      </c>
      <c r="F199" s="357">
        <f t="shared" si="9"/>
        <v>0.20499999999999999</v>
      </c>
      <c r="G199" s="357">
        <f t="shared" si="10"/>
        <v>1.5364172500243814E-3</v>
      </c>
      <c r="H199" s="358">
        <f t="shared" si="11"/>
        <v>3.1496553625499815E-4</v>
      </c>
    </row>
    <row r="200" spans="1:8" x14ac:dyDescent="0.4">
      <c r="A200" s="376" t="s">
        <v>2158</v>
      </c>
      <c r="B200" s="376" t="s">
        <v>2159</v>
      </c>
      <c r="C200" s="355">
        <v>25819.64</v>
      </c>
      <c r="D200" s="356">
        <v>3.8E-3</v>
      </c>
      <c r="E200" s="357">
        <v>0.14499999999999999</v>
      </c>
      <c r="F200" s="357">
        <f t="shared" si="9"/>
        <v>0.1490755</v>
      </c>
      <c r="G200" s="357">
        <f t="shared" si="10"/>
        <v>6.8057272594955736E-4</v>
      </c>
      <c r="H200" s="358">
        <f t="shared" si="11"/>
        <v>1.0145671940729324E-4</v>
      </c>
    </row>
    <row r="201" spans="1:8" x14ac:dyDescent="0.4">
      <c r="A201" s="376" t="s">
        <v>2161</v>
      </c>
      <c r="B201" s="376" t="s">
        <v>2162</v>
      </c>
      <c r="C201" s="355">
        <v>59034.36</v>
      </c>
      <c r="D201" s="356">
        <v>2.4900000000000002E-2</v>
      </c>
      <c r="E201" s="357">
        <v>9.5000000000000001E-2</v>
      </c>
      <c r="F201" s="357">
        <f t="shared" si="9"/>
        <v>0.12108275</v>
      </c>
      <c r="G201" s="357">
        <f t="shared" si="10"/>
        <v>1.5560703135244144E-3</v>
      </c>
      <c r="H201" s="358">
        <f t="shared" si="11"/>
        <v>1.884132727548983E-4</v>
      </c>
    </row>
    <row r="202" spans="1:8" x14ac:dyDescent="0.4">
      <c r="A202" s="376" t="s">
        <v>2164</v>
      </c>
      <c r="B202" s="376" t="s">
        <v>2165</v>
      </c>
      <c r="C202" s="355">
        <v>118315.5</v>
      </c>
      <c r="D202" s="356">
        <v>3.0000000000000001E-3</v>
      </c>
      <c r="E202" s="357">
        <v>0.26500000000000001</v>
      </c>
      <c r="F202" s="357">
        <f t="shared" si="9"/>
        <v>0.26839750000000001</v>
      </c>
      <c r="G202" s="357">
        <f t="shared" si="10"/>
        <v>3.1186454325887137E-3</v>
      </c>
      <c r="H202" s="358">
        <f t="shared" si="11"/>
        <v>8.3703663749322931E-4</v>
      </c>
    </row>
    <row r="203" spans="1:8" x14ac:dyDescent="0.4">
      <c r="A203" s="376" t="s">
        <v>2167</v>
      </c>
      <c r="B203" s="376" t="s">
        <v>2168</v>
      </c>
      <c r="C203" s="355">
        <v>36664.86</v>
      </c>
      <c r="D203" s="356">
        <v>1.5E-3</v>
      </c>
      <c r="E203" s="357" t="s">
        <v>3064</v>
      </c>
      <c r="F203" s="357" t="str">
        <f t="shared" si="9"/>
        <v>N/A</v>
      </c>
      <c r="G203" s="357" t="str">
        <f t="shared" si="10"/>
        <v>N/A</v>
      </c>
      <c r="H203" s="358" t="str">
        <f t="shared" si="11"/>
        <v>N/A</v>
      </c>
    </row>
    <row r="204" spans="1:8" x14ac:dyDescent="0.4">
      <c r="A204" s="376" t="s">
        <v>2170</v>
      </c>
      <c r="B204" s="376" t="s">
        <v>2171</v>
      </c>
      <c r="C204" s="355">
        <v>11527.56</v>
      </c>
      <c r="D204" s="356">
        <v>2.7699999999999999E-2</v>
      </c>
      <c r="E204" s="357">
        <v>8.5000000000000006E-2</v>
      </c>
      <c r="F204" s="357">
        <f t="shared" si="9"/>
        <v>0.11387725</v>
      </c>
      <c r="G204" s="357">
        <f t="shared" si="10"/>
        <v>3.0385175520445209E-4</v>
      </c>
      <c r="H204" s="358">
        <f t="shared" si="11"/>
        <v>3.4601802290356189E-5</v>
      </c>
    </row>
    <row r="205" spans="1:8" x14ac:dyDescent="0.4">
      <c r="A205" s="376" t="s">
        <v>2173</v>
      </c>
      <c r="B205" s="376" t="s">
        <v>2174</v>
      </c>
      <c r="C205" s="355">
        <v>96395.520000000004</v>
      </c>
      <c r="D205" s="356">
        <v>3.8800000000000001E-2</v>
      </c>
      <c r="E205" s="357">
        <v>0.13500000000000001</v>
      </c>
      <c r="F205" s="357">
        <f t="shared" si="9"/>
        <v>0.17641899999999999</v>
      </c>
      <c r="G205" s="357">
        <f t="shared" si="10"/>
        <v>2.5408627624445993E-3</v>
      </c>
      <c r="H205" s="358">
        <f t="shared" si="11"/>
        <v>4.4825646768771376E-4</v>
      </c>
    </row>
    <row r="206" spans="1:8" x14ac:dyDescent="0.4">
      <c r="A206" s="376" t="s">
        <v>2176</v>
      </c>
      <c r="B206" s="376" t="s">
        <v>2177</v>
      </c>
      <c r="C206" s="355">
        <v>45350.05</v>
      </c>
      <c r="D206" s="356">
        <v>3.0499999999999999E-2</v>
      </c>
      <c r="E206" s="357">
        <v>4.4999999999999998E-2</v>
      </c>
      <c r="F206" s="357">
        <f t="shared" si="9"/>
        <v>7.6186249999999997E-2</v>
      </c>
      <c r="G206" s="357">
        <f t="shared" si="10"/>
        <v>1.1953693835564216E-3</v>
      </c>
      <c r="H206" s="358">
        <f t="shared" si="11"/>
        <v>9.1070710697975426E-5</v>
      </c>
    </row>
    <row r="207" spans="1:8" x14ac:dyDescent="0.4">
      <c r="A207" s="376" t="s">
        <v>2179</v>
      </c>
      <c r="B207" s="376" t="s">
        <v>2180</v>
      </c>
      <c r="C207" s="355">
        <v>11536.1</v>
      </c>
      <c r="D207" s="356">
        <v>8.199999999999999E-3</v>
      </c>
      <c r="E207" s="357">
        <v>0.09</v>
      </c>
      <c r="F207" s="357">
        <f t="shared" si="9"/>
        <v>9.856899999999999E-2</v>
      </c>
      <c r="G207" s="357">
        <f t="shared" si="10"/>
        <v>3.0407685869464829E-4</v>
      </c>
      <c r="H207" s="358">
        <f t="shared" si="11"/>
        <v>2.9972551884672785E-5</v>
      </c>
    </row>
    <row r="208" spans="1:8" x14ac:dyDescent="0.4">
      <c r="A208" s="376" t="s">
        <v>2182</v>
      </c>
      <c r="B208" s="376" t="s">
        <v>2183</v>
      </c>
      <c r="C208" s="355">
        <v>28788.54</v>
      </c>
      <c r="D208" s="356">
        <v>3.2000000000000001E-2</v>
      </c>
      <c r="E208" s="357">
        <v>0.15</v>
      </c>
      <c r="F208" s="357">
        <f t="shared" si="9"/>
        <v>0.18440000000000001</v>
      </c>
      <c r="G208" s="357">
        <f t="shared" si="10"/>
        <v>7.5882913719586603E-4</v>
      </c>
      <c r="H208" s="358">
        <f t="shared" si="11"/>
        <v>1.3992809289891769E-4</v>
      </c>
    </row>
    <row r="209" spans="1:8" x14ac:dyDescent="0.4">
      <c r="A209" s="376" t="s">
        <v>2185</v>
      </c>
      <c r="B209" s="376" t="s">
        <v>2186</v>
      </c>
      <c r="C209" s="355">
        <v>54798.64</v>
      </c>
      <c r="D209" s="356">
        <v>9.1000000000000004E-3</v>
      </c>
      <c r="E209" s="357">
        <v>8.5000000000000006E-2</v>
      </c>
      <c r="F209" s="357">
        <f t="shared" si="9"/>
        <v>9.4486750000000008E-2</v>
      </c>
      <c r="G209" s="357">
        <f t="shared" si="10"/>
        <v>1.4444221454338036E-3</v>
      </c>
      <c r="H209" s="358">
        <f t="shared" si="11"/>
        <v>1.3647875415006744E-4</v>
      </c>
    </row>
    <row r="210" spans="1:8" x14ac:dyDescent="0.4">
      <c r="A210" s="376" t="s">
        <v>2188</v>
      </c>
      <c r="B210" s="376" t="s">
        <v>2189</v>
      </c>
      <c r="C210" s="355">
        <v>8613.18</v>
      </c>
      <c r="D210" s="356">
        <v>0</v>
      </c>
      <c r="E210" s="357">
        <v>0.19</v>
      </c>
      <c r="F210" s="357">
        <f t="shared" si="9"/>
        <v>0.19</v>
      </c>
      <c r="G210" s="357">
        <f t="shared" si="10"/>
        <v>2.2703242150913833E-4</v>
      </c>
      <c r="H210" s="358">
        <f t="shared" si="11"/>
        <v>4.3136160086736282E-5</v>
      </c>
    </row>
    <row r="211" spans="1:8" x14ac:dyDescent="0.4">
      <c r="A211" s="376" t="s">
        <v>2191</v>
      </c>
      <c r="B211" s="376" t="s">
        <v>2192</v>
      </c>
      <c r="C211" s="355">
        <v>1575673</v>
      </c>
      <c r="D211" s="356">
        <v>0</v>
      </c>
      <c r="E211" s="357">
        <v>0.105</v>
      </c>
      <c r="F211" s="357">
        <f t="shared" si="9"/>
        <v>0.105</v>
      </c>
      <c r="G211" s="357">
        <f t="shared" si="10"/>
        <v>4.1532727366265246E-2</v>
      </c>
      <c r="H211" s="358">
        <f t="shared" si="11"/>
        <v>4.3609363734578507E-3</v>
      </c>
    </row>
    <row r="212" spans="1:8" x14ac:dyDescent="0.4">
      <c r="A212" s="376" t="s">
        <v>2194</v>
      </c>
      <c r="B212" s="376" t="s">
        <v>2195</v>
      </c>
      <c r="C212" s="355">
        <v>23466.799999999999</v>
      </c>
      <c r="D212" s="356">
        <v>2.2799999999999997E-2</v>
      </c>
      <c r="E212" s="357">
        <v>0.1</v>
      </c>
      <c r="F212" s="357">
        <f t="shared" si="9"/>
        <v>0.12394000000000001</v>
      </c>
      <c r="G212" s="357">
        <f t="shared" si="10"/>
        <v>6.1855486928993095E-4</v>
      </c>
      <c r="H212" s="358">
        <f t="shared" si="11"/>
        <v>7.6663690499794042E-5</v>
      </c>
    </row>
    <row r="213" spans="1:8" x14ac:dyDescent="0.4">
      <c r="A213" s="376" t="s">
        <v>2197</v>
      </c>
      <c r="B213" s="376" t="s">
        <v>2198</v>
      </c>
      <c r="C213" s="355">
        <v>27423.13</v>
      </c>
      <c r="D213" s="356">
        <v>9.7999999999999997E-3</v>
      </c>
      <c r="E213" s="357">
        <v>0.13500000000000001</v>
      </c>
      <c r="F213" s="357">
        <f t="shared" si="9"/>
        <v>0.14546150000000002</v>
      </c>
      <c r="G213" s="357">
        <f t="shared" si="10"/>
        <v>7.2283867389975561E-4</v>
      </c>
      <c r="H213" s="358">
        <f t="shared" si="11"/>
        <v>1.0514519776346932E-4</v>
      </c>
    </row>
    <row r="214" spans="1:8" x14ac:dyDescent="0.4">
      <c r="A214" s="376" t="s">
        <v>2200</v>
      </c>
      <c r="B214" s="376" t="s">
        <v>2201</v>
      </c>
      <c r="C214" s="355">
        <v>20150.11</v>
      </c>
      <c r="D214" s="356">
        <v>2.81E-2</v>
      </c>
      <c r="E214" s="357">
        <v>0.05</v>
      </c>
      <c r="F214" s="357">
        <f t="shared" si="9"/>
        <v>7.8802499999999998E-2</v>
      </c>
      <c r="G214" s="357">
        <f t="shared" si="10"/>
        <v>5.3113115794346615E-4</v>
      </c>
      <c r="H214" s="358">
        <f t="shared" si="11"/>
        <v>4.1854463073839991E-5</v>
      </c>
    </row>
    <row r="215" spans="1:8" x14ac:dyDescent="0.4">
      <c r="A215" s="376" t="s">
        <v>2203</v>
      </c>
      <c r="B215" s="376" t="s">
        <v>2204</v>
      </c>
      <c r="C215" s="355">
        <v>106539.5</v>
      </c>
      <c r="D215" s="356">
        <v>3.1300000000000001E-2</v>
      </c>
      <c r="E215" s="357">
        <v>0.01</v>
      </c>
      <c r="F215" s="357">
        <f t="shared" si="9"/>
        <v>4.14565E-2</v>
      </c>
      <c r="G215" s="357">
        <f t="shared" si="10"/>
        <v>2.8082451163650175E-3</v>
      </c>
      <c r="H215" s="358">
        <f t="shared" si="11"/>
        <v>1.1642001366658635E-4</v>
      </c>
    </row>
    <row r="216" spans="1:8" x14ac:dyDescent="0.4">
      <c r="A216" s="376" t="s">
        <v>2206</v>
      </c>
      <c r="B216" s="376" t="s">
        <v>2207</v>
      </c>
      <c r="C216" s="355">
        <v>39257.379999999997</v>
      </c>
      <c r="D216" s="356">
        <v>9.7000000000000003E-3</v>
      </c>
      <c r="E216" s="357">
        <v>0.11</v>
      </c>
      <c r="F216" s="357">
        <f t="shared" si="9"/>
        <v>0.12023349999999999</v>
      </c>
      <c r="G216" s="357">
        <f t="shared" si="10"/>
        <v>1.0347743857093915E-3</v>
      </c>
      <c r="H216" s="358">
        <f t="shared" si="11"/>
        <v>1.2441454610419013E-4</v>
      </c>
    </row>
    <row r="217" spans="1:8" x14ac:dyDescent="0.4">
      <c r="A217" s="376" t="s">
        <v>2209</v>
      </c>
      <c r="B217" s="376" t="s">
        <v>2210</v>
      </c>
      <c r="C217" s="355">
        <v>29946.400000000001</v>
      </c>
      <c r="D217" s="356">
        <v>2.0799999999999999E-2</v>
      </c>
      <c r="E217" s="357">
        <v>0.3</v>
      </c>
      <c r="F217" s="357">
        <f t="shared" si="9"/>
        <v>0.32391999999999999</v>
      </c>
      <c r="G217" s="357">
        <f t="shared" si="10"/>
        <v>7.8934884763597881E-4</v>
      </c>
      <c r="H217" s="358">
        <f t="shared" si="11"/>
        <v>2.5568587872624624E-4</v>
      </c>
    </row>
    <row r="218" spans="1:8" x14ac:dyDescent="0.4">
      <c r="A218" s="376" t="s">
        <v>2212</v>
      </c>
      <c r="B218" s="376" t="s">
        <v>2213</v>
      </c>
      <c r="C218" s="355">
        <v>8903.6</v>
      </c>
      <c r="D218" s="356">
        <v>4.36E-2</v>
      </c>
      <c r="E218" s="357">
        <v>8.5000000000000006E-2</v>
      </c>
      <c r="F218" s="357">
        <f t="shared" si="9"/>
        <v>0.13045300000000001</v>
      </c>
      <c r="G218" s="357">
        <f t="shared" si="10"/>
        <v>2.3468752169915921E-4</v>
      </c>
      <c r="H218" s="358">
        <f t="shared" si="11"/>
        <v>3.0615691268220417E-5</v>
      </c>
    </row>
    <row r="219" spans="1:8" x14ac:dyDescent="0.4">
      <c r="A219" s="376" t="s">
        <v>2215</v>
      </c>
      <c r="B219" s="376" t="s">
        <v>2216</v>
      </c>
      <c r="C219" s="355">
        <v>15576.61</v>
      </c>
      <c r="D219" s="356">
        <v>5.7500000000000002E-2</v>
      </c>
      <c r="E219" s="357">
        <v>0.12</v>
      </c>
      <c r="F219" s="357">
        <f t="shared" si="9"/>
        <v>0.18095</v>
      </c>
      <c r="G219" s="357">
        <f t="shared" si="10"/>
        <v>4.1057954056497825E-4</v>
      </c>
      <c r="H219" s="358">
        <f t="shared" si="11"/>
        <v>7.4294367865232813E-5</v>
      </c>
    </row>
    <row r="220" spans="1:8" x14ac:dyDescent="0.4">
      <c r="A220" s="376" t="s">
        <v>2218</v>
      </c>
      <c r="B220" s="376" t="s">
        <v>2219</v>
      </c>
      <c r="C220" s="355">
        <v>82326.7</v>
      </c>
      <c r="D220" s="356">
        <v>8.0000000000000002E-3</v>
      </c>
      <c r="E220" s="357">
        <v>9.5000000000000001E-2</v>
      </c>
      <c r="F220" s="357">
        <f t="shared" si="9"/>
        <v>0.10338</v>
      </c>
      <c r="G220" s="357">
        <f t="shared" si="10"/>
        <v>2.1700266400860517E-3</v>
      </c>
      <c r="H220" s="358">
        <f t="shared" si="11"/>
        <v>2.2433735405209604E-4</v>
      </c>
    </row>
    <row r="221" spans="1:8" x14ac:dyDescent="0.4">
      <c r="A221" s="376" t="s">
        <v>2221</v>
      </c>
      <c r="B221" s="376" t="s">
        <v>2222</v>
      </c>
      <c r="C221" s="355">
        <v>312975.59999999998</v>
      </c>
      <c r="D221" s="356">
        <v>2.69E-2</v>
      </c>
      <c r="E221" s="357">
        <v>6.5000000000000002E-2</v>
      </c>
      <c r="F221" s="357">
        <f t="shared" si="9"/>
        <v>9.2774250000000003E-2</v>
      </c>
      <c r="G221" s="357">
        <f t="shared" si="10"/>
        <v>8.2496369913638706E-3</v>
      </c>
      <c r="H221" s="358">
        <f t="shared" si="11"/>
        <v>7.6535388464603956E-4</v>
      </c>
    </row>
    <row r="222" spans="1:8" x14ac:dyDescent="0.4">
      <c r="A222" s="376" t="s">
        <v>2224</v>
      </c>
      <c r="B222" s="376" t="s">
        <v>2225</v>
      </c>
      <c r="C222" s="355">
        <v>41280.07</v>
      </c>
      <c r="D222" s="356">
        <v>1.34E-2</v>
      </c>
      <c r="E222" s="357">
        <v>0.23499999999999999</v>
      </c>
      <c r="F222" s="357">
        <f t="shared" si="9"/>
        <v>0.24997449999999999</v>
      </c>
      <c r="G222" s="357">
        <f t="shared" si="10"/>
        <v>1.0880899101338572E-3</v>
      </c>
      <c r="H222" s="358">
        <f t="shared" si="11"/>
        <v>2.7199473124075584E-4</v>
      </c>
    </row>
    <row r="223" spans="1:8" x14ac:dyDescent="0.4">
      <c r="A223" s="376" t="s">
        <v>2227</v>
      </c>
      <c r="B223" s="376" t="s">
        <v>2228</v>
      </c>
      <c r="C223" s="355">
        <v>22460.63</v>
      </c>
      <c r="D223" s="356">
        <v>2.3599999999999999E-2</v>
      </c>
      <c r="E223" s="357">
        <v>0.08</v>
      </c>
      <c r="F223" s="357">
        <f t="shared" si="9"/>
        <v>0.104544</v>
      </c>
      <c r="G223" s="357">
        <f t="shared" si="10"/>
        <v>5.9203351346666367E-4</v>
      </c>
      <c r="H223" s="358">
        <f t="shared" si="11"/>
        <v>6.1893551631858883E-5</v>
      </c>
    </row>
    <row r="224" spans="1:8" x14ac:dyDescent="0.4">
      <c r="A224" s="376" t="s">
        <v>2230</v>
      </c>
      <c r="B224" s="376" t="s">
        <v>2231</v>
      </c>
      <c r="C224" s="355">
        <v>9084.43</v>
      </c>
      <c r="D224" s="356">
        <v>2.18E-2</v>
      </c>
      <c r="E224" s="357">
        <v>0.105</v>
      </c>
      <c r="F224" s="357">
        <f t="shared" si="9"/>
        <v>0.12794449999999999</v>
      </c>
      <c r="G224" s="357">
        <f t="shared" si="10"/>
        <v>2.3945396948981231E-4</v>
      </c>
      <c r="H224" s="358">
        <f t="shared" si="11"/>
        <v>3.0636818399389289E-5</v>
      </c>
    </row>
    <row r="225" spans="1:8" x14ac:dyDescent="0.4">
      <c r="A225" s="376" t="s">
        <v>2233</v>
      </c>
      <c r="B225" s="376" t="s">
        <v>2234</v>
      </c>
      <c r="C225" s="355">
        <v>38488.660000000003</v>
      </c>
      <c r="D225" s="356">
        <v>4.0999999999999995E-3</v>
      </c>
      <c r="E225" s="357">
        <v>0.38500000000000001</v>
      </c>
      <c r="F225" s="357">
        <f t="shared" si="9"/>
        <v>0.38988925000000002</v>
      </c>
      <c r="G225" s="357">
        <f t="shared" si="10"/>
        <v>1.0145119085450335E-3</v>
      </c>
      <c r="H225" s="358">
        <f t="shared" si="11"/>
        <v>3.9554728713869173E-4</v>
      </c>
    </row>
    <row r="226" spans="1:8" x14ac:dyDescent="0.4">
      <c r="A226" s="376" t="s">
        <v>2236</v>
      </c>
      <c r="B226" s="376" t="s">
        <v>2237</v>
      </c>
      <c r="C226" s="355">
        <v>19400.849999999999</v>
      </c>
      <c r="D226" s="356">
        <v>0</v>
      </c>
      <c r="E226" s="357">
        <v>5.5E-2</v>
      </c>
      <c r="F226" s="357">
        <f t="shared" si="9"/>
        <v>5.5E-2</v>
      </c>
      <c r="G226" s="357">
        <f t="shared" si="10"/>
        <v>5.1138162151906331E-4</v>
      </c>
      <c r="H226" s="358">
        <f t="shared" si="11"/>
        <v>2.8125989183548483E-5</v>
      </c>
    </row>
    <row r="227" spans="1:8" x14ac:dyDescent="0.4">
      <c r="A227" s="376" t="s">
        <v>2239</v>
      </c>
      <c r="B227" s="376" t="s">
        <v>2240</v>
      </c>
      <c r="C227" s="355">
        <v>137415.70000000001</v>
      </c>
      <c r="D227" s="356">
        <v>0.02</v>
      </c>
      <c r="E227" s="357">
        <v>0.11</v>
      </c>
      <c r="F227" s="357">
        <f t="shared" si="9"/>
        <v>0.13109999999999999</v>
      </c>
      <c r="G227" s="357">
        <f t="shared" si="10"/>
        <v>3.6221023041865261E-3</v>
      </c>
      <c r="H227" s="358">
        <f t="shared" si="11"/>
        <v>4.7485761207885355E-4</v>
      </c>
    </row>
    <row r="228" spans="1:8" x14ac:dyDescent="0.4">
      <c r="A228" s="376" t="s">
        <v>2242</v>
      </c>
      <c r="B228" s="376" t="s">
        <v>2243</v>
      </c>
      <c r="C228" s="355">
        <v>21537.64</v>
      </c>
      <c r="D228" s="356">
        <v>2.8799999999999999E-2</v>
      </c>
      <c r="E228" s="357">
        <v>0.08</v>
      </c>
      <c r="F228" s="357">
        <f t="shared" si="9"/>
        <v>0.10995199999999999</v>
      </c>
      <c r="G228" s="357">
        <f t="shared" si="10"/>
        <v>5.6770467618139618E-4</v>
      </c>
      <c r="H228" s="358">
        <f t="shared" si="11"/>
        <v>6.2420264555496869E-5</v>
      </c>
    </row>
    <row r="229" spans="1:8" x14ac:dyDescent="0.4">
      <c r="A229" s="376" t="s">
        <v>2245</v>
      </c>
      <c r="B229" s="376" t="s">
        <v>2246</v>
      </c>
      <c r="C229" s="355">
        <v>30250.48</v>
      </c>
      <c r="D229" s="356">
        <v>3.4200000000000001E-2</v>
      </c>
      <c r="E229" s="357">
        <v>0.09</v>
      </c>
      <c r="F229" s="357">
        <f t="shared" si="9"/>
        <v>0.12573899999999999</v>
      </c>
      <c r="G229" s="357">
        <f t="shared" si="10"/>
        <v>7.9736400797542355E-4</v>
      </c>
      <c r="H229" s="358">
        <f t="shared" si="11"/>
        <v>1.0025975299882177E-4</v>
      </c>
    </row>
    <row r="230" spans="1:8" x14ac:dyDescent="0.4">
      <c r="A230" s="376" t="s">
        <v>2248</v>
      </c>
      <c r="B230" s="376" t="s">
        <v>2249</v>
      </c>
      <c r="C230" s="355">
        <v>21937.599999999999</v>
      </c>
      <c r="D230" s="356">
        <v>2.7400000000000001E-2</v>
      </c>
      <c r="E230" s="357">
        <v>5.5E-2</v>
      </c>
      <c r="F230" s="357">
        <f t="shared" si="9"/>
        <v>8.3153500000000005E-2</v>
      </c>
      <c r="G230" s="357">
        <f t="shared" si="10"/>
        <v>5.7824711083465953E-4</v>
      </c>
      <c r="H230" s="358">
        <f t="shared" si="11"/>
        <v>4.8083271130789864E-5</v>
      </c>
    </row>
    <row r="231" spans="1:8" x14ac:dyDescent="0.4">
      <c r="A231" s="376" t="s">
        <v>2251</v>
      </c>
      <c r="B231" s="376" t="s">
        <v>2252</v>
      </c>
      <c r="C231" s="355">
        <v>10420.98</v>
      </c>
      <c r="D231" s="356">
        <v>0</v>
      </c>
      <c r="E231" s="357">
        <v>0.09</v>
      </c>
      <c r="F231" s="357">
        <f t="shared" si="9"/>
        <v>0.09</v>
      </c>
      <c r="G231" s="357">
        <f t="shared" si="10"/>
        <v>2.7468372005441666E-4</v>
      </c>
      <c r="H231" s="358">
        <f t="shared" si="11"/>
        <v>2.4721534804897497E-5</v>
      </c>
    </row>
    <row r="232" spans="1:8" x14ac:dyDescent="0.4">
      <c r="A232" s="376" t="s">
        <v>2254</v>
      </c>
      <c r="B232" s="376" t="s">
        <v>2255</v>
      </c>
      <c r="C232" s="355">
        <v>12256.21</v>
      </c>
      <c r="D232" s="356">
        <v>3.49E-2</v>
      </c>
      <c r="E232" s="357">
        <v>0.51</v>
      </c>
      <c r="F232" s="357">
        <f t="shared" si="9"/>
        <v>0.5537995</v>
      </c>
      <c r="G232" s="357">
        <f t="shared" si="10"/>
        <v>3.230580383580183E-4</v>
      </c>
      <c r="H232" s="358">
        <f t="shared" si="11"/>
        <v>1.7890938011365135E-4</v>
      </c>
    </row>
    <row r="233" spans="1:8" x14ac:dyDescent="0.4">
      <c r="A233" s="376" t="s">
        <v>2257</v>
      </c>
      <c r="B233" s="376" t="s">
        <v>2258</v>
      </c>
      <c r="C233" s="355">
        <v>50850.29</v>
      </c>
      <c r="D233" s="356">
        <v>1.77E-2</v>
      </c>
      <c r="E233" s="357">
        <v>9.5000000000000001E-2</v>
      </c>
      <c r="F233" s="357">
        <f t="shared" si="9"/>
        <v>0.11354075</v>
      </c>
      <c r="G233" s="357">
        <f t="shared" si="10"/>
        <v>1.3403486834295722E-3</v>
      </c>
      <c r="H233" s="358">
        <f t="shared" si="11"/>
        <v>1.5218419477810619E-4</v>
      </c>
    </row>
    <row r="234" spans="1:8" x14ac:dyDescent="0.4">
      <c r="A234" s="376" t="s">
        <v>2260</v>
      </c>
      <c r="B234" s="376" t="s">
        <v>2261</v>
      </c>
      <c r="C234" s="355">
        <v>55598.83</v>
      </c>
      <c r="D234" s="356">
        <v>8.0000000000000002E-3</v>
      </c>
      <c r="E234" s="357">
        <v>0.125</v>
      </c>
      <c r="F234" s="357">
        <f t="shared" si="9"/>
        <v>0.13350000000000001</v>
      </c>
      <c r="G234" s="357">
        <f t="shared" si="10"/>
        <v>1.4655141315954067E-3</v>
      </c>
      <c r="H234" s="358">
        <f t="shared" si="11"/>
        <v>1.9564613656798679E-4</v>
      </c>
    </row>
    <row r="235" spans="1:8" x14ac:dyDescent="0.4">
      <c r="A235" s="376" t="s">
        <v>2263</v>
      </c>
      <c r="B235" s="376" t="s">
        <v>2264</v>
      </c>
      <c r="C235" s="355">
        <v>20146.8</v>
      </c>
      <c r="D235" s="356">
        <v>3.3E-3</v>
      </c>
      <c r="E235" s="357">
        <v>0.2</v>
      </c>
      <c r="F235" s="357">
        <f t="shared" si="9"/>
        <v>0.20363000000000001</v>
      </c>
      <c r="G235" s="357">
        <f t="shared" si="10"/>
        <v>5.3104391057197321E-4</v>
      </c>
      <c r="H235" s="358">
        <f t="shared" si="11"/>
        <v>1.0813647150977091E-4</v>
      </c>
    </row>
    <row r="236" spans="1:8" x14ac:dyDescent="0.4">
      <c r="A236" s="376" t="s">
        <v>2266</v>
      </c>
      <c r="B236" s="376" t="s">
        <v>2267</v>
      </c>
      <c r="C236" s="355">
        <v>121896</v>
      </c>
      <c r="D236" s="356">
        <v>4.9500000000000002E-2</v>
      </c>
      <c r="E236" s="357">
        <v>0.04</v>
      </c>
      <c r="F236" s="357">
        <f t="shared" si="9"/>
        <v>9.0490000000000001E-2</v>
      </c>
      <c r="G236" s="357">
        <f t="shared" si="10"/>
        <v>3.2130228385193302E-3</v>
      </c>
      <c r="H236" s="358">
        <f t="shared" si="11"/>
        <v>2.9074643665761418E-4</v>
      </c>
    </row>
    <row r="237" spans="1:8" x14ac:dyDescent="0.4">
      <c r="A237" s="376" t="s">
        <v>2269</v>
      </c>
      <c r="B237" s="376" t="s">
        <v>2270</v>
      </c>
      <c r="C237" s="355">
        <v>62781.29</v>
      </c>
      <c r="D237" s="356">
        <v>1.4999999999999999E-2</v>
      </c>
      <c r="E237" s="357">
        <v>0.06</v>
      </c>
      <c r="F237" s="357">
        <f t="shared" si="9"/>
        <v>7.5450000000000003E-2</v>
      </c>
      <c r="G237" s="357">
        <f t="shared" si="10"/>
        <v>1.6548346016416063E-3</v>
      </c>
      <c r="H237" s="358">
        <f t="shared" si="11"/>
        <v>1.248572706938592E-4</v>
      </c>
    </row>
    <row r="238" spans="1:8" x14ac:dyDescent="0.4">
      <c r="A238" s="376" t="s">
        <v>2272</v>
      </c>
      <c r="B238" s="376" t="s">
        <v>2273</v>
      </c>
      <c r="C238" s="355">
        <v>40876.15</v>
      </c>
      <c r="D238" s="356">
        <v>0</v>
      </c>
      <c r="E238" s="357">
        <v>0.105</v>
      </c>
      <c r="F238" s="357">
        <f t="shared" si="9"/>
        <v>0.105</v>
      </c>
      <c r="G238" s="357">
        <f t="shared" si="10"/>
        <v>1.0774430949394725E-3</v>
      </c>
      <c r="H238" s="358">
        <f t="shared" si="11"/>
        <v>1.131315249686446E-4</v>
      </c>
    </row>
    <row r="239" spans="1:8" x14ac:dyDescent="0.4">
      <c r="A239" s="376" t="s">
        <v>2275</v>
      </c>
      <c r="B239" s="376" t="s">
        <v>2276</v>
      </c>
      <c r="C239" s="355">
        <v>15958.43</v>
      </c>
      <c r="D239" s="356">
        <v>1.21E-2</v>
      </c>
      <c r="E239" s="357">
        <v>7.0000000000000007E-2</v>
      </c>
      <c r="F239" s="357">
        <f t="shared" si="9"/>
        <v>8.25235E-2</v>
      </c>
      <c r="G239" s="357">
        <f t="shared" si="10"/>
        <v>4.2064382799199349E-4</v>
      </c>
      <c r="H239" s="358">
        <f t="shared" si="11"/>
        <v>3.4713000939297276E-5</v>
      </c>
    </row>
    <row r="240" spans="1:8" x14ac:dyDescent="0.4">
      <c r="A240" s="376" t="s">
        <v>2278</v>
      </c>
      <c r="B240" s="376" t="s">
        <v>2279</v>
      </c>
      <c r="C240" s="355">
        <v>20045.71</v>
      </c>
      <c r="D240" s="356">
        <v>4.1200000000000001E-2</v>
      </c>
      <c r="E240" s="357">
        <v>0.08</v>
      </c>
      <c r="F240" s="357">
        <f t="shared" si="9"/>
        <v>0.12284800000000001</v>
      </c>
      <c r="G240" s="357">
        <f t="shared" si="10"/>
        <v>5.2837930731390137E-4</v>
      </c>
      <c r="H240" s="358">
        <f t="shared" si="11"/>
        <v>6.4910341144898165E-5</v>
      </c>
    </row>
    <row r="241" spans="1:8" x14ac:dyDescent="0.4">
      <c r="A241" s="376" t="s">
        <v>2281</v>
      </c>
      <c r="B241" s="376" t="s">
        <v>2282</v>
      </c>
      <c r="C241" s="355">
        <v>29569.439999999999</v>
      </c>
      <c r="D241" s="356">
        <v>0</v>
      </c>
      <c r="E241" s="357">
        <v>5.0000000000000001E-3</v>
      </c>
      <c r="F241" s="357">
        <f t="shared" si="9"/>
        <v>5.0000000000000001E-3</v>
      </c>
      <c r="G241" s="357">
        <f t="shared" si="10"/>
        <v>7.7941266360033977E-4</v>
      </c>
      <c r="H241" s="358">
        <f t="shared" si="11"/>
        <v>3.8970633180016988E-6</v>
      </c>
    </row>
    <row r="242" spans="1:8" x14ac:dyDescent="0.4">
      <c r="A242" s="376" t="s">
        <v>2284</v>
      </c>
      <c r="B242" s="376" t="s">
        <v>2285</v>
      </c>
      <c r="C242" s="355">
        <v>14050.67</v>
      </c>
      <c r="D242" s="356">
        <v>0</v>
      </c>
      <c r="E242" s="357">
        <v>0.32</v>
      </c>
      <c r="F242" s="357">
        <f t="shared" si="9"/>
        <v>0.32</v>
      </c>
      <c r="G242" s="357">
        <f t="shared" si="10"/>
        <v>3.7035771154507447E-4</v>
      </c>
      <c r="H242" s="358">
        <f t="shared" si="11"/>
        <v>1.1851446769442384E-4</v>
      </c>
    </row>
    <row r="243" spans="1:8" x14ac:dyDescent="0.4">
      <c r="A243" s="376" t="s">
        <v>2287</v>
      </c>
      <c r="B243" s="376" t="s">
        <v>2288</v>
      </c>
      <c r="C243" s="355">
        <v>135599.20000000001</v>
      </c>
      <c r="D243" s="356">
        <v>1.54E-2</v>
      </c>
      <c r="E243" s="357">
        <v>-0.01</v>
      </c>
      <c r="F243" s="357">
        <f t="shared" si="9"/>
        <v>5.3229999999999996E-3</v>
      </c>
      <c r="G243" s="357">
        <f t="shared" si="10"/>
        <v>3.5742216847554505E-3</v>
      </c>
      <c r="H243" s="358">
        <f t="shared" si="11"/>
        <v>1.9025582027953263E-5</v>
      </c>
    </row>
    <row r="244" spans="1:8" x14ac:dyDescent="0.4">
      <c r="A244" s="376" t="s">
        <v>2290</v>
      </c>
      <c r="B244" s="376" t="s">
        <v>2291</v>
      </c>
      <c r="C244" s="355">
        <v>128317.5</v>
      </c>
      <c r="D244" s="356">
        <v>6.9999999999999993E-3</v>
      </c>
      <c r="E244" s="357">
        <v>0.14499999999999999</v>
      </c>
      <c r="F244" s="357">
        <f t="shared" si="9"/>
        <v>0.15250749999999999</v>
      </c>
      <c r="G244" s="357">
        <f t="shared" si="10"/>
        <v>3.3822853750878142E-3</v>
      </c>
      <c r="H244" s="358">
        <f t="shared" si="11"/>
        <v>5.1582388684120475E-4</v>
      </c>
    </row>
    <row r="245" spans="1:8" x14ac:dyDescent="0.4">
      <c r="A245" s="376" t="s">
        <v>2293</v>
      </c>
      <c r="B245" s="376" t="s">
        <v>2294</v>
      </c>
      <c r="C245" s="355" t="s">
        <v>3064</v>
      </c>
      <c r="D245" s="356">
        <v>0</v>
      </c>
      <c r="E245" s="357" t="s">
        <v>3064</v>
      </c>
      <c r="F245" s="357" t="str">
        <f t="shared" si="9"/>
        <v>N/A</v>
      </c>
      <c r="G245" s="357" t="str">
        <f t="shared" si="10"/>
        <v>N/A</v>
      </c>
      <c r="H245" s="358" t="str">
        <f t="shared" si="11"/>
        <v>N/A</v>
      </c>
    </row>
    <row r="246" spans="1:8" x14ac:dyDescent="0.4">
      <c r="A246" s="376" t="s">
        <v>2296</v>
      </c>
      <c r="B246" s="376" t="s">
        <v>2297</v>
      </c>
      <c r="C246" s="355">
        <v>10871.51</v>
      </c>
      <c r="D246" s="356">
        <v>5.91E-2</v>
      </c>
      <c r="E246" s="357">
        <v>4.4999999999999998E-2</v>
      </c>
      <c r="F246" s="357">
        <f t="shared" si="9"/>
        <v>0.10542974999999999</v>
      </c>
      <c r="G246" s="357">
        <f t="shared" si="10"/>
        <v>2.8655911530477856E-4</v>
      </c>
      <c r="H246" s="358">
        <f t="shared" si="11"/>
        <v>3.0211855886803975E-5</v>
      </c>
    </row>
    <row r="247" spans="1:8" x14ac:dyDescent="0.4">
      <c r="A247" s="376" t="s">
        <v>2299</v>
      </c>
      <c r="B247" s="376" t="s">
        <v>2300</v>
      </c>
      <c r="C247" s="355">
        <v>14978.51</v>
      </c>
      <c r="D247" s="356">
        <v>3.3000000000000002E-2</v>
      </c>
      <c r="E247" s="357">
        <v>8.5000000000000006E-2</v>
      </c>
      <c r="F247" s="357">
        <f t="shared" si="9"/>
        <v>0.11940250000000001</v>
      </c>
      <c r="G247" s="357">
        <f t="shared" si="10"/>
        <v>3.9481438863449314E-4</v>
      </c>
      <c r="H247" s="358">
        <f t="shared" si="11"/>
        <v>4.7141825038930073E-5</v>
      </c>
    </row>
    <row r="248" spans="1:8" x14ac:dyDescent="0.4">
      <c r="A248" s="376" t="s">
        <v>2302</v>
      </c>
      <c r="B248" s="376" t="s">
        <v>2303</v>
      </c>
      <c r="C248" s="355">
        <v>40976.949999999997</v>
      </c>
      <c r="D248" s="356">
        <v>0</v>
      </c>
      <c r="E248" s="357">
        <v>0.13</v>
      </c>
      <c r="F248" s="357">
        <f t="shared" si="9"/>
        <v>0.13</v>
      </c>
      <c r="G248" s="357">
        <f t="shared" si="10"/>
        <v>1.0801000541680176E-3</v>
      </c>
      <c r="H248" s="358">
        <f t="shared" si="11"/>
        <v>1.404130070418423E-4</v>
      </c>
    </row>
    <row r="249" spans="1:8" x14ac:dyDescent="0.4">
      <c r="A249" s="376" t="s">
        <v>2305</v>
      </c>
      <c r="B249" s="376" t="s">
        <v>2306</v>
      </c>
      <c r="C249" s="355">
        <v>25968.41</v>
      </c>
      <c r="D249" s="356">
        <v>1.2999999999999999E-3</v>
      </c>
      <c r="E249" s="357">
        <v>0.125</v>
      </c>
      <c r="F249" s="357">
        <f t="shared" si="9"/>
        <v>0.12638125</v>
      </c>
      <c r="G249" s="357">
        <f t="shared" si="10"/>
        <v>6.8449411309668708E-4</v>
      </c>
      <c r="H249" s="358">
        <f t="shared" si="11"/>
        <v>8.6507221630800684E-5</v>
      </c>
    </row>
    <row r="250" spans="1:8" x14ac:dyDescent="0.4">
      <c r="A250" s="376" t="s">
        <v>2308</v>
      </c>
      <c r="B250" s="376" t="s">
        <v>2309</v>
      </c>
      <c r="C250" s="355">
        <v>16979</v>
      </c>
      <c r="D250" s="356">
        <v>4.2599999999999999E-2</v>
      </c>
      <c r="E250" s="357">
        <v>0.105</v>
      </c>
      <c r="F250" s="357">
        <f t="shared" si="9"/>
        <v>0.14983649999999998</v>
      </c>
      <c r="G250" s="357">
        <f t="shared" si="10"/>
        <v>4.4754474941933868E-4</v>
      </c>
      <c r="H250" s="358">
        <f t="shared" si="11"/>
        <v>6.7058538846370729E-5</v>
      </c>
    </row>
    <row r="251" spans="1:8" x14ac:dyDescent="0.4">
      <c r="A251" s="376" t="s">
        <v>2311</v>
      </c>
      <c r="B251" s="376" t="s">
        <v>2312</v>
      </c>
      <c r="C251" s="355">
        <v>116995.1</v>
      </c>
      <c r="D251" s="356">
        <v>0</v>
      </c>
      <c r="E251" s="357">
        <v>0.125</v>
      </c>
      <c r="F251" s="357">
        <f t="shared" si="9"/>
        <v>0.125</v>
      </c>
      <c r="G251" s="357">
        <f t="shared" si="10"/>
        <v>3.0838413753925716E-3</v>
      </c>
      <c r="H251" s="358">
        <f t="shared" si="11"/>
        <v>3.8548017192407144E-4</v>
      </c>
    </row>
    <row r="252" spans="1:8" x14ac:dyDescent="0.4">
      <c r="A252" s="376" t="s">
        <v>2314</v>
      </c>
      <c r="B252" s="376" t="s">
        <v>2315</v>
      </c>
      <c r="C252" s="355">
        <v>27582.93</v>
      </c>
      <c r="D252" s="356">
        <v>0</v>
      </c>
      <c r="E252" s="357">
        <v>0.13500000000000001</v>
      </c>
      <c r="F252" s="357">
        <f t="shared" si="9"/>
        <v>0.13500000000000001</v>
      </c>
      <c r="G252" s="357">
        <f t="shared" si="10"/>
        <v>7.2705079775611987E-4</v>
      </c>
      <c r="H252" s="358">
        <f t="shared" si="11"/>
        <v>9.8151857697076193E-5</v>
      </c>
    </row>
    <row r="253" spans="1:8" x14ac:dyDescent="0.4">
      <c r="A253" s="376" t="s">
        <v>2317</v>
      </c>
      <c r="B253" s="376" t="s">
        <v>2318</v>
      </c>
      <c r="C253" s="355">
        <v>74790.53</v>
      </c>
      <c r="D253" s="356">
        <v>2.1299999999999999E-2</v>
      </c>
      <c r="E253" s="357">
        <v>0.105</v>
      </c>
      <c r="F253" s="357">
        <f t="shared" si="9"/>
        <v>0.12741825000000001</v>
      </c>
      <c r="G253" s="357">
        <f t="shared" si="10"/>
        <v>1.9713828263024638E-3</v>
      </c>
      <c r="H253" s="358">
        <f t="shared" si="11"/>
        <v>2.5119014980751393E-4</v>
      </c>
    </row>
    <row r="254" spans="1:8" x14ac:dyDescent="0.4">
      <c r="A254" s="376" t="s">
        <v>2320</v>
      </c>
      <c r="B254" s="376" t="s">
        <v>2321</v>
      </c>
      <c r="C254" s="355">
        <v>7733.89</v>
      </c>
      <c r="D254" s="356">
        <v>4.8600000000000004E-2</v>
      </c>
      <c r="E254" s="357">
        <v>6.5000000000000002E-2</v>
      </c>
      <c r="F254" s="357">
        <f t="shared" si="9"/>
        <v>0.1151795</v>
      </c>
      <c r="G254" s="357">
        <f t="shared" si="10"/>
        <v>2.038554603973573E-4</v>
      </c>
      <c r="H254" s="358">
        <f t="shared" si="11"/>
        <v>2.3479970000837418E-5</v>
      </c>
    </row>
    <row r="255" spans="1:8" x14ac:dyDescent="0.4">
      <c r="A255" s="376" t="s">
        <v>2323</v>
      </c>
      <c r="B255" s="376" t="s">
        <v>2324</v>
      </c>
      <c r="C255" s="355">
        <v>15395.4</v>
      </c>
      <c r="D255" s="356">
        <v>8.6E-3</v>
      </c>
      <c r="E255" s="357">
        <v>0.11</v>
      </c>
      <c r="F255" s="357">
        <f t="shared" si="9"/>
        <v>0.119073</v>
      </c>
      <c r="G255" s="357">
        <f t="shared" si="10"/>
        <v>4.0580307645977307E-4</v>
      </c>
      <c r="H255" s="358">
        <f t="shared" si="11"/>
        <v>4.8320189723294561E-5</v>
      </c>
    </row>
    <row r="256" spans="1:8" x14ac:dyDescent="0.4">
      <c r="A256" s="376" t="s">
        <v>2326</v>
      </c>
      <c r="B256" s="376" t="s">
        <v>2327</v>
      </c>
      <c r="C256" s="355">
        <v>18603.78</v>
      </c>
      <c r="D256" s="356">
        <v>9.5999999999999992E-3</v>
      </c>
      <c r="E256" s="357">
        <v>0.08</v>
      </c>
      <c r="F256" s="357">
        <f t="shared" si="9"/>
        <v>8.9984000000000008E-2</v>
      </c>
      <c r="G256" s="357">
        <f t="shared" si="10"/>
        <v>4.9037187457167699E-4</v>
      </c>
      <c r="H256" s="358">
        <f t="shared" si="11"/>
        <v>4.4125622761457788E-5</v>
      </c>
    </row>
    <row r="257" spans="1:8" x14ac:dyDescent="0.4">
      <c r="A257" s="376" t="s">
        <v>2329</v>
      </c>
      <c r="B257" s="376" t="s">
        <v>2330</v>
      </c>
      <c r="C257" s="355">
        <v>46071.54</v>
      </c>
      <c r="D257" s="356">
        <v>2.2000000000000002E-2</v>
      </c>
      <c r="E257" s="357">
        <v>0.115</v>
      </c>
      <c r="F257" s="357">
        <f t="shared" si="9"/>
        <v>0.138265</v>
      </c>
      <c r="G257" s="357">
        <f t="shared" si="10"/>
        <v>1.214386938256849E-3</v>
      </c>
      <c r="H257" s="358">
        <f t="shared" si="11"/>
        <v>1.6790721001808321E-4</v>
      </c>
    </row>
    <row r="258" spans="1:8" x14ac:dyDescent="0.4">
      <c r="A258" s="376" t="s">
        <v>2332</v>
      </c>
      <c r="B258" s="376" t="s">
        <v>2333</v>
      </c>
      <c r="C258" s="355">
        <v>12138.02</v>
      </c>
      <c r="D258" s="356">
        <v>1.2500000000000001E-2</v>
      </c>
      <c r="E258" s="357">
        <v>7.0000000000000007E-2</v>
      </c>
      <c r="F258" s="357">
        <f t="shared" si="9"/>
        <v>8.2937500000000011E-2</v>
      </c>
      <c r="G258" s="357">
        <f t="shared" si="10"/>
        <v>3.1994270094510408E-4</v>
      </c>
      <c r="H258" s="358">
        <f t="shared" si="11"/>
        <v>2.6535247759634571E-5</v>
      </c>
    </row>
    <row r="259" spans="1:8" x14ac:dyDescent="0.4">
      <c r="A259" s="376" t="s">
        <v>2335</v>
      </c>
      <c r="B259" s="376" t="s">
        <v>2336</v>
      </c>
      <c r="C259" s="355">
        <v>423033.1</v>
      </c>
      <c r="D259" s="356">
        <v>2.9500000000000002E-2</v>
      </c>
      <c r="E259" s="357">
        <v>0.05</v>
      </c>
      <c r="F259" s="357">
        <f t="shared" si="9"/>
        <v>8.0237500000000003E-2</v>
      </c>
      <c r="G259" s="357">
        <f t="shared" si="10"/>
        <v>1.1150612093502918E-2</v>
      </c>
      <c r="H259" s="358">
        <f t="shared" si="11"/>
        <v>8.946972378524404E-4</v>
      </c>
    </row>
    <row r="260" spans="1:8" x14ac:dyDescent="0.4">
      <c r="A260" s="376" t="s">
        <v>2338</v>
      </c>
      <c r="B260" s="376" t="s">
        <v>2339</v>
      </c>
      <c r="C260" s="355">
        <v>10011.61</v>
      </c>
      <c r="D260" s="356">
        <v>2.8300000000000002E-2</v>
      </c>
      <c r="E260" s="357">
        <v>0.11</v>
      </c>
      <c r="F260" s="357">
        <f t="shared" ref="F260:F323" si="12">IFERROR(D260*(1+0.5*E260)+E260,"N/A")</f>
        <v>0.13985649999999999</v>
      </c>
      <c r="G260" s="357">
        <f t="shared" ref="G260:G323" si="13">IF(F260="N/A","N/A",C260/$C$504)</f>
        <v>2.6389324982237737E-4</v>
      </c>
      <c r="H260" s="358">
        <f t="shared" si="11"/>
        <v>3.6907186293783321E-5</v>
      </c>
    </row>
    <row r="261" spans="1:8" x14ac:dyDescent="0.4">
      <c r="A261" s="376" t="s">
        <v>2341</v>
      </c>
      <c r="B261" s="376" t="s">
        <v>2342</v>
      </c>
      <c r="C261" s="355">
        <v>422679.9</v>
      </c>
      <c r="D261" s="356">
        <v>2.7699999999999999E-2</v>
      </c>
      <c r="E261" s="357">
        <v>7.0000000000000007E-2</v>
      </c>
      <c r="F261" s="357">
        <f t="shared" si="12"/>
        <v>9.8669500000000007E-2</v>
      </c>
      <c r="G261" s="357">
        <f t="shared" si="13"/>
        <v>1.1141302192714008E-2</v>
      </c>
      <c r="H261" s="358">
        <f t="shared" ref="H261:H324" si="14">IF(ISNUMBER(G261),F261*G261,"N/A")</f>
        <v>1.099306716703995E-3</v>
      </c>
    </row>
    <row r="262" spans="1:8" x14ac:dyDescent="0.4">
      <c r="A262" s="376" t="s">
        <v>2344</v>
      </c>
      <c r="B262" s="376" t="s">
        <v>2345</v>
      </c>
      <c r="C262" s="355">
        <v>23444.639999999999</v>
      </c>
      <c r="D262" s="356">
        <v>3.5099999999999999E-2</v>
      </c>
      <c r="E262" s="357">
        <v>0.03</v>
      </c>
      <c r="F262" s="357">
        <f t="shared" si="12"/>
        <v>6.5626500000000004E-2</v>
      </c>
      <c r="G262" s="357">
        <f t="shared" si="13"/>
        <v>6.1797075999921105E-4</v>
      </c>
      <c r="H262" s="358">
        <f t="shared" si="14"/>
        <v>4.0555258081088225E-5</v>
      </c>
    </row>
    <row r="263" spans="1:8" x14ac:dyDescent="0.4">
      <c r="A263" s="376" t="s">
        <v>2347</v>
      </c>
      <c r="B263" s="376" t="s">
        <v>2348</v>
      </c>
      <c r="C263" s="355">
        <v>44568.14</v>
      </c>
      <c r="D263" s="356">
        <v>2.58E-2</v>
      </c>
      <c r="E263" s="357">
        <v>0.12</v>
      </c>
      <c r="F263" s="357">
        <f t="shared" si="12"/>
        <v>0.14734800000000001</v>
      </c>
      <c r="G263" s="357">
        <f t="shared" si="13"/>
        <v>1.1747592348422171E-3</v>
      </c>
      <c r="H263" s="358">
        <f t="shared" si="14"/>
        <v>1.7309842373553101E-4</v>
      </c>
    </row>
    <row r="264" spans="1:8" x14ac:dyDescent="0.4">
      <c r="A264" s="376" t="s">
        <v>2350</v>
      </c>
      <c r="B264" s="376" t="s">
        <v>2351</v>
      </c>
      <c r="C264" s="355">
        <v>8903.3799999999992</v>
      </c>
      <c r="D264" s="356">
        <v>8.6099999999999996E-2</v>
      </c>
      <c r="E264" s="357">
        <v>0.02</v>
      </c>
      <c r="F264" s="357">
        <f t="shared" si="12"/>
        <v>0.106961</v>
      </c>
      <c r="G264" s="357">
        <f t="shared" si="13"/>
        <v>2.3468172278020798E-4</v>
      </c>
      <c r="H264" s="358">
        <f t="shared" si="14"/>
        <v>2.5101791750293825E-5</v>
      </c>
    </row>
    <row r="265" spans="1:8" x14ac:dyDescent="0.4">
      <c r="A265" s="376" t="s">
        <v>2353</v>
      </c>
      <c r="B265" s="376" t="s">
        <v>2354</v>
      </c>
      <c r="C265" s="355">
        <v>29389.57</v>
      </c>
      <c r="D265" s="356">
        <v>0</v>
      </c>
      <c r="E265" s="357">
        <v>0.09</v>
      </c>
      <c r="F265" s="357">
        <f t="shared" si="12"/>
        <v>0.09</v>
      </c>
      <c r="G265" s="357">
        <f t="shared" si="13"/>
        <v>7.7467152018329195E-4</v>
      </c>
      <c r="H265" s="358">
        <f t="shared" si="14"/>
        <v>6.9720436816496267E-5</v>
      </c>
    </row>
    <row r="266" spans="1:8" x14ac:dyDescent="0.4">
      <c r="A266" s="376" t="s">
        <v>2356</v>
      </c>
      <c r="B266" s="376" t="s">
        <v>2357</v>
      </c>
      <c r="C266" s="355">
        <v>43987.95</v>
      </c>
      <c r="D266" s="356">
        <v>4.4600000000000001E-2</v>
      </c>
      <c r="E266" s="357">
        <v>0.04</v>
      </c>
      <c r="F266" s="357">
        <f t="shared" si="12"/>
        <v>8.5492000000000012E-2</v>
      </c>
      <c r="G266" s="357">
        <f t="shared" si="13"/>
        <v>1.1594661676318039E-3</v>
      </c>
      <c r="H266" s="358">
        <f t="shared" si="14"/>
        <v>9.9125081603178191E-5</v>
      </c>
    </row>
    <row r="267" spans="1:8" x14ac:dyDescent="0.4">
      <c r="A267" s="376" t="s">
        <v>2359</v>
      </c>
      <c r="B267" s="376" t="s">
        <v>2360</v>
      </c>
      <c r="C267" s="355">
        <v>12493.38</v>
      </c>
      <c r="D267" s="356">
        <v>4.7E-2</v>
      </c>
      <c r="E267" s="357">
        <v>0.11</v>
      </c>
      <c r="F267" s="357">
        <f t="shared" si="12"/>
        <v>0.159585</v>
      </c>
      <c r="G267" s="357">
        <f t="shared" si="13"/>
        <v>3.2930953657462616E-4</v>
      </c>
      <c r="H267" s="358">
        <f t="shared" si="14"/>
        <v>5.2552862394261716E-5</v>
      </c>
    </row>
    <row r="268" spans="1:8" x14ac:dyDescent="0.4">
      <c r="A268" s="376" t="s">
        <v>2362</v>
      </c>
      <c r="B268" s="376" t="s">
        <v>2363</v>
      </c>
      <c r="C268" s="355">
        <v>64238.89</v>
      </c>
      <c r="D268" s="356">
        <v>1.11E-2</v>
      </c>
      <c r="E268" s="357">
        <v>0.13500000000000001</v>
      </c>
      <c r="F268" s="357">
        <f t="shared" si="12"/>
        <v>0.14684925000000001</v>
      </c>
      <c r="G268" s="357">
        <f t="shared" si="13"/>
        <v>1.6932550755654903E-3</v>
      </c>
      <c r="H268" s="358">
        <f t="shared" si="14"/>
        <v>2.4865323790548561E-4</v>
      </c>
    </row>
    <row r="269" spans="1:8" x14ac:dyDescent="0.4">
      <c r="A269" s="376" t="s">
        <v>2365</v>
      </c>
      <c r="B269" s="376" t="s">
        <v>2366</v>
      </c>
      <c r="C269" s="355">
        <v>46439.74</v>
      </c>
      <c r="D269" s="356">
        <v>3.4300000000000004E-2</v>
      </c>
      <c r="E269" s="357">
        <v>7.0000000000000007E-2</v>
      </c>
      <c r="F269" s="357">
        <f t="shared" si="12"/>
        <v>0.10550050000000001</v>
      </c>
      <c r="G269" s="357">
        <f t="shared" si="13"/>
        <v>1.2240922198833405E-3</v>
      </c>
      <c r="H269" s="358">
        <f t="shared" si="14"/>
        <v>1.2914234124380237E-4</v>
      </c>
    </row>
    <row r="270" spans="1:8" x14ac:dyDescent="0.4">
      <c r="A270" s="376" t="s">
        <v>2368</v>
      </c>
      <c r="B270" s="376" t="s">
        <v>2369</v>
      </c>
      <c r="C270" s="355">
        <v>38278.980000000003</v>
      </c>
      <c r="D270" s="356">
        <v>6.6199999999999995E-2</v>
      </c>
      <c r="E270" s="357">
        <v>0.185</v>
      </c>
      <c r="F270" s="357">
        <f t="shared" si="12"/>
        <v>0.25732349999999998</v>
      </c>
      <c r="G270" s="357">
        <f t="shared" si="13"/>
        <v>1.0089850116100994E-3</v>
      </c>
      <c r="H270" s="358">
        <f t="shared" si="14"/>
        <v>2.596355546350514E-4</v>
      </c>
    </row>
    <row r="271" spans="1:8" x14ac:dyDescent="0.4">
      <c r="A271" s="376" t="s">
        <v>2371</v>
      </c>
      <c r="B271" s="376" t="s">
        <v>2372</v>
      </c>
      <c r="C271" s="355">
        <v>13011.11</v>
      </c>
      <c r="D271" s="356">
        <v>0</v>
      </c>
      <c r="E271" s="357">
        <v>-3.5000000000000003E-2</v>
      </c>
      <c r="F271" s="357">
        <f t="shared" si="12"/>
        <v>-3.5000000000000003E-2</v>
      </c>
      <c r="G271" s="357">
        <f t="shared" si="13"/>
        <v>3.4295623797735158E-4</v>
      </c>
      <c r="H271" s="358">
        <f t="shared" si="14"/>
        <v>-1.2003468329207307E-5</v>
      </c>
    </row>
    <row r="272" spans="1:8" x14ac:dyDescent="0.4">
      <c r="A272" s="376" t="s">
        <v>2374</v>
      </c>
      <c r="B272" s="376" t="s">
        <v>2375</v>
      </c>
      <c r="C272" s="355">
        <v>263954.8</v>
      </c>
      <c r="D272" s="356">
        <v>3.0200000000000001E-2</v>
      </c>
      <c r="E272" s="357">
        <v>7.4999999999999997E-2</v>
      </c>
      <c r="F272" s="357">
        <f t="shared" si="12"/>
        <v>0.1063325</v>
      </c>
      <c r="G272" s="357">
        <f t="shared" si="13"/>
        <v>6.9575113271707198E-3</v>
      </c>
      <c r="H272" s="358">
        <f t="shared" si="14"/>
        <v>7.3980957319638057E-4</v>
      </c>
    </row>
    <row r="273" spans="1:8" x14ac:dyDescent="0.4">
      <c r="A273" s="376" t="s">
        <v>2377</v>
      </c>
      <c r="B273" s="376" t="s">
        <v>2378</v>
      </c>
      <c r="C273" s="355">
        <v>33774.720000000001</v>
      </c>
      <c r="D273" s="356">
        <v>2.4700000000000003E-2</v>
      </c>
      <c r="E273" s="357">
        <v>0.06</v>
      </c>
      <c r="F273" s="357">
        <f t="shared" si="12"/>
        <v>8.5441000000000003E-2</v>
      </c>
      <c r="G273" s="357">
        <f t="shared" si="13"/>
        <v>8.9025847217788609E-4</v>
      </c>
      <c r="H273" s="358">
        <f t="shared" si="14"/>
        <v>7.6064574121350771E-5</v>
      </c>
    </row>
    <row r="274" spans="1:8" x14ac:dyDescent="0.4">
      <c r="A274" s="376" t="s">
        <v>2380</v>
      </c>
      <c r="B274" s="376" t="s">
        <v>2381</v>
      </c>
      <c r="C274" s="355">
        <v>13598.67</v>
      </c>
      <c r="D274" s="356">
        <v>4.1999999999999997E-3</v>
      </c>
      <c r="E274" s="357">
        <v>0.16500000000000001</v>
      </c>
      <c r="F274" s="357">
        <f t="shared" si="12"/>
        <v>0.16954650000000002</v>
      </c>
      <c r="G274" s="357">
        <f t="shared" si="13"/>
        <v>3.5844356897262965E-4</v>
      </c>
      <c r="H274" s="358">
        <f t="shared" si="14"/>
        <v>6.0772852566817959E-5</v>
      </c>
    </row>
    <row r="275" spans="1:8" x14ac:dyDescent="0.4">
      <c r="A275" s="376" t="s">
        <v>2383</v>
      </c>
      <c r="B275" s="376" t="s">
        <v>2384</v>
      </c>
      <c r="C275" s="355">
        <v>12145.05</v>
      </c>
      <c r="D275" s="356">
        <v>1.6399999999999998E-2</v>
      </c>
      <c r="E275" s="357">
        <v>0.08</v>
      </c>
      <c r="F275" s="357">
        <f t="shared" si="12"/>
        <v>9.7056000000000003E-2</v>
      </c>
      <c r="G275" s="357">
        <f t="shared" si="13"/>
        <v>3.2012800276431702E-4</v>
      </c>
      <c r="H275" s="358">
        <f t="shared" si="14"/>
        <v>3.1070343436293556E-5</v>
      </c>
    </row>
    <row r="276" spans="1:8" x14ac:dyDescent="0.4">
      <c r="A276" s="376" t="s">
        <v>2386</v>
      </c>
      <c r="B276" s="376" t="s">
        <v>2387</v>
      </c>
      <c r="C276" s="355">
        <v>35723.800000000003</v>
      </c>
      <c r="D276" s="356">
        <v>1.23E-2</v>
      </c>
      <c r="E276" s="357">
        <v>2.5000000000000001E-2</v>
      </c>
      <c r="F276" s="357">
        <f t="shared" si="12"/>
        <v>3.7453750000000001E-2</v>
      </c>
      <c r="G276" s="357">
        <f t="shared" si="13"/>
        <v>9.4163373103872856E-4</v>
      </c>
      <c r="H276" s="358">
        <f t="shared" si="14"/>
        <v>3.5267714353891781E-5</v>
      </c>
    </row>
    <row r="277" spans="1:8" x14ac:dyDescent="0.4">
      <c r="A277" s="376" t="s">
        <v>2389</v>
      </c>
      <c r="B277" s="376" t="s">
        <v>2390</v>
      </c>
      <c r="C277" s="355">
        <v>18556.38</v>
      </c>
      <c r="D277" s="356">
        <v>1.38E-2</v>
      </c>
      <c r="E277" s="357" t="s">
        <v>3064</v>
      </c>
      <c r="F277" s="357" t="str">
        <f t="shared" si="12"/>
        <v>N/A</v>
      </c>
      <c r="G277" s="357" t="str">
        <f t="shared" si="13"/>
        <v>N/A</v>
      </c>
      <c r="H277" s="358" t="str">
        <f t="shared" si="14"/>
        <v>N/A</v>
      </c>
    </row>
    <row r="278" spans="1:8" x14ac:dyDescent="0.4">
      <c r="A278" s="376" t="s">
        <v>2392</v>
      </c>
      <c r="B278" s="376" t="s">
        <v>2393</v>
      </c>
      <c r="C278" s="355">
        <v>37338.199999999997</v>
      </c>
      <c r="D278" s="356">
        <v>2.3199999999999998E-2</v>
      </c>
      <c r="E278" s="357">
        <v>0.18</v>
      </c>
      <c r="F278" s="357">
        <f t="shared" si="12"/>
        <v>0.205288</v>
      </c>
      <c r="G278" s="357">
        <f t="shared" si="13"/>
        <v>9.841872526514606E-4</v>
      </c>
      <c r="H278" s="358">
        <f t="shared" si="14"/>
        <v>2.0204183272231303E-4</v>
      </c>
    </row>
    <row r="279" spans="1:8" x14ac:dyDescent="0.4">
      <c r="A279" s="376" t="s">
        <v>2395</v>
      </c>
      <c r="B279" s="376" t="s">
        <v>2396</v>
      </c>
      <c r="C279" s="355">
        <v>180040.1</v>
      </c>
      <c r="D279" s="356">
        <v>1.3899999999999999E-2</v>
      </c>
      <c r="E279" s="357">
        <v>8.5000000000000006E-2</v>
      </c>
      <c r="F279" s="357">
        <f t="shared" si="12"/>
        <v>9.9490750000000003E-2</v>
      </c>
      <c r="G279" s="357">
        <f t="shared" si="13"/>
        <v>4.7456270357460794E-3</v>
      </c>
      <c r="H279" s="358">
        <f t="shared" si="14"/>
        <v>4.7214599300665427E-4</v>
      </c>
    </row>
    <row r="280" spans="1:8" x14ac:dyDescent="0.4">
      <c r="A280" s="376" t="s">
        <v>2398</v>
      </c>
      <c r="B280" s="376" t="s">
        <v>2399</v>
      </c>
      <c r="C280" s="355">
        <v>15416.44</v>
      </c>
      <c r="D280" s="356">
        <v>1.9099999999999999E-2</v>
      </c>
      <c r="E280" s="357">
        <v>0.09</v>
      </c>
      <c r="F280" s="357">
        <f t="shared" si="12"/>
        <v>0.10995949999999999</v>
      </c>
      <c r="G280" s="357">
        <f t="shared" si="13"/>
        <v>4.0635766398128688E-4</v>
      </c>
      <c r="H280" s="358">
        <f t="shared" si="14"/>
        <v>4.4682885552550306E-5</v>
      </c>
    </row>
    <row r="281" spans="1:8" x14ac:dyDescent="0.4">
      <c r="A281" s="376" t="s">
        <v>2401</v>
      </c>
      <c r="B281" s="376" t="s">
        <v>2402</v>
      </c>
      <c r="C281" s="355">
        <v>442260.9</v>
      </c>
      <c r="D281" s="356">
        <v>9.7000000000000003E-3</v>
      </c>
      <c r="E281" s="357">
        <v>0.155</v>
      </c>
      <c r="F281" s="357">
        <f t="shared" si="12"/>
        <v>0.16545175000000001</v>
      </c>
      <c r="G281" s="357">
        <f t="shared" si="13"/>
        <v>1.1657432338092421E-2</v>
      </c>
      <c r="H281" s="358">
        <f t="shared" si="14"/>
        <v>1.9287425808439827E-3</v>
      </c>
    </row>
    <row r="282" spans="1:8" x14ac:dyDescent="0.4">
      <c r="A282" s="376" t="s">
        <v>2404</v>
      </c>
      <c r="B282" s="376" t="s">
        <v>2405</v>
      </c>
      <c r="C282" s="355">
        <v>117195.4</v>
      </c>
      <c r="D282" s="356">
        <v>2.6800000000000001E-2</v>
      </c>
      <c r="E282" s="357">
        <v>7.0000000000000007E-2</v>
      </c>
      <c r="F282" s="357">
        <f t="shared" si="12"/>
        <v>9.7738000000000005E-2</v>
      </c>
      <c r="G282" s="357">
        <f t="shared" si="13"/>
        <v>3.0891210275104048E-3</v>
      </c>
      <c r="H282" s="358">
        <f t="shared" si="14"/>
        <v>3.0192451098681196E-4</v>
      </c>
    </row>
    <row r="283" spans="1:8" x14ac:dyDescent="0.4">
      <c r="A283" s="376" t="s">
        <v>2407</v>
      </c>
      <c r="B283" s="376" t="s">
        <v>2408</v>
      </c>
      <c r="C283" s="355">
        <v>4394.43</v>
      </c>
      <c r="D283" s="356">
        <v>7.1800000000000003E-2</v>
      </c>
      <c r="E283" s="357">
        <v>0.28000000000000003</v>
      </c>
      <c r="F283" s="357">
        <f t="shared" si="12"/>
        <v>0.36185200000000006</v>
      </c>
      <c r="G283" s="357">
        <f t="shared" si="13"/>
        <v>1.1583156093944429E-4</v>
      </c>
      <c r="H283" s="358">
        <f t="shared" si="14"/>
        <v>4.19138819890598E-5</v>
      </c>
    </row>
    <row r="284" spans="1:8" x14ac:dyDescent="0.4">
      <c r="A284" s="376" t="s">
        <v>2410</v>
      </c>
      <c r="B284" s="376" t="s">
        <v>1489</v>
      </c>
      <c r="C284" s="355">
        <v>13448.21</v>
      </c>
      <c r="D284" s="356">
        <v>3.3799999999999997E-2</v>
      </c>
      <c r="E284" s="357">
        <v>6.5000000000000002E-2</v>
      </c>
      <c r="F284" s="357">
        <f t="shared" si="12"/>
        <v>9.9898500000000001E-2</v>
      </c>
      <c r="G284" s="357">
        <f t="shared" si="13"/>
        <v>3.5447763558446577E-4</v>
      </c>
      <c r="H284" s="358">
        <f t="shared" si="14"/>
        <v>3.5411784078434751E-5</v>
      </c>
    </row>
    <row r="285" spans="1:8" x14ac:dyDescent="0.4">
      <c r="A285" s="376" t="s">
        <v>2412</v>
      </c>
      <c r="B285" s="376" t="s">
        <v>2413</v>
      </c>
      <c r="C285" s="355">
        <v>133490.1</v>
      </c>
      <c r="D285" s="356">
        <v>1.95E-2</v>
      </c>
      <c r="E285" s="357">
        <v>0.08</v>
      </c>
      <c r="F285" s="357">
        <f t="shared" si="12"/>
        <v>0.10028000000000001</v>
      </c>
      <c r="G285" s="357">
        <f t="shared" si="13"/>
        <v>3.5186285031192925E-3</v>
      </c>
      <c r="H285" s="358">
        <f t="shared" si="14"/>
        <v>3.5284806629280269E-4</v>
      </c>
    </row>
    <row r="286" spans="1:8" x14ac:dyDescent="0.4">
      <c r="A286" s="376" t="s">
        <v>2415</v>
      </c>
      <c r="B286" s="376" t="s">
        <v>2416</v>
      </c>
      <c r="C286" s="355">
        <v>84664.69</v>
      </c>
      <c r="D286" s="356">
        <v>1.1899999999999999E-2</v>
      </c>
      <c r="E286" s="357">
        <v>0.08</v>
      </c>
      <c r="F286" s="357">
        <f t="shared" si="12"/>
        <v>9.2376E-2</v>
      </c>
      <c r="G286" s="357">
        <f t="shared" si="13"/>
        <v>2.2316530697164727E-3</v>
      </c>
      <c r="H286" s="358">
        <f t="shared" si="14"/>
        <v>2.0615118396812888E-4</v>
      </c>
    </row>
    <row r="287" spans="1:8" x14ac:dyDescent="0.4">
      <c r="A287" s="376" t="s">
        <v>2418</v>
      </c>
      <c r="B287" s="376" t="s">
        <v>2419</v>
      </c>
      <c r="C287" s="355">
        <v>22148.62</v>
      </c>
      <c r="D287" s="356">
        <v>1.9900000000000001E-2</v>
      </c>
      <c r="E287" s="357" t="s">
        <v>3064</v>
      </c>
      <c r="F287" s="357" t="str">
        <f t="shared" si="12"/>
        <v>N/A</v>
      </c>
      <c r="G287" s="357" t="str">
        <f t="shared" si="13"/>
        <v>N/A</v>
      </c>
      <c r="H287" s="358" t="str">
        <f t="shared" si="14"/>
        <v>N/A</v>
      </c>
    </row>
    <row r="288" spans="1:8" x14ac:dyDescent="0.4">
      <c r="A288" s="376" t="s">
        <v>2421</v>
      </c>
      <c r="B288" s="376" t="s">
        <v>2422</v>
      </c>
      <c r="C288" s="355">
        <v>42249.2</v>
      </c>
      <c r="D288" s="356">
        <v>0</v>
      </c>
      <c r="E288" s="357" t="s">
        <v>3064</v>
      </c>
      <c r="F288" s="357" t="str">
        <f t="shared" si="12"/>
        <v>N/A</v>
      </c>
      <c r="G288" s="357" t="str">
        <f t="shared" si="13"/>
        <v>N/A</v>
      </c>
      <c r="H288" s="358" t="str">
        <f t="shared" si="14"/>
        <v>N/A</v>
      </c>
    </row>
    <row r="289" spans="1:8" x14ac:dyDescent="0.4">
      <c r="A289" s="376" t="s">
        <v>2424</v>
      </c>
      <c r="B289" s="376" t="s">
        <v>2425</v>
      </c>
      <c r="C289" s="355">
        <v>16430.849999999999</v>
      </c>
      <c r="D289" s="356">
        <v>0.01</v>
      </c>
      <c r="E289" s="357">
        <v>0.155</v>
      </c>
      <c r="F289" s="357">
        <f t="shared" si="12"/>
        <v>0.16577500000000001</v>
      </c>
      <c r="G289" s="357">
        <f t="shared" si="13"/>
        <v>4.3309621567799874E-4</v>
      </c>
      <c r="H289" s="358">
        <f t="shared" si="14"/>
        <v>7.1796525154020247E-5</v>
      </c>
    </row>
    <row r="290" spans="1:8" x14ac:dyDescent="0.4">
      <c r="A290" s="376" t="s">
        <v>2427</v>
      </c>
      <c r="B290" s="376" t="s">
        <v>2428</v>
      </c>
      <c r="C290" s="355">
        <v>29318.25</v>
      </c>
      <c r="D290" s="356">
        <v>5.5500000000000001E-2</v>
      </c>
      <c r="E290" s="357">
        <v>0.02</v>
      </c>
      <c r="F290" s="357">
        <f t="shared" si="12"/>
        <v>7.6054999999999998E-2</v>
      </c>
      <c r="G290" s="357">
        <f t="shared" si="13"/>
        <v>7.7279161609420614E-4</v>
      </c>
      <c r="H290" s="358">
        <f t="shared" si="14"/>
        <v>5.8774666362044845E-5</v>
      </c>
    </row>
    <row r="291" spans="1:8" x14ac:dyDescent="0.4">
      <c r="A291" s="376" t="s">
        <v>2430</v>
      </c>
      <c r="B291" s="376" t="s">
        <v>2431</v>
      </c>
      <c r="C291" s="355">
        <v>21315.49</v>
      </c>
      <c r="D291" s="356">
        <v>0</v>
      </c>
      <c r="E291" s="357" t="s">
        <v>3064</v>
      </c>
      <c r="F291" s="357" t="str">
        <f t="shared" si="12"/>
        <v>N/A</v>
      </c>
      <c r="G291" s="357" t="str">
        <f t="shared" si="13"/>
        <v>N/A</v>
      </c>
      <c r="H291" s="358" t="str">
        <f t="shared" si="14"/>
        <v>N/A</v>
      </c>
    </row>
    <row r="292" spans="1:8" x14ac:dyDescent="0.4">
      <c r="A292" s="376" t="s">
        <v>2433</v>
      </c>
      <c r="B292" s="376" t="s">
        <v>2434</v>
      </c>
      <c r="C292" s="355">
        <v>374204</v>
      </c>
      <c r="D292" s="356">
        <v>5.8999999999999999E-3</v>
      </c>
      <c r="E292" s="357">
        <v>0.16</v>
      </c>
      <c r="F292" s="357">
        <f t="shared" si="12"/>
        <v>0.16637199999999999</v>
      </c>
      <c r="G292" s="357">
        <f t="shared" si="13"/>
        <v>9.8635393964140537E-3</v>
      </c>
      <c r="H292" s="358">
        <f t="shared" si="14"/>
        <v>1.6410167764601988E-3</v>
      </c>
    </row>
    <row r="293" spans="1:8" x14ac:dyDescent="0.4">
      <c r="A293" s="376" t="s">
        <v>2436</v>
      </c>
      <c r="B293" s="376" t="s">
        <v>2437</v>
      </c>
      <c r="C293" s="355">
        <v>17719.22</v>
      </c>
      <c r="D293" s="356">
        <v>3.6499999999999998E-2</v>
      </c>
      <c r="E293" s="357">
        <v>-0.125</v>
      </c>
      <c r="F293" s="357">
        <f t="shared" si="12"/>
        <v>-9.0781250000000008E-2</v>
      </c>
      <c r="G293" s="357">
        <f t="shared" si="13"/>
        <v>4.6705600299229254E-4</v>
      </c>
      <c r="H293" s="358">
        <f t="shared" si="14"/>
        <v>-4.2399927771644061E-5</v>
      </c>
    </row>
    <row r="294" spans="1:8" x14ac:dyDescent="0.4">
      <c r="A294" s="376" t="s">
        <v>2439</v>
      </c>
      <c r="B294" s="376" t="s">
        <v>2440</v>
      </c>
      <c r="C294" s="355">
        <v>55491.96</v>
      </c>
      <c r="D294" s="356">
        <v>1.1399999999999999E-2</v>
      </c>
      <c r="E294" s="357">
        <v>0.22</v>
      </c>
      <c r="F294" s="357">
        <f t="shared" si="12"/>
        <v>0.232654</v>
      </c>
      <c r="G294" s="357">
        <f t="shared" si="13"/>
        <v>1.4626971749212537E-3</v>
      </c>
      <c r="H294" s="358">
        <f t="shared" si="14"/>
        <v>3.4030234853412936E-4</v>
      </c>
    </row>
    <row r="295" spans="1:8" x14ac:dyDescent="0.4">
      <c r="A295" s="376" t="s">
        <v>2442</v>
      </c>
      <c r="B295" s="376" t="s">
        <v>2443</v>
      </c>
      <c r="C295" s="355">
        <v>12638.75</v>
      </c>
      <c r="D295" s="356">
        <v>2.0499999999999997E-2</v>
      </c>
      <c r="E295" s="357">
        <v>0.06</v>
      </c>
      <c r="F295" s="357">
        <f t="shared" si="12"/>
        <v>8.1114999999999993E-2</v>
      </c>
      <c r="G295" s="357">
        <f t="shared" si="13"/>
        <v>3.3314130406523747E-4</v>
      </c>
      <c r="H295" s="358">
        <f t="shared" si="14"/>
        <v>2.7022756879251734E-5</v>
      </c>
    </row>
    <row r="296" spans="1:8" x14ac:dyDescent="0.4">
      <c r="A296" s="376" t="s">
        <v>2445</v>
      </c>
      <c r="B296" s="376" t="s">
        <v>2446</v>
      </c>
      <c r="C296" s="355">
        <v>216764.9</v>
      </c>
      <c r="D296" s="356">
        <v>2.1299999999999999E-2</v>
      </c>
      <c r="E296" s="357">
        <v>0.1</v>
      </c>
      <c r="F296" s="357">
        <f t="shared" si="12"/>
        <v>0.122365</v>
      </c>
      <c r="G296" s="357">
        <f t="shared" si="13"/>
        <v>5.7136458480127224E-3</v>
      </c>
      <c r="H296" s="358">
        <f t="shared" si="14"/>
        <v>6.9915027419207676E-4</v>
      </c>
    </row>
    <row r="297" spans="1:8" x14ac:dyDescent="0.4">
      <c r="A297" s="376" t="s">
        <v>2448</v>
      </c>
      <c r="B297" s="376" t="s">
        <v>2449</v>
      </c>
      <c r="C297" s="355">
        <v>48441.24</v>
      </c>
      <c r="D297" s="356">
        <v>1.7299999999999999E-2</v>
      </c>
      <c r="E297" s="357">
        <v>0.12</v>
      </c>
      <c r="F297" s="357">
        <f t="shared" si="12"/>
        <v>0.13833799999999999</v>
      </c>
      <c r="G297" s="357">
        <f t="shared" si="13"/>
        <v>1.2768492029779166E-3</v>
      </c>
      <c r="H297" s="358">
        <f t="shared" si="14"/>
        <v>1.7663676504155903E-4</v>
      </c>
    </row>
    <row r="298" spans="1:8" x14ac:dyDescent="0.4">
      <c r="A298" s="376" t="s">
        <v>2451</v>
      </c>
      <c r="B298" s="376" t="s">
        <v>2452</v>
      </c>
      <c r="C298" s="355">
        <v>57374.23</v>
      </c>
      <c r="D298" s="356">
        <v>5.6999999999999993E-3</v>
      </c>
      <c r="E298" s="357">
        <v>0.09</v>
      </c>
      <c r="F298" s="357">
        <f t="shared" si="12"/>
        <v>9.59565E-2</v>
      </c>
      <c r="G298" s="357">
        <f t="shared" si="13"/>
        <v>1.51231140753151E-3</v>
      </c>
      <c r="H298" s="358">
        <f t="shared" si="14"/>
        <v>1.4511610957679733E-4</v>
      </c>
    </row>
    <row r="299" spans="1:8" x14ac:dyDescent="0.4">
      <c r="A299" s="376" t="s">
        <v>2454</v>
      </c>
      <c r="B299" s="376" t="s">
        <v>2455</v>
      </c>
      <c r="C299" s="355">
        <v>63666.47</v>
      </c>
      <c r="D299" s="356">
        <v>8.8999999999999999E-3</v>
      </c>
      <c r="E299" s="357">
        <v>0.06</v>
      </c>
      <c r="F299" s="357">
        <f t="shared" si="12"/>
        <v>6.9166999999999992E-2</v>
      </c>
      <c r="G299" s="357">
        <f t="shared" si="13"/>
        <v>1.6781668156289442E-3</v>
      </c>
      <c r="H299" s="358">
        <f t="shared" si="14"/>
        <v>1.1607376413660716E-4</v>
      </c>
    </row>
    <row r="300" spans="1:8" x14ac:dyDescent="0.4">
      <c r="A300" s="376" t="s">
        <v>2457</v>
      </c>
      <c r="B300" s="376" t="s">
        <v>2458</v>
      </c>
      <c r="C300" s="355">
        <v>100010.5</v>
      </c>
      <c r="D300" s="356">
        <v>2.1000000000000001E-2</v>
      </c>
      <c r="E300" s="357">
        <v>8.5000000000000006E-2</v>
      </c>
      <c r="F300" s="357">
        <f t="shared" si="12"/>
        <v>0.1068925</v>
      </c>
      <c r="G300" s="357">
        <f t="shared" si="13"/>
        <v>2.6361490171272024E-3</v>
      </c>
      <c r="H300" s="358">
        <f t="shared" si="14"/>
        <v>2.8178455881326946E-4</v>
      </c>
    </row>
    <row r="301" spans="1:8" x14ac:dyDescent="0.4">
      <c r="A301" s="376" t="s">
        <v>2460</v>
      </c>
      <c r="B301" s="376" t="s">
        <v>2461</v>
      </c>
      <c r="C301" s="355">
        <v>115569.8</v>
      </c>
      <c r="D301" s="356">
        <v>3.1800000000000002E-2</v>
      </c>
      <c r="E301" s="357">
        <v>7.0000000000000007E-2</v>
      </c>
      <c r="F301" s="357">
        <f t="shared" si="12"/>
        <v>0.102913</v>
      </c>
      <c r="G301" s="357">
        <f t="shared" si="13"/>
        <v>3.0462722882056122E-3</v>
      </c>
      <c r="H301" s="358">
        <f t="shared" si="14"/>
        <v>3.1350101999610416E-4</v>
      </c>
    </row>
    <row r="302" spans="1:8" x14ac:dyDescent="0.4">
      <c r="A302" s="376" t="s">
        <v>2463</v>
      </c>
      <c r="B302" s="376" t="s">
        <v>2464</v>
      </c>
      <c r="C302" s="355">
        <v>43673.98</v>
      </c>
      <c r="D302" s="356">
        <v>3.6600000000000001E-2</v>
      </c>
      <c r="E302" s="357">
        <v>8.5000000000000006E-2</v>
      </c>
      <c r="F302" s="357">
        <f t="shared" si="12"/>
        <v>0.1231555</v>
      </c>
      <c r="G302" s="357">
        <f t="shared" si="13"/>
        <v>1.1511903195267808E-3</v>
      </c>
      <c r="H302" s="358">
        <f t="shared" si="14"/>
        <v>1.4177541939648045E-4</v>
      </c>
    </row>
    <row r="303" spans="1:8" x14ac:dyDescent="0.4">
      <c r="A303" s="376" t="s">
        <v>2466</v>
      </c>
      <c r="B303" s="376" t="s">
        <v>2467</v>
      </c>
      <c r="C303" s="355">
        <v>755353.4</v>
      </c>
      <c r="D303" s="356">
        <v>0</v>
      </c>
      <c r="E303" s="357">
        <v>0.09</v>
      </c>
      <c r="F303" s="357">
        <f t="shared" si="12"/>
        <v>0.09</v>
      </c>
      <c r="G303" s="357">
        <f t="shared" si="13"/>
        <v>1.9910150664117176E-2</v>
      </c>
      <c r="H303" s="358">
        <f t="shared" si="14"/>
        <v>1.7919135597705457E-3</v>
      </c>
    </row>
    <row r="304" spans="1:8" x14ac:dyDescent="0.4">
      <c r="A304" s="376" t="s">
        <v>2469</v>
      </c>
      <c r="B304" s="376" t="s">
        <v>2470</v>
      </c>
      <c r="C304" s="355">
        <v>15604.07</v>
      </c>
      <c r="D304" s="356">
        <v>0</v>
      </c>
      <c r="E304" s="357" t="s">
        <v>3064</v>
      </c>
      <c r="F304" s="357" t="str">
        <f t="shared" si="12"/>
        <v>N/A</v>
      </c>
      <c r="G304" s="357" t="str">
        <f t="shared" si="13"/>
        <v>N/A</v>
      </c>
      <c r="H304" s="358" t="str">
        <f t="shared" si="14"/>
        <v>N/A</v>
      </c>
    </row>
    <row r="305" spans="1:8" x14ac:dyDescent="0.4">
      <c r="A305" s="376" t="s">
        <v>2472</v>
      </c>
      <c r="B305" s="376" t="s">
        <v>2473</v>
      </c>
      <c r="C305" s="355">
        <v>7167.75</v>
      </c>
      <c r="D305" s="356">
        <v>0</v>
      </c>
      <c r="E305" s="357">
        <v>0.03</v>
      </c>
      <c r="F305" s="357">
        <f t="shared" si="12"/>
        <v>0.03</v>
      </c>
      <c r="G305" s="357">
        <f t="shared" si="13"/>
        <v>1.8893273323814506E-4</v>
      </c>
      <c r="H305" s="358">
        <f t="shared" si="14"/>
        <v>5.6679819971443518E-6</v>
      </c>
    </row>
    <row r="306" spans="1:8" x14ac:dyDescent="0.4">
      <c r="A306" s="376" t="s">
        <v>2475</v>
      </c>
      <c r="B306" s="376" t="s">
        <v>2476</v>
      </c>
      <c r="C306" s="355">
        <v>23363.23</v>
      </c>
      <c r="D306" s="356">
        <v>1.7899999999999999E-2</v>
      </c>
      <c r="E306" s="357">
        <v>4.4999999999999998E-2</v>
      </c>
      <c r="F306" s="357">
        <f t="shared" si="12"/>
        <v>6.3302749999999991E-2</v>
      </c>
      <c r="G306" s="357">
        <f t="shared" si="13"/>
        <v>6.1582489640004572E-4</v>
      </c>
      <c r="H306" s="358">
        <f t="shared" si="14"/>
        <v>3.898340946058799E-5</v>
      </c>
    </row>
    <row r="307" spans="1:8" x14ac:dyDescent="0.4">
      <c r="A307" s="376" t="s">
        <v>2478</v>
      </c>
      <c r="B307" s="376" t="s">
        <v>2479</v>
      </c>
      <c r="C307" s="355">
        <v>9732.92</v>
      </c>
      <c r="D307" s="356">
        <v>1.1200000000000002E-2</v>
      </c>
      <c r="E307" s="357">
        <v>0.105</v>
      </c>
      <c r="F307" s="357">
        <f t="shared" si="12"/>
        <v>0.116788</v>
      </c>
      <c r="G307" s="357">
        <f t="shared" si="13"/>
        <v>2.5654733744734495E-4</v>
      </c>
      <c r="H307" s="358">
        <f t="shared" si="14"/>
        <v>2.9961650445800523E-5</v>
      </c>
    </row>
    <row r="308" spans="1:8" x14ac:dyDescent="0.4">
      <c r="A308" s="376" t="s">
        <v>2481</v>
      </c>
      <c r="B308" s="376" t="s">
        <v>2482</v>
      </c>
      <c r="C308" s="355">
        <v>27862.799999999999</v>
      </c>
      <c r="D308" s="356">
        <v>5.8999999999999999E-3</v>
      </c>
      <c r="E308" s="357">
        <v>0.08</v>
      </c>
      <c r="F308" s="357">
        <f t="shared" si="12"/>
        <v>8.6136000000000004E-2</v>
      </c>
      <c r="G308" s="357">
        <f t="shared" si="13"/>
        <v>7.3442781342370866E-4</v>
      </c>
      <c r="H308" s="358">
        <f t="shared" si="14"/>
        <v>6.3260674137064572E-5</v>
      </c>
    </row>
    <row r="309" spans="1:8" x14ac:dyDescent="0.4">
      <c r="A309" s="376" t="s">
        <v>2484</v>
      </c>
      <c r="B309" s="376" t="s">
        <v>2485</v>
      </c>
      <c r="C309" s="355">
        <v>92048.57</v>
      </c>
      <c r="D309" s="356">
        <v>1.37E-2</v>
      </c>
      <c r="E309" s="357">
        <v>0.08</v>
      </c>
      <c r="F309" s="357">
        <f t="shared" si="12"/>
        <v>9.4247999999999998E-2</v>
      </c>
      <c r="G309" s="357">
        <f t="shared" si="13"/>
        <v>2.4262827136497119E-3</v>
      </c>
      <c r="H309" s="358">
        <f t="shared" si="14"/>
        <v>2.2867229319605803E-4</v>
      </c>
    </row>
    <row r="310" spans="1:8" x14ac:dyDescent="0.4">
      <c r="A310" s="376" t="s">
        <v>2487</v>
      </c>
      <c r="B310" s="376" t="s">
        <v>2488</v>
      </c>
      <c r="C310" s="355">
        <v>54411.41</v>
      </c>
      <c r="D310" s="356">
        <v>6.0899999999999996E-2</v>
      </c>
      <c r="E310" s="357">
        <v>4.4999999999999998E-2</v>
      </c>
      <c r="F310" s="357">
        <f t="shared" si="12"/>
        <v>0.10727024999999998</v>
      </c>
      <c r="G310" s="357">
        <f t="shared" si="13"/>
        <v>1.434215257318034E-3</v>
      </c>
      <c r="H310" s="358">
        <f t="shared" si="14"/>
        <v>1.5384862920631983E-4</v>
      </c>
    </row>
    <row r="311" spans="1:8" x14ac:dyDescent="0.4">
      <c r="A311" s="376" t="s">
        <v>2490</v>
      </c>
      <c r="B311" s="376" t="s">
        <v>2491</v>
      </c>
      <c r="C311" s="355">
        <v>59625.71</v>
      </c>
      <c r="D311" s="356">
        <v>0</v>
      </c>
      <c r="E311" s="357">
        <v>0.11</v>
      </c>
      <c r="F311" s="357">
        <f t="shared" si="12"/>
        <v>0.11</v>
      </c>
      <c r="G311" s="357">
        <f t="shared" si="13"/>
        <v>1.5716575440779879E-3</v>
      </c>
      <c r="H311" s="358">
        <f t="shared" si="14"/>
        <v>1.7288232984857867E-4</v>
      </c>
    </row>
    <row r="312" spans="1:8" x14ac:dyDescent="0.4">
      <c r="A312" s="376" t="s">
        <v>2493</v>
      </c>
      <c r="B312" s="376" t="s">
        <v>780</v>
      </c>
      <c r="C312" s="355">
        <v>82127</v>
      </c>
      <c r="D312" s="356">
        <v>8.1799999999999998E-2</v>
      </c>
      <c r="E312" s="357">
        <v>5.5E-2</v>
      </c>
      <c r="F312" s="357">
        <f t="shared" si="12"/>
        <v>0.13904949999999999</v>
      </c>
      <c r="G312" s="357">
        <f t="shared" si="13"/>
        <v>2.1647628032017215E-3</v>
      </c>
      <c r="H312" s="358">
        <f t="shared" si="14"/>
        <v>3.0100918540379776E-4</v>
      </c>
    </row>
    <row r="313" spans="1:8" x14ac:dyDescent="0.4">
      <c r="A313" s="376" t="s">
        <v>2495</v>
      </c>
      <c r="B313" s="376" t="s">
        <v>2496</v>
      </c>
      <c r="C313" s="355">
        <v>17429</v>
      </c>
      <c r="D313" s="356">
        <v>0</v>
      </c>
      <c r="E313" s="357">
        <v>0.125</v>
      </c>
      <c r="F313" s="357">
        <f t="shared" si="12"/>
        <v>0.125</v>
      </c>
      <c r="G313" s="357">
        <f t="shared" si="13"/>
        <v>4.5940617454677275E-4</v>
      </c>
      <c r="H313" s="358">
        <f t="shared" si="14"/>
        <v>5.7425771818346593E-5</v>
      </c>
    </row>
    <row r="314" spans="1:8" x14ac:dyDescent="0.4">
      <c r="A314" s="376" t="s">
        <v>2498</v>
      </c>
      <c r="B314" s="376" t="s">
        <v>2499</v>
      </c>
      <c r="C314" s="355">
        <v>11693.21</v>
      </c>
      <c r="D314" s="356">
        <v>2.2700000000000001E-2</v>
      </c>
      <c r="E314" s="357">
        <v>7.0000000000000007E-2</v>
      </c>
      <c r="F314" s="357">
        <f t="shared" si="12"/>
        <v>9.3494500000000008E-2</v>
      </c>
      <c r="G314" s="357">
        <f t="shared" si="13"/>
        <v>3.0821807758747304E-4</v>
      </c>
      <c r="H314" s="358">
        <f t="shared" si="14"/>
        <v>2.8816695055002001E-5</v>
      </c>
    </row>
    <row r="315" spans="1:8" x14ac:dyDescent="0.4">
      <c r="A315" s="376" t="s">
        <v>2501</v>
      </c>
      <c r="B315" s="376" t="s">
        <v>2502</v>
      </c>
      <c r="C315" s="355">
        <v>49970.3</v>
      </c>
      <c r="D315" s="356">
        <v>2.58E-2</v>
      </c>
      <c r="E315" s="357">
        <v>0.13500000000000001</v>
      </c>
      <c r="F315" s="357">
        <f t="shared" si="12"/>
        <v>0.16254150000000001</v>
      </c>
      <c r="G315" s="357">
        <f t="shared" si="13"/>
        <v>1.3171532712120374E-3</v>
      </c>
      <c r="H315" s="358">
        <f t="shared" si="14"/>
        <v>2.1409206843271138E-4</v>
      </c>
    </row>
    <row r="316" spans="1:8" x14ac:dyDescent="0.4">
      <c r="A316" s="376" t="s">
        <v>2504</v>
      </c>
      <c r="B316" s="376" t="s">
        <v>2505</v>
      </c>
      <c r="C316" s="355">
        <v>24808.28</v>
      </c>
      <c r="D316" s="356">
        <v>7.6E-3</v>
      </c>
      <c r="E316" s="357">
        <v>0.15</v>
      </c>
      <c r="F316" s="357">
        <f t="shared" si="12"/>
        <v>0.15817000000000001</v>
      </c>
      <c r="G316" s="357">
        <f t="shared" si="13"/>
        <v>6.5391456835648689E-4</v>
      </c>
      <c r="H316" s="358">
        <f t="shared" si="14"/>
        <v>1.0342966727694553E-4</v>
      </c>
    </row>
    <row r="317" spans="1:8" x14ac:dyDescent="0.4">
      <c r="A317" s="376" t="s">
        <v>2507</v>
      </c>
      <c r="B317" s="376" t="s">
        <v>2508</v>
      </c>
      <c r="C317" s="355">
        <v>288508.3</v>
      </c>
      <c r="D317" s="356">
        <v>2.5699999999999997E-2</v>
      </c>
      <c r="E317" s="357">
        <v>8.5000000000000006E-2</v>
      </c>
      <c r="F317" s="357">
        <f t="shared" si="12"/>
        <v>0.11179225000000001</v>
      </c>
      <c r="G317" s="357">
        <f t="shared" si="13"/>
        <v>7.6047102202072793E-3</v>
      </c>
      <c r="H317" s="358">
        <f t="shared" si="14"/>
        <v>8.5014766611496732E-4</v>
      </c>
    </row>
    <row r="318" spans="1:8" x14ac:dyDescent="0.4">
      <c r="A318" s="376" t="s">
        <v>2510</v>
      </c>
      <c r="B318" s="376" t="s">
        <v>2511</v>
      </c>
      <c r="C318" s="355">
        <v>47439.360000000001</v>
      </c>
      <c r="D318" s="356">
        <v>0</v>
      </c>
      <c r="E318" s="357">
        <v>-0.125</v>
      </c>
      <c r="F318" s="357">
        <f t="shared" si="12"/>
        <v>-0.125</v>
      </c>
      <c r="G318" s="357">
        <f t="shared" si="13"/>
        <v>1.2504409260741976E-3</v>
      </c>
      <c r="H318" s="358">
        <f t="shared" si="14"/>
        <v>-1.563051157592747E-4</v>
      </c>
    </row>
    <row r="319" spans="1:8" x14ac:dyDescent="0.4">
      <c r="A319" s="376" t="s">
        <v>2513</v>
      </c>
      <c r="B319" s="376" t="s">
        <v>2514</v>
      </c>
      <c r="C319" s="355">
        <v>14243.8</v>
      </c>
      <c r="D319" s="356">
        <v>2.0099999999999996E-2</v>
      </c>
      <c r="E319" s="357">
        <v>0.24</v>
      </c>
      <c r="F319" s="357">
        <f t="shared" si="12"/>
        <v>0.26251199999999997</v>
      </c>
      <c r="G319" s="357">
        <f t="shared" si="13"/>
        <v>3.7544837162254411E-4</v>
      </c>
      <c r="H319" s="358">
        <f t="shared" si="14"/>
        <v>9.8559702931377293E-5</v>
      </c>
    </row>
    <row r="320" spans="1:8" x14ac:dyDescent="0.4">
      <c r="A320" s="376" t="s">
        <v>2516</v>
      </c>
      <c r="B320" s="376" t="s">
        <v>2517</v>
      </c>
      <c r="C320" s="355">
        <v>143513.70000000001</v>
      </c>
      <c r="D320" s="356">
        <v>3.61E-2</v>
      </c>
      <c r="E320" s="357">
        <v>7.4999999999999997E-2</v>
      </c>
      <c r="F320" s="357">
        <f t="shared" si="12"/>
        <v>0.11245374999999999</v>
      </c>
      <c r="G320" s="357">
        <f t="shared" si="13"/>
        <v>3.78283779402451E-3</v>
      </c>
      <c r="H320" s="358">
        <f t="shared" si="14"/>
        <v>4.2539429557978374E-4</v>
      </c>
    </row>
    <row r="321" spans="1:8" x14ac:dyDescent="0.4">
      <c r="A321" s="376" t="s">
        <v>2519</v>
      </c>
      <c r="B321" s="376" t="s">
        <v>2520</v>
      </c>
      <c r="C321" s="355">
        <v>37895.42</v>
      </c>
      <c r="D321" s="356">
        <v>1.1699999999999999E-2</v>
      </c>
      <c r="E321" s="357">
        <v>0.14000000000000001</v>
      </c>
      <c r="F321" s="357">
        <f t="shared" si="12"/>
        <v>0.15251900000000002</v>
      </c>
      <c r="G321" s="357">
        <f t="shared" si="13"/>
        <v>9.9887486000592462E-4</v>
      </c>
      <c r="H321" s="358">
        <f t="shared" si="14"/>
        <v>1.5234739477324363E-4</v>
      </c>
    </row>
    <row r="322" spans="1:8" x14ac:dyDescent="0.4">
      <c r="A322" s="376" t="s">
        <v>2522</v>
      </c>
      <c r="B322" s="376" t="s">
        <v>2523</v>
      </c>
      <c r="C322" s="355">
        <v>2514822</v>
      </c>
      <c r="D322" s="356">
        <v>8.1000000000000013E-3</v>
      </c>
      <c r="E322" s="357">
        <v>0.125</v>
      </c>
      <c r="F322" s="357">
        <f t="shared" si="12"/>
        <v>0.13360625000000001</v>
      </c>
      <c r="G322" s="357">
        <f t="shared" si="13"/>
        <v>6.6287495248497572E-2</v>
      </c>
      <c r="H322" s="358">
        <f t="shared" si="14"/>
        <v>8.8564236620445793E-3</v>
      </c>
    </row>
    <row r="323" spans="1:8" x14ac:dyDescent="0.4">
      <c r="A323" s="376" t="s">
        <v>2525</v>
      </c>
      <c r="B323" s="376" t="s">
        <v>2526</v>
      </c>
      <c r="C323" s="355">
        <v>49092.5</v>
      </c>
      <c r="D323" s="356">
        <v>1.2E-2</v>
      </c>
      <c r="E323" s="357">
        <v>0.11</v>
      </c>
      <c r="F323" s="357">
        <f t="shared" si="12"/>
        <v>0.12266000000000001</v>
      </c>
      <c r="G323" s="357">
        <f t="shared" si="13"/>
        <v>1.2940155845967893E-3</v>
      </c>
      <c r="H323" s="358">
        <f t="shared" si="14"/>
        <v>1.5872395160664219E-4</v>
      </c>
    </row>
    <row r="324" spans="1:8" x14ac:dyDescent="0.4">
      <c r="A324" s="376" t="s">
        <v>2528</v>
      </c>
      <c r="B324" s="376" t="s">
        <v>2529</v>
      </c>
      <c r="C324" s="355">
        <v>20819.38</v>
      </c>
      <c r="D324" s="356">
        <v>4.1399999999999999E-2</v>
      </c>
      <c r="E324" s="357">
        <v>6.5000000000000002E-2</v>
      </c>
      <c r="F324" s="357">
        <f t="shared" ref="F324:F387" si="15">IFERROR(D324*(1+0.5*E324)+E324,"N/A")</f>
        <v>0.10774549999999999</v>
      </c>
      <c r="G324" s="357">
        <f t="shared" ref="G324:G387" si="16">IF(F324="N/A","N/A",C324/$C$504)</f>
        <v>5.4877226015466116E-4</v>
      </c>
      <c r="H324" s="358">
        <f t="shared" si="14"/>
        <v>5.9127741556494038E-5</v>
      </c>
    </row>
    <row r="325" spans="1:8" x14ac:dyDescent="0.4">
      <c r="A325" s="376" t="s">
        <v>2531</v>
      </c>
      <c r="B325" s="376" t="s">
        <v>2532</v>
      </c>
      <c r="C325" s="355">
        <v>11442.16</v>
      </c>
      <c r="D325" s="356">
        <v>0</v>
      </c>
      <c r="E325" s="357">
        <v>0.18</v>
      </c>
      <c r="F325" s="357">
        <f t="shared" si="15"/>
        <v>0.18</v>
      </c>
      <c r="G325" s="357">
        <f t="shared" si="16"/>
        <v>3.0160072030249014E-4</v>
      </c>
      <c r="H325" s="358">
        <f t="shared" ref="H325:H388" si="17">IF(ISNUMBER(G325),F325*G325,"N/A")</f>
        <v>5.4288129654448222E-5</v>
      </c>
    </row>
    <row r="326" spans="1:8" x14ac:dyDescent="0.4">
      <c r="A326" s="376" t="s">
        <v>2534</v>
      </c>
      <c r="B326" s="376" t="s">
        <v>2535</v>
      </c>
      <c r="C326" s="355">
        <v>28729.71</v>
      </c>
      <c r="D326" s="356">
        <v>0</v>
      </c>
      <c r="E326" s="357">
        <v>0.11</v>
      </c>
      <c r="F326" s="357">
        <f t="shared" si="15"/>
        <v>0.11</v>
      </c>
      <c r="G326" s="357">
        <f t="shared" si="16"/>
        <v>7.5727845355087276E-4</v>
      </c>
      <c r="H326" s="358">
        <f t="shared" si="17"/>
        <v>8.3300629890596E-5</v>
      </c>
    </row>
    <row r="327" spans="1:8" x14ac:dyDescent="0.4">
      <c r="A327" s="376" t="s">
        <v>2537</v>
      </c>
      <c r="B327" s="376" t="s">
        <v>2538</v>
      </c>
      <c r="C327" s="355">
        <v>67955.7</v>
      </c>
      <c r="D327" s="356">
        <v>7.4000000000000003E-3</v>
      </c>
      <c r="E327" s="357">
        <v>9.5000000000000001E-2</v>
      </c>
      <c r="F327" s="357">
        <f t="shared" si="15"/>
        <v>0.1027515</v>
      </c>
      <c r="G327" s="357">
        <f t="shared" si="16"/>
        <v>1.7912254389608195E-3</v>
      </c>
      <c r="H327" s="358">
        <f t="shared" si="17"/>
        <v>1.8405110069138263E-4</v>
      </c>
    </row>
    <row r="328" spans="1:8" x14ac:dyDescent="0.4">
      <c r="A328" s="376" t="s">
        <v>2540</v>
      </c>
      <c r="B328" s="376" t="s">
        <v>2541</v>
      </c>
      <c r="C328" s="355">
        <v>9399.36</v>
      </c>
      <c r="D328" s="356">
        <v>0</v>
      </c>
      <c r="E328" s="357" t="s">
        <v>3064</v>
      </c>
      <c r="F328" s="357" t="str">
        <f t="shared" si="15"/>
        <v>N/A</v>
      </c>
      <c r="G328" s="357" t="str">
        <f t="shared" si="16"/>
        <v>N/A</v>
      </c>
      <c r="H328" s="358" t="str">
        <f t="shared" si="17"/>
        <v>N/A</v>
      </c>
    </row>
    <row r="329" spans="1:8" x14ac:dyDescent="0.4">
      <c r="A329" s="376" t="s">
        <v>2543</v>
      </c>
      <c r="B329" s="376" t="s">
        <v>2544</v>
      </c>
      <c r="C329" s="355">
        <v>24453.360000000001</v>
      </c>
      <c r="D329" s="356">
        <v>1.7600000000000001E-2</v>
      </c>
      <c r="E329" s="357">
        <v>0.06</v>
      </c>
      <c r="F329" s="357">
        <f t="shared" si="15"/>
        <v>7.8128000000000003E-2</v>
      </c>
      <c r="G329" s="357">
        <f t="shared" si="16"/>
        <v>6.4455933056486721E-4</v>
      </c>
      <c r="H329" s="358">
        <f t="shared" si="17"/>
        <v>5.0358131378371948E-5</v>
      </c>
    </row>
    <row r="330" spans="1:8" x14ac:dyDescent="0.4">
      <c r="A330" s="376" t="s">
        <v>2546</v>
      </c>
      <c r="B330" s="376" t="s">
        <v>2547</v>
      </c>
      <c r="C330" s="355">
        <v>13816.9</v>
      </c>
      <c r="D330" s="356">
        <v>1.18E-2</v>
      </c>
      <c r="E330" s="357">
        <v>0.09</v>
      </c>
      <c r="F330" s="357">
        <f t="shared" si="15"/>
        <v>0.10233099999999999</v>
      </c>
      <c r="G330" s="357">
        <f t="shared" si="16"/>
        <v>3.6419583298498502E-4</v>
      </c>
      <c r="H330" s="358">
        <f t="shared" si="17"/>
        <v>3.7268523785186498E-5</v>
      </c>
    </row>
    <row r="331" spans="1:8" x14ac:dyDescent="0.4">
      <c r="A331" s="376" t="s">
        <v>2549</v>
      </c>
      <c r="B331" s="376" t="s">
        <v>1490</v>
      </c>
      <c r="C331" s="355">
        <v>151655.5</v>
      </c>
      <c r="D331" s="356">
        <v>2.5600000000000001E-2</v>
      </c>
      <c r="E331" s="357">
        <v>9.5000000000000001E-2</v>
      </c>
      <c r="F331" s="357">
        <f t="shared" si="15"/>
        <v>0.12181600000000001</v>
      </c>
      <c r="G331" s="357">
        <f t="shared" si="16"/>
        <v>3.9974452409190482E-3</v>
      </c>
      <c r="H331" s="358">
        <f t="shared" si="17"/>
        <v>4.8695278946779482E-4</v>
      </c>
    </row>
    <row r="332" spans="1:8" x14ac:dyDescent="0.4">
      <c r="A332" s="376" t="s">
        <v>2551</v>
      </c>
      <c r="B332" s="376" t="s">
        <v>2552</v>
      </c>
      <c r="C332" s="355">
        <v>33424.949999999997</v>
      </c>
      <c r="D332" s="356">
        <v>3.7999999999999999E-2</v>
      </c>
      <c r="E332" s="357">
        <v>0.08</v>
      </c>
      <c r="F332" s="357">
        <f t="shared" si="15"/>
        <v>0.11952</v>
      </c>
      <c r="G332" s="357">
        <f t="shared" si="16"/>
        <v>8.810389818071691E-4</v>
      </c>
      <c r="H332" s="358">
        <f t="shared" si="17"/>
        <v>1.0530177910559285E-4</v>
      </c>
    </row>
    <row r="333" spans="1:8" x14ac:dyDescent="0.4">
      <c r="A333" s="376" t="s">
        <v>2554</v>
      </c>
      <c r="B333" s="376" t="s">
        <v>2555</v>
      </c>
      <c r="C333" s="355">
        <v>198219.1</v>
      </c>
      <c r="D333" s="356">
        <v>0</v>
      </c>
      <c r="E333" s="357">
        <v>0.13</v>
      </c>
      <c r="F333" s="357">
        <f t="shared" si="15"/>
        <v>0.13</v>
      </c>
      <c r="G333" s="357">
        <f t="shared" si="16"/>
        <v>5.224802252171909E-3</v>
      </c>
      <c r="H333" s="358">
        <f t="shared" si="17"/>
        <v>6.7922429278234814E-4</v>
      </c>
    </row>
    <row r="334" spans="1:8" x14ac:dyDescent="0.4">
      <c r="A334" s="376" t="s">
        <v>2557</v>
      </c>
      <c r="B334" s="376" t="s">
        <v>1491</v>
      </c>
      <c r="C334" s="355">
        <v>11513.97</v>
      </c>
      <c r="D334" s="356">
        <v>3.5900000000000001E-2</v>
      </c>
      <c r="E334" s="357">
        <v>0.06</v>
      </c>
      <c r="F334" s="357">
        <f t="shared" si="15"/>
        <v>9.6977000000000008E-2</v>
      </c>
      <c r="G334" s="357">
        <f t="shared" si="16"/>
        <v>3.0349354016560355E-4</v>
      </c>
      <c r="H334" s="358">
        <f t="shared" si="17"/>
        <v>2.9431893044639737E-5</v>
      </c>
    </row>
    <row r="335" spans="1:8" x14ac:dyDescent="0.4">
      <c r="A335" s="376" t="s">
        <v>2559</v>
      </c>
      <c r="B335" s="376" t="s">
        <v>2560</v>
      </c>
      <c r="C335" s="355">
        <v>164934</v>
      </c>
      <c r="D335" s="356">
        <v>1.2699999999999999E-2</v>
      </c>
      <c r="E335" s="357">
        <v>0.18</v>
      </c>
      <c r="F335" s="357">
        <f t="shared" si="15"/>
        <v>0.19384299999999999</v>
      </c>
      <c r="G335" s="357">
        <f t="shared" si="16"/>
        <v>4.3474495377071208E-3</v>
      </c>
      <c r="H335" s="358">
        <f t="shared" si="17"/>
        <v>8.4272266073776134E-4</v>
      </c>
    </row>
    <row r="336" spans="1:8" x14ac:dyDescent="0.4">
      <c r="A336" s="376" t="s">
        <v>2562</v>
      </c>
      <c r="B336" s="376" t="s">
        <v>2563</v>
      </c>
      <c r="C336" s="355">
        <v>69752.649999999994</v>
      </c>
      <c r="D336" s="356">
        <v>1.67E-2</v>
      </c>
      <c r="E336" s="357">
        <v>9.5000000000000001E-2</v>
      </c>
      <c r="F336" s="357">
        <f t="shared" si="15"/>
        <v>0.11249325</v>
      </c>
      <c r="G336" s="357">
        <f t="shared" si="16"/>
        <v>1.838590745366914E-3</v>
      </c>
      <c r="H336" s="358">
        <f t="shared" si="17"/>
        <v>2.0682904836624659E-4</v>
      </c>
    </row>
    <row r="337" spans="1:8" x14ac:dyDescent="0.4">
      <c r="A337" s="376" t="s">
        <v>2565</v>
      </c>
      <c r="B337" s="376" t="s">
        <v>2566</v>
      </c>
      <c r="C337" s="355">
        <v>115267.9</v>
      </c>
      <c r="D337" s="356">
        <v>0</v>
      </c>
      <c r="E337" s="357">
        <v>0.59</v>
      </c>
      <c r="F337" s="357">
        <f t="shared" si="15"/>
        <v>0.59</v>
      </c>
      <c r="G337" s="357">
        <f t="shared" si="16"/>
        <v>3.0383145898812292E-3</v>
      </c>
      <c r="H337" s="358">
        <f t="shared" si="17"/>
        <v>1.7926056080299251E-3</v>
      </c>
    </row>
    <row r="338" spans="1:8" x14ac:dyDescent="0.4">
      <c r="A338" s="376" t="s">
        <v>2568</v>
      </c>
      <c r="B338" s="376" t="s">
        <v>1493</v>
      </c>
      <c r="C338" s="355">
        <v>8818.81</v>
      </c>
      <c r="D338" s="356">
        <v>3.9399999999999998E-2</v>
      </c>
      <c r="E338" s="357">
        <v>-2.5000000000000001E-2</v>
      </c>
      <c r="F338" s="357">
        <f t="shared" si="15"/>
        <v>1.3907499999999996E-2</v>
      </c>
      <c r="G338" s="357">
        <f t="shared" si="16"/>
        <v>2.3245256561792556E-4</v>
      </c>
      <c r="H338" s="358">
        <f t="shared" si="17"/>
        <v>3.2328340563312988E-6</v>
      </c>
    </row>
    <row r="339" spans="1:8" x14ac:dyDescent="0.4">
      <c r="A339" s="376" t="s">
        <v>2570</v>
      </c>
      <c r="B339" s="376" t="s">
        <v>2571</v>
      </c>
      <c r="C339" s="355">
        <v>51717.53</v>
      </c>
      <c r="D339" s="356">
        <v>2.3799999999999998E-2</v>
      </c>
      <c r="E339" s="357">
        <v>8.5000000000000006E-2</v>
      </c>
      <c r="F339" s="357">
        <f t="shared" si="15"/>
        <v>0.10981150000000001</v>
      </c>
      <c r="G339" s="357">
        <f t="shared" si="16"/>
        <v>1.363208021935163E-3</v>
      </c>
      <c r="H339" s="358">
        <f t="shared" si="17"/>
        <v>1.4969591770073315E-4</v>
      </c>
    </row>
    <row r="340" spans="1:8" x14ac:dyDescent="0.4">
      <c r="A340" s="376" t="s">
        <v>2573</v>
      </c>
      <c r="B340" s="376" t="s">
        <v>2574</v>
      </c>
      <c r="C340" s="355">
        <v>16173.48</v>
      </c>
      <c r="D340" s="356">
        <v>2.75E-2</v>
      </c>
      <c r="E340" s="357">
        <v>8.5000000000000006E-2</v>
      </c>
      <c r="F340" s="357">
        <f t="shared" si="15"/>
        <v>0.11366875000000001</v>
      </c>
      <c r="G340" s="357">
        <f t="shared" si="16"/>
        <v>4.2631227126678164E-4</v>
      </c>
      <c r="H340" s="358">
        <f t="shared" si="17"/>
        <v>4.8458382984555991E-5</v>
      </c>
    </row>
    <row r="341" spans="1:8" x14ac:dyDescent="0.4">
      <c r="A341" s="376" t="s">
        <v>2576</v>
      </c>
      <c r="B341" s="376" t="s">
        <v>2577</v>
      </c>
      <c r="C341" s="355">
        <v>15458.98</v>
      </c>
      <c r="D341" s="356">
        <v>4.0399999999999998E-2</v>
      </c>
      <c r="E341" s="357">
        <v>5.5E-2</v>
      </c>
      <c r="F341" s="357">
        <f t="shared" si="15"/>
        <v>9.6511E-2</v>
      </c>
      <c r="G341" s="357">
        <f t="shared" si="16"/>
        <v>4.0747896403666697E-4</v>
      </c>
      <c r="H341" s="358">
        <f t="shared" si="17"/>
        <v>3.9326202298142765E-5</v>
      </c>
    </row>
    <row r="342" spans="1:8" x14ac:dyDescent="0.4">
      <c r="A342" s="376" t="s">
        <v>2579</v>
      </c>
      <c r="B342" s="376" t="s">
        <v>2580</v>
      </c>
      <c r="C342" s="355">
        <v>40308.730000000003</v>
      </c>
      <c r="D342" s="356">
        <v>1.2800000000000001E-2</v>
      </c>
      <c r="E342" s="357">
        <v>0.01</v>
      </c>
      <c r="F342" s="357">
        <f t="shared" si="15"/>
        <v>2.2863999999999999E-2</v>
      </c>
      <c r="G342" s="357">
        <f t="shared" si="16"/>
        <v>1.0624866286154534E-3</v>
      </c>
      <c r="H342" s="358">
        <f t="shared" si="17"/>
        <v>2.4292694276663724E-5</v>
      </c>
    </row>
    <row r="343" spans="1:8" x14ac:dyDescent="0.4">
      <c r="A343" s="376" t="s">
        <v>2582</v>
      </c>
      <c r="B343" s="376" t="s">
        <v>2583</v>
      </c>
      <c r="C343" s="355">
        <v>1046499</v>
      </c>
      <c r="D343" s="356">
        <v>4.0000000000000002E-4</v>
      </c>
      <c r="E343" s="357">
        <v>0.33500000000000002</v>
      </c>
      <c r="F343" s="357">
        <f t="shared" si="15"/>
        <v>0.33546700000000002</v>
      </c>
      <c r="G343" s="357">
        <f t="shared" si="16"/>
        <v>2.758437674318797E-2</v>
      </c>
      <c r="H343" s="358">
        <f t="shared" si="17"/>
        <v>9.2536481129070394E-3</v>
      </c>
    </row>
    <row r="344" spans="1:8" x14ac:dyDescent="0.4">
      <c r="A344" s="376" t="s">
        <v>2585</v>
      </c>
      <c r="B344" s="376" t="s">
        <v>2586</v>
      </c>
      <c r="C344" s="355">
        <v>20201</v>
      </c>
      <c r="D344" s="356">
        <v>0</v>
      </c>
      <c r="E344" s="357">
        <v>1.4999999999999999E-2</v>
      </c>
      <c r="F344" s="357">
        <f t="shared" si="15"/>
        <v>1.4999999999999999E-2</v>
      </c>
      <c r="G344" s="357">
        <f t="shared" si="16"/>
        <v>5.3247255333176635E-4</v>
      </c>
      <c r="H344" s="358">
        <f t="shared" si="17"/>
        <v>7.9870882999764953E-6</v>
      </c>
    </row>
    <row r="345" spans="1:8" x14ac:dyDescent="0.4">
      <c r="A345" s="376" t="s">
        <v>2588</v>
      </c>
      <c r="B345" s="376" t="s">
        <v>2589</v>
      </c>
      <c r="C345" s="355">
        <v>3602.67</v>
      </c>
      <c r="D345" s="356">
        <v>3.2199999999999999E-2</v>
      </c>
      <c r="E345" s="357" t="s">
        <v>3064</v>
      </c>
      <c r="F345" s="357" t="str">
        <f t="shared" si="15"/>
        <v>N/A</v>
      </c>
      <c r="G345" s="357" t="str">
        <f t="shared" si="16"/>
        <v>N/A</v>
      </c>
      <c r="H345" s="358" t="str">
        <f t="shared" si="17"/>
        <v>N/A</v>
      </c>
    </row>
    <row r="346" spans="1:8" x14ac:dyDescent="0.4">
      <c r="A346" s="376" t="s">
        <v>2591</v>
      </c>
      <c r="B346" s="376" t="s">
        <v>2592</v>
      </c>
      <c r="C346" s="355">
        <v>11204.19</v>
      </c>
      <c r="D346" s="356">
        <v>1.03E-2</v>
      </c>
      <c r="E346" s="357" t="s">
        <v>3064</v>
      </c>
      <c r="F346" s="357" t="str">
        <f t="shared" si="15"/>
        <v>N/A</v>
      </c>
      <c r="G346" s="357" t="str">
        <f t="shared" si="16"/>
        <v>N/A</v>
      </c>
      <c r="H346" s="358" t="str">
        <f t="shared" si="17"/>
        <v>N/A</v>
      </c>
    </row>
    <row r="347" spans="1:8" x14ac:dyDescent="0.4">
      <c r="A347" s="376" t="s">
        <v>2594</v>
      </c>
      <c r="B347" s="376" t="s">
        <v>2595</v>
      </c>
      <c r="C347" s="355">
        <v>52844.84</v>
      </c>
      <c r="D347" s="356">
        <v>1.9900000000000001E-2</v>
      </c>
      <c r="E347" s="357">
        <v>8.5000000000000006E-2</v>
      </c>
      <c r="F347" s="357">
        <f t="shared" si="15"/>
        <v>0.10574575</v>
      </c>
      <c r="G347" s="357">
        <f t="shared" si="16"/>
        <v>1.3929224734027354E-3</v>
      </c>
      <c r="H347" s="358">
        <f t="shared" si="17"/>
        <v>1.4729563164182731E-4</v>
      </c>
    </row>
    <row r="348" spans="1:8" x14ac:dyDescent="0.4">
      <c r="A348" s="376" t="s">
        <v>2597</v>
      </c>
      <c r="B348" s="376" t="s">
        <v>2598</v>
      </c>
      <c r="C348" s="355">
        <v>35848.21</v>
      </c>
      <c r="D348" s="356">
        <v>5.0999999999999997E-2</v>
      </c>
      <c r="E348" s="357">
        <v>5.5E-2</v>
      </c>
      <c r="F348" s="357">
        <f t="shared" si="15"/>
        <v>0.1074025</v>
      </c>
      <c r="G348" s="357">
        <f t="shared" si="16"/>
        <v>9.4491301970562648E-4</v>
      </c>
      <c r="H348" s="358">
        <f t="shared" si="17"/>
        <v>1.0148602059893354E-4</v>
      </c>
    </row>
    <row r="349" spans="1:8" x14ac:dyDescent="0.4">
      <c r="A349" s="376" t="s">
        <v>2600</v>
      </c>
      <c r="B349" s="376" t="s">
        <v>2601</v>
      </c>
      <c r="C349" s="355">
        <v>40388.15</v>
      </c>
      <c r="D349" s="356">
        <v>4.4000000000000003E-3</v>
      </c>
      <c r="E349" s="357">
        <v>8.5000000000000006E-2</v>
      </c>
      <c r="F349" s="357">
        <f t="shared" si="15"/>
        <v>8.9587E-2</v>
      </c>
      <c r="G349" s="357">
        <f t="shared" si="16"/>
        <v>1.0645800383568328E-3</v>
      </c>
      <c r="H349" s="358">
        <f t="shared" si="17"/>
        <v>9.5372531896273575E-5</v>
      </c>
    </row>
    <row r="350" spans="1:8" x14ac:dyDescent="0.4">
      <c r="A350" s="376" t="s">
        <v>2603</v>
      </c>
      <c r="B350" s="376" t="s">
        <v>2604</v>
      </c>
      <c r="C350" s="355">
        <v>5228.58</v>
      </c>
      <c r="D350" s="356">
        <v>5.45E-2</v>
      </c>
      <c r="E350" s="357" t="s">
        <v>3064</v>
      </c>
      <c r="F350" s="357" t="str">
        <f t="shared" si="15"/>
        <v>N/A</v>
      </c>
      <c r="G350" s="357" t="str">
        <f t="shared" si="16"/>
        <v>N/A</v>
      </c>
      <c r="H350" s="358" t="str">
        <f t="shared" si="17"/>
        <v>N/A</v>
      </c>
    </row>
    <row r="351" spans="1:8" x14ac:dyDescent="0.4">
      <c r="A351" s="376" t="s">
        <v>2606</v>
      </c>
      <c r="B351" s="376" t="s">
        <v>2607</v>
      </c>
      <c r="C351" s="355">
        <v>27557.89</v>
      </c>
      <c r="D351" s="356">
        <v>6.2699999999999992E-2</v>
      </c>
      <c r="E351" s="357">
        <v>0.12</v>
      </c>
      <c r="F351" s="357">
        <f t="shared" si="15"/>
        <v>0.18646199999999999</v>
      </c>
      <c r="G351" s="357">
        <f t="shared" si="16"/>
        <v>7.2639077534458448E-4</v>
      </c>
      <c r="H351" s="358">
        <f t="shared" si="17"/>
        <v>1.354442767523019E-4</v>
      </c>
    </row>
    <row r="352" spans="1:8" x14ac:dyDescent="0.4">
      <c r="A352" s="376" t="s">
        <v>2609</v>
      </c>
      <c r="B352" s="376" t="s">
        <v>2610</v>
      </c>
      <c r="C352" s="355">
        <v>18756.400000000001</v>
      </c>
      <c r="D352" s="356">
        <v>3.0899999999999997E-2</v>
      </c>
      <c r="E352" s="357">
        <v>7.0000000000000007E-2</v>
      </c>
      <c r="F352" s="357">
        <f t="shared" si="15"/>
        <v>0.1019815</v>
      </c>
      <c r="G352" s="357">
        <f t="shared" si="16"/>
        <v>4.9439474280045265E-4</v>
      </c>
      <c r="H352" s="358">
        <f t="shared" si="17"/>
        <v>5.0419117462904366E-5</v>
      </c>
    </row>
    <row r="353" spans="1:8" x14ac:dyDescent="0.4">
      <c r="A353" s="376" t="s">
        <v>2612</v>
      </c>
      <c r="B353" s="376" t="s">
        <v>2613</v>
      </c>
      <c r="C353" s="355">
        <v>40140.550000000003</v>
      </c>
      <c r="D353" s="356">
        <v>0</v>
      </c>
      <c r="E353" s="357">
        <v>0.13</v>
      </c>
      <c r="F353" s="357">
        <f t="shared" si="15"/>
        <v>0.13</v>
      </c>
      <c r="G353" s="357">
        <f t="shared" si="16"/>
        <v>1.0580536186644935E-3</v>
      </c>
      <c r="H353" s="358">
        <f t="shared" si="17"/>
        <v>1.3754697042638416E-4</v>
      </c>
    </row>
    <row r="354" spans="1:8" x14ac:dyDescent="0.4">
      <c r="A354" s="376" t="s">
        <v>2615</v>
      </c>
      <c r="B354" s="376" t="s">
        <v>2616</v>
      </c>
      <c r="C354" s="355">
        <v>313092</v>
      </c>
      <c r="D354" s="356">
        <v>1.38E-2</v>
      </c>
      <c r="E354" s="357">
        <v>0.09</v>
      </c>
      <c r="F354" s="357">
        <f t="shared" si="15"/>
        <v>0.104421</v>
      </c>
      <c r="G354" s="357">
        <f t="shared" si="16"/>
        <v>8.2527051466635016E-3</v>
      </c>
      <c r="H354" s="358">
        <f t="shared" si="17"/>
        <v>8.6175572411974948E-4</v>
      </c>
    </row>
    <row r="355" spans="1:8" x14ac:dyDescent="0.4">
      <c r="A355" s="376" t="s">
        <v>2618</v>
      </c>
      <c r="B355" s="376" t="s">
        <v>2619</v>
      </c>
      <c r="C355" s="355">
        <v>57855.199999999997</v>
      </c>
      <c r="D355" s="356">
        <v>0</v>
      </c>
      <c r="E355" s="357">
        <v>0.12</v>
      </c>
      <c r="F355" s="357">
        <f t="shared" si="15"/>
        <v>0.12</v>
      </c>
      <c r="G355" s="357">
        <f t="shared" si="16"/>
        <v>1.5249891622949362E-3</v>
      </c>
      <c r="H355" s="358">
        <f t="shared" si="17"/>
        <v>1.8299869947539235E-4</v>
      </c>
    </row>
    <row r="356" spans="1:8" x14ac:dyDescent="0.4">
      <c r="A356" s="376" t="s">
        <v>2621</v>
      </c>
      <c r="B356" s="376" t="s">
        <v>2622</v>
      </c>
      <c r="C356" s="355">
        <v>36171.519999999997</v>
      </c>
      <c r="D356" s="356">
        <v>1.55E-2</v>
      </c>
      <c r="E356" s="357">
        <v>0.105</v>
      </c>
      <c r="F356" s="357">
        <f t="shared" si="15"/>
        <v>0.12131375</v>
      </c>
      <c r="G356" s="357">
        <f t="shared" si="16"/>
        <v>9.5343505827885015E-4</v>
      </c>
      <c r="H356" s="358">
        <f t="shared" si="17"/>
        <v>1.1566478230127585E-4</v>
      </c>
    </row>
    <row r="357" spans="1:8" x14ac:dyDescent="0.4">
      <c r="A357" s="376" t="s">
        <v>2624</v>
      </c>
      <c r="B357" s="376" t="s">
        <v>2625</v>
      </c>
      <c r="C357" s="355">
        <v>52503.44</v>
      </c>
      <c r="D357" s="356">
        <v>1.3100000000000001E-2</v>
      </c>
      <c r="E357" s="357">
        <v>0.17</v>
      </c>
      <c r="F357" s="357">
        <f t="shared" si="15"/>
        <v>0.1842135</v>
      </c>
      <c r="G357" s="357">
        <f t="shared" si="16"/>
        <v>1.383923605539389E-3</v>
      </c>
      <c r="H357" s="358">
        <f t="shared" si="17"/>
        <v>2.5493741110903023E-4</v>
      </c>
    </row>
    <row r="358" spans="1:8" x14ac:dyDescent="0.4">
      <c r="A358" s="376" t="s">
        <v>2627</v>
      </c>
      <c r="B358" s="376" t="s">
        <v>2628</v>
      </c>
      <c r="C358" s="355">
        <v>78808.13</v>
      </c>
      <c r="D358" s="356">
        <v>0</v>
      </c>
      <c r="E358" s="357" t="s">
        <v>3064</v>
      </c>
      <c r="F358" s="357" t="str">
        <f t="shared" si="15"/>
        <v>N/A</v>
      </c>
      <c r="G358" s="357" t="str">
        <f t="shared" si="16"/>
        <v>N/A</v>
      </c>
      <c r="H358" s="358" t="str">
        <f t="shared" si="17"/>
        <v>N/A</v>
      </c>
    </row>
    <row r="359" spans="1:8" x14ac:dyDescent="0.4">
      <c r="A359" s="376" t="s">
        <v>2630</v>
      </c>
      <c r="B359" s="376" t="s">
        <v>2631</v>
      </c>
      <c r="C359" s="355">
        <v>10513.65</v>
      </c>
      <c r="D359" s="356">
        <v>1.24E-2</v>
      </c>
      <c r="E359" s="357">
        <v>1.4999999999999999E-2</v>
      </c>
      <c r="F359" s="357">
        <f t="shared" si="15"/>
        <v>2.7493E-2</v>
      </c>
      <c r="G359" s="357">
        <f t="shared" si="16"/>
        <v>2.771263828689929E-4</v>
      </c>
      <c r="H359" s="358">
        <f t="shared" si="17"/>
        <v>7.619035644217222E-6</v>
      </c>
    </row>
    <row r="360" spans="1:8" x14ac:dyDescent="0.4">
      <c r="A360" s="376" t="s">
        <v>2633</v>
      </c>
      <c r="B360" s="376" t="s">
        <v>2634</v>
      </c>
      <c r="C360" s="355">
        <v>18396.93</v>
      </c>
      <c r="D360" s="356">
        <v>4.6999999999999993E-3</v>
      </c>
      <c r="E360" s="357">
        <v>0.16500000000000001</v>
      </c>
      <c r="F360" s="357">
        <f t="shared" si="15"/>
        <v>0.17008775000000001</v>
      </c>
      <c r="G360" s="357">
        <f t="shared" si="16"/>
        <v>4.8491957282143324E-4</v>
      </c>
      <c r="H360" s="358">
        <f t="shared" si="17"/>
        <v>8.247887907215874E-5</v>
      </c>
    </row>
    <row r="361" spans="1:8" x14ac:dyDescent="0.4">
      <c r="A361" s="376" t="s">
        <v>2636</v>
      </c>
      <c r="B361" s="376" t="s">
        <v>2637</v>
      </c>
      <c r="C361" s="355">
        <v>40693.24</v>
      </c>
      <c r="D361" s="356">
        <v>3.15E-2</v>
      </c>
      <c r="E361" s="357">
        <v>0.1</v>
      </c>
      <c r="F361" s="357">
        <f t="shared" si="15"/>
        <v>0.133075</v>
      </c>
      <c r="G361" s="357">
        <f t="shared" si="16"/>
        <v>1.0726218210060079E-3</v>
      </c>
      <c r="H361" s="358">
        <f t="shared" si="17"/>
        <v>1.427391488303745E-4</v>
      </c>
    </row>
    <row r="362" spans="1:8" x14ac:dyDescent="0.4">
      <c r="A362" s="376" t="s">
        <v>2639</v>
      </c>
      <c r="B362" s="376" t="s">
        <v>2640</v>
      </c>
      <c r="C362" s="355">
        <v>42996.23</v>
      </c>
      <c r="D362" s="356">
        <v>3.49E-2</v>
      </c>
      <c r="E362" s="357">
        <v>0.15</v>
      </c>
      <c r="F362" s="357">
        <f t="shared" si="15"/>
        <v>0.1875175</v>
      </c>
      <c r="G362" s="357">
        <f t="shared" si="16"/>
        <v>1.1333256953487399E-3</v>
      </c>
      <c r="H362" s="358">
        <f t="shared" si="17"/>
        <v>2.1251840107755734E-4</v>
      </c>
    </row>
    <row r="363" spans="1:8" x14ac:dyDescent="0.4">
      <c r="A363" s="376" t="s">
        <v>2642</v>
      </c>
      <c r="B363" s="376" t="s">
        <v>1495</v>
      </c>
      <c r="C363" s="355" t="s">
        <v>3064</v>
      </c>
      <c r="D363" s="356">
        <v>0</v>
      </c>
      <c r="E363" s="357" t="s">
        <v>3064</v>
      </c>
      <c r="F363" s="357" t="str">
        <f t="shared" si="15"/>
        <v>N/A</v>
      </c>
      <c r="G363" s="357" t="str">
        <f t="shared" si="16"/>
        <v>N/A</v>
      </c>
      <c r="H363" s="358" t="str">
        <f t="shared" si="17"/>
        <v>N/A</v>
      </c>
    </row>
    <row r="364" spans="1:8" x14ac:dyDescent="0.4">
      <c r="A364" s="376" t="s">
        <v>2644</v>
      </c>
      <c r="B364" s="376" t="s">
        <v>2645</v>
      </c>
      <c r="C364" s="355">
        <v>11197.05</v>
      </c>
      <c r="D364" s="356">
        <v>5.7800000000000004E-2</v>
      </c>
      <c r="E364" s="357">
        <v>0.14499999999999999</v>
      </c>
      <c r="F364" s="357">
        <f t="shared" si="15"/>
        <v>0.20699049999999999</v>
      </c>
      <c r="G364" s="357">
        <f t="shared" si="16"/>
        <v>2.9513993382918936E-4</v>
      </c>
      <c r="H364" s="358">
        <f t="shared" si="17"/>
        <v>6.1091162473270814E-5</v>
      </c>
    </row>
    <row r="365" spans="1:8" x14ac:dyDescent="0.4">
      <c r="A365" s="376" t="s">
        <v>2647</v>
      </c>
      <c r="B365" s="376" t="s">
        <v>1496</v>
      </c>
      <c r="C365" s="355">
        <v>31634.05</v>
      </c>
      <c r="D365" s="356">
        <v>3.6299999999999999E-2</v>
      </c>
      <c r="E365" s="357">
        <v>0.04</v>
      </c>
      <c r="F365" s="357">
        <f t="shared" si="15"/>
        <v>7.7025999999999997E-2</v>
      </c>
      <c r="G365" s="357">
        <f t="shared" si="16"/>
        <v>8.3383314567223228E-4</v>
      </c>
      <c r="H365" s="358">
        <f t="shared" si="17"/>
        <v>6.4226831878549367E-5</v>
      </c>
    </row>
    <row r="366" spans="1:8" x14ac:dyDescent="0.4">
      <c r="A366" s="376" t="s">
        <v>2649</v>
      </c>
      <c r="B366" s="376" t="s">
        <v>2650</v>
      </c>
      <c r="C366" s="355">
        <v>257107.20000000001</v>
      </c>
      <c r="D366" s="356">
        <v>2.7900000000000001E-2</v>
      </c>
      <c r="E366" s="357">
        <v>0.06</v>
      </c>
      <c r="F366" s="357">
        <f t="shared" si="15"/>
        <v>8.8736999999999996E-2</v>
      </c>
      <c r="G366" s="357">
        <f t="shared" si="16"/>
        <v>6.7770173389426827E-3</v>
      </c>
      <c r="H366" s="358">
        <f t="shared" si="17"/>
        <v>6.0137218760575686E-4</v>
      </c>
    </row>
    <row r="367" spans="1:8" x14ac:dyDescent="0.4">
      <c r="A367" s="376" t="s">
        <v>2652</v>
      </c>
      <c r="B367" s="376" t="s">
        <v>2653</v>
      </c>
      <c r="C367" s="355">
        <v>205816.7</v>
      </c>
      <c r="D367" s="356">
        <v>4.4999999999999998E-2</v>
      </c>
      <c r="E367" s="357">
        <v>0.02</v>
      </c>
      <c r="F367" s="357">
        <f t="shared" si="15"/>
        <v>6.5449999999999994E-2</v>
      </c>
      <c r="G367" s="357">
        <f t="shared" si="16"/>
        <v>5.4250652822790046E-3</v>
      </c>
      <c r="H367" s="358">
        <f t="shared" si="17"/>
        <v>3.5507052272516082E-4</v>
      </c>
    </row>
    <row r="368" spans="1:8" x14ac:dyDescent="0.4">
      <c r="A368" s="376" t="s">
        <v>2655</v>
      </c>
      <c r="B368" s="376" t="s">
        <v>2656</v>
      </c>
      <c r="C368" s="355">
        <v>18414.82</v>
      </c>
      <c r="D368" s="356">
        <v>3.3799999999999997E-2</v>
      </c>
      <c r="E368" s="357">
        <v>5.5E-2</v>
      </c>
      <c r="F368" s="357">
        <f t="shared" si="15"/>
        <v>8.972949999999999E-2</v>
      </c>
      <c r="G368" s="357">
        <f t="shared" si="16"/>
        <v>4.8539113036705499E-4</v>
      </c>
      <c r="H368" s="358">
        <f t="shared" si="17"/>
        <v>4.3553903432270659E-5</v>
      </c>
    </row>
    <row r="369" spans="1:8" x14ac:dyDescent="0.4">
      <c r="A369" s="376" t="s">
        <v>2658</v>
      </c>
      <c r="B369" s="376" t="s">
        <v>2659</v>
      </c>
      <c r="C369" s="355">
        <v>358824.9</v>
      </c>
      <c r="D369" s="356">
        <v>2.4700000000000003E-2</v>
      </c>
      <c r="E369" s="357">
        <v>5.5E-2</v>
      </c>
      <c r="F369" s="357">
        <f t="shared" si="15"/>
        <v>8.0379250000000013E-2</v>
      </c>
      <c r="G369" s="357">
        <f t="shared" si="16"/>
        <v>9.4581659671311193E-3</v>
      </c>
      <c r="H369" s="358">
        <f t="shared" si="17"/>
        <v>7.6024028681352413E-4</v>
      </c>
    </row>
    <row r="370" spans="1:8" x14ac:dyDescent="0.4">
      <c r="A370" s="376" t="s">
        <v>2661</v>
      </c>
      <c r="B370" s="376" t="s">
        <v>2662</v>
      </c>
      <c r="C370" s="355">
        <v>76934.649999999994</v>
      </c>
      <c r="D370" s="356">
        <v>3.0000000000000001E-3</v>
      </c>
      <c r="E370" s="357">
        <v>0.12</v>
      </c>
      <c r="F370" s="357">
        <f t="shared" si="15"/>
        <v>0.12318</v>
      </c>
      <c r="G370" s="357">
        <f t="shared" si="16"/>
        <v>2.0278990904007612E-3</v>
      </c>
      <c r="H370" s="358">
        <f t="shared" si="17"/>
        <v>2.4979660995556576E-4</v>
      </c>
    </row>
    <row r="371" spans="1:8" x14ac:dyDescent="0.4">
      <c r="A371" s="376" t="s">
        <v>2664</v>
      </c>
      <c r="B371" s="376" t="s">
        <v>2665</v>
      </c>
      <c r="C371" s="355">
        <v>49118.12</v>
      </c>
      <c r="D371" s="356">
        <v>1.5800000000000002E-2</v>
      </c>
      <c r="E371" s="357">
        <v>0.115</v>
      </c>
      <c r="F371" s="357">
        <f t="shared" si="15"/>
        <v>0.13170850000000001</v>
      </c>
      <c r="G371" s="357">
        <f t="shared" si="16"/>
        <v>1.2946908950673779E-3</v>
      </c>
      <c r="H371" s="358">
        <f t="shared" si="17"/>
        <v>1.7052179575298174E-4</v>
      </c>
    </row>
    <row r="372" spans="1:8" x14ac:dyDescent="0.4">
      <c r="A372" s="376" t="s">
        <v>2667</v>
      </c>
      <c r="B372" s="376" t="s">
        <v>2668</v>
      </c>
      <c r="C372" s="355">
        <v>17238.02</v>
      </c>
      <c r="D372" s="356">
        <v>8.6999999999999994E-3</v>
      </c>
      <c r="E372" s="357">
        <v>4.4999999999999998E-2</v>
      </c>
      <c r="F372" s="357">
        <f t="shared" si="15"/>
        <v>5.3895749999999999E-2</v>
      </c>
      <c r="G372" s="357">
        <f t="shared" si="16"/>
        <v>4.5437218572268976E-4</v>
      </c>
      <c r="H372" s="358">
        <f t="shared" si="17"/>
        <v>2.4488729728663655E-5</v>
      </c>
    </row>
    <row r="373" spans="1:8" x14ac:dyDescent="0.4">
      <c r="A373" s="376" t="s">
        <v>2670</v>
      </c>
      <c r="B373" s="376" t="s">
        <v>2671</v>
      </c>
      <c r="C373" s="355">
        <v>11689.7</v>
      </c>
      <c r="D373" s="356">
        <v>3.85E-2</v>
      </c>
      <c r="E373" s="357">
        <v>0.09</v>
      </c>
      <c r="F373" s="357">
        <f t="shared" si="15"/>
        <v>0.1302325</v>
      </c>
      <c r="G373" s="357">
        <f t="shared" si="16"/>
        <v>3.081255584714791E-4</v>
      </c>
      <c r="H373" s="358">
        <f t="shared" si="17"/>
        <v>4.0127961793636904E-5</v>
      </c>
    </row>
    <row r="374" spans="1:8" x14ac:dyDescent="0.4">
      <c r="A374" s="376" t="s">
        <v>2673</v>
      </c>
      <c r="B374" s="376" t="s">
        <v>2674</v>
      </c>
      <c r="C374" s="355">
        <v>114460.4</v>
      </c>
      <c r="D374" s="356">
        <v>2.8900000000000002E-2</v>
      </c>
      <c r="E374" s="357">
        <v>2.5000000000000001E-2</v>
      </c>
      <c r="F374" s="357">
        <f t="shared" si="15"/>
        <v>5.4261250000000004E-2</v>
      </c>
      <c r="G374" s="357">
        <f t="shared" si="16"/>
        <v>3.0170299214581113E-3</v>
      </c>
      <c r="H374" s="358">
        <f t="shared" si="17"/>
        <v>1.6370781482571894E-4</v>
      </c>
    </row>
    <row r="375" spans="1:8" x14ac:dyDescent="0.4">
      <c r="A375" s="376" t="s">
        <v>2676</v>
      </c>
      <c r="B375" s="376" t="s">
        <v>2677</v>
      </c>
      <c r="C375" s="355">
        <v>151257.20000000001</v>
      </c>
      <c r="D375" s="356">
        <v>5.21E-2</v>
      </c>
      <c r="E375" s="357">
        <v>5.5E-2</v>
      </c>
      <c r="F375" s="357">
        <f t="shared" si="15"/>
        <v>0.10853275000000001</v>
      </c>
      <c r="G375" s="357">
        <f t="shared" si="16"/>
        <v>3.9869465617451442E-3</v>
      </c>
      <c r="H375" s="358">
        <f t="shared" si="17"/>
        <v>4.3271427444924534E-4</v>
      </c>
    </row>
    <row r="376" spans="1:8" x14ac:dyDescent="0.4">
      <c r="A376" s="376" t="s">
        <v>2679</v>
      </c>
      <c r="B376" s="376" t="s">
        <v>2680</v>
      </c>
      <c r="C376" s="355">
        <v>50409.66</v>
      </c>
      <c r="D376" s="356">
        <v>5.2199999999999996E-2</v>
      </c>
      <c r="E376" s="357">
        <v>7.4999999999999997E-2</v>
      </c>
      <c r="F376" s="357">
        <f t="shared" si="15"/>
        <v>0.12915750000000001</v>
      </c>
      <c r="G376" s="357">
        <f t="shared" si="16"/>
        <v>1.3287342395320138E-3</v>
      </c>
      <c r="H376" s="358">
        <f t="shared" si="17"/>
        <v>1.716159925423561E-4</v>
      </c>
    </row>
    <row r="377" spans="1:8" x14ac:dyDescent="0.4">
      <c r="A377" s="376" t="s">
        <v>2682</v>
      </c>
      <c r="B377" s="376" t="s">
        <v>2683</v>
      </c>
      <c r="C377" s="355">
        <v>10457.700000000001</v>
      </c>
      <c r="D377" s="356">
        <v>1.3899999999999999E-2</v>
      </c>
      <c r="E377" s="357">
        <v>0.12</v>
      </c>
      <c r="F377" s="357">
        <f t="shared" si="15"/>
        <v>0.13473399999999999</v>
      </c>
      <c r="G377" s="357">
        <f t="shared" si="16"/>
        <v>2.7565161234481528E-4</v>
      </c>
      <c r="H377" s="358">
        <f t="shared" si="17"/>
        <v>3.7139644337666343E-5</v>
      </c>
    </row>
    <row r="378" spans="1:8" x14ac:dyDescent="0.4">
      <c r="A378" s="376" t="s">
        <v>2685</v>
      </c>
      <c r="B378" s="376" t="s">
        <v>1498</v>
      </c>
      <c r="C378" s="355">
        <v>9363.76</v>
      </c>
      <c r="D378" s="356">
        <v>4.2099999999999999E-2</v>
      </c>
      <c r="E378" s="357">
        <v>2.5000000000000001E-2</v>
      </c>
      <c r="F378" s="357">
        <f t="shared" si="15"/>
        <v>6.7626249999999999E-2</v>
      </c>
      <c r="G378" s="357">
        <f t="shared" si="16"/>
        <v>2.4681675144724819E-4</v>
      </c>
      <c r="H378" s="358">
        <f t="shared" si="17"/>
        <v>1.6691291337559468E-5</v>
      </c>
    </row>
    <row r="379" spans="1:8" x14ac:dyDescent="0.4">
      <c r="A379" s="376" t="s">
        <v>2687</v>
      </c>
      <c r="B379" s="376" t="s">
        <v>2688</v>
      </c>
      <c r="C379" s="355">
        <v>19653.009999999998</v>
      </c>
      <c r="D379" s="356">
        <v>0</v>
      </c>
      <c r="E379" s="357">
        <v>0.86</v>
      </c>
      <c r="F379" s="357">
        <f t="shared" si="15"/>
        <v>0.86</v>
      </c>
      <c r="G379" s="357">
        <f t="shared" si="16"/>
        <v>5.1802823698602729E-4</v>
      </c>
      <c r="H379" s="358">
        <f t="shared" si="17"/>
        <v>4.4550428380798346E-4</v>
      </c>
    </row>
    <row r="380" spans="1:8" x14ac:dyDescent="0.4">
      <c r="A380" s="376" t="s">
        <v>2690</v>
      </c>
      <c r="B380" s="376" t="s">
        <v>2691</v>
      </c>
      <c r="C380" s="355">
        <v>14490.22</v>
      </c>
      <c r="D380" s="356">
        <v>1.1899999999999999E-2</v>
      </c>
      <c r="E380" s="357">
        <v>8.5000000000000006E-2</v>
      </c>
      <c r="F380" s="357">
        <f t="shared" si="15"/>
        <v>9.7405749999999999E-2</v>
      </c>
      <c r="G380" s="357">
        <f t="shared" si="16"/>
        <v>3.8194368802232698E-4</v>
      </c>
      <c r="H380" s="358">
        <f t="shared" si="17"/>
        <v>3.7203511389580777E-5</v>
      </c>
    </row>
    <row r="381" spans="1:8" x14ac:dyDescent="0.4">
      <c r="A381" s="376" t="s">
        <v>2693</v>
      </c>
      <c r="B381" s="376" t="s">
        <v>2694</v>
      </c>
      <c r="C381" s="355">
        <v>34413.11</v>
      </c>
      <c r="D381" s="356">
        <v>1.7000000000000001E-2</v>
      </c>
      <c r="E381" s="357">
        <v>3.5000000000000003E-2</v>
      </c>
      <c r="F381" s="357">
        <f t="shared" si="15"/>
        <v>5.2297500000000011E-2</v>
      </c>
      <c r="G381" s="357">
        <f t="shared" si="16"/>
        <v>9.0708561703811404E-4</v>
      </c>
      <c r="H381" s="358">
        <f t="shared" si="17"/>
        <v>4.7438310057050776E-5</v>
      </c>
    </row>
    <row r="382" spans="1:8" x14ac:dyDescent="0.4">
      <c r="A382" s="376" t="s">
        <v>2696</v>
      </c>
      <c r="B382" s="376" t="s">
        <v>1499</v>
      </c>
      <c r="C382" s="355">
        <v>19694.43</v>
      </c>
      <c r="D382" s="356">
        <v>3.5900000000000001E-2</v>
      </c>
      <c r="E382" s="357">
        <v>0.08</v>
      </c>
      <c r="F382" s="357">
        <f t="shared" si="15"/>
        <v>0.117336</v>
      </c>
      <c r="G382" s="357">
        <f t="shared" si="16"/>
        <v>5.1912001527220134E-4</v>
      </c>
      <c r="H382" s="358">
        <f t="shared" si="17"/>
        <v>6.0911466111979018E-5</v>
      </c>
    </row>
    <row r="383" spans="1:8" x14ac:dyDescent="0.4">
      <c r="A383" s="376" t="s">
        <v>2698</v>
      </c>
      <c r="B383" s="376" t="s">
        <v>2699</v>
      </c>
      <c r="C383" s="355">
        <v>32481.23</v>
      </c>
      <c r="D383" s="356">
        <v>5.6299999999999996E-2</v>
      </c>
      <c r="E383" s="357">
        <v>0.03</v>
      </c>
      <c r="F383" s="357">
        <f t="shared" si="15"/>
        <v>8.7144499999999986E-2</v>
      </c>
      <c r="G383" s="357">
        <f t="shared" si="16"/>
        <v>8.561637282043646E-4</v>
      </c>
      <c r="H383" s="358">
        <f t="shared" si="17"/>
        <v>7.4609960012505245E-5</v>
      </c>
    </row>
    <row r="384" spans="1:8" x14ac:dyDescent="0.4">
      <c r="A384" s="376" t="s">
        <v>2701</v>
      </c>
      <c r="B384" s="376" t="s">
        <v>2702</v>
      </c>
      <c r="C384" s="355">
        <v>51123.360000000001</v>
      </c>
      <c r="D384" s="356">
        <v>4.1100000000000005E-2</v>
      </c>
      <c r="E384" s="357">
        <v>7.4999999999999997E-2</v>
      </c>
      <c r="F384" s="357">
        <f t="shared" si="15"/>
        <v>0.11764125</v>
      </c>
      <c r="G384" s="357">
        <f t="shared" si="16"/>
        <v>1.3475464597841242E-3</v>
      </c>
      <c r="H384" s="358">
        <f t="shared" si="17"/>
        <v>1.5852704996207912E-4</v>
      </c>
    </row>
    <row r="385" spans="1:8" x14ac:dyDescent="0.4">
      <c r="A385" s="376" t="s">
        <v>2704</v>
      </c>
      <c r="B385" s="376" t="s">
        <v>2705</v>
      </c>
      <c r="C385" s="355">
        <v>44110.41</v>
      </c>
      <c r="D385" s="356">
        <v>4.4699999999999997E-2</v>
      </c>
      <c r="E385" s="357">
        <v>0.155</v>
      </c>
      <c r="F385" s="357">
        <f t="shared" si="15"/>
        <v>0.20316424999999999</v>
      </c>
      <c r="G385" s="357">
        <f t="shared" si="16"/>
        <v>1.1626940567898165E-3</v>
      </c>
      <c r="H385" s="358">
        <f t="shared" si="17"/>
        <v>2.3621786602716046E-4</v>
      </c>
    </row>
    <row r="386" spans="1:8" x14ac:dyDescent="0.4">
      <c r="A386" s="376" t="s">
        <v>2707</v>
      </c>
      <c r="B386" s="376" t="s">
        <v>2708</v>
      </c>
      <c r="C386" s="355">
        <v>16359.68</v>
      </c>
      <c r="D386" s="356">
        <v>0</v>
      </c>
      <c r="E386" s="357">
        <v>0.15</v>
      </c>
      <c r="F386" s="357">
        <f t="shared" si="15"/>
        <v>0.15</v>
      </c>
      <c r="G386" s="357">
        <f t="shared" si="16"/>
        <v>4.3122026539728884E-4</v>
      </c>
      <c r="H386" s="358">
        <f t="shared" si="17"/>
        <v>6.4683039809593329E-5</v>
      </c>
    </row>
    <row r="387" spans="1:8" x14ac:dyDescent="0.4">
      <c r="A387" s="376" t="s">
        <v>2710</v>
      </c>
      <c r="B387" s="376" t="s">
        <v>2711</v>
      </c>
      <c r="C387" s="355">
        <v>28327.97</v>
      </c>
      <c r="D387" s="356">
        <v>1.6000000000000001E-3</v>
      </c>
      <c r="E387" s="357">
        <v>0.15</v>
      </c>
      <c r="F387" s="357">
        <f t="shared" si="15"/>
        <v>0.15171999999999999</v>
      </c>
      <c r="G387" s="357">
        <f t="shared" si="16"/>
        <v>7.4668910037154986E-4</v>
      </c>
      <c r="H387" s="358">
        <f t="shared" si="17"/>
        <v>1.1328767030837154E-4</v>
      </c>
    </row>
    <row r="388" spans="1:8" x14ac:dyDescent="0.4">
      <c r="A388" s="376" t="s">
        <v>2713</v>
      </c>
      <c r="B388" s="376" t="s">
        <v>2714</v>
      </c>
      <c r="C388" s="355">
        <v>48507.23</v>
      </c>
      <c r="D388" s="356">
        <v>6.4399999999999999E-2</v>
      </c>
      <c r="E388" s="357">
        <v>0.08</v>
      </c>
      <c r="F388" s="357">
        <f t="shared" ref="F388:F451" si="18">IFERROR(D388*(1+0.5*E388)+E388,"N/A")</f>
        <v>0.146976</v>
      </c>
      <c r="G388" s="357">
        <f t="shared" ref="G388:G451" si="19">IF(F388="N/A","N/A",C388/$C$504)</f>
        <v>1.2785886150760487E-3</v>
      </c>
      <c r="H388" s="358">
        <f t="shared" si="17"/>
        <v>1.8792184028941733E-4</v>
      </c>
    </row>
    <row r="389" spans="1:8" x14ac:dyDescent="0.4">
      <c r="A389" s="376" t="s">
        <v>2716</v>
      </c>
      <c r="B389" s="376" t="s">
        <v>2717</v>
      </c>
      <c r="C389" s="355">
        <v>77249.7</v>
      </c>
      <c r="D389" s="356">
        <v>0</v>
      </c>
      <c r="E389" s="357">
        <v>0.12</v>
      </c>
      <c r="F389" s="357">
        <f t="shared" si="18"/>
        <v>0.12</v>
      </c>
      <c r="G389" s="357">
        <f t="shared" si="19"/>
        <v>2.0362034059260904E-3</v>
      </c>
      <c r="H389" s="358">
        <f t="shared" ref="H389:H452" si="20">IF(ISNUMBER(G389),F389*G389,"N/A")</f>
        <v>2.4434440871113082E-4</v>
      </c>
    </row>
    <row r="390" spans="1:8" x14ac:dyDescent="0.4">
      <c r="A390" s="376" t="s">
        <v>2719</v>
      </c>
      <c r="B390" s="376" t="s">
        <v>2720</v>
      </c>
      <c r="C390" s="355">
        <v>130482.8</v>
      </c>
      <c r="D390" s="356">
        <v>2.7300000000000001E-2</v>
      </c>
      <c r="E390" s="357">
        <v>5.5E-2</v>
      </c>
      <c r="F390" s="357">
        <f t="shared" si="18"/>
        <v>8.3050750000000007E-2</v>
      </c>
      <c r="G390" s="357">
        <f t="shared" si="19"/>
        <v>3.4393599169287759E-3</v>
      </c>
      <c r="H390" s="358">
        <f t="shared" si="20"/>
        <v>2.8564142062087255E-4</v>
      </c>
    </row>
    <row r="391" spans="1:8" x14ac:dyDescent="0.4">
      <c r="A391" s="376" t="s">
        <v>2722</v>
      </c>
      <c r="B391" s="376" t="s">
        <v>2723</v>
      </c>
      <c r="C391" s="355">
        <v>9761.0499999999993</v>
      </c>
      <c r="D391" s="356">
        <v>0</v>
      </c>
      <c r="E391" s="357">
        <v>0.09</v>
      </c>
      <c r="F391" s="357">
        <f t="shared" si="18"/>
        <v>0.09</v>
      </c>
      <c r="G391" s="357">
        <f t="shared" si="19"/>
        <v>2.5728880831142208E-4</v>
      </c>
      <c r="H391" s="358">
        <f t="shared" si="20"/>
        <v>2.3155992748027987E-5</v>
      </c>
    </row>
    <row r="392" spans="1:8" x14ac:dyDescent="0.4">
      <c r="A392" s="376" t="s">
        <v>2725</v>
      </c>
      <c r="B392" s="376" t="s">
        <v>2726</v>
      </c>
      <c r="C392" s="355">
        <v>26401.77</v>
      </c>
      <c r="D392" s="356">
        <v>0</v>
      </c>
      <c r="E392" s="357" t="s">
        <v>3064</v>
      </c>
      <c r="F392" s="357" t="str">
        <f t="shared" si="18"/>
        <v>N/A</v>
      </c>
      <c r="G392" s="357" t="str">
        <f t="shared" si="19"/>
        <v>N/A</v>
      </c>
      <c r="H392" s="358" t="str">
        <f t="shared" si="20"/>
        <v>N/A</v>
      </c>
    </row>
    <row r="393" spans="1:8" x14ac:dyDescent="0.4">
      <c r="A393" s="376" t="s">
        <v>2728</v>
      </c>
      <c r="B393" s="376" t="s">
        <v>2729</v>
      </c>
      <c r="C393" s="355">
        <v>10633.08</v>
      </c>
      <c r="D393" s="356">
        <v>4.1799999999999997E-2</v>
      </c>
      <c r="E393" s="357">
        <v>0.105</v>
      </c>
      <c r="F393" s="357">
        <f t="shared" si="18"/>
        <v>0.1489945</v>
      </c>
      <c r="G393" s="357">
        <f t="shared" si="19"/>
        <v>2.8027440509781386E-4</v>
      </c>
      <c r="H393" s="358">
        <f t="shared" si="20"/>
        <v>4.1759344850346227E-5</v>
      </c>
    </row>
    <row r="394" spans="1:8" x14ac:dyDescent="0.4">
      <c r="A394" s="376" t="s">
        <v>2731</v>
      </c>
      <c r="B394" s="376" t="s">
        <v>2732</v>
      </c>
      <c r="C394" s="355">
        <v>78745.95</v>
      </c>
      <c r="D394" s="356">
        <v>0</v>
      </c>
      <c r="E394" s="357">
        <v>1.4999999999999999E-2</v>
      </c>
      <c r="F394" s="357">
        <f t="shared" si="18"/>
        <v>1.4999999999999999E-2</v>
      </c>
      <c r="G394" s="357">
        <f t="shared" si="19"/>
        <v>2.0756426444748085E-3</v>
      </c>
      <c r="H394" s="358">
        <f t="shared" si="20"/>
        <v>3.1134639667122124E-5</v>
      </c>
    </row>
    <row r="395" spans="1:8" x14ac:dyDescent="0.4">
      <c r="A395" s="376" t="s">
        <v>2734</v>
      </c>
      <c r="B395" s="376" t="s">
        <v>2735</v>
      </c>
      <c r="C395" s="355">
        <v>16944.060000000001</v>
      </c>
      <c r="D395" s="356">
        <v>4.8499999999999995E-2</v>
      </c>
      <c r="E395" s="357">
        <v>0.105</v>
      </c>
      <c r="F395" s="357">
        <f t="shared" si="18"/>
        <v>0.15604625</v>
      </c>
      <c r="G395" s="357">
        <f t="shared" si="19"/>
        <v>4.4662377565499975E-4</v>
      </c>
      <c r="H395" s="358">
        <f t="shared" si="20"/>
        <v>6.9693965351803999E-5</v>
      </c>
    </row>
    <row r="396" spans="1:8" x14ac:dyDescent="0.4">
      <c r="A396" s="376" t="s">
        <v>2737</v>
      </c>
      <c r="B396" s="376" t="s">
        <v>2738</v>
      </c>
      <c r="C396" s="355">
        <v>8333.31</v>
      </c>
      <c r="D396" s="356">
        <v>2.6099999999999998E-2</v>
      </c>
      <c r="E396" s="357">
        <v>9.5000000000000001E-2</v>
      </c>
      <c r="F396" s="357">
        <f t="shared" si="18"/>
        <v>0.12233975</v>
      </c>
      <c r="G396" s="357">
        <f t="shared" si="19"/>
        <v>2.1965540584154952E-4</v>
      </c>
      <c r="H396" s="358">
        <f t="shared" si="20"/>
        <v>2.6872587436803709E-5</v>
      </c>
    </row>
    <row r="397" spans="1:8" x14ac:dyDescent="0.4">
      <c r="A397" s="376" t="s">
        <v>2740</v>
      </c>
      <c r="B397" s="376" t="s">
        <v>2741</v>
      </c>
      <c r="C397" s="355">
        <v>21822.46</v>
      </c>
      <c r="D397" s="356">
        <v>1.6299999999999999E-2</v>
      </c>
      <c r="E397" s="357">
        <v>0.125</v>
      </c>
      <c r="F397" s="357">
        <f t="shared" si="18"/>
        <v>0.14231874999999999</v>
      </c>
      <c r="G397" s="357">
        <f t="shared" si="19"/>
        <v>5.7521216752538676E-4</v>
      </c>
      <c r="H397" s="358">
        <f t="shared" si="20"/>
        <v>8.1863476667003637E-5</v>
      </c>
    </row>
    <row r="398" spans="1:8" x14ac:dyDescent="0.4">
      <c r="A398" s="376" t="s">
        <v>2743</v>
      </c>
      <c r="B398" s="376" t="s">
        <v>2744</v>
      </c>
      <c r="C398" s="355">
        <v>8170.48</v>
      </c>
      <c r="D398" s="356">
        <v>2.41E-2</v>
      </c>
      <c r="E398" s="357">
        <v>0.12</v>
      </c>
      <c r="F398" s="357">
        <f t="shared" si="18"/>
        <v>0.14554600000000001</v>
      </c>
      <c r="G398" s="357">
        <f t="shared" si="19"/>
        <v>2.1536341505599377E-4</v>
      </c>
      <c r="H398" s="358">
        <f t="shared" si="20"/>
        <v>3.1345283607739668E-5</v>
      </c>
    </row>
    <row r="399" spans="1:8" x14ac:dyDescent="0.4">
      <c r="A399" s="376" t="s">
        <v>2746</v>
      </c>
      <c r="B399" s="376" t="s">
        <v>2747</v>
      </c>
      <c r="C399" s="355">
        <v>31800.23</v>
      </c>
      <c r="D399" s="356">
        <v>8.3000000000000001E-3</v>
      </c>
      <c r="E399" s="357">
        <v>0.115</v>
      </c>
      <c r="F399" s="357">
        <f t="shared" si="18"/>
        <v>0.12377725000000001</v>
      </c>
      <c r="G399" s="357">
        <f t="shared" si="19"/>
        <v>8.3821343817818111E-4</v>
      </c>
      <c r="H399" s="358">
        <f t="shared" si="20"/>
        <v>1.0375175429074028E-4</v>
      </c>
    </row>
    <row r="400" spans="1:8" x14ac:dyDescent="0.4">
      <c r="A400" s="376" t="s">
        <v>2749</v>
      </c>
      <c r="B400" s="376" t="s">
        <v>2750</v>
      </c>
      <c r="C400" s="355">
        <v>37574.47</v>
      </c>
      <c r="D400" s="356">
        <v>1.44E-2</v>
      </c>
      <c r="E400" s="357">
        <v>0.11</v>
      </c>
      <c r="F400" s="357">
        <f t="shared" si="18"/>
        <v>0.125192</v>
      </c>
      <c r="G400" s="357">
        <f t="shared" si="19"/>
        <v>9.9041502801781368E-4</v>
      </c>
      <c r="H400" s="358">
        <f t="shared" si="20"/>
        <v>1.2399203818760614E-4</v>
      </c>
    </row>
    <row r="401" spans="1:8" x14ac:dyDescent="0.4">
      <c r="A401" s="376" t="s">
        <v>2752</v>
      </c>
      <c r="B401" s="376" t="s">
        <v>2753</v>
      </c>
      <c r="C401" s="355">
        <v>21199.7</v>
      </c>
      <c r="D401" s="356">
        <v>1.21E-2</v>
      </c>
      <c r="E401" s="357">
        <v>9.5000000000000001E-2</v>
      </c>
      <c r="F401" s="357">
        <f t="shared" si="18"/>
        <v>0.10767475</v>
      </c>
      <c r="G401" s="357">
        <f t="shared" si="19"/>
        <v>5.5879700949791828E-4</v>
      </c>
      <c r="H401" s="358">
        <f t="shared" si="20"/>
        <v>6.0168328298435973E-5</v>
      </c>
    </row>
    <row r="402" spans="1:8" x14ac:dyDescent="0.4">
      <c r="A402" s="376" t="s">
        <v>2755</v>
      </c>
      <c r="B402" s="376" t="s">
        <v>2756</v>
      </c>
      <c r="C402" s="355">
        <v>50841.18</v>
      </c>
      <c r="D402" s="356">
        <v>5.6999999999999993E-3</v>
      </c>
      <c r="E402" s="357">
        <v>0.08</v>
      </c>
      <c r="F402" s="357">
        <f t="shared" si="18"/>
        <v>8.5928000000000004E-2</v>
      </c>
      <c r="G402" s="357">
        <f t="shared" si="19"/>
        <v>1.3401085554675478E-3</v>
      </c>
      <c r="H402" s="358">
        <f t="shared" si="20"/>
        <v>1.1515284795421545E-4</v>
      </c>
    </row>
    <row r="403" spans="1:8" x14ac:dyDescent="0.4">
      <c r="A403" s="376" t="s">
        <v>2758</v>
      </c>
      <c r="B403" s="376" t="s">
        <v>2759</v>
      </c>
      <c r="C403" s="355">
        <v>37726.39</v>
      </c>
      <c r="D403" s="356">
        <v>1.24E-2</v>
      </c>
      <c r="E403" s="357">
        <v>0.115</v>
      </c>
      <c r="F403" s="357">
        <f t="shared" si="18"/>
        <v>0.128113</v>
      </c>
      <c r="G403" s="357">
        <f t="shared" si="19"/>
        <v>9.9441944514083551E-4</v>
      </c>
      <c r="H403" s="358">
        <f t="shared" si="20"/>
        <v>1.2739805837532788E-4</v>
      </c>
    </row>
    <row r="404" spans="1:8" x14ac:dyDescent="0.4">
      <c r="A404" s="376" t="s">
        <v>2761</v>
      </c>
      <c r="B404" s="376" t="s">
        <v>2762</v>
      </c>
      <c r="C404" s="355">
        <v>47808.74</v>
      </c>
      <c r="D404" s="356">
        <v>1.3100000000000001E-2</v>
      </c>
      <c r="E404" s="357">
        <v>0.125</v>
      </c>
      <c r="F404" s="357">
        <f t="shared" si="18"/>
        <v>0.13891875000000001</v>
      </c>
      <c r="G404" s="357">
        <f t="shared" si="19"/>
        <v>1.2601773109932454E-3</v>
      </c>
      <c r="H404" s="358">
        <f t="shared" si="20"/>
        <v>1.7506225682154293E-4</v>
      </c>
    </row>
    <row r="405" spans="1:8" x14ac:dyDescent="0.4">
      <c r="A405" s="376" t="s">
        <v>2764</v>
      </c>
      <c r="B405" s="376" t="s">
        <v>2765</v>
      </c>
      <c r="C405" s="355">
        <v>143542.6</v>
      </c>
      <c r="D405" s="356">
        <v>2.4E-2</v>
      </c>
      <c r="E405" s="357">
        <v>0.14499999999999999</v>
      </c>
      <c r="F405" s="357">
        <f t="shared" si="18"/>
        <v>0.17074</v>
      </c>
      <c r="G405" s="357">
        <f t="shared" si="19"/>
        <v>3.7835995611049159E-3</v>
      </c>
      <c r="H405" s="358">
        <f t="shared" si="20"/>
        <v>6.4601178906305333E-4</v>
      </c>
    </row>
    <row r="406" spans="1:8" x14ac:dyDescent="0.4">
      <c r="A406" s="376" t="s">
        <v>2767</v>
      </c>
      <c r="B406" s="376" t="s">
        <v>2768</v>
      </c>
      <c r="C406" s="355">
        <v>14742.3</v>
      </c>
      <c r="D406" s="356">
        <v>2.3999999999999998E-3</v>
      </c>
      <c r="E406" s="357">
        <v>-1.4999999999999999E-2</v>
      </c>
      <c r="F406" s="357">
        <f t="shared" si="18"/>
        <v>-1.2617999999999999E-2</v>
      </c>
      <c r="G406" s="357">
        <f t="shared" si="19"/>
        <v>3.8858819479149049E-4</v>
      </c>
      <c r="H406" s="358">
        <f t="shared" si="20"/>
        <v>-4.9032058418790265E-6</v>
      </c>
    </row>
    <row r="407" spans="1:8" x14ac:dyDescent="0.4">
      <c r="A407" s="376" t="s">
        <v>2770</v>
      </c>
      <c r="B407" s="376" t="s">
        <v>2771</v>
      </c>
      <c r="C407" s="355">
        <v>26103.32</v>
      </c>
      <c r="D407" s="356">
        <v>1.4499999999999999E-2</v>
      </c>
      <c r="E407" s="357">
        <v>0.23499999999999999</v>
      </c>
      <c r="F407" s="357">
        <f t="shared" si="18"/>
        <v>0.25120375</v>
      </c>
      <c r="G407" s="357">
        <f t="shared" si="19"/>
        <v>6.880501683498917E-4</v>
      </c>
      <c r="H407" s="358">
        <f t="shared" si="20"/>
        <v>1.728407824776241E-4</v>
      </c>
    </row>
    <row r="408" spans="1:8" x14ac:dyDescent="0.4">
      <c r="A408" s="376" t="s">
        <v>2773</v>
      </c>
      <c r="B408" s="376" t="s">
        <v>2774</v>
      </c>
      <c r="C408" s="355">
        <v>112933.6</v>
      </c>
      <c r="D408" s="356">
        <v>2.1499999999999998E-2</v>
      </c>
      <c r="E408" s="357">
        <v>0.155</v>
      </c>
      <c r="F408" s="357">
        <f t="shared" si="18"/>
        <v>0.17816625</v>
      </c>
      <c r="G408" s="357">
        <f t="shared" si="19"/>
        <v>2.9767854239368531E-3</v>
      </c>
      <c r="H408" s="358">
        <f t="shared" si="20"/>
        <v>5.303626960374893E-4</v>
      </c>
    </row>
    <row r="409" spans="1:8" x14ac:dyDescent="0.4">
      <c r="A409" s="376" t="s">
        <v>2776</v>
      </c>
      <c r="B409" s="376" t="s">
        <v>2777</v>
      </c>
      <c r="C409" s="355">
        <v>103103.8</v>
      </c>
      <c r="D409" s="356">
        <v>1.8500000000000003E-2</v>
      </c>
      <c r="E409" s="357">
        <v>0.1</v>
      </c>
      <c r="F409" s="357">
        <f t="shared" si="18"/>
        <v>0.119425</v>
      </c>
      <c r="G409" s="357">
        <f t="shared" si="19"/>
        <v>2.717684453453184E-3</v>
      </c>
      <c r="H409" s="358">
        <f t="shared" si="20"/>
        <v>3.2455946585364649E-4</v>
      </c>
    </row>
    <row r="410" spans="1:8" x14ac:dyDescent="0.4">
      <c r="A410" s="376" t="s">
        <v>2779</v>
      </c>
      <c r="B410" s="376" t="s">
        <v>2780</v>
      </c>
      <c r="C410" s="355">
        <v>14941.6</v>
      </c>
      <c r="D410" s="356">
        <v>0</v>
      </c>
      <c r="E410" s="357">
        <v>0.27</v>
      </c>
      <c r="F410" s="357">
        <f t="shared" si="18"/>
        <v>0.27</v>
      </c>
      <c r="G410" s="357">
        <f t="shared" si="19"/>
        <v>3.9384148818681847E-4</v>
      </c>
      <c r="H410" s="358">
        <f t="shared" si="20"/>
        <v>1.0633720181044099E-4</v>
      </c>
    </row>
    <row r="411" spans="1:8" x14ac:dyDescent="0.4">
      <c r="A411" s="376" t="s">
        <v>2782</v>
      </c>
      <c r="B411" s="376" t="s">
        <v>2783</v>
      </c>
      <c r="C411" s="355">
        <v>5675.77</v>
      </c>
      <c r="D411" s="356">
        <v>2.0400000000000001E-2</v>
      </c>
      <c r="E411" s="357">
        <v>7.4999999999999997E-2</v>
      </c>
      <c r="F411" s="357">
        <f t="shared" si="18"/>
        <v>9.6165E-2</v>
      </c>
      <c r="G411" s="357">
        <f t="shared" si="19"/>
        <v>1.4960604643452503E-4</v>
      </c>
      <c r="H411" s="358">
        <f t="shared" si="20"/>
        <v>1.4386865455376099E-5</v>
      </c>
    </row>
    <row r="412" spans="1:8" x14ac:dyDescent="0.4">
      <c r="A412" s="376" t="s">
        <v>2785</v>
      </c>
      <c r="B412" s="376" t="s">
        <v>2786</v>
      </c>
      <c r="C412" s="355">
        <v>66739.37</v>
      </c>
      <c r="D412" s="356">
        <v>9.3999999999999986E-3</v>
      </c>
      <c r="E412" s="357">
        <v>0.09</v>
      </c>
      <c r="F412" s="357">
        <f t="shared" si="18"/>
        <v>9.9822999999999995E-2</v>
      </c>
      <c r="G412" s="357">
        <f t="shared" si="19"/>
        <v>1.7591645340158154E-3</v>
      </c>
      <c r="H412" s="358">
        <f t="shared" si="20"/>
        <v>1.7560508127906072E-4</v>
      </c>
    </row>
    <row r="413" spans="1:8" x14ac:dyDescent="0.4">
      <c r="A413" s="376" t="s">
        <v>2788</v>
      </c>
      <c r="B413" s="376" t="s">
        <v>2789</v>
      </c>
      <c r="C413" s="355">
        <v>15596.02</v>
      </c>
      <c r="D413" s="356">
        <v>2.76E-2</v>
      </c>
      <c r="E413" s="357">
        <v>0.06</v>
      </c>
      <c r="F413" s="357">
        <f t="shared" si="18"/>
        <v>8.8428000000000007E-2</v>
      </c>
      <c r="G413" s="357">
        <f t="shared" si="19"/>
        <v>4.1109116336880821E-4</v>
      </c>
      <c r="H413" s="358">
        <f t="shared" si="20"/>
        <v>3.6351969394376977E-5</v>
      </c>
    </row>
    <row r="414" spans="1:8" x14ac:dyDescent="0.4">
      <c r="A414" s="376" t="s">
        <v>2791</v>
      </c>
      <c r="B414" s="376" t="s">
        <v>2792</v>
      </c>
      <c r="C414" s="355">
        <v>70268.820000000007</v>
      </c>
      <c r="D414" s="356">
        <v>2.0299999999999999E-2</v>
      </c>
      <c r="E414" s="357">
        <v>0.26500000000000001</v>
      </c>
      <c r="F414" s="357">
        <f t="shared" si="18"/>
        <v>0.28798974999999999</v>
      </c>
      <c r="G414" s="357">
        <f t="shared" si="19"/>
        <v>1.8521963271625312E-3</v>
      </c>
      <c r="H414" s="358">
        <f t="shared" si="20"/>
        <v>5.3341355721045556E-4</v>
      </c>
    </row>
    <row r="415" spans="1:8" x14ac:dyDescent="0.4">
      <c r="A415" s="376" t="s">
        <v>2794</v>
      </c>
      <c r="B415" s="376" t="s">
        <v>2795</v>
      </c>
      <c r="C415" s="355">
        <v>15016.77</v>
      </c>
      <c r="D415" s="356">
        <v>2.3599999999999999E-2</v>
      </c>
      <c r="E415" s="357">
        <v>0.06</v>
      </c>
      <c r="F415" s="357">
        <f t="shared" si="18"/>
        <v>8.4307999999999994E-2</v>
      </c>
      <c r="G415" s="357">
        <f t="shared" si="19"/>
        <v>3.9582287335755006E-4</v>
      </c>
      <c r="H415" s="358">
        <f t="shared" si="20"/>
        <v>3.3371034807028329E-5</v>
      </c>
    </row>
    <row r="416" spans="1:8" x14ac:dyDescent="0.4">
      <c r="A416" s="376" t="s">
        <v>2797</v>
      </c>
      <c r="B416" s="376" t="s">
        <v>2798</v>
      </c>
      <c r="C416" s="355">
        <v>65885.09</v>
      </c>
      <c r="D416" s="356">
        <v>0</v>
      </c>
      <c r="E416" s="357">
        <v>0.125</v>
      </c>
      <c r="F416" s="357">
        <f t="shared" si="18"/>
        <v>0.125</v>
      </c>
      <c r="G416" s="357">
        <f t="shared" si="19"/>
        <v>1.7366468045538945E-3</v>
      </c>
      <c r="H416" s="358">
        <f t="shared" si="20"/>
        <v>2.1708085056923682E-4</v>
      </c>
    </row>
    <row r="417" spans="1:8" x14ac:dyDescent="0.4">
      <c r="A417" s="376" t="s">
        <v>2800</v>
      </c>
      <c r="B417" s="376" t="s">
        <v>1500</v>
      </c>
      <c r="C417" s="355">
        <v>78160.08</v>
      </c>
      <c r="D417" s="356">
        <v>3.9100000000000003E-2</v>
      </c>
      <c r="E417" s="357">
        <v>6.5000000000000002E-2</v>
      </c>
      <c r="F417" s="357">
        <f t="shared" si="18"/>
        <v>0.10537075000000001</v>
      </c>
      <c r="G417" s="357">
        <f t="shared" si="19"/>
        <v>2.0601998597205647E-3</v>
      </c>
      <c r="H417" s="358">
        <f t="shared" si="20"/>
        <v>2.1708480436865072E-4</v>
      </c>
    </row>
    <row r="418" spans="1:8" x14ac:dyDescent="0.4">
      <c r="A418" s="376" t="s">
        <v>2802</v>
      </c>
      <c r="B418" s="376" t="s">
        <v>2803</v>
      </c>
      <c r="C418" s="355">
        <v>38842.39</v>
      </c>
      <c r="D418" s="356">
        <v>6.6799999999999998E-2</v>
      </c>
      <c r="E418" s="357">
        <v>3.5000000000000003E-2</v>
      </c>
      <c r="F418" s="357">
        <f t="shared" si="18"/>
        <v>0.102969</v>
      </c>
      <c r="G418" s="357">
        <f t="shared" si="19"/>
        <v>1.0238357794568719E-3</v>
      </c>
      <c r="H418" s="358">
        <f t="shared" si="20"/>
        <v>1.0542334637489465E-4</v>
      </c>
    </row>
    <row r="419" spans="1:8" x14ac:dyDescent="0.4">
      <c r="A419" s="376" t="s">
        <v>2805</v>
      </c>
      <c r="B419" s="376" t="s">
        <v>2806</v>
      </c>
      <c r="C419" s="355">
        <v>128191.7</v>
      </c>
      <c r="D419" s="356">
        <v>9.0000000000000011E-3</v>
      </c>
      <c r="E419" s="357">
        <v>7.4999999999999997E-2</v>
      </c>
      <c r="F419" s="357">
        <f t="shared" si="18"/>
        <v>8.4337499999999996E-2</v>
      </c>
      <c r="G419" s="357">
        <f t="shared" si="19"/>
        <v>3.3789694477966334E-3</v>
      </c>
      <c r="H419" s="358">
        <f t="shared" si="20"/>
        <v>2.8497383580354855E-4</v>
      </c>
    </row>
    <row r="420" spans="1:8" x14ac:dyDescent="0.4">
      <c r="A420" s="376" t="s">
        <v>2808</v>
      </c>
      <c r="B420" s="376" t="s">
        <v>1501</v>
      </c>
      <c r="C420" s="355">
        <v>46059.3</v>
      </c>
      <c r="D420" s="356">
        <v>3.3000000000000002E-2</v>
      </c>
      <c r="E420" s="357">
        <v>6.5000000000000002E-2</v>
      </c>
      <c r="F420" s="357">
        <f t="shared" si="18"/>
        <v>9.9072500000000008E-2</v>
      </c>
      <c r="G420" s="357">
        <f t="shared" si="19"/>
        <v>1.2140643074933829E-3</v>
      </c>
      <c r="H420" s="358">
        <f t="shared" si="20"/>
        <v>1.2028038610413818E-4</v>
      </c>
    </row>
    <row r="421" spans="1:8" x14ac:dyDescent="0.4">
      <c r="A421" s="376" t="s">
        <v>2810</v>
      </c>
      <c r="B421" s="376" t="s">
        <v>2811</v>
      </c>
      <c r="C421" s="355">
        <v>21760.87</v>
      </c>
      <c r="D421" s="356">
        <v>8.8999999999999999E-3</v>
      </c>
      <c r="E421" s="357">
        <v>9.5000000000000001E-2</v>
      </c>
      <c r="F421" s="357">
        <f t="shared" si="18"/>
        <v>0.10432275000000001</v>
      </c>
      <c r="G421" s="357">
        <f t="shared" si="19"/>
        <v>5.7358873380627864E-4</v>
      </c>
      <c r="H421" s="358">
        <f t="shared" si="20"/>
        <v>5.9838354079688955E-5</v>
      </c>
    </row>
    <row r="422" spans="1:8" x14ac:dyDescent="0.4">
      <c r="A422" s="376" t="s">
        <v>2813</v>
      </c>
      <c r="B422" s="376" t="s">
        <v>2814</v>
      </c>
      <c r="C422" s="355">
        <v>17910.39</v>
      </c>
      <c r="D422" s="356">
        <v>1.6200000000000003E-2</v>
      </c>
      <c r="E422" s="357">
        <v>6.5000000000000002E-2</v>
      </c>
      <c r="F422" s="357">
        <f t="shared" si="18"/>
        <v>8.1726500000000007E-2</v>
      </c>
      <c r="G422" s="357">
        <f t="shared" si="19"/>
        <v>4.7209499997365151E-4</v>
      </c>
      <c r="H422" s="358">
        <f t="shared" si="20"/>
        <v>3.8582672015346634E-5</v>
      </c>
    </row>
    <row r="423" spans="1:8" x14ac:dyDescent="0.4">
      <c r="A423" s="376" t="s">
        <v>2816</v>
      </c>
      <c r="B423" s="376" t="s">
        <v>2817</v>
      </c>
      <c r="C423" s="355">
        <v>24739.98</v>
      </c>
      <c r="D423" s="356">
        <v>3.6699999999999997E-2</v>
      </c>
      <c r="E423" s="357">
        <v>0.09</v>
      </c>
      <c r="F423" s="357">
        <f t="shared" si="18"/>
        <v>0.12835150000000001</v>
      </c>
      <c r="G423" s="357">
        <f t="shared" si="19"/>
        <v>6.5211426760936747E-4</v>
      </c>
      <c r="H423" s="358">
        <f t="shared" si="20"/>
        <v>8.3699844419063738E-5</v>
      </c>
    </row>
    <row r="424" spans="1:8" x14ac:dyDescent="0.4">
      <c r="A424" s="376" t="s">
        <v>2819</v>
      </c>
      <c r="B424" s="376" t="s">
        <v>2820</v>
      </c>
      <c r="C424" s="355">
        <v>12592.96</v>
      </c>
      <c r="D424" s="356">
        <v>4.5999999999999999E-2</v>
      </c>
      <c r="E424" s="357">
        <v>7.0000000000000007E-2</v>
      </c>
      <c r="F424" s="357">
        <f t="shared" si="18"/>
        <v>0.11760999999999999</v>
      </c>
      <c r="G424" s="357">
        <f t="shared" si="19"/>
        <v>3.3193433816171476E-4</v>
      </c>
      <c r="H424" s="358">
        <f t="shared" si="20"/>
        <v>3.9038797511199273E-5</v>
      </c>
    </row>
    <row r="425" spans="1:8" x14ac:dyDescent="0.4">
      <c r="A425" s="376" t="s">
        <v>2822</v>
      </c>
      <c r="B425" s="376" t="s">
        <v>2823</v>
      </c>
      <c r="C425" s="355">
        <v>45988.72</v>
      </c>
      <c r="D425" s="356">
        <v>1.4199999999999999E-2</v>
      </c>
      <c r="E425" s="357">
        <v>5.5E-2</v>
      </c>
      <c r="F425" s="357">
        <f t="shared" si="18"/>
        <v>6.95905E-2</v>
      </c>
      <c r="G425" s="357">
        <f t="shared" si="19"/>
        <v>1.212203908858951E-3</v>
      </c>
      <c r="H425" s="358">
        <f t="shared" si="20"/>
        <v>8.4357876119448832E-5</v>
      </c>
    </row>
    <row r="426" spans="1:8" x14ac:dyDescent="0.4">
      <c r="A426" s="376" t="s">
        <v>2825</v>
      </c>
      <c r="B426" s="376" t="s">
        <v>2826</v>
      </c>
      <c r="C426" s="355">
        <v>13858.08</v>
      </c>
      <c r="D426" s="356">
        <v>3.5799999999999998E-2</v>
      </c>
      <c r="E426" s="357">
        <v>3.5000000000000003E-2</v>
      </c>
      <c r="F426" s="357">
        <f t="shared" si="18"/>
        <v>7.1426500000000004E-2</v>
      </c>
      <c r="G426" s="357">
        <f t="shared" si="19"/>
        <v>3.6528128517775778E-4</v>
      </c>
      <c r="H426" s="358">
        <f t="shared" si="20"/>
        <v>2.6090763715749118E-5</v>
      </c>
    </row>
    <row r="427" spans="1:8" x14ac:dyDescent="0.4">
      <c r="A427" s="376" t="s">
        <v>2828</v>
      </c>
      <c r="B427" s="376" t="s">
        <v>2829</v>
      </c>
      <c r="C427" s="355">
        <v>17082.16</v>
      </c>
      <c r="D427" s="356">
        <v>2.5399999999999999E-2</v>
      </c>
      <c r="E427" s="357">
        <v>0.04</v>
      </c>
      <c r="F427" s="357">
        <f t="shared" si="18"/>
        <v>6.5907999999999994E-2</v>
      </c>
      <c r="G427" s="357">
        <f t="shared" si="19"/>
        <v>4.5026391523299666E-4</v>
      </c>
      <c r="H427" s="358">
        <f t="shared" si="20"/>
        <v>2.967599412517634E-5</v>
      </c>
    </row>
    <row r="428" spans="1:8" x14ac:dyDescent="0.4">
      <c r="A428" s="376" t="s">
        <v>2831</v>
      </c>
      <c r="B428" s="376" t="s">
        <v>2832</v>
      </c>
      <c r="C428" s="355">
        <v>14455.83</v>
      </c>
      <c r="D428" s="356">
        <v>2.7300000000000001E-2</v>
      </c>
      <c r="E428" s="357">
        <v>4.4999999999999998E-2</v>
      </c>
      <c r="F428" s="357">
        <f t="shared" si="18"/>
        <v>7.291425E-2</v>
      </c>
      <c r="G428" s="357">
        <f t="shared" si="19"/>
        <v>3.8103721155536598E-4</v>
      </c>
      <c r="H428" s="358">
        <f t="shared" si="20"/>
        <v>2.7783042502650845E-5</v>
      </c>
    </row>
    <row r="429" spans="1:8" x14ac:dyDescent="0.4">
      <c r="A429" s="376" t="s">
        <v>2834</v>
      </c>
      <c r="B429" s="376" t="s">
        <v>2835</v>
      </c>
      <c r="C429" s="355">
        <v>112884</v>
      </c>
      <c r="D429" s="356">
        <v>1.06E-2</v>
      </c>
      <c r="E429" s="357">
        <v>7.0000000000000007E-2</v>
      </c>
      <c r="F429" s="357">
        <f t="shared" si="18"/>
        <v>8.0971000000000001E-2</v>
      </c>
      <c r="G429" s="357">
        <f t="shared" si="19"/>
        <v>2.9754780313005847E-3</v>
      </c>
      <c r="H429" s="358">
        <f t="shared" si="20"/>
        <v>2.4092743167243965E-4</v>
      </c>
    </row>
    <row r="430" spans="1:8" x14ac:dyDescent="0.4">
      <c r="A430" s="376" t="s">
        <v>2837</v>
      </c>
      <c r="B430" s="376" t="s">
        <v>2838</v>
      </c>
      <c r="C430" s="355">
        <v>37616.43</v>
      </c>
      <c r="D430" s="356">
        <v>2.69E-2</v>
      </c>
      <c r="E430" s="357">
        <v>0.185</v>
      </c>
      <c r="F430" s="357">
        <f t="shared" si="18"/>
        <v>0.21438825</v>
      </c>
      <c r="G430" s="357">
        <f t="shared" si="19"/>
        <v>9.9152104001414064E-4</v>
      </c>
      <c r="H430" s="358">
        <f t="shared" si="20"/>
        <v>2.125704606068116E-4</v>
      </c>
    </row>
    <row r="431" spans="1:8" x14ac:dyDescent="0.4">
      <c r="A431" s="376" t="s">
        <v>2840</v>
      </c>
      <c r="B431" s="376" t="s">
        <v>2841</v>
      </c>
      <c r="C431" s="355">
        <v>114888.2</v>
      </c>
      <c r="D431" s="356">
        <v>6.9099999999999995E-2</v>
      </c>
      <c r="E431" s="357">
        <v>1.4999999999999999E-2</v>
      </c>
      <c r="F431" s="357">
        <f t="shared" si="18"/>
        <v>8.4618249999999992E-2</v>
      </c>
      <c r="G431" s="357">
        <f t="shared" si="19"/>
        <v>3.0283061829459255E-3</v>
      </c>
      <c r="H431" s="358">
        <f t="shared" si="20"/>
        <v>2.5624996966506402E-4</v>
      </c>
    </row>
    <row r="432" spans="1:8" x14ac:dyDescent="0.4">
      <c r="A432" s="376" t="s">
        <v>2843</v>
      </c>
      <c r="B432" s="376" t="s">
        <v>2844</v>
      </c>
      <c r="C432" s="355">
        <v>14414.23</v>
      </c>
      <c r="D432" s="356">
        <v>2.52E-2</v>
      </c>
      <c r="E432" s="357">
        <v>0.35</v>
      </c>
      <c r="F432" s="357">
        <f t="shared" si="18"/>
        <v>0.37961</v>
      </c>
      <c r="G432" s="357">
        <f t="shared" si="19"/>
        <v>3.7994068869914095E-4</v>
      </c>
      <c r="H432" s="358">
        <f t="shared" si="20"/>
        <v>1.442292848370809E-4</v>
      </c>
    </row>
    <row r="433" spans="1:8" x14ac:dyDescent="0.4">
      <c r="A433" s="376" t="s">
        <v>2846</v>
      </c>
      <c r="B433" s="376" t="s">
        <v>2847</v>
      </c>
      <c r="C433" s="355">
        <v>48658.17</v>
      </c>
      <c r="D433" s="356">
        <v>0</v>
      </c>
      <c r="E433" s="357">
        <v>0.245</v>
      </c>
      <c r="F433" s="357">
        <f t="shared" si="18"/>
        <v>0.245</v>
      </c>
      <c r="G433" s="357">
        <f t="shared" si="19"/>
        <v>1.282567200651015E-3</v>
      </c>
      <c r="H433" s="358">
        <f t="shared" si="20"/>
        <v>3.1422896415949866E-4</v>
      </c>
    </row>
    <row r="434" spans="1:8" x14ac:dyDescent="0.4">
      <c r="A434" s="376" t="s">
        <v>2849</v>
      </c>
      <c r="B434" s="376" t="s">
        <v>2850</v>
      </c>
      <c r="C434" s="355">
        <v>19132.3</v>
      </c>
      <c r="D434" s="356">
        <v>0</v>
      </c>
      <c r="E434" s="357">
        <v>9.5000000000000001E-2</v>
      </c>
      <c r="F434" s="357">
        <f t="shared" si="18"/>
        <v>9.5000000000000001E-2</v>
      </c>
      <c r="G434" s="357">
        <f t="shared" si="19"/>
        <v>5.0430298659023582E-4</v>
      </c>
      <c r="H434" s="358">
        <f t="shared" si="20"/>
        <v>4.7908783726072405E-5</v>
      </c>
    </row>
    <row r="435" spans="1:8" x14ac:dyDescent="0.4">
      <c r="A435" s="376" t="s">
        <v>2852</v>
      </c>
      <c r="B435" s="376" t="s">
        <v>2853</v>
      </c>
      <c r="C435" s="355">
        <v>12719.28</v>
      </c>
      <c r="D435" s="356">
        <v>4.0000000000000001E-3</v>
      </c>
      <c r="E435" s="357">
        <v>0.13</v>
      </c>
      <c r="F435" s="357">
        <f t="shared" si="18"/>
        <v>0.13425999999999999</v>
      </c>
      <c r="G435" s="357">
        <f t="shared" si="19"/>
        <v>3.3526397198859809E-4</v>
      </c>
      <c r="H435" s="358">
        <f t="shared" si="20"/>
        <v>4.5012540879189177E-5</v>
      </c>
    </row>
    <row r="436" spans="1:8" x14ac:dyDescent="0.4">
      <c r="A436" s="376" t="s">
        <v>2855</v>
      </c>
      <c r="B436" s="376" t="s">
        <v>2856</v>
      </c>
      <c r="C436" s="355">
        <v>43978.59</v>
      </c>
      <c r="D436" s="356">
        <v>1.6899999999999998E-2</v>
      </c>
      <c r="E436" s="357">
        <v>0.09</v>
      </c>
      <c r="F436" s="357">
        <f t="shared" si="18"/>
        <v>0.10766049999999999</v>
      </c>
      <c r="G436" s="357">
        <f t="shared" si="19"/>
        <v>1.1592194499891533E-3</v>
      </c>
      <c r="H436" s="358">
        <f t="shared" si="20"/>
        <v>1.2480214559555723E-4</v>
      </c>
    </row>
    <row r="437" spans="1:8" x14ac:dyDescent="0.4">
      <c r="A437" s="376" t="s">
        <v>2858</v>
      </c>
      <c r="B437" s="376" t="s">
        <v>2859</v>
      </c>
      <c r="C437" s="355">
        <v>16802.05</v>
      </c>
      <c r="D437" s="356">
        <v>4.4000000000000003E-3</v>
      </c>
      <c r="E437" s="357">
        <v>0.13500000000000001</v>
      </c>
      <c r="F437" s="357">
        <f t="shared" si="18"/>
        <v>0.13969700000000002</v>
      </c>
      <c r="G437" s="357">
        <f t="shared" si="19"/>
        <v>4.4288057347200658E-4</v>
      </c>
      <c r="H437" s="358">
        <f t="shared" si="20"/>
        <v>6.1869087472318912E-5</v>
      </c>
    </row>
    <row r="438" spans="1:8" x14ac:dyDescent="0.4">
      <c r="A438" s="376" t="s">
        <v>2861</v>
      </c>
      <c r="B438" s="376" t="s">
        <v>2862</v>
      </c>
      <c r="C438" s="355">
        <v>41276.14</v>
      </c>
      <c r="D438" s="356">
        <v>7.0999999999999994E-2</v>
      </c>
      <c r="E438" s="357">
        <v>0.06</v>
      </c>
      <c r="F438" s="357">
        <f t="shared" si="18"/>
        <v>0.13313</v>
      </c>
      <c r="G438" s="357">
        <f t="shared" si="19"/>
        <v>1.087986320354411E-3</v>
      </c>
      <c r="H438" s="358">
        <f t="shared" si="20"/>
        <v>1.4484361882878273E-4</v>
      </c>
    </row>
    <row r="439" spans="1:8" x14ac:dyDescent="0.4">
      <c r="A439" s="376" t="s">
        <v>2864</v>
      </c>
      <c r="B439" s="376" t="s">
        <v>2865</v>
      </c>
      <c r="C439" s="355">
        <v>11160.07</v>
      </c>
      <c r="D439" s="356">
        <v>5.6999999999999993E-3</v>
      </c>
      <c r="E439" s="357">
        <v>0.09</v>
      </c>
      <c r="F439" s="357">
        <f t="shared" si="18"/>
        <v>9.59565E-2</v>
      </c>
      <c r="G439" s="357">
        <f t="shared" si="19"/>
        <v>2.9416518827093935E-4</v>
      </c>
      <c r="H439" s="358">
        <f t="shared" si="20"/>
        <v>2.8227061888320392E-5</v>
      </c>
    </row>
    <row r="440" spans="1:8" x14ac:dyDescent="0.4">
      <c r="A440" s="376" t="s">
        <v>2867</v>
      </c>
      <c r="B440" s="376" t="s">
        <v>2868</v>
      </c>
      <c r="C440" s="355">
        <v>61178.84</v>
      </c>
      <c r="D440" s="356">
        <v>3.32E-2</v>
      </c>
      <c r="E440" s="357">
        <v>0.12</v>
      </c>
      <c r="F440" s="357">
        <f t="shared" si="18"/>
        <v>0.155192</v>
      </c>
      <c r="G440" s="357">
        <f t="shared" si="19"/>
        <v>1.6125960667628136E-3</v>
      </c>
      <c r="H440" s="358">
        <f t="shared" si="20"/>
        <v>2.5026200879305457E-4</v>
      </c>
    </row>
    <row r="441" spans="1:8" x14ac:dyDescent="0.4">
      <c r="A441" s="376" t="s">
        <v>2870</v>
      </c>
      <c r="B441" s="376" t="s">
        <v>2871</v>
      </c>
      <c r="C441" s="355">
        <v>97420.160000000003</v>
      </c>
      <c r="D441" s="356">
        <v>1.5700000000000002E-2</v>
      </c>
      <c r="E441" s="357">
        <v>0.14499999999999999</v>
      </c>
      <c r="F441" s="357">
        <f t="shared" si="18"/>
        <v>0.16183824999999999</v>
      </c>
      <c r="G441" s="357">
        <f t="shared" si="19"/>
        <v>2.5678709638725416E-3</v>
      </c>
      <c r="H441" s="358">
        <f t="shared" si="20"/>
        <v>4.1557974301894532E-4</v>
      </c>
    </row>
    <row r="442" spans="1:8" x14ac:dyDescent="0.4">
      <c r="A442" s="376" t="s">
        <v>2873</v>
      </c>
      <c r="B442" s="376" t="s">
        <v>2874</v>
      </c>
      <c r="C442" s="355">
        <v>200806.3</v>
      </c>
      <c r="D442" s="356">
        <v>2.7000000000000001E-3</v>
      </c>
      <c r="E442" s="357">
        <v>9.5000000000000001E-2</v>
      </c>
      <c r="F442" s="357">
        <f t="shared" si="18"/>
        <v>9.7828250000000005E-2</v>
      </c>
      <c r="G442" s="357">
        <f t="shared" si="19"/>
        <v>5.2929975390379027E-3</v>
      </c>
      <c r="H442" s="358">
        <f t="shared" si="20"/>
        <v>5.1780468649838469E-4</v>
      </c>
    </row>
    <row r="443" spans="1:8" x14ac:dyDescent="0.4">
      <c r="A443" s="376" t="s">
        <v>2876</v>
      </c>
      <c r="B443" s="376" t="s">
        <v>2877</v>
      </c>
      <c r="C443" s="355">
        <v>168127.4</v>
      </c>
      <c r="D443" s="356">
        <v>0</v>
      </c>
      <c r="E443" s="357">
        <v>0.16</v>
      </c>
      <c r="F443" s="357">
        <f t="shared" si="18"/>
        <v>0.16</v>
      </c>
      <c r="G443" s="357">
        <f t="shared" si="19"/>
        <v>4.4316234821558942E-3</v>
      </c>
      <c r="H443" s="358">
        <f t="shared" si="20"/>
        <v>7.0905975714494304E-4</v>
      </c>
    </row>
    <row r="444" spans="1:8" x14ac:dyDescent="0.4">
      <c r="A444" s="376" t="s">
        <v>2879</v>
      </c>
      <c r="B444" s="376" t="s">
        <v>2880</v>
      </c>
      <c r="C444" s="355">
        <v>9939.58</v>
      </c>
      <c r="D444" s="356">
        <v>3.15E-2</v>
      </c>
      <c r="E444" s="357">
        <v>0.14499999999999999</v>
      </c>
      <c r="F444" s="357">
        <f t="shared" si="18"/>
        <v>0.17878374999999999</v>
      </c>
      <c r="G444" s="357">
        <f t="shared" si="19"/>
        <v>2.6199463104031276E-4</v>
      </c>
      <c r="H444" s="358">
        <f t="shared" si="20"/>
        <v>4.6840382617253512E-5</v>
      </c>
    </row>
    <row r="445" spans="1:8" x14ac:dyDescent="0.4">
      <c r="A445" s="376" t="s">
        <v>2882</v>
      </c>
      <c r="B445" s="376" t="s">
        <v>2883</v>
      </c>
      <c r="C445" s="355">
        <v>17288.099999999999</v>
      </c>
      <c r="D445" s="356">
        <v>2.6200000000000001E-2</v>
      </c>
      <c r="E445" s="357" t="s">
        <v>3064</v>
      </c>
      <c r="F445" s="357" t="str">
        <f t="shared" si="18"/>
        <v>N/A</v>
      </c>
      <c r="G445" s="357" t="str">
        <f t="shared" si="19"/>
        <v>N/A</v>
      </c>
      <c r="H445" s="358" t="str">
        <f t="shared" si="20"/>
        <v>N/A</v>
      </c>
    </row>
    <row r="446" spans="1:8" x14ac:dyDescent="0.4">
      <c r="A446" s="376" t="s">
        <v>2885</v>
      </c>
      <c r="B446" s="376" t="s">
        <v>2886</v>
      </c>
      <c r="C446" s="355">
        <v>12904.38</v>
      </c>
      <c r="D446" s="356">
        <v>0</v>
      </c>
      <c r="E446" s="357">
        <v>5.5E-2</v>
      </c>
      <c r="F446" s="357">
        <f t="shared" si="18"/>
        <v>5.5E-2</v>
      </c>
      <c r="G446" s="357">
        <f t="shared" si="19"/>
        <v>3.4014297152434923E-4</v>
      </c>
      <c r="H446" s="358">
        <f t="shared" si="20"/>
        <v>1.870786343383921E-5</v>
      </c>
    </row>
    <row r="447" spans="1:8" x14ac:dyDescent="0.4">
      <c r="A447" s="376" t="s">
        <v>2888</v>
      </c>
      <c r="B447" s="376" t="s">
        <v>2889</v>
      </c>
      <c r="C447" s="355">
        <v>25126.82</v>
      </c>
      <c r="D447" s="356">
        <v>4.4000000000000004E-2</v>
      </c>
      <c r="E447" s="357">
        <v>2.5000000000000001E-2</v>
      </c>
      <c r="F447" s="357">
        <f t="shared" si="18"/>
        <v>6.9550000000000001E-2</v>
      </c>
      <c r="G447" s="357">
        <f t="shared" si="19"/>
        <v>6.6231087582335996E-4</v>
      </c>
      <c r="H447" s="358">
        <f t="shared" si="20"/>
        <v>4.6063721413514683E-5</v>
      </c>
    </row>
    <row r="448" spans="1:8" x14ac:dyDescent="0.4">
      <c r="A448" s="376" t="s">
        <v>2891</v>
      </c>
      <c r="B448" s="376" t="s">
        <v>2892</v>
      </c>
      <c r="C448" s="355">
        <v>39868.29</v>
      </c>
      <c r="D448" s="356">
        <v>2.3199999999999998E-2</v>
      </c>
      <c r="E448" s="357">
        <v>7.4999999999999997E-2</v>
      </c>
      <c r="F448" s="357">
        <f t="shared" si="18"/>
        <v>9.9069999999999991E-2</v>
      </c>
      <c r="G448" s="357">
        <f t="shared" si="19"/>
        <v>1.0508771928751709E-3</v>
      </c>
      <c r="H448" s="358">
        <f t="shared" si="20"/>
        <v>1.0411040349814317E-4</v>
      </c>
    </row>
    <row r="449" spans="1:8" x14ac:dyDescent="0.4">
      <c r="A449" s="376" t="s">
        <v>2894</v>
      </c>
      <c r="B449" s="376" t="s">
        <v>2895</v>
      </c>
      <c r="C449" s="355">
        <v>24165.77</v>
      </c>
      <c r="D449" s="356">
        <v>1.8700000000000001E-2</v>
      </c>
      <c r="E449" s="357">
        <v>0.115</v>
      </c>
      <c r="F449" s="357">
        <f t="shared" si="18"/>
        <v>0.13477525000000001</v>
      </c>
      <c r="G449" s="357">
        <f t="shared" si="19"/>
        <v>6.369788255595366E-4</v>
      </c>
      <c r="H449" s="358">
        <f t="shared" si="20"/>
        <v>8.5848980459492941E-5</v>
      </c>
    </row>
    <row r="450" spans="1:8" x14ac:dyDescent="0.4">
      <c r="A450" s="376" t="s">
        <v>2897</v>
      </c>
      <c r="B450" s="376" t="s">
        <v>2898</v>
      </c>
      <c r="C450" s="355">
        <v>895179.1</v>
      </c>
      <c r="D450" s="356">
        <v>0</v>
      </c>
      <c r="E450" s="357">
        <v>0.48499999999999999</v>
      </c>
      <c r="F450" s="357">
        <f t="shared" si="18"/>
        <v>0.48499999999999999</v>
      </c>
      <c r="G450" s="357">
        <f t="shared" si="19"/>
        <v>2.3595777489541735E-2</v>
      </c>
      <c r="H450" s="358">
        <f t="shared" si="20"/>
        <v>1.1443952082427742E-2</v>
      </c>
    </row>
    <row r="451" spans="1:8" x14ac:dyDescent="0.4">
      <c r="A451" s="376" t="s">
        <v>2900</v>
      </c>
      <c r="B451" s="376" t="s">
        <v>2901</v>
      </c>
      <c r="C451" s="355">
        <v>18469.28</v>
      </c>
      <c r="D451" s="356">
        <v>3.7000000000000005E-2</v>
      </c>
      <c r="E451" s="357">
        <v>-0.115</v>
      </c>
      <c r="F451" s="357">
        <f t="shared" si="18"/>
        <v>-8.012749999999999E-2</v>
      </c>
      <c r="G451" s="357">
        <f t="shared" si="19"/>
        <v>4.8682662639469956E-4</v>
      </c>
      <c r="H451" s="358">
        <f t="shared" si="20"/>
        <v>-3.9008200506441281E-5</v>
      </c>
    </row>
    <row r="452" spans="1:8" x14ac:dyDescent="0.4">
      <c r="A452" s="376" t="s">
        <v>2903</v>
      </c>
      <c r="B452" s="376" t="s">
        <v>2904</v>
      </c>
      <c r="C452" s="355">
        <v>43277.43</v>
      </c>
      <c r="D452" s="356">
        <v>1.5800000000000002E-2</v>
      </c>
      <c r="E452" s="357">
        <v>0.13</v>
      </c>
      <c r="F452" s="357">
        <f t="shared" ref="F452:F503" si="21">IFERROR(D452*(1+0.5*E452)+E452,"N/A")</f>
        <v>0.14682700000000001</v>
      </c>
      <c r="G452" s="357">
        <f t="shared" ref="G452:G503" si="22">IF(F452="N/A","N/A",C452/$C$504)</f>
        <v>1.1407377681172607E-3</v>
      </c>
      <c r="H452" s="358">
        <f t="shared" si="20"/>
        <v>1.6749110427935306E-4</v>
      </c>
    </row>
    <row r="453" spans="1:8" x14ac:dyDescent="0.4">
      <c r="A453" s="376" t="s">
        <v>2906</v>
      </c>
      <c r="B453" s="376" t="s">
        <v>2907</v>
      </c>
      <c r="C453" s="355">
        <v>24497.26</v>
      </c>
      <c r="D453" s="356">
        <v>0</v>
      </c>
      <c r="E453" s="357">
        <v>0.59</v>
      </c>
      <c r="F453" s="357">
        <f t="shared" si="21"/>
        <v>0.59</v>
      </c>
      <c r="G453" s="357">
        <f t="shared" si="22"/>
        <v>6.4571647848285464E-4</v>
      </c>
      <c r="H453" s="358">
        <f t="shared" ref="H453:H503" si="23">IF(ISNUMBER(G453),F453*G453,"N/A")</f>
        <v>3.8097272230488424E-4</v>
      </c>
    </row>
    <row r="454" spans="1:8" x14ac:dyDescent="0.4">
      <c r="A454" s="376" t="s">
        <v>2909</v>
      </c>
      <c r="B454" s="376" t="s">
        <v>2910</v>
      </c>
      <c r="C454" s="355">
        <v>160289.20000000001</v>
      </c>
      <c r="D454" s="356">
        <v>2.81E-2</v>
      </c>
      <c r="E454" s="357">
        <v>3.5000000000000003E-2</v>
      </c>
      <c r="F454" s="357">
        <f t="shared" si="21"/>
        <v>6.3591750000000002E-2</v>
      </c>
      <c r="G454" s="357">
        <f t="shared" si="22"/>
        <v>4.2250185434139975E-3</v>
      </c>
      <c r="H454" s="358">
        <f t="shared" si="23"/>
        <v>2.6867632295814707E-4</v>
      </c>
    </row>
    <row r="455" spans="1:8" x14ac:dyDescent="0.4">
      <c r="A455" s="376" t="s">
        <v>2912</v>
      </c>
      <c r="B455" s="376" t="s">
        <v>2913</v>
      </c>
      <c r="C455" s="355">
        <v>13562.96</v>
      </c>
      <c r="D455" s="356">
        <v>1.1999999999999999E-3</v>
      </c>
      <c r="E455" s="357">
        <v>0.16</v>
      </c>
      <c r="F455" s="357">
        <f t="shared" si="21"/>
        <v>0.16129599999999999</v>
      </c>
      <c r="G455" s="357">
        <f t="shared" si="22"/>
        <v>3.5750229899196145E-4</v>
      </c>
      <c r="H455" s="358">
        <f t="shared" si="23"/>
        <v>5.7663690818207414E-5</v>
      </c>
    </row>
    <row r="456" spans="1:8" x14ac:dyDescent="0.4">
      <c r="A456" s="376" t="s">
        <v>2915</v>
      </c>
      <c r="B456" s="376" t="s">
        <v>2916</v>
      </c>
      <c r="C456" s="355">
        <v>19852.38</v>
      </c>
      <c r="D456" s="356">
        <v>0</v>
      </c>
      <c r="E456" s="357">
        <v>0.105</v>
      </c>
      <c r="F456" s="357">
        <f t="shared" si="21"/>
        <v>0.105</v>
      </c>
      <c r="G456" s="357">
        <f t="shared" si="22"/>
        <v>5.2328337549193066E-4</v>
      </c>
      <c r="H456" s="358">
        <f t="shared" si="23"/>
        <v>5.4944754426652715E-5</v>
      </c>
    </row>
    <row r="457" spans="1:8" x14ac:dyDescent="0.4">
      <c r="A457" s="376" t="s">
        <v>2918</v>
      </c>
      <c r="B457" s="376" t="s">
        <v>2919</v>
      </c>
      <c r="C457" s="355">
        <v>18244.91</v>
      </c>
      <c r="D457" s="356">
        <v>0</v>
      </c>
      <c r="E457" s="357" t="s">
        <v>3064</v>
      </c>
      <c r="F457" s="357" t="str">
        <f t="shared" si="21"/>
        <v>N/A</v>
      </c>
      <c r="G457" s="357" t="str">
        <f t="shared" si="22"/>
        <v>N/A</v>
      </c>
      <c r="H457" s="358" t="str">
        <f t="shared" si="23"/>
        <v>N/A</v>
      </c>
    </row>
    <row r="458" spans="1:8" x14ac:dyDescent="0.4">
      <c r="A458" s="376" t="s">
        <v>2921</v>
      </c>
      <c r="B458" s="376" t="s">
        <v>2922</v>
      </c>
      <c r="C458" s="355">
        <v>14275</v>
      </c>
      <c r="D458" s="356">
        <v>4.0599999999999997E-2</v>
      </c>
      <c r="E458" s="357">
        <v>0.155</v>
      </c>
      <c r="F458" s="357">
        <f t="shared" si="21"/>
        <v>0.19874649999999999</v>
      </c>
      <c r="G458" s="357">
        <f t="shared" si="22"/>
        <v>3.7627076376471288E-4</v>
      </c>
      <c r="H458" s="358">
        <f t="shared" si="23"/>
        <v>7.4782497350563501E-5</v>
      </c>
    </row>
    <row r="459" spans="1:8" x14ac:dyDescent="0.4">
      <c r="A459" s="376" t="s">
        <v>2924</v>
      </c>
      <c r="B459" s="376" t="s">
        <v>2925</v>
      </c>
      <c r="C459" s="355">
        <v>10783.46</v>
      </c>
      <c r="D459" s="356">
        <v>5.1999999999999998E-3</v>
      </c>
      <c r="E459" s="357">
        <v>0.06</v>
      </c>
      <c r="F459" s="357">
        <f t="shared" si="21"/>
        <v>6.5355999999999997E-2</v>
      </c>
      <c r="G459" s="357">
        <f t="shared" si="22"/>
        <v>2.8423822978817728E-4</v>
      </c>
      <c r="H459" s="358">
        <f t="shared" si="23"/>
        <v>1.8576673746036114E-5</v>
      </c>
    </row>
    <row r="460" spans="1:8" x14ac:dyDescent="0.4">
      <c r="A460" s="376" t="s">
        <v>2927</v>
      </c>
      <c r="B460" s="376" t="s">
        <v>2928</v>
      </c>
      <c r="C460" s="355">
        <v>23958.87</v>
      </c>
      <c r="D460" s="356">
        <v>0</v>
      </c>
      <c r="E460" s="357">
        <v>0.13500000000000001</v>
      </c>
      <c r="F460" s="357">
        <f t="shared" si="21"/>
        <v>0.13500000000000001</v>
      </c>
      <c r="G460" s="357">
        <f t="shared" si="22"/>
        <v>6.3152520587316744E-4</v>
      </c>
      <c r="H460" s="358">
        <f t="shared" si="23"/>
        <v>8.5255902792877615E-5</v>
      </c>
    </row>
    <row r="461" spans="1:8" x14ac:dyDescent="0.4">
      <c r="A461" s="376" t="s">
        <v>2930</v>
      </c>
      <c r="B461" s="376" t="s">
        <v>2931</v>
      </c>
      <c r="C461" s="355">
        <v>439177</v>
      </c>
      <c r="D461" s="356">
        <v>1.6E-2</v>
      </c>
      <c r="E461" s="357">
        <v>0.115</v>
      </c>
      <c r="F461" s="357">
        <f t="shared" si="21"/>
        <v>0.13192000000000001</v>
      </c>
      <c r="G461" s="357">
        <f t="shared" si="22"/>
        <v>1.157614467375799E-2</v>
      </c>
      <c r="H461" s="358">
        <f t="shared" si="23"/>
        <v>1.5271250053621541E-3</v>
      </c>
    </row>
    <row r="462" spans="1:8" x14ac:dyDescent="0.4">
      <c r="A462" s="376" t="s">
        <v>2933</v>
      </c>
      <c r="B462" s="376" t="s">
        <v>2934</v>
      </c>
      <c r="C462" s="355">
        <v>124361.7</v>
      </c>
      <c r="D462" s="356">
        <v>2.5499999999999998E-2</v>
      </c>
      <c r="E462" s="357">
        <v>6.5000000000000002E-2</v>
      </c>
      <c r="F462" s="357">
        <f t="shared" si="21"/>
        <v>9.132875E-2</v>
      </c>
      <c r="G462" s="357">
        <f t="shared" si="22"/>
        <v>3.2780155406009173E-3</v>
      </c>
      <c r="H462" s="358">
        <f t="shared" si="23"/>
        <v>2.9937706180365603E-4</v>
      </c>
    </row>
    <row r="463" spans="1:8" x14ac:dyDescent="0.4">
      <c r="A463" s="376" t="s">
        <v>2936</v>
      </c>
      <c r="B463" s="376" t="s">
        <v>2937</v>
      </c>
      <c r="C463" s="355">
        <v>154558.20000000001</v>
      </c>
      <c r="D463" s="356">
        <v>3.6000000000000004E-2</v>
      </c>
      <c r="E463" s="357">
        <v>7.4999999999999997E-2</v>
      </c>
      <c r="F463" s="357">
        <f t="shared" si="21"/>
        <v>0.11235000000000001</v>
      </c>
      <c r="G463" s="357">
        <f t="shared" si="22"/>
        <v>4.0739567047354992E-3</v>
      </c>
      <c r="H463" s="358">
        <f t="shared" si="23"/>
        <v>4.5770903577703335E-4</v>
      </c>
    </row>
    <row r="464" spans="1:8" x14ac:dyDescent="0.4">
      <c r="A464" s="376" t="s">
        <v>2939</v>
      </c>
      <c r="B464" s="376" t="s">
        <v>2940</v>
      </c>
      <c r="C464" s="355">
        <v>30443.759999999998</v>
      </c>
      <c r="D464" s="356">
        <v>1.34E-2</v>
      </c>
      <c r="E464" s="357">
        <v>0.17</v>
      </c>
      <c r="F464" s="357">
        <f t="shared" si="21"/>
        <v>0.18453900000000001</v>
      </c>
      <c r="G464" s="357">
        <f t="shared" si="22"/>
        <v>8.02458621861269E-4</v>
      </c>
      <c r="H464" s="358">
        <f t="shared" si="23"/>
        <v>1.4808491161965673E-4</v>
      </c>
    </row>
    <row r="465" spans="1:8" x14ac:dyDescent="0.4">
      <c r="A465" s="376" t="s">
        <v>2942</v>
      </c>
      <c r="B465" s="376" t="s">
        <v>2943</v>
      </c>
      <c r="C465" s="355">
        <v>51397.23</v>
      </c>
      <c r="D465" s="356">
        <v>5.91E-2</v>
      </c>
      <c r="E465" s="357">
        <v>0.06</v>
      </c>
      <c r="F465" s="357">
        <f t="shared" si="21"/>
        <v>0.12087300000000001</v>
      </c>
      <c r="G465" s="357">
        <f t="shared" si="22"/>
        <v>1.3547653231166805E-3</v>
      </c>
      <c r="H465" s="358">
        <f t="shared" si="23"/>
        <v>1.6375454890108252E-4</v>
      </c>
    </row>
    <row r="466" spans="1:8" x14ac:dyDescent="0.4">
      <c r="A466" s="376" t="s">
        <v>2945</v>
      </c>
      <c r="B466" s="376" t="s">
        <v>2946</v>
      </c>
      <c r="C466" s="355">
        <v>448729.3</v>
      </c>
      <c r="D466" s="356">
        <v>8.1000000000000013E-3</v>
      </c>
      <c r="E466" s="357">
        <v>0.13500000000000001</v>
      </c>
      <c r="F466" s="357">
        <f t="shared" si="21"/>
        <v>0.14364675000000002</v>
      </c>
      <c r="G466" s="357">
        <f t="shared" si="22"/>
        <v>1.1827931098746407E-2</v>
      </c>
      <c r="H466" s="358">
        <f t="shared" si="23"/>
        <v>1.6990438615588506E-3</v>
      </c>
    </row>
    <row r="467" spans="1:8" x14ac:dyDescent="0.4">
      <c r="A467" s="376" t="s">
        <v>2948</v>
      </c>
      <c r="B467" s="376" t="s">
        <v>2949</v>
      </c>
      <c r="C467" s="355">
        <v>7372.88</v>
      </c>
      <c r="D467" s="356">
        <v>6.3299999999999995E-2</v>
      </c>
      <c r="E467" s="357">
        <v>1.4999999999999999E-2</v>
      </c>
      <c r="F467" s="357">
        <f t="shared" si="21"/>
        <v>7.8774750000000004E-2</v>
      </c>
      <c r="G467" s="357">
        <f t="shared" si="22"/>
        <v>1.9433969798567961E-4</v>
      </c>
      <c r="H467" s="358">
        <f t="shared" si="23"/>
        <v>1.5309061123897416E-5</v>
      </c>
    </row>
    <row r="468" spans="1:8" x14ac:dyDescent="0.4">
      <c r="A468" s="376" t="s">
        <v>2951</v>
      </c>
      <c r="B468" s="376" t="s">
        <v>2952</v>
      </c>
      <c r="C468" s="355">
        <v>19704.759999999998</v>
      </c>
      <c r="D468" s="356">
        <v>4.9800000000000004E-2</v>
      </c>
      <c r="E468" s="357">
        <v>0.08</v>
      </c>
      <c r="F468" s="357">
        <f t="shared" si="21"/>
        <v>0.13179200000000002</v>
      </c>
      <c r="G468" s="357">
        <f t="shared" si="22"/>
        <v>5.1939230087568215E-4</v>
      </c>
      <c r="H468" s="358">
        <f t="shared" si="23"/>
        <v>6.8451750117007909E-5</v>
      </c>
    </row>
    <row r="469" spans="1:8" x14ac:dyDescent="0.4">
      <c r="A469" s="376" t="s">
        <v>2954</v>
      </c>
      <c r="B469" s="376" t="s">
        <v>2955</v>
      </c>
      <c r="C469" s="355">
        <v>42207.81</v>
      </c>
      <c r="D469" s="356">
        <v>3.5000000000000003E-2</v>
      </c>
      <c r="E469" s="357">
        <v>1.4999999999999999E-2</v>
      </c>
      <c r="F469" s="357">
        <f t="shared" si="21"/>
        <v>5.0262500000000002E-2</v>
      </c>
      <c r="G469" s="357">
        <f t="shared" si="22"/>
        <v>1.1125439513510252E-3</v>
      </c>
      <c r="H469" s="358">
        <f t="shared" si="23"/>
        <v>5.591924035478091E-5</v>
      </c>
    </row>
    <row r="470" spans="1:8" x14ac:dyDescent="0.4">
      <c r="A470" s="376" t="s">
        <v>2957</v>
      </c>
      <c r="B470" s="376" t="s">
        <v>2958</v>
      </c>
      <c r="C470" s="355">
        <v>29365.85</v>
      </c>
      <c r="D470" s="356">
        <v>7.8000000000000005E-3</v>
      </c>
      <c r="E470" s="357">
        <v>0.09</v>
      </c>
      <c r="F470" s="357">
        <f t="shared" si="21"/>
        <v>9.8151000000000002E-2</v>
      </c>
      <c r="G470" s="357">
        <f t="shared" si="22"/>
        <v>7.7404629128546365E-4</v>
      </c>
      <c r="H470" s="358">
        <f t="shared" si="23"/>
        <v>7.5973417535959542E-5</v>
      </c>
    </row>
    <row r="471" spans="1:8" x14ac:dyDescent="0.4">
      <c r="A471" s="376" t="s">
        <v>2960</v>
      </c>
      <c r="B471" s="376" t="s">
        <v>2961</v>
      </c>
      <c r="C471" s="355">
        <v>32675.98</v>
      </c>
      <c r="D471" s="356">
        <v>6.0000000000000001E-3</v>
      </c>
      <c r="E471" s="357">
        <v>0.08</v>
      </c>
      <c r="F471" s="357">
        <f t="shared" si="21"/>
        <v>8.6239999999999997E-2</v>
      </c>
      <c r="G471" s="357">
        <f t="shared" si="22"/>
        <v>8.6129708941229302E-4</v>
      </c>
      <c r="H471" s="358">
        <f t="shared" si="23"/>
        <v>7.4278260990916144E-5</v>
      </c>
    </row>
    <row r="472" spans="1:8" x14ac:dyDescent="0.4">
      <c r="A472" s="376" t="s">
        <v>2963</v>
      </c>
      <c r="B472" s="376" t="s">
        <v>2964</v>
      </c>
      <c r="C472" s="355">
        <v>23201.54</v>
      </c>
      <c r="D472" s="356">
        <v>0</v>
      </c>
      <c r="E472" s="357">
        <v>0.13</v>
      </c>
      <c r="F472" s="357">
        <f t="shared" si="21"/>
        <v>0.13</v>
      </c>
      <c r="G472" s="357">
        <f t="shared" si="22"/>
        <v>6.1156295455814613E-4</v>
      </c>
      <c r="H472" s="358">
        <f t="shared" si="23"/>
        <v>7.9503184092559001E-5</v>
      </c>
    </row>
    <row r="473" spans="1:8" x14ac:dyDescent="0.4">
      <c r="A473" s="376" t="s">
        <v>2966</v>
      </c>
      <c r="B473" s="376" t="s">
        <v>2967</v>
      </c>
      <c r="C473" s="355">
        <v>89695.88</v>
      </c>
      <c r="D473" s="356">
        <v>0</v>
      </c>
      <c r="E473" s="357">
        <v>0.12</v>
      </c>
      <c r="F473" s="357">
        <f t="shared" si="21"/>
        <v>0.12</v>
      </c>
      <c r="G473" s="357">
        <f t="shared" si="22"/>
        <v>2.3642688107984615E-3</v>
      </c>
      <c r="H473" s="358">
        <f t="shared" si="23"/>
        <v>2.8371225729581539E-4</v>
      </c>
    </row>
    <row r="474" spans="1:8" x14ac:dyDescent="0.4">
      <c r="A474" s="376" t="s">
        <v>2969</v>
      </c>
      <c r="B474" s="376" t="s">
        <v>2970</v>
      </c>
      <c r="C474" s="355">
        <v>19497.22</v>
      </c>
      <c r="D474" s="356">
        <v>3.8100000000000002E-2</v>
      </c>
      <c r="E474" s="357">
        <v>0.23499999999999999</v>
      </c>
      <c r="F474" s="357">
        <f t="shared" si="21"/>
        <v>0.27757674999999998</v>
      </c>
      <c r="G474" s="357">
        <f t="shared" si="22"/>
        <v>5.1392181160690969E-4</v>
      </c>
      <c r="H474" s="358">
        <f t="shared" si="23"/>
        <v>1.4265274621995825E-4</v>
      </c>
    </row>
    <row r="475" spans="1:8" x14ac:dyDescent="0.4">
      <c r="A475" s="376" t="s">
        <v>2972</v>
      </c>
      <c r="B475" s="376" t="s">
        <v>2973</v>
      </c>
      <c r="C475" s="355">
        <v>11881.94</v>
      </c>
      <c r="D475" s="356">
        <v>5.0499999999999996E-2</v>
      </c>
      <c r="E475" s="357" t="s">
        <v>3064</v>
      </c>
      <c r="F475" s="357" t="str">
        <f t="shared" si="21"/>
        <v>N/A</v>
      </c>
      <c r="G475" s="357" t="str">
        <f t="shared" si="22"/>
        <v>N/A</v>
      </c>
      <c r="H475" s="358" t="str">
        <f t="shared" si="23"/>
        <v>N/A</v>
      </c>
    </row>
    <row r="476" spans="1:8" x14ac:dyDescent="0.4">
      <c r="A476" s="376" t="s">
        <v>2975</v>
      </c>
      <c r="B476" s="376" t="s">
        <v>2976</v>
      </c>
      <c r="C476" s="355">
        <v>157565.6</v>
      </c>
      <c r="D476" s="356">
        <v>7.0400000000000004E-2</v>
      </c>
      <c r="E476" s="357">
        <v>0.02</v>
      </c>
      <c r="F476" s="357">
        <f t="shared" si="21"/>
        <v>9.1104000000000004E-2</v>
      </c>
      <c r="G476" s="357">
        <f t="shared" si="22"/>
        <v>4.1532279267982655E-3</v>
      </c>
      <c r="H476" s="358">
        <f t="shared" si="23"/>
        <v>3.7837567704302919E-4</v>
      </c>
    </row>
    <row r="477" spans="1:8" x14ac:dyDescent="0.4">
      <c r="A477" s="376" t="s">
        <v>2978</v>
      </c>
      <c r="B477" s="376" t="s">
        <v>2979</v>
      </c>
      <c r="C477" s="355">
        <v>19526.28</v>
      </c>
      <c r="D477" s="356">
        <v>6.3E-3</v>
      </c>
      <c r="E477" s="357">
        <v>8.5000000000000006E-2</v>
      </c>
      <c r="F477" s="357">
        <f t="shared" si="21"/>
        <v>9.1567750000000003E-2</v>
      </c>
      <c r="G477" s="357">
        <f t="shared" si="22"/>
        <v>5.1468779608291682E-4</v>
      </c>
      <c r="H477" s="358">
        <f t="shared" si="23"/>
        <v>4.7128803439771507E-5</v>
      </c>
    </row>
    <row r="478" spans="1:8" x14ac:dyDescent="0.4">
      <c r="A478" s="376" t="s">
        <v>2981</v>
      </c>
      <c r="B478" s="376" t="s">
        <v>2982</v>
      </c>
      <c r="C478" s="355">
        <v>15732.37</v>
      </c>
      <c r="D478" s="356">
        <v>0</v>
      </c>
      <c r="E478" s="357">
        <v>0.1</v>
      </c>
      <c r="F478" s="357">
        <f t="shared" si="21"/>
        <v>0.1</v>
      </c>
      <c r="G478" s="357">
        <f t="shared" si="22"/>
        <v>4.1468517518242074E-4</v>
      </c>
      <c r="H478" s="358">
        <f t="shared" si="23"/>
        <v>4.1468517518242077E-5</v>
      </c>
    </row>
    <row r="479" spans="1:8" x14ac:dyDescent="0.4">
      <c r="A479" s="376" t="s">
        <v>2984</v>
      </c>
      <c r="B479" s="376" t="s">
        <v>2985</v>
      </c>
      <c r="C479" s="355">
        <v>25245.38</v>
      </c>
      <c r="D479" s="356">
        <v>6.6600000000000006E-2</v>
      </c>
      <c r="E479" s="357">
        <v>2.5000000000000001E-2</v>
      </c>
      <c r="F479" s="357">
        <f t="shared" si="21"/>
        <v>9.2432500000000001E-2</v>
      </c>
      <c r="G479" s="357">
        <f t="shared" si="22"/>
        <v>6.6543596596360124E-4</v>
      </c>
      <c r="H479" s="358">
        <f t="shared" si="23"/>
        <v>6.1507909923930575E-5</v>
      </c>
    </row>
    <row r="480" spans="1:8" x14ac:dyDescent="0.4">
      <c r="A480" s="376" t="s">
        <v>2987</v>
      </c>
      <c r="B480" s="376" t="s">
        <v>2988</v>
      </c>
      <c r="C480" s="355">
        <v>31253.88</v>
      </c>
      <c r="D480" s="356">
        <v>0</v>
      </c>
      <c r="E480" s="357" t="s">
        <v>3064</v>
      </c>
      <c r="F480" s="357" t="str">
        <f t="shared" si="21"/>
        <v>N/A</v>
      </c>
      <c r="G480" s="357" t="str">
        <f t="shared" si="22"/>
        <v>N/A</v>
      </c>
      <c r="H480" s="358" t="str">
        <f t="shared" si="23"/>
        <v>N/A</v>
      </c>
    </row>
    <row r="481" spans="1:8" x14ac:dyDescent="0.4">
      <c r="A481" s="376" t="s">
        <v>2990</v>
      </c>
      <c r="B481" s="376" t="s">
        <v>2991</v>
      </c>
      <c r="C481" s="355">
        <v>12051.2</v>
      </c>
      <c r="D481" s="356">
        <v>0</v>
      </c>
      <c r="E481" s="357">
        <v>0.03</v>
      </c>
      <c r="F481" s="357">
        <f t="shared" si="21"/>
        <v>0.03</v>
      </c>
      <c r="G481" s="357">
        <f t="shared" si="22"/>
        <v>3.1765423665718447E-4</v>
      </c>
      <c r="H481" s="358">
        <f t="shared" si="23"/>
        <v>9.529627099715534E-6</v>
      </c>
    </row>
    <row r="482" spans="1:8" x14ac:dyDescent="0.4">
      <c r="A482" s="376" t="s">
        <v>2993</v>
      </c>
      <c r="B482" s="376" t="s">
        <v>1502</v>
      </c>
      <c r="C482" s="355">
        <v>28499.55</v>
      </c>
      <c r="D482" s="356">
        <v>3.4500000000000003E-2</v>
      </c>
      <c r="E482" s="357">
        <v>0.06</v>
      </c>
      <c r="F482" s="357">
        <f t="shared" si="21"/>
        <v>9.5535000000000009E-2</v>
      </c>
      <c r="G482" s="357">
        <f t="shared" si="22"/>
        <v>7.5121172997902786E-4</v>
      </c>
      <c r="H482" s="358">
        <f t="shared" si="23"/>
        <v>7.1767012623546433E-5</v>
      </c>
    </row>
    <row r="483" spans="1:8" x14ac:dyDescent="0.4">
      <c r="A483" s="376" t="s">
        <v>2995</v>
      </c>
      <c r="B483" s="376" t="s">
        <v>2996</v>
      </c>
      <c r="C483" s="355">
        <v>39819.599999999999</v>
      </c>
      <c r="D483" s="356">
        <v>3.1300000000000001E-2</v>
      </c>
      <c r="E483" s="357">
        <v>0.12</v>
      </c>
      <c r="F483" s="357">
        <f t="shared" si="21"/>
        <v>0.15317800000000001</v>
      </c>
      <c r="G483" s="357">
        <f t="shared" si="22"/>
        <v>1.0495937866763826E-3</v>
      </c>
      <c r="H483" s="358">
        <f t="shared" si="23"/>
        <v>1.6077467705551495E-4</v>
      </c>
    </row>
    <row r="484" spans="1:8" x14ac:dyDescent="0.4">
      <c r="A484" s="376" t="s">
        <v>2998</v>
      </c>
      <c r="B484" s="376" t="s">
        <v>2999</v>
      </c>
      <c r="C484" s="355">
        <v>163625</v>
      </c>
      <c r="D484" s="356">
        <v>2.76E-2</v>
      </c>
      <c r="E484" s="357">
        <v>0.105</v>
      </c>
      <c r="F484" s="357">
        <f t="shared" si="21"/>
        <v>0.134049</v>
      </c>
      <c r="G484" s="357">
        <f t="shared" si="22"/>
        <v>4.312945969947541E-3</v>
      </c>
      <c r="H484" s="358">
        <f t="shared" si="23"/>
        <v>5.7814609432549791E-4</v>
      </c>
    </row>
    <row r="485" spans="1:8" x14ac:dyDescent="0.4">
      <c r="A485" s="376" t="s">
        <v>3001</v>
      </c>
      <c r="B485" s="376" t="s">
        <v>3002</v>
      </c>
      <c r="C485" s="355">
        <v>8102.6</v>
      </c>
      <c r="D485" s="356">
        <v>5.0900000000000001E-2</v>
      </c>
      <c r="E485" s="357">
        <v>-5.0000000000000001E-3</v>
      </c>
      <c r="F485" s="357">
        <f t="shared" si="21"/>
        <v>4.5772750000000008E-2</v>
      </c>
      <c r="G485" s="357">
        <f t="shared" si="22"/>
        <v>2.1357418497232664E-4</v>
      </c>
      <c r="H485" s="358">
        <f t="shared" si="23"/>
        <v>9.7758777751920658E-6</v>
      </c>
    </row>
    <row r="486" spans="1:8" x14ac:dyDescent="0.4">
      <c r="A486" s="376" t="s">
        <v>3004</v>
      </c>
      <c r="B486" s="376" t="s">
        <v>3005</v>
      </c>
      <c r="C486" s="355">
        <v>69581.59</v>
      </c>
      <c r="D486" s="356">
        <v>1.6399999999999998E-2</v>
      </c>
      <c r="E486" s="357">
        <v>7.0000000000000007E-2</v>
      </c>
      <c r="F486" s="357">
        <f t="shared" si="21"/>
        <v>8.6973999999999996E-2</v>
      </c>
      <c r="G486" s="357">
        <f t="shared" si="22"/>
        <v>1.8340818222951389E-3</v>
      </c>
      <c r="H486" s="358">
        <f t="shared" si="23"/>
        <v>1.595174324122974E-4</v>
      </c>
    </row>
    <row r="487" spans="1:8" x14ac:dyDescent="0.4">
      <c r="A487" s="376" t="s">
        <v>3007</v>
      </c>
      <c r="B487" s="376" t="s">
        <v>3008</v>
      </c>
      <c r="C487" s="355">
        <v>39568.74</v>
      </c>
      <c r="D487" s="356">
        <v>5.5099999999999996E-2</v>
      </c>
      <c r="E487" s="357">
        <v>0.105</v>
      </c>
      <c r="F487" s="357">
        <f t="shared" si="21"/>
        <v>0.16299274999999999</v>
      </c>
      <c r="G487" s="357">
        <f t="shared" si="22"/>
        <v>1.0429814375486756E-3</v>
      </c>
      <c r="H487" s="358">
        <f t="shared" si="23"/>
        <v>1.6999841270501188E-4</v>
      </c>
    </row>
    <row r="488" spans="1:8" x14ac:dyDescent="0.4">
      <c r="A488" s="376" t="s">
        <v>3010</v>
      </c>
      <c r="B488" s="376" t="s">
        <v>3011</v>
      </c>
      <c r="C488" s="355">
        <v>425948.3</v>
      </c>
      <c r="D488" s="356">
        <v>1.47E-2</v>
      </c>
      <c r="E488" s="357">
        <v>6.5000000000000002E-2</v>
      </c>
      <c r="F488" s="357">
        <f t="shared" si="21"/>
        <v>8.0177750000000006E-2</v>
      </c>
      <c r="G488" s="357">
        <f t="shared" si="22"/>
        <v>1.1227453041350687E-2</v>
      </c>
      <c r="H488" s="358">
        <f t="shared" si="23"/>
        <v>9.0019192308615509E-4</v>
      </c>
    </row>
    <row r="489" spans="1:8" x14ac:dyDescent="0.4">
      <c r="A489" s="376" t="s">
        <v>3013</v>
      </c>
      <c r="B489" s="376" t="s">
        <v>3014</v>
      </c>
      <c r="C489" s="355">
        <v>15668.21</v>
      </c>
      <c r="D489" s="356">
        <v>7.4000000000000003E-3</v>
      </c>
      <c r="E489" s="357">
        <v>0.15</v>
      </c>
      <c r="F489" s="357">
        <f t="shared" si="21"/>
        <v>0.15795499999999998</v>
      </c>
      <c r="G489" s="357">
        <f t="shared" si="22"/>
        <v>4.1299399954647365E-4</v>
      </c>
      <c r="H489" s="358">
        <f t="shared" si="23"/>
        <v>6.5234467198363241E-5</v>
      </c>
    </row>
    <row r="490" spans="1:8" x14ac:dyDescent="0.4">
      <c r="A490" s="376" t="s">
        <v>3016</v>
      </c>
      <c r="B490" s="376" t="s">
        <v>3017</v>
      </c>
      <c r="C490" s="355">
        <v>7273.24</v>
      </c>
      <c r="D490" s="356">
        <v>3.8699999999999998E-2</v>
      </c>
      <c r="E490" s="357">
        <v>0.08</v>
      </c>
      <c r="F490" s="357">
        <f t="shared" si="21"/>
        <v>0.12024799999999999</v>
      </c>
      <c r="G490" s="357">
        <f t="shared" si="22"/>
        <v>1.9171331487524064E-4</v>
      </c>
      <c r="H490" s="358">
        <f t="shared" si="23"/>
        <v>2.3053142687117934E-5</v>
      </c>
    </row>
    <row r="491" spans="1:8" x14ac:dyDescent="0.4">
      <c r="A491" s="376" t="s">
        <v>3019</v>
      </c>
      <c r="B491" s="376" t="s">
        <v>3020</v>
      </c>
      <c r="C491" s="355">
        <v>27975.63</v>
      </c>
      <c r="D491" s="356">
        <v>2E-3</v>
      </c>
      <c r="E491" s="357">
        <v>6.5000000000000002E-2</v>
      </c>
      <c r="F491" s="357">
        <f t="shared" si="21"/>
        <v>6.7065E-2</v>
      </c>
      <c r="G491" s="357">
        <f t="shared" si="22"/>
        <v>7.3740186808399406E-4</v>
      </c>
      <c r="H491" s="358">
        <f t="shared" si="23"/>
        <v>4.9453856283053058E-5</v>
      </c>
    </row>
    <row r="492" spans="1:8" x14ac:dyDescent="0.4">
      <c r="A492" s="376" t="s">
        <v>3022</v>
      </c>
      <c r="B492" s="376" t="s">
        <v>3023</v>
      </c>
      <c r="C492" s="355">
        <v>24680.86</v>
      </c>
      <c r="D492" s="356">
        <v>1.55E-2</v>
      </c>
      <c r="E492" s="357">
        <v>0.09</v>
      </c>
      <c r="F492" s="357">
        <f t="shared" si="21"/>
        <v>0.1061975</v>
      </c>
      <c r="G492" s="357">
        <f t="shared" si="22"/>
        <v>6.5055593993484776E-4</v>
      </c>
      <c r="H492" s="358">
        <f t="shared" si="23"/>
        <v>6.9087414431230989E-5</v>
      </c>
    </row>
    <row r="493" spans="1:8" x14ac:dyDescent="0.4">
      <c r="A493" s="376" t="s">
        <v>3025</v>
      </c>
      <c r="B493" s="376" t="s">
        <v>3026</v>
      </c>
      <c r="C493" s="355">
        <v>24348.53</v>
      </c>
      <c r="D493" s="356">
        <v>2.29E-2</v>
      </c>
      <c r="E493" s="357">
        <v>-2.5000000000000001E-2</v>
      </c>
      <c r="F493" s="357">
        <f t="shared" si="21"/>
        <v>-2.3862499999999995E-3</v>
      </c>
      <c r="G493" s="357">
        <f t="shared" si="22"/>
        <v>6.417961456846251E-4</v>
      </c>
      <c r="H493" s="358">
        <f t="shared" si="23"/>
        <v>-1.5314860526399362E-6</v>
      </c>
    </row>
    <row r="494" spans="1:8" x14ac:dyDescent="0.4">
      <c r="A494" s="376" t="s">
        <v>3028</v>
      </c>
      <c r="B494" s="376" t="s">
        <v>3029</v>
      </c>
      <c r="C494" s="355">
        <v>11579.96</v>
      </c>
      <c r="D494" s="356">
        <v>9.7999999999999997E-3</v>
      </c>
      <c r="E494" s="357" t="s">
        <v>3064</v>
      </c>
      <c r="F494" s="357" t="str">
        <f t="shared" si="21"/>
        <v>N/A</v>
      </c>
      <c r="G494" s="357" t="str">
        <f t="shared" si="22"/>
        <v>N/A</v>
      </c>
      <c r="H494" s="358" t="str">
        <f t="shared" si="23"/>
        <v>N/A</v>
      </c>
    </row>
    <row r="495" spans="1:8" x14ac:dyDescent="0.4">
      <c r="A495" s="376" t="s">
        <v>3031</v>
      </c>
      <c r="B495" s="376" t="s">
        <v>1503</v>
      </c>
      <c r="C495" s="355">
        <v>35098.660000000003</v>
      </c>
      <c r="D495" s="356">
        <v>3.2599999999999997E-2</v>
      </c>
      <c r="E495" s="357">
        <v>0.06</v>
      </c>
      <c r="F495" s="357">
        <f t="shared" si="21"/>
        <v>9.3577999999999995E-2</v>
      </c>
      <c r="G495" s="357">
        <f t="shared" si="22"/>
        <v>9.2515583925169731E-4</v>
      </c>
      <c r="H495" s="358">
        <f t="shared" si="23"/>
        <v>8.6574233125495323E-5</v>
      </c>
    </row>
    <row r="496" spans="1:8" x14ac:dyDescent="0.4">
      <c r="A496" s="376" t="s">
        <v>3033</v>
      </c>
      <c r="B496" s="376" t="s">
        <v>3034</v>
      </c>
      <c r="C496" s="355">
        <v>432235.5</v>
      </c>
      <c r="D496" s="356">
        <v>3.4099999999999998E-2</v>
      </c>
      <c r="E496" s="357">
        <v>7.0000000000000007E-2</v>
      </c>
      <c r="F496" s="357">
        <f t="shared" si="21"/>
        <v>0.10529350000000001</v>
      </c>
      <c r="G496" s="357">
        <f t="shared" si="22"/>
        <v>1.1393175601486694E-2</v>
      </c>
      <c r="H496" s="358">
        <f t="shared" si="23"/>
        <v>1.1996273351951394E-3</v>
      </c>
    </row>
    <row r="497" spans="1:8" x14ac:dyDescent="0.4">
      <c r="A497" s="376" t="s">
        <v>3036</v>
      </c>
      <c r="B497" s="376" t="s">
        <v>3037</v>
      </c>
      <c r="C497" s="355">
        <v>8264.1299999999992</v>
      </c>
      <c r="D497" s="356">
        <v>1.44E-2</v>
      </c>
      <c r="E497" s="357">
        <v>0.1</v>
      </c>
      <c r="F497" s="357">
        <f t="shared" si="21"/>
        <v>0.11512</v>
      </c>
      <c r="G497" s="357">
        <f t="shared" si="22"/>
        <v>2.1783190941862532E-4</v>
      </c>
      <c r="H497" s="358">
        <f t="shared" si="23"/>
        <v>2.5076809412272147E-5</v>
      </c>
    </row>
    <row r="498" spans="1:8" x14ac:dyDescent="0.4">
      <c r="A498" s="376" t="s">
        <v>3039</v>
      </c>
      <c r="B498" s="376" t="s">
        <v>3040</v>
      </c>
      <c r="C498" s="355">
        <v>19905.73</v>
      </c>
      <c r="D498" s="356">
        <v>1.2E-2</v>
      </c>
      <c r="E498" s="357">
        <v>6.5000000000000002E-2</v>
      </c>
      <c r="F498" s="357">
        <f t="shared" si="21"/>
        <v>7.739E-2</v>
      </c>
      <c r="G498" s="357">
        <f t="shared" si="22"/>
        <v>5.246896133375942E-4</v>
      </c>
      <c r="H498" s="358">
        <f t="shared" si="23"/>
        <v>4.0605729176196415E-5</v>
      </c>
    </row>
    <row r="499" spans="1:8" x14ac:dyDescent="0.4">
      <c r="A499" s="376" t="s">
        <v>3042</v>
      </c>
      <c r="B499" s="376" t="s">
        <v>3043</v>
      </c>
      <c r="C499" s="355">
        <v>38264.800000000003</v>
      </c>
      <c r="D499" s="356">
        <v>1.77E-2</v>
      </c>
      <c r="E499" s="357">
        <v>0.115</v>
      </c>
      <c r="F499" s="357">
        <f t="shared" si="21"/>
        <v>0.13371775</v>
      </c>
      <c r="G499" s="357">
        <f t="shared" si="22"/>
        <v>1.0086112449249729E-3</v>
      </c>
      <c r="H499" s="358">
        <f t="shared" si="23"/>
        <v>1.3486922629606628E-4</v>
      </c>
    </row>
    <row r="500" spans="1:8" x14ac:dyDescent="0.4">
      <c r="A500" s="376" t="s">
        <v>3045</v>
      </c>
      <c r="B500" s="376" t="s">
        <v>3046</v>
      </c>
      <c r="C500" s="355">
        <v>29682.06</v>
      </c>
      <c r="D500" s="356">
        <v>6.7000000000000002E-3</v>
      </c>
      <c r="E500" s="357">
        <v>6.5000000000000002E-2</v>
      </c>
      <c r="F500" s="357">
        <f t="shared" si="21"/>
        <v>7.1917750000000003E-2</v>
      </c>
      <c r="G500" s="357">
        <f t="shared" si="22"/>
        <v>7.823811829288991E-4</v>
      </c>
      <c r="H500" s="358">
        <f t="shared" si="23"/>
        <v>5.6267094318584832E-5</v>
      </c>
    </row>
    <row r="501" spans="1:8" x14ac:dyDescent="0.4">
      <c r="A501" s="376" t="s">
        <v>3048</v>
      </c>
      <c r="B501" s="376" t="s">
        <v>3049</v>
      </c>
      <c r="C501" s="355">
        <v>15059.81</v>
      </c>
      <c r="D501" s="356">
        <v>0</v>
      </c>
      <c r="E501" s="357">
        <v>4.4999999999999998E-2</v>
      </c>
      <c r="F501" s="357">
        <f t="shared" si="21"/>
        <v>4.4999999999999998E-2</v>
      </c>
      <c r="G501" s="357">
        <f t="shared" si="22"/>
        <v>3.9695735277418289E-4</v>
      </c>
      <c r="H501" s="358">
        <f t="shared" si="23"/>
        <v>1.7863080874838231E-5</v>
      </c>
    </row>
    <row r="502" spans="1:8" x14ac:dyDescent="0.4">
      <c r="A502" s="376" t="s">
        <v>3051</v>
      </c>
      <c r="B502" s="376" t="s">
        <v>3052</v>
      </c>
      <c r="C502" s="355">
        <v>4140.88</v>
      </c>
      <c r="D502" s="356">
        <v>6.1900000000000004E-2</v>
      </c>
      <c r="E502" s="357">
        <v>6.5000000000000002E-2</v>
      </c>
      <c r="F502" s="357">
        <f t="shared" si="21"/>
        <v>0.12891174999999999</v>
      </c>
      <c r="G502" s="357">
        <f t="shared" si="22"/>
        <v>1.0914830684819784E-4</v>
      </c>
      <c r="H502" s="358">
        <f t="shared" si="23"/>
        <v>1.4070499245338168E-5</v>
      </c>
    </row>
    <row r="503" spans="1:8" x14ac:dyDescent="0.4">
      <c r="A503" s="376" t="s">
        <v>3054</v>
      </c>
      <c r="B503" s="376" t="s">
        <v>3055</v>
      </c>
      <c r="C503" s="355">
        <v>78323.53</v>
      </c>
      <c r="D503" s="356">
        <v>8.8999999999999999E-3</v>
      </c>
      <c r="E503" s="357">
        <v>0.09</v>
      </c>
      <c r="F503" s="357">
        <f t="shared" si="21"/>
        <v>9.93005E-2</v>
      </c>
      <c r="G503" s="357">
        <f t="shared" si="22"/>
        <v>2.0645081929140737E-3</v>
      </c>
      <c r="H503" s="358">
        <f t="shared" si="23"/>
        <v>2.0500669581046397E-4</v>
      </c>
    </row>
    <row r="504" spans="1:8" x14ac:dyDescent="0.4">
      <c r="C504" s="359">
        <f>SUMIF(F4:F503,"&lt;&gt;n/a",C4:C503)</f>
        <v>37938105.680000022</v>
      </c>
      <c r="E504" s="360"/>
      <c r="H504" s="361">
        <f>SUM(H4:H503)</f>
        <v>0.1413811086577228</v>
      </c>
    </row>
    <row r="505" spans="1:8" x14ac:dyDescent="0.4">
      <c r="A505" s="362"/>
      <c r="B505" s="362"/>
    </row>
    <row r="506" spans="1:8" x14ac:dyDescent="0.4">
      <c r="A506" s="362"/>
      <c r="B506" s="362"/>
    </row>
    <row r="507" spans="1:8" x14ac:dyDescent="0.4">
      <c r="A507" s="362"/>
      <c r="B507" s="362"/>
    </row>
  </sheetData>
  <conditionalFormatting sqref="A4:A499">
    <cfRule type="duplicateValues" dxfId="0" priority="1"/>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9FAF3-6B81-4CF6-9F73-A4573DCA215B}">
  <dimension ref="A1:O64"/>
  <sheetViews>
    <sheetView zoomScale="70" zoomScaleNormal="70" workbookViewId="0">
      <selection sqref="A1:H1"/>
    </sheetView>
  </sheetViews>
  <sheetFormatPr defaultColWidth="9.15234375" defaultRowHeight="15.9" x14ac:dyDescent="0.45"/>
  <cols>
    <col min="1" max="1" width="18.3828125" style="468" customWidth="1"/>
    <col min="2" max="2" width="33.3828125" style="468" customWidth="1"/>
    <col min="3" max="3" width="12.3828125" style="468" customWidth="1"/>
    <col min="4" max="4" width="21.3828125" style="468" customWidth="1"/>
    <col min="5" max="5" width="20.3828125" style="468" customWidth="1"/>
    <col min="6" max="6" width="33" style="468" bestFit="1" customWidth="1"/>
    <col min="7" max="7" width="14" style="468" customWidth="1"/>
    <col min="8" max="8" width="9.84375" style="468" customWidth="1"/>
    <col min="9" max="9" width="19.53515625" style="468" customWidth="1"/>
    <col min="10" max="10" width="18.3828125" style="468" customWidth="1"/>
    <col min="11" max="11" width="10" style="468" customWidth="1"/>
    <col min="12" max="12" width="16.3828125" style="468" customWidth="1"/>
    <col min="13" max="13" width="11.69140625" style="468" customWidth="1"/>
    <col min="14" max="14" width="17.53515625" style="468" customWidth="1"/>
    <col min="15" max="15" width="12.3828125" style="468" customWidth="1"/>
    <col min="16" max="16384" width="9.15234375" style="468"/>
  </cols>
  <sheetData>
    <row r="1" spans="1:15" s="464" customFormat="1" ht="14.6" x14ac:dyDescent="0.4">
      <c r="A1" s="350" t="s">
        <v>1576</v>
      </c>
      <c r="B1" s="351">
        <f>'MRP WP2'!B1</f>
        <v>45121</v>
      </c>
      <c r="C1" s="348"/>
      <c r="D1" s="348"/>
      <c r="E1" s="348"/>
      <c r="F1" s="348"/>
      <c r="G1" s="348"/>
      <c r="H1" s="348"/>
    </row>
    <row r="2" spans="1:15" s="464" customFormat="1" ht="14.6" x14ac:dyDescent="0.4">
      <c r="A2" s="348"/>
      <c r="B2" s="348" t="s">
        <v>1577</v>
      </c>
      <c r="C2" s="348" t="s">
        <v>1578</v>
      </c>
      <c r="D2" s="348" t="s">
        <v>1579</v>
      </c>
      <c r="E2" s="348" t="s">
        <v>1580</v>
      </c>
      <c r="F2" s="348" t="s">
        <v>1581</v>
      </c>
      <c r="G2" s="348" t="s">
        <v>1582</v>
      </c>
      <c r="H2" s="348" t="s">
        <v>1533</v>
      </c>
      <c r="J2" s="363" t="s">
        <v>3065</v>
      </c>
      <c r="K2" s="364" t="s">
        <v>3066</v>
      </c>
      <c r="L2" s="364" t="s">
        <v>3067</v>
      </c>
      <c r="M2" s="465" t="s">
        <v>3068</v>
      </c>
      <c r="N2" s="465" t="s">
        <v>1587</v>
      </c>
      <c r="O2" s="365" t="s">
        <v>3069</v>
      </c>
    </row>
    <row r="3" spans="1:15" s="464" customFormat="1" ht="14.6" x14ac:dyDescent="0.4">
      <c r="A3" s="348" t="s">
        <v>1631</v>
      </c>
      <c r="B3" s="348" t="s">
        <v>1632</v>
      </c>
      <c r="C3" s="348" t="str">
        <f>Input!E29</f>
        <v>AEE</v>
      </c>
      <c r="D3" s="348">
        <f>VLOOKUP($C3,'MRP WP2'!$C$3:$H$502,2,FALSE)</f>
        <v>22433776113.209999</v>
      </c>
      <c r="E3" s="348">
        <f>VLOOKUP($C3,'MRP WP2'!$C$3:$H$502,3,FALSE)</f>
        <v>2.950742950742951</v>
      </c>
      <c r="F3" s="348">
        <f>VLOOKUP($C3,'MRP WP2'!$C$3:$H$502,4,FALSE)</f>
        <v>6.9249999999999998</v>
      </c>
      <c r="G3" s="348">
        <f>VLOOKUP($C3,'MRP WP2'!$C$3:$H$502,5,FALSE)</f>
        <v>262.47539999999998</v>
      </c>
      <c r="H3" s="348">
        <f>VLOOKUP($C3,'MRP WP2'!$C$3:$H$502,6,FALSE)</f>
        <v>85.47</v>
      </c>
      <c r="J3" s="363">
        <f>D3/1000000</f>
        <v>22433.776113209999</v>
      </c>
      <c r="K3" s="364">
        <f>IFERROR(E3/100,"N/A")</f>
        <v>2.950742950742951E-2</v>
      </c>
      <c r="L3" s="364">
        <f>IFERROR(F3/100,"N/A")</f>
        <v>6.9249999999999992E-2</v>
      </c>
      <c r="M3" s="465">
        <f>IFERROR(K3*(1+0.5*L3)+L3,"N/A")</f>
        <v>9.9779124254124246E-2</v>
      </c>
      <c r="N3" s="366">
        <f t="shared" ref="N3:N32" si="0">IF(L3="N/A","N/A",J3/$J$33)</f>
        <v>2.317080519276999E-2</v>
      </c>
      <c r="O3" s="365">
        <f>IF(AND(ISNUMBER(J3),ISNUMBER(M3)),M3*N3,"N/A")</f>
        <v>2.311962650397504E-3</v>
      </c>
    </row>
    <row r="4" spans="1:15" s="464" customFormat="1" ht="14.6" x14ac:dyDescent="0.4">
      <c r="A4" s="348" t="s">
        <v>3070</v>
      </c>
      <c r="B4" s="348" t="s">
        <v>1634</v>
      </c>
      <c r="C4" s="348" t="str">
        <f>Input!E30</f>
        <v>AEP</v>
      </c>
      <c r="D4" s="348">
        <f>VLOOKUP($C4,'MRP WP2'!$C$3:$H$502,2,FALSE)</f>
        <v>44900063170.20002</v>
      </c>
      <c r="E4" s="348">
        <f>VLOOKUP($C4,'MRP WP2'!$C$3:$H$502,3,FALSE)</f>
        <v>3.8190781930749833</v>
      </c>
      <c r="F4" s="348">
        <f>VLOOKUP($C4,'MRP WP2'!$C$3:$H$502,4,FALSE)</f>
        <v>5.61</v>
      </c>
      <c r="G4" s="348">
        <f>VLOOKUP($C4,'MRP WP2'!$C$3:$H$502,5,FALSE)</f>
        <v>514.79089999999997</v>
      </c>
      <c r="H4" s="348">
        <f>VLOOKUP($C4,'MRP WP2'!$C$3:$H$502,6,FALSE)</f>
        <v>87.22</v>
      </c>
      <c r="J4" s="363">
        <f t="shared" ref="J4:J32" si="1">D4/1000000</f>
        <v>44900.063170200017</v>
      </c>
      <c r="K4" s="364">
        <f t="shared" ref="K4:L32" si="2">IFERROR(E4/100,"N/A")</f>
        <v>3.8190781930749831E-2</v>
      </c>
      <c r="L4" s="364">
        <f t="shared" si="2"/>
        <v>5.6100000000000004E-2</v>
      </c>
      <c r="M4" s="465">
        <f t="shared" ref="M4:M32" si="3">IFERROR(K4*(1+0.5*L4)+L4,"N/A")</f>
        <v>9.5362033363907361E-2</v>
      </c>
      <c r="N4" s="366">
        <f t="shared" si="0"/>
        <v>4.6375189429083891E-2</v>
      </c>
      <c r="O4" s="365">
        <f t="shared" ref="O4:O32" si="4">IF(AND(ISNUMBER(J4),ISNUMBER(M4)),M4*N4,"N/A")</f>
        <v>4.4224323615938222E-3</v>
      </c>
    </row>
    <row r="5" spans="1:15" s="464" customFormat="1" ht="14.6" x14ac:dyDescent="0.4">
      <c r="A5" s="348" t="s">
        <v>1635</v>
      </c>
      <c r="B5" s="348" t="s">
        <v>3071</v>
      </c>
      <c r="C5" s="348" t="str">
        <f>Input!E31</f>
        <v>AES</v>
      </c>
      <c r="D5" s="348">
        <f>VLOOKUP($C5,'MRP WP2'!$C$3:$H$502,2,FALSE)</f>
        <v>14457651465.6</v>
      </c>
      <c r="E5" s="348">
        <f>VLOOKUP($C5,'MRP WP2'!$C$3:$H$502,3,FALSE)</f>
        <v>3.0694444444444442</v>
      </c>
      <c r="F5" s="348">
        <f>VLOOKUP($C5,'MRP WP2'!$C$3:$H$502,4,FALSE)</f>
        <v>9.120000000000001</v>
      </c>
      <c r="G5" s="348">
        <f>VLOOKUP($C5,'MRP WP2'!$C$3:$H$502,5,FALSE)</f>
        <v>669.33569999999997</v>
      </c>
      <c r="H5" s="348">
        <f>VLOOKUP($C5,'MRP WP2'!$C$3:$H$502,6,FALSE)</f>
        <v>21.6</v>
      </c>
      <c r="J5" s="363">
        <f t="shared" si="1"/>
        <v>14457.6514656</v>
      </c>
      <c r="K5" s="364">
        <f t="shared" si="2"/>
        <v>3.0694444444444441E-2</v>
      </c>
      <c r="L5" s="364">
        <f t="shared" si="2"/>
        <v>9.1200000000000003E-2</v>
      </c>
      <c r="M5" s="465">
        <f t="shared" si="3"/>
        <v>0.1232941111111111</v>
      </c>
      <c r="N5" s="366">
        <f t="shared" si="0"/>
        <v>1.4932636572811431E-2</v>
      </c>
      <c r="O5" s="365">
        <f t="shared" si="4"/>
        <v>1.841106152790054E-3</v>
      </c>
    </row>
    <row r="6" spans="1:15" s="464" customFormat="1" ht="14.6" x14ac:dyDescent="0.4">
      <c r="A6" s="348" t="s">
        <v>1718</v>
      </c>
      <c r="B6" s="348" t="s">
        <v>1719</v>
      </c>
      <c r="C6" s="348" t="str">
        <f>Input!E32</f>
        <v>ATO</v>
      </c>
      <c r="D6" s="348">
        <f>VLOOKUP($C6,'MRP WP2'!$C$3:$H$502,2,FALSE)</f>
        <v>17257563828.639999</v>
      </c>
      <c r="E6" s="348">
        <f>VLOOKUP($C6,'MRP WP2'!$C$3:$H$502,3,FALSE)</f>
        <v>2.4380442062960483</v>
      </c>
      <c r="F6" s="348" t="str">
        <f>VLOOKUP($C6,'MRP WP2'!$C$3:$H$502,4,FALSE)</f>
        <v>#N/A N/A</v>
      </c>
      <c r="G6" s="348">
        <f>VLOOKUP($C6,'MRP WP2'!$C$3:$H$502,5,FALSE)</f>
        <v>144.4873</v>
      </c>
      <c r="H6" s="348">
        <f>VLOOKUP($C6,'MRP WP2'!$C$3:$H$502,6,FALSE)</f>
        <v>119.44</v>
      </c>
      <c r="J6" s="363">
        <f t="shared" si="1"/>
        <v>17257.563828639999</v>
      </c>
      <c r="K6" s="364">
        <f t="shared" si="2"/>
        <v>2.4380442062960483E-2</v>
      </c>
      <c r="L6" s="364" t="str">
        <f t="shared" si="2"/>
        <v>N/A</v>
      </c>
      <c r="M6" s="465" t="str">
        <f t="shared" si="3"/>
        <v>N/A</v>
      </c>
      <c r="N6" s="366" t="str">
        <f t="shared" si="0"/>
        <v>N/A</v>
      </c>
      <c r="O6" s="365" t="str">
        <f t="shared" si="4"/>
        <v>N/A</v>
      </c>
    </row>
    <row r="7" spans="1:15" s="464" customFormat="1" ht="14.6" x14ac:dyDescent="0.4">
      <c r="A7" s="348" t="s">
        <v>1732</v>
      </c>
      <c r="B7" s="348" t="s">
        <v>1733</v>
      </c>
      <c r="C7" s="348" t="str">
        <f>Input!E33</f>
        <v>AWK</v>
      </c>
      <c r="D7" s="348">
        <f>VLOOKUP($C7,'MRP WP2'!$C$3:$H$502,2,FALSE)</f>
        <v>28458842364.310001</v>
      </c>
      <c r="E7" s="348">
        <f>VLOOKUP($C7,'MRP WP2'!$C$3:$H$502,3,FALSE)</f>
        <v>1.9020586827166406</v>
      </c>
      <c r="F7" s="348">
        <f>VLOOKUP($C7,'MRP WP2'!$C$3:$H$502,4,FALSE)</f>
        <v>7.62</v>
      </c>
      <c r="G7" s="348">
        <f>VLOOKUP($C7,'MRP WP2'!$C$3:$H$502,5,FALSE)</f>
        <v>194.64359999999999</v>
      </c>
      <c r="H7" s="348">
        <f>VLOOKUP($C7,'MRP WP2'!$C$3:$H$502,6,FALSE)</f>
        <v>146.21</v>
      </c>
      <c r="J7" s="363">
        <f t="shared" si="1"/>
        <v>28458.842364310003</v>
      </c>
      <c r="K7" s="364">
        <f t="shared" si="2"/>
        <v>1.9020586827166407E-2</v>
      </c>
      <c r="L7" s="364">
        <f t="shared" si="2"/>
        <v>7.6200000000000004E-2</v>
      </c>
      <c r="M7" s="465">
        <f t="shared" si="3"/>
        <v>9.5945271185281455E-2</v>
      </c>
      <c r="N7" s="366">
        <f t="shared" si="0"/>
        <v>2.939381623082547E-2</v>
      </c>
      <c r="O7" s="365">
        <f t="shared" si="4"/>
        <v>2.8201976694368774E-3</v>
      </c>
    </row>
    <row r="8" spans="1:15" s="464" customFormat="1" ht="14.6" x14ac:dyDescent="0.4">
      <c r="A8" s="348" t="s">
        <v>1854</v>
      </c>
      <c r="B8" s="348" t="s">
        <v>1855</v>
      </c>
      <c r="C8" s="348" t="str">
        <f>Input!E34</f>
        <v>CEG</v>
      </c>
      <c r="D8" s="348">
        <f>VLOOKUP($C8,'MRP WP2'!$C$3:$H$502,2,FALSE)</f>
        <v>31033074015</v>
      </c>
      <c r="E8" s="348">
        <f>VLOOKUP($C8,'MRP WP2'!$C$3:$H$502,3,FALSE)</f>
        <v>1.2105263157894739</v>
      </c>
      <c r="F8" s="348">
        <f>VLOOKUP($C8,'MRP WP2'!$C$3:$H$502,4,FALSE)</f>
        <v>-152.22499999999999</v>
      </c>
      <c r="G8" s="348">
        <f>VLOOKUP($C8,'MRP WP2'!$C$3:$H$502,5,FALSE)</f>
        <v>326.66390000000001</v>
      </c>
      <c r="H8" s="348">
        <f>VLOOKUP($C8,'MRP WP2'!$C$3:$H$502,6,FALSE)</f>
        <v>95</v>
      </c>
      <c r="J8" s="363">
        <f t="shared" si="1"/>
        <v>31033.074014999998</v>
      </c>
      <c r="K8" s="364">
        <f t="shared" si="2"/>
        <v>1.2105263157894739E-2</v>
      </c>
      <c r="L8" s="364">
        <f t="shared" si="2"/>
        <v>-1.5222499999999999</v>
      </c>
      <c r="M8" s="465">
        <f t="shared" si="3"/>
        <v>-1.5193583552631578</v>
      </c>
      <c r="N8" s="366">
        <f t="shared" si="0"/>
        <v>3.2052620517638235E-2</v>
      </c>
      <c r="O8" s="365">
        <f t="shared" si="4"/>
        <v>-4.8699416791552971E-2</v>
      </c>
    </row>
    <row r="9" spans="1:15" s="464" customFormat="1" ht="14.6" x14ac:dyDescent="0.4">
      <c r="A9" s="348" t="s">
        <v>1898</v>
      </c>
      <c r="B9" s="348" t="s">
        <v>1899</v>
      </c>
      <c r="C9" s="348" t="str">
        <f>Input!E35</f>
        <v>CMS</v>
      </c>
      <c r="D9" s="348">
        <f>VLOOKUP($C9,'MRP WP2'!$C$3:$H$502,2,FALSE)</f>
        <v>17776440818.749996</v>
      </c>
      <c r="E9" s="348">
        <f>VLOOKUP($C9,'MRP WP2'!$C$3:$H$502,3,FALSE)</f>
        <v>3.2124692370795729</v>
      </c>
      <c r="F9" s="348">
        <f>VLOOKUP($C9,'MRP WP2'!$C$3:$H$502,4,FALSE)</f>
        <v>7.9</v>
      </c>
      <c r="G9" s="348">
        <f>VLOOKUP($C9,'MRP WP2'!$C$3:$H$502,5,FALSE)</f>
        <v>291.65609999999998</v>
      </c>
      <c r="H9" s="348">
        <f>VLOOKUP($C9,'MRP WP2'!$C$3:$H$502,6,FALSE)</f>
        <v>60.95</v>
      </c>
      <c r="J9" s="363">
        <f t="shared" si="1"/>
        <v>17776.440818749998</v>
      </c>
      <c r="K9" s="364">
        <f t="shared" si="2"/>
        <v>3.2124692370795731E-2</v>
      </c>
      <c r="L9" s="364">
        <f t="shared" si="2"/>
        <v>7.9000000000000001E-2</v>
      </c>
      <c r="M9" s="465">
        <f t="shared" si="3"/>
        <v>0.11239361771944217</v>
      </c>
      <c r="N9" s="366">
        <f t="shared" si="0"/>
        <v>1.8360459922282954E-2</v>
      </c>
      <c r="O9" s="365">
        <f t="shared" si="4"/>
        <v>2.0635985136582091E-3</v>
      </c>
    </row>
    <row r="10" spans="1:15" s="464" customFormat="1" ht="14.6" x14ac:dyDescent="0.4">
      <c r="A10" s="348" t="s">
        <v>1903</v>
      </c>
      <c r="B10" s="348" t="s">
        <v>1904</v>
      </c>
      <c r="C10" s="348" t="str">
        <f>Input!E36</f>
        <v>CNP</v>
      </c>
      <c r="D10" s="348">
        <f>VLOOKUP($C10,'MRP WP2'!$C$3:$H$502,2,FALSE)</f>
        <v>18958504068.720001</v>
      </c>
      <c r="E10" s="348">
        <f>VLOOKUP($C10,'MRP WP2'!$C$3:$H$502,3,FALSE)</f>
        <v>2.4900398406374502</v>
      </c>
      <c r="F10" s="348">
        <f>VLOOKUP($C10,'MRP WP2'!$C$3:$H$502,4,FALSE)</f>
        <v>7.915</v>
      </c>
      <c r="G10" s="348">
        <f>VLOOKUP($C10,'MRP WP2'!$C$3:$H$502,5,FALSE)</f>
        <v>629.43239999999992</v>
      </c>
      <c r="H10" s="348">
        <f>VLOOKUP($C10,'MRP WP2'!$C$3:$H$502,6,FALSE)</f>
        <v>30.12</v>
      </c>
      <c r="J10" s="363">
        <f t="shared" si="1"/>
        <v>18958.504068720002</v>
      </c>
      <c r="K10" s="364">
        <f t="shared" si="2"/>
        <v>2.4900398406374501E-2</v>
      </c>
      <c r="L10" s="364">
        <f t="shared" si="2"/>
        <v>7.9149999999999998E-2</v>
      </c>
      <c r="M10" s="465">
        <f t="shared" si="3"/>
        <v>0.10503583167330677</v>
      </c>
      <c r="N10" s="366">
        <f t="shared" si="0"/>
        <v>1.9581358140771436E-2</v>
      </c>
      <c r="O10" s="365">
        <f t="shared" si="4"/>
        <v>2.0567442376088038E-3</v>
      </c>
    </row>
    <row r="11" spans="1:15" s="464" customFormat="1" ht="14.6" x14ac:dyDescent="0.4">
      <c r="A11" s="348" t="s">
        <v>1965</v>
      </c>
      <c r="B11" s="348" t="s">
        <v>1966</v>
      </c>
      <c r="C11" s="348" t="str">
        <f>Input!E37</f>
        <v>D</v>
      </c>
      <c r="D11" s="348">
        <f>VLOOKUP($C11,'MRP WP2'!$C$3:$H$502,2,FALSE)</f>
        <v>44003956348.800003</v>
      </c>
      <c r="E11" s="348">
        <f>VLOOKUP($C11,'MRP WP2'!$C$3:$H$502,3,FALSE)</f>
        <v>5.0873860182370825</v>
      </c>
      <c r="F11" s="348">
        <f>VLOOKUP($C11,'MRP WP2'!$C$3:$H$502,4,FALSE)</f>
        <v>2.2130000000000001</v>
      </c>
      <c r="G11" s="348">
        <f>VLOOKUP($C11,'MRP WP2'!$C$3:$H$502,5,FALSE)</f>
        <v>835.94139999999993</v>
      </c>
      <c r="H11" s="348">
        <f>VLOOKUP($C11,'MRP WP2'!$C$3:$H$502,6,FALSE)</f>
        <v>52.64</v>
      </c>
      <c r="J11" s="363">
        <f t="shared" si="1"/>
        <v>44003.956348800006</v>
      </c>
      <c r="K11" s="364">
        <f t="shared" si="2"/>
        <v>5.0873860182370827E-2</v>
      </c>
      <c r="L11" s="364">
        <f t="shared" si="2"/>
        <v>2.213E-2</v>
      </c>
      <c r="M11" s="465">
        <f t="shared" si="3"/>
        <v>7.3566779445288763E-2</v>
      </c>
      <c r="N11" s="366">
        <f t="shared" si="0"/>
        <v>4.5449642321642385E-2</v>
      </c>
      <c r="O11" s="365">
        <f t="shared" si="4"/>
        <v>3.3435838125435271E-3</v>
      </c>
    </row>
    <row r="12" spans="1:15" s="464" customFormat="1" ht="14.6" x14ac:dyDescent="0.4">
      <c r="A12" s="348" t="s">
        <v>2011</v>
      </c>
      <c r="B12" s="348" t="s">
        <v>2012</v>
      </c>
      <c r="C12" s="348" t="str">
        <f>Input!E38</f>
        <v>DTE</v>
      </c>
      <c r="D12" s="348">
        <f>VLOOKUP($C12,'MRP WP2'!$C$3:$H$502,2,FALSE)</f>
        <v>23280031203.299999</v>
      </c>
      <c r="E12" s="348">
        <f>VLOOKUP($C12,'MRP WP2'!$C$3:$H$502,3,FALSE)</f>
        <v>3.3820274457724655</v>
      </c>
      <c r="F12" s="348">
        <f>VLOOKUP($C12,'MRP WP2'!$C$3:$H$502,4,FALSE)</f>
        <v>6.5</v>
      </c>
      <c r="G12" s="348">
        <f>VLOOKUP($C12,'MRP WP2'!$C$3:$H$502,5,FALSE)</f>
        <v>206.10919999999999</v>
      </c>
      <c r="H12" s="348">
        <f>VLOOKUP($C12,'MRP WP2'!$C$3:$H$502,6,FALSE)</f>
        <v>112.95</v>
      </c>
      <c r="J12" s="363">
        <f t="shared" si="1"/>
        <v>23280.031203300001</v>
      </c>
      <c r="K12" s="364">
        <f t="shared" si="2"/>
        <v>3.3820274457724654E-2</v>
      </c>
      <c r="L12" s="364">
        <f t="shared" si="2"/>
        <v>6.5000000000000002E-2</v>
      </c>
      <c r="M12" s="465">
        <f t="shared" si="3"/>
        <v>9.9919433377600703E-2</v>
      </c>
      <c r="N12" s="366">
        <f t="shared" si="0"/>
        <v>2.4044862762789117E-2</v>
      </c>
      <c r="O12" s="365">
        <f t="shared" si="4"/>
        <v>2.4025490629000592E-3</v>
      </c>
    </row>
    <row r="13" spans="1:15" s="464" customFormat="1" ht="14.6" x14ac:dyDescent="0.4">
      <c r="A13" s="348" t="s">
        <v>2013</v>
      </c>
      <c r="B13" s="348" t="s">
        <v>2014</v>
      </c>
      <c r="C13" s="348" t="str">
        <f>Input!E39</f>
        <v>DUK</v>
      </c>
      <c r="D13" s="348">
        <f>VLOOKUP($C13,'MRP WP2'!$C$3:$H$502,2,FALSE)</f>
        <v>71710710000</v>
      </c>
      <c r="E13" s="348">
        <f>VLOOKUP($C13,'MRP WP2'!$C$3:$H$502,3,FALSE)</f>
        <v>4.3930760133318998</v>
      </c>
      <c r="F13" s="348">
        <f>VLOOKUP($C13,'MRP WP2'!$C$3:$H$502,4,FALSE)</f>
        <v>6.12</v>
      </c>
      <c r="G13" s="348">
        <f>VLOOKUP($C13,'MRP WP2'!$C$3:$H$502,5,FALSE)</f>
        <v>771</v>
      </c>
      <c r="H13" s="348">
        <f>VLOOKUP($C13,'MRP WP2'!$C$3:$H$502,6,FALSE)</f>
        <v>93.01</v>
      </c>
      <c r="J13" s="363">
        <f t="shared" si="1"/>
        <v>71710.710000000006</v>
      </c>
      <c r="K13" s="364">
        <f t="shared" si="2"/>
        <v>4.3930760133319001E-2</v>
      </c>
      <c r="L13" s="364">
        <f t="shared" si="2"/>
        <v>6.1200000000000004E-2</v>
      </c>
      <c r="M13" s="465">
        <f t="shared" si="3"/>
        <v>0.10647504139339856</v>
      </c>
      <c r="N13" s="366">
        <f t="shared" si="0"/>
        <v>7.4066661058759628E-2</v>
      </c>
      <c r="O13" s="365">
        <f t="shared" si="4"/>
        <v>7.8862508021022518E-3</v>
      </c>
    </row>
    <row r="14" spans="1:15" s="464" customFormat="1" ht="14.6" x14ac:dyDescent="0.4">
      <c r="A14" s="348" t="s">
        <v>2036</v>
      </c>
      <c r="B14" s="348" t="s">
        <v>2037</v>
      </c>
      <c r="C14" s="348" t="str">
        <f>Input!E40</f>
        <v>ED</v>
      </c>
      <c r="D14" s="348">
        <f>VLOOKUP($C14,'MRP WP2'!$C$3:$H$502,2,FALSE)</f>
        <v>32255961816.000004</v>
      </c>
      <c r="E14" s="348">
        <f>VLOOKUP($C14,'MRP WP2'!$C$3:$H$502,3,FALSE)</f>
        <v>3.4808766652342071</v>
      </c>
      <c r="F14" s="348">
        <f>VLOOKUP($C14,'MRP WP2'!$C$3:$H$502,4,FALSE)</f>
        <v>4</v>
      </c>
      <c r="G14" s="348">
        <f>VLOOKUP($C14,'MRP WP2'!$C$3:$H$502,5,FALSE)</f>
        <v>346.54019999999997</v>
      </c>
      <c r="H14" s="348">
        <f>VLOOKUP($C14,'MRP WP2'!$C$3:$H$502,6,FALSE)</f>
        <v>93.08</v>
      </c>
      <c r="J14" s="363">
        <f t="shared" si="1"/>
        <v>32255.961816000003</v>
      </c>
      <c r="K14" s="364">
        <f t="shared" si="2"/>
        <v>3.4808766652342074E-2</v>
      </c>
      <c r="L14" s="364">
        <f t="shared" si="2"/>
        <v>0.04</v>
      </c>
      <c r="M14" s="465">
        <f t="shared" si="3"/>
        <v>7.5504941985388915E-2</v>
      </c>
      <c r="N14" s="366">
        <f t="shared" si="0"/>
        <v>3.3315684518392924E-2</v>
      </c>
      <c r="O14" s="365">
        <f t="shared" si="4"/>
        <v>2.5154988267647774E-3</v>
      </c>
    </row>
    <row r="15" spans="1:15" s="464" customFormat="1" ht="14.6" x14ac:dyDescent="0.4">
      <c r="A15" s="348" t="s">
        <v>2044</v>
      </c>
      <c r="B15" s="348" t="s">
        <v>2045</v>
      </c>
      <c r="C15" s="348" t="str">
        <f>Input!E41</f>
        <v>EIX</v>
      </c>
      <c r="D15" s="348">
        <f>VLOOKUP($C15,'MRP WP2'!$C$3:$H$502,2,FALSE)</f>
        <v>26988813630.810001</v>
      </c>
      <c r="E15" s="348">
        <f>VLOOKUP($C15,'MRP WP2'!$C$3:$H$502,3,FALSE)</f>
        <v>4.1549595572584082</v>
      </c>
      <c r="F15" s="348">
        <f>VLOOKUP($C15,'MRP WP2'!$C$3:$H$502,4,FALSE)</f>
        <v>4.915</v>
      </c>
      <c r="G15" s="348">
        <f>VLOOKUP($C15,'MRP WP2'!$C$3:$H$502,5,FALSE)</f>
        <v>382.983</v>
      </c>
      <c r="H15" s="348">
        <f>VLOOKUP($C15,'MRP WP2'!$C$3:$H$502,6,FALSE)</f>
        <v>70.47</v>
      </c>
      <c r="J15" s="363">
        <f t="shared" si="1"/>
        <v>26988.81363081</v>
      </c>
      <c r="K15" s="364">
        <f t="shared" si="2"/>
        <v>4.1549595572584079E-2</v>
      </c>
      <c r="L15" s="364">
        <f t="shared" si="2"/>
        <v>4.9149999999999999E-2</v>
      </c>
      <c r="M15" s="465">
        <f t="shared" si="3"/>
        <v>9.1720676883780328E-2</v>
      </c>
      <c r="N15" s="366">
        <f t="shared" si="0"/>
        <v>2.7875491841751893E-2</v>
      </c>
      <c r="O15" s="365">
        <f t="shared" si="4"/>
        <v>2.55675898019378E-3</v>
      </c>
    </row>
    <row r="16" spans="1:15" s="464" customFormat="1" ht="14.6" x14ac:dyDescent="0.4">
      <c r="A16" s="348" t="s">
        <v>2076</v>
      </c>
      <c r="B16" s="348" t="s">
        <v>789</v>
      </c>
      <c r="C16" s="348" t="str">
        <f>Input!E42</f>
        <v>ES</v>
      </c>
      <c r="D16" s="348">
        <f>VLOOKUP($C16,'MRP WP2'!$C$3:$H$502,2,FALSE)</f>
        <v>25402662788.799999</v>
      </c>
      <c r="E16" s="348">
        <f>VLOOKUP($C16,'MRP WP2'!$C$3:$H$502,3,FALSE)</f>
        <v>3.7297445756660266</v>
      </c>
      <c r="F16" s="348">
        <f>VLOOKUP($C16,'MRP WP2'!$C$3:$H$502,4,FALSE)</f>
        <v>6.96</v>
      </c>
      <c r="G16" s="348">
        <f>VLOOKUP($C16,'MRP WP2'!$C$3:$H$502,5,FALSE)</f>
        <v>348.84179999999998</v>
      </c>
      <c r="H16" s="348">
        <f>VLOOKUP($C16,'MRP WP2'!$C$3:$H$502,6,FALSE)</f>
        <v>72.819999999999993</v>
      </c>
      <c r="J16" s="363">
        <f t="shared" si="1"/>
        <v>25402.6627888</v>
      </c>
      <c r="K16" s="364">
        <f t="shared" si="2"/>
        <v>3.7297445756660268E-2</v>
      </c>
      <c r="L16" s="364">
        <f t="shared" si="2"/>
        <v>6.9599999999999995E-2</v>
      </c>
      <c r="M16" s="465">
        <f t="shared" si="3"/>
        <v>0.10819539686899204</v>
      </c>
      <c r="N16" s="366">
        <f t="shared" si="0"/>
        <v>2.6237230321217223E-2</v>
      </c>
      <c r="O16" s="365">
        <f t="shared" si="4"/>
        <v>2.8387475473472491E-3</v>
      </c>
    </row>
    <row r="17" spans="1:15" s="464" customFormat="1" ht="14.6" x14ac:dyDescent="0.4">
      <c r="A17" s="348" t="s">
        <v>2083</v>
      </c>
      <c r="B17" s="348" t="s">
        <v>2084</v>
      </c>
      <c r="C17" s="348" t="str">
        <f>Input!E43</f>
        <v>ETR</v>
      </c>
      <c r="D17" s="348">
        <f>VLOOKUP($C17,'MRP WP2'!$C$3:$H$502,2,FALSE)</f>
        <v>21119291501.879997</v>
      </c>
      <c r="E17" s="348">
        <f>VLOOKUP($C17,'MRP WP2'!$C$3:$H$502,3,FALSE)</f>
        <v>4.3181818181818183</v>
      </c>
      <c r="F17" s="348">
        <f>VLOOKUP($C17,'MRP WP2'!$C$3:$H$502,4,FALSE)</f>
        <v>6.3449999999999998</v>
      </c>
      <c r="G17" s="348">
        <f>VLOOKUP($C17,'MRP WP2'!$C$3:$H$502,5,FALSE)</f>
        <v>211.44669999999999</v>
      </c>
      <c r="H17" s="348">
        <f>VLOOKUP($C17,'MRP WP2'!$C$3:$H$502,6,FALSE)</f>
        <v>99.88</v>
      </c>
      <c r="J17" s="363">
        <f t="shared" si="1"/>
        <v>21119.291501879998</v>
      </c>
      <c r="K17" s="364">
        <f t="shared" si="2"/>
        <v>4.3181818181818182E-2</v>
      </c>
      <c r="L17" s="364">
        <f t="shared" si="2"/>
        <v>6.3449999999999993E-2</v>
      </c>
      <c r="M17" s="465">
        <f t="shared" si="3"/>
        <v>0.10800176136363636</v>
      </c>
      <c r="N17" s="366">
        <f t="shared" si="0"/>
        <v>2.1813135101728713E-2</v>
      </c>
      <c r="O17" s="365">
        <f t="shared" si="4"/>
        <v>2.3558570118496643E-3</v>
      </c>
    </row>
    <row r="18" spans="1:15" s="464" customFormat="1" ht="14.6" x14ac:dyDescent="0.4">
      <c r="A18" s="348" t="s">
        <v>3072</v>
      </c>
      <c r="B18" s="348" t="s">
        <v>2089</v>
      </c>
      <c r="C18" s="348" t="str">
        <f>Input!E44</f>
        <v>EVRG</v>
      </c>
      <c r="D18" s="348">
        <f>VLOOKUP($C18,'MRP WP2'!$C$3:$H$502,2,FALSE)</f>
        <v>13811721341.439999</v>
      </c>
      <c r="E18" s="348">
        <f>VLOOKUP($C18,'MRP WP2'!$C$3:$H$502,3,FALSE)</f>
        <v>4.1223404255319149</v>
      </c>
      <c r="F18" s="348">
        <f>VLOOKUP($C18,'MRP WP2'!$C$3:$H$502,4,FALSE)</f>
        <v>4.7350000000000003</v>
      </c>
      <c r="G18" s="348">
        <f>VLOOKUP($C18,'MRP WP2'!$C$3:$H$502,5,FALSE)</f>
        <v>229.5831</v>
      </c>
      <c r="H18" s="348">
        <f>VLOOKUP($C18,'MRP WP2'!$C$3:$H$502,6,FALSE)</f>
        <v>60.16</v>
      </c>
      <c r="J18" s="363">
        <f t="shared" si="1"/>
        <v>13811.721341439999</v>
      </c>
      <c r="K18" s="364">
        <f t="shared" si="2"/>
        <v>4.1223404255319146E-2</v>
      </c>
      <c r="L18" s="364">
        <f t="shared" si="2"/>
        <v>4.7350000000000003E-2</v>
      </c>
      <c r="M18" s="465">
        <f t="shared" si="3"/>
        <v>8.9549368351063835E-2</v>
      </c>
      <c r="N18" s="366">
        <f t="shared" si="0"/>
        <v>1.4265485354063197E-2</v>
      </c>
      <c r="O18" s="365">
        <f t="shared" si="4"/>
        <v>1.2774652026777114E-3</v>
      </c>
    </row>
    <row r="19" spans="1:15" s="464" customFormat="1" ht="14.6" x14ac:dyDescent="0.4">
      <c r="A19" s="348" t="s">
        <v>2093</v>
      </c>
      <c r="B19" s="348" t="s">
        <v>2094</v>
      </c>
      <c r="C19" s="348" t="str">
        <f>Input!E45</f>
        <v>EXC</v>
      </c>
      <c r="D19" s="348">
        <f>VLOOKUP($C19,'MRP WP2'!$C$3:$H$502,2,FALSE)</f>
        <v>41780443895.959999</v>
      </c>
      <c r="E19" s="348">
        <f>VLOOKUP($C19,'MRP WP2'!$C$3:$H$502,3,FALSE)</f>
        <v>3.4221799143265104</v>
      </c>
      <c r="F19" s="348">
        <f>VLOOKUP($C19,'MRP WP2'!$C$3:$H$502,4,FALSE)</f>
        <v>5.68</v>
      </c>
      <c r="G19" s="348">
        <f>VLOOKUP($C19,'MRP WP2'!$C$3:$H$502,5,FALSE)</f>
        <v>994.29899999999998</v>
      </c>
      <c r="H19" s="348">
        <f>VLOOKUP($C19,'MRP WP2'!$C$3:$H$502,6,FALSE)</f>
        <v>42.02</v>
      </c>
      <c r="J19" s="363">
        <f t="shared" si="1"/>
        <v>41780.443895960001</v>
      </c>
      <c r="K19" s="364">
        <f t="shared" si="2"/>
        <v>3.4221799143265105E-2</v>
      </c>
      <c r="L19" s="364">
        <f t="shared" si="2"/>
        <v>5.6799999999999996E-2</v>
      </c>
      <c r="M19" s="465">
        <f t="shared" si="3"/>
        <v>9.199369823893383E-2</v>
      </c>
      <c r="N19" s="366">
        <f t="shared" si="0"/>
        <v>4.3153079601730225E-2</v>
      </c>
      <c r="O19" s="365">
        <f t="shared" si="4"/>
        <v>3.969811382962261E-3</v>
      </c>
    </row>
    <row r="20" spans="1:15" s="464" customFormat="1" ht="14.6" x14ac:dyDescent="0.4">
      <c r="A20" s="348" t="s">
        <v>2122</v>
      </c>
      <c r="B20" s="348" t="s">
        <v>2123</v>
      </c>
      <c r="C20" s="348" t="str">
        <f>Input!E46</f>
        <v>FE</v>
      </c>
      <c r="D20" s="348">
        <f>VLOOKUP($C20,'MRP WP2'!$C$3:$H$502,2,FALSE)</f>
        <v>22770266059.499996</v>
      </c>
      <c r="E20" s="348">
        <f>VLOOKUP($C20,'MRP WP2'!$C$3:$H$502,3,FALSE)</f>
        <v>3.959748427672956</v>
      </c>
      <c r="F20" s="348">
        <f>VLOOKUP($C20,'MRP WP2'!$C$3:$H$502,4,FALSE)</f>
        <v>-0.33</v>
      </c>
      <c r="G20" s="348">
        <f>VLOOKUP($C20,'MRP WP2'!$C$3:$H$502,5,FALSE)</f>
        <v>572.83690000000001</v>
      </c>
      <c r="H20" s="348">
        <f>VLOOKUP($C20,'MRP WP2'!$C$3:$H$502,6,FALSE)</f>
        <v>39.75</v>
      </c>
      <c r="J20" s="363">
        <f t="shared" si="1"/>
        <v>22770.266059499998</v>
      </c>
      <c r="K20" s="364">
        <f t="shared" si="2"/>
        <v>3.9597484276729558E-2</v>
      </c>
      <c r="L20" s="364">
        <f t="shared" si="2"/>
        <v>-3.3E-3</v>
      </c>
      <c r="M20" s="465">
        <f t="shared" si="3"/>
        <v>3.6232148427672958E-2</v>
      </c>
      <c r="N20" s="366">
        <f t="shared" si="0"/>
        <v>2.351835002675004E-2</v>
      </c>
      <c r="O20" s="365">
        <f t="shared" si="4"/>
        <v>8.5212034894317377E-4</v>
      </c>
    </row>
    <row r="21" spans="1:15" s="464" customFormat="1" ht="14.6" x14ac:dyDescent="0.4">
      <c r="A21" s="348" t="s">
        <v>2409</v>
      </c>
      <c r="B21" s="348" t="s">
        <v>2410</v>
      </c>
      <c r="C21" s="348" t="str">
        <f>Input!E47</f>
        <v>LNT</v>
      </c>
      <c r="D21" s="348">
        <f>VLOOKUP($C21,'MRP WP2'!$C$3:$H$502,2,FALSE)</f>
        <v>13615162598.08</v>
      </c>
      <c r="E21" s="348">
        <f>VLOOKUP($C21,'MRP WP2'!$C$3:$H$502,3,FALSE)</f>
        <v>3.3530280649926145</v>
      </c>
      <c r="F21" s="348">
        <f>VLOOKUP($C21,'MRP WP2'!$C$3:$H$502,4,FALSE)</f>
        <v>6.4750000000000005</v>
      </c>
      <c r="G21" s="348">
        <f>VLOOKUP($C21,'MRP WP2'!$C$3:$H$502,5,FALSE)</f>
        <v>251.3878</v>
      </c>
      <c r="H21" s="348">
        <f>VLOOKUP($C21,'MRP WP2'!$C$3:$H$502,6,FALSE)</f>
        <v>54.16</v>
      </c>
      <c r="J21" s="363">
        <f t="shared" si="1"/>
        <v>13615.16259808</v>
      </c>
      <c r="K21" s="364">
        <f t="shared" si="2"/>
        <v>3.3530280649926143E-2</v>
      </c>
      <c r="L21" s="364">
        <f t="shared" si="2"/>
        <v>6.4750000000000002E-2</v>
      </c>
      <c r="M21" s="465">
        <f t="shared" si="3"/>
        <v>9.9365823485967508E-2</v>
      </c>
      <c r="N21" s="366">
        <f t="shared" si="0"/>
        <v>1.4062468959126082E-2</v>
      </c>
      <c r="O21" s="365">
        <f t="shared" si="4"/>
        <v>1.3973288083694196E-3</v>
      </c>
    </row>
    <row r="22" spans="1:15" s="464" customFormat="1" ht="14.6" x14ac:dyDescent="0.4">
      <c r="A22" s="348" t="s">
        <v>2548</v>
      </c>
      <c r="B22" s="348" t="s">
        <v>2549</v>
      </c>
      <c r="C22" s="348" t="str">
        <f>Input!E48</f>
        <v>NEE</v>
      </c>
      <c r="D22" s="348">
        <f>VLOOKUP($C22,'MRP WP2'!$C$3:$H$502,2,FALSE)</f>
        <v>148114486374</v>
      </c>
      <c r="E22" s="348">
        <f>VLOOKUP($C22,'MRP WP2'!$C$3:$H$502,3,FALSE)</f>
        <v>2.5560109289617485</v>
      </c>
      <c r="F22" s="348">
        <f>VLOOKUP($C22,'MRP WP2'!$C$3:$H$502,4,FALSE)</f>
        <v>8.4749999999999996</v>
      </c>
      <c r="G22" s="348">
        <f>VLOOKUP($C22,'MRP WP2'!$C$3:$H$502,5,FALSE)</f>
        <v>2023.4219999999998</v>
      </c>
      <c r="H22" s="348">
        <f>VLOOKUP($C22,'MRP WP2'!$C$3:$H$502,6,FALSE)</f>
        <v>73.2</v>
      </c>
      <c r="J22" s="363">
        <f t="shared" si="1"/>
        <v>148114.486374</v>
      </c>
      <c r="K22" s="364">
        <f t="shared" si="2"/>
        <v>2.5560109289617484E-2</v>
      </c>
      <c r="L22" s="364">
        <f t="shared" si="2"/>
        <v>8.4749999999999992E-2</v>
      </c>
      <c r="M22" s="465">
        <f t="shared" si="3"/>
        <v>0.11139321892076502</v>
      </c>
      <c r="N22" s="366">
        <f t="shared" si="0"/>
        <v>0.1529805723601862</v>
      </c>
      <c r="O22" s="365">
        <f t="shared" si="4"/>
        <v>1.7040998387542156E-2</v>
      </c>
    </row>
    <row r="23" spans="1:15" s="464" customFormat="1" ht="14.6" x14ac:dyDescent="0.4">
      <c r="A23" s="348" t="s">
        <v>2556</v>
      </c>
      <c r="B23" s="348" t="s">
        <v>2557</v>
      </c>
      <c r="C23" s="348" t="str">
        <f>Input!E49</f>
        <v>NI</v>
      </c>
      <c r="D23" s="348">
        <f>VLOOKUP($C23,'MRP WP2'!$C$3:$H$502,2,FALSE)</f>
        <v>11540986338.860001</v>
      </c>
      <c r="E23" s="348">
        <f>VLOOKUP($C23,'MRP WP2'!$C$3:$H$502,3,FALSE)</f>
        <v>3.5790980672870436</v>
      </c>
      <c r="F23" s="348">
        <f>VLOOKUP($C23,'MRP WP2'!$C$3:$H$502,4,FALSE)</f>
        <v>7.5</v>
      </c>
      <c r="G23" s="348">
        <f>VLOOKUP($C23,'MRP WP2'!$C$3:$H$502,5,FALSE)</f>
        <v>413.06319999999999</v>
      </c>
      <c r="H23" s="348">
        <f>VLOOKUP($C23,'MRP WP2'!$C$3:$H$502,6,FALSE)</f>
        <v>27.94</v>
      </c>
      <c r="J23" s="363">
        <f t="shared" si="1"/>
        <v>11540.986338860001</v>
      </c>
      <c r="K23" s="364">
        <f t="shared" si="2"/>
        <v>3.5790980672870433E-2</v>
      </c>
      <c r="L23" s="364">
        <f t="shared" si="2"/>
        <v>7.4999999999999997E-2</v>
      </c>
      <c r="M23" s="465">
        <f t="shared" si="3"/>
        <v>0.11213314244810307</v>
      </c>
      <c r="N23" s="366">
        <f t="shared" si="0"/>
        <v>1.1920148656234456E-2</v>
      </c>
      <c r="O23" s="365">
        <f t="shared" si="4"/>
        <v>1.3366437272721028E-3</v>
      </c>
    </row>
    <row r="24" spans="1:15" s="464" customFormat="1" ht="14.6" x14ac:dyDescent="0.4">
      <c r="A24" s="348" t="s">
        <v>2567</v>
      </c>
      <c r="B24" s="348" t="s">
        <v>2568</v>
      </c>
      <c r="C24" s="348" t="str">
        <f>Input!E50</f>
        <v>NRG</v>
      </c>
      <c r="D24" s="348">
        <f>VLOOKUP($C24,'MRP WP2'!$C$3:$H$502,2,FALSE)</f>
        <v>8391970032.3000002</v>
      </c>
      <c r="E24" s="348">
        <f>VLOOKUP($C24,'MRP WP2'!$C$3:$H$502,3,FALSE)</f>
        <v>4.1399176954732511</v>
      </c>
      <c r="F24" s="348">
        <f>VLOOKUP($C24,'MRP WP2'!$C$3:$H$502,4,FALSE)</f>
        <v>5.38</v>
      </c>
      <c r="G24" s="348">
        <f>VLOOKUP($C24,'MRP WP2'!$C$3:$H$502,5,FALSE)</f>
        <v>230.23239999999998</v>
      </c>
      <c r="H24" s="348">
        <f>VLOOKUP($C24,'MRP WP2'!$C$3:$H$502,6,FALSE)</f>
        <v>36.450000000000003</v>
      </c>
      <c r="J24" s="363">
        <f t="shared" si="1"/>
        <v>8391.9700322999997</v>
      </c>
      <c r="K24" s="364">
        <f t="shared" si="2"/>
        <v>4.1399176954732511E-2</v>
      </c>
      <c r="L24" s="364">
        <f t="shared" si="2"/>
        <v>5.3800000000000001E-2</v>
      </c>
      <c r="M24" s="465">
        <f t="shared" si="3"/>
        <v>9.6312814814814823E-2</v>
      </c>
      <c r="N24" s="366">
        <f t="shared" si="0"/>
        <v>8.6676759998280881E-3</v>
      </c>
      <c r="O24" s="365">
        <f t="shared" si="4"/>
        <v>8.3480827344625753E-4</v>
      </c>
    </row>
    <row r="25" spans="1:15" s="464" customFormat="1" ht="14.6" x14ac:dyDescent="0.4">
      <c r="A25" s="348" t="s">
        <v>2641</v>
      </c>
      <c r="B25" s="348" t="s">
        <v>2642</v>
      </c>
      <c r="C25" s="348" t="str">
        <f>Input!E51</f>
        <v>PCG</v>
      </c>
      <c r="D25" s="348">
        <f>VLOOKUP($C25,'MRP WP2'!$C$3:$H$502,2,FALSE)</f>
        <v>35564771194.920006</v>
      </c>
      <c r="E25" s="348">
        <f>VLOOKUP($C25,'MRP WP2'!$C$3:$H$502,3,FALSE)</f>
        <v>0.39281705948372619</v>
      </c>
      <c r="F25" s="348">
        <f>VLOOKUP($C25,'MRP WP2'!$C$3:$H$502,4,FALSE)</f>
        <v>6.2549999999999999</v>
      </c>
      <c r="G25" s="348">
        <f>VLOOKUP($C25,'MRP WP2'!$C$3:$H$502,5,FALSE)</f>
        <v>1995.778</v>
      </c>
      <c r="H25" s="348">
        <f>VLOOKUP($C25,'MRP WP2'!$C$3:$H$502,6,FALSE)</f>
        <v>17.82</v>
      </c>
      <c r="J25" s="363">
        <f t="shared" si="1"/>
        <v>35564.771194920009</v>
      </c>
      <c r="K25" s="364">
        <f t="shared" si="2"/>
        <v>3.9281705948372618E-3</v>
      </c>
      <c r="L25" s="364">
        <f t="shared" si="2"/>
        <v>6.2549999999999994E-2</v>
      </c>
      <c r="M25" s="465">
        <f t="shared" si="3"/>
        <v>6.6601024130190797E-2</v>
      </c>
      <c r="N25" s="366">
        <f t="shared" si="0"/>
        <v>3.6733200016099095E-2</v>
      </c>
      <c r="O25" s="365">
        <f t="shared" si="4"/>
        <v>2.4464687406513409E-3</v>
      </c>
    </row>
    <row r="26" spans="1:15" s="464" customFormat="1" ht="14.6" x14ac:dyDescent="0.4">
      <c r="A26" s="348" t="s">
        <v>2646</v>
      </c>
      <c r="B26" s="348" t="s">
        <v>2647</v>
      </c>
      <c r="C26" s="348" t="str">
        <f>Input!E52</f>
        <v>PEG</v>
      </c>
      <c r="D26" s="348">
        <f>VLOOKUP($C26,'MRP WP2'!$C$3:$H$502,2,FALSE)</f>
        <v>31853934409.919998</v>
      </c>
      <c r="E26" s="348">
        <f>VLOOKUP($C26,'MRP WP2'!$C$3:$H$502,3,FALSE)</f>
        <v>3.5651629072681708</v>
      </c>
      <c r="F26" s="348">
        <f>VLOOKUP($C26,'MRP WP2'!$C$3:$H$502,4,FALSE)</f>
        <v>4.8769999999999998</v>
      </c>
      <c r="G26" s="348">
        <f>VLOOKUP($C26,'MRP WP2'!$C$3:$H$502,5,FALSE)</f>
        <v>498.96509999999995</v>
      </c>
      <c r="H26" s="348">
        <f>VLOOKUP($C26,'MRP WP2'!$C$3:$H$502,6,FALSE)</f>
        <v>63.84</v>
      </c>
      <c r="J26" s="363">
        <f t="shared" si="1"/>
        <v>31853.934409919999</v>
      </c>
      <c r="K26" s="364">
        <f t="shared" si="2"/>
        <v>3.5651629072681705E-2</v>
      </c>
      <c r="L26" s="364">
        <f t="shared" si="2"/>
        <v>4.8770000000000001E-2</v>
      </c>
      <c r="M26" s="465">
        <f t="shared" si="3"/>
        <v>8.5290994047619056E-2</v>
      </c>
      <c r="N26" s="366">
        <f t="shared" si="0"/>
        <v>3.290044908671947E-2</v>
      </c>
      <c r="O26" s="365">
        <f t="shared" si="4"/>
        <v>2.8061120072193843E-3</v>
      </c>
    </row>
    <row r="27" spans="1:15" s="464" customFormat="1" ht="14.6" x14ac:dyDescent="0.4">
      <c r="A27" s="348" t="s">
        <v>2684</v>
      </c>
      <c r="B27" s="348" t="s">
        <v>2685</v>
      </c>
      <c r="C27" s="348" t="str">
        <f>Input!E53</f>
        <v>PNW</v>
      </c>
      <c r="D27" s="348">
        <f>VLOOKUP($C27,'MRP WP2'!$C$3:$H$502,2,FALSE)</f>
        <v>9422899033.5999985</v>
      </c>
      <c r="E27" s="348">
        <f>VLOOKUP($C27,'MRP WP2'!$C$3:$H$502,3,FALSE)</f>
        <v>4.1862980769230766</v>
      </c>
      <c r="F27" s="348">
        <f>VLOOKUP($C27,'MRP WP2'!$C$3:$H$502,4,FALSE)</f>
        <v>6.16</v>
      </c>
      <c r="G27" s="348">
        <f>VLOOKUP($C27,'MRP WP2'!$C$3:$H$502,5,FALSE)</f>
        <v>113.256</v>
      </c>
      <c r="H27" s="348">
        <f>VLOOKUP($C27,'MRP WP2'!$C$3:$H$502,6,FALSE)</f>
        <v>83.2</v>
      </c>
      <c r="J27" s="363">
        <f t="shared" si="1"/>
        <v>9422.8990335999988</v>
      </c>
      <c r="K27" s="364">
        <f t="shared" si="2"/>
        <v>4.1862980769230763E-2</v>
      </c>
      <c r="L27" s="364">
        <f t="shared" si="2"/>
        <v>6.1600000000000002E-2</v>
      </c>
      <c r="M27" s="465">
        <f t="shared" si="3"/>
        <v>0.10475236057692307</v>
      </c>
      <c r="N27" s="366">
        <f t="shared" si="0"/>
        <v>9.7324746737630224E-3</v>
      </c>
      <c r="O27" s="365">
        <f t="shared" si="4"/>
        <v>1.0194996963317959E-3</v>
      </c>
    </row>
    <row r="28" spans="1:15" s="464" customFormat="1" ht="14.6" x14ac:dyDescent="0.4">
      <c r="A28" s="348" t="s">
        <v>2695</v>
      </c>
      <c r="B28" s="348" t="s">
        <v>2696</v>
      </c>
      <c r="C28" s="348" t="str">
        <f>Input!E54</f>
        <v>PPL</v>
      </c>
      <c r="D28" s="348">
        <f>VLOOKUP($C28,'MRP WP2'!$C$3:$H$502,2,FALSE)</f>
        <v>19723930073.16</v>
      </c>
      <c r="E28" s="348">
        <f>VLOOKUP($C28,'MRP WP2'!$C$3:$H$502,3,FALSE)</f>
        <v>3.5837070254110612</v>
      </c>
      <c r="F28" s="348">
        <f>VLOOKUP($C28,'MRP WP2'!$C$3:$H$502,4,FALSE)</f>
        <v>6.21</v>
      </c>
      <c r="G28" s="348">
        <f>VLOOKUP($C28,'MRP WP2'!$C$3:$H$502,5,FALSE)</f>
        <v>737.06759999999997</v>
      </c>
      <c r="H28" s="348">
        <f>VLOOKUP($C28,'MRP WP2'!$C$3:$H$502,6,FALSE)</f>
        <v>26.76</v>
      </c>
      <c r="J28" s="363">
        <f t="shared" si="1"/>
        <v>19723.930073160001</v>
      </c>
      <c r="K28" s="364">
        <f t="shared" si="2"/>
        <v>3.5837070254110613E-2</v>
      </c>
      <c r="L28" s="364">
        <f t="shared" si="2"/>
        <v>6.2100000000000002E-2</v>
      </c>
      <c r="M28" s="465">
        <f t="shared" si="3"/>
        <v>9.904981128550075E-2</v>
      </c>
      <c r="N28" s="366">
        <f t="shared" si="0"/>
        <v>2.0371931103114412E-2</v>
      </c>
      <c r="O28" s="365">
        <f t="shared" si="4"/>
        <v>2.0178359312847055E-3</v>
      </c>
    </row>
    <row r="29" spans="1:15" s="464" customFormat="1" ht="14.6" x14ac:dyDescent="0.4">
      <c r="A29" s="348" t="s">
        <v>2799</v>
      </c>
      <c r="B29" s="348" t="s">
        <v>2800</v>
      </c>
      <c r="C29" s="348" t="str">
        <f>Input!E55</f>
        <v>SO</v>
      </c>
      <c r="D29" s="348">
        <f>VLOOKUP($C29,'MRP WP2'!$C$3:$H$502,2,FALSE)</f>
        <v>77912310863.159988</v>
      </c>
      <c r="E29" s="348">
        <f>VLOOKUP($C29,'MRP WP2'!$C$3:$H$502,3,FALSE)</f>
        <v>3.8946483608854021</v>
      </c>
      <c r="F29" s="348">
        <f>VLOOKUP($C29,'MRP WP2'!$C$3:$H$502,4,FALSE)</f>
        <v>4.5</v>
      </c>
      <c r="G29" s="348">
        <f>VLOOKUP($C29,'MRP WP2'!$C$3:$H$502,5,FALSE)</f>
        <v>1091.5149999999999</v>
      </c>
      <c r="H29" s="348">
        <f>VLOOKUP($C29,'MRP WP2'!$C$3:$H$502,6,FALSE)</f>
        <v>71.38</v>
      </c>
      <c r="J29" s="363">
        <f t="shared" si="1"/>
        <v>77912.31086315999</v>
      </c>
      <c r="K29" s="364">
        <f t="shared" si="2"/>
        <v>3.894648360885402E-2</v>
      </c>
      <c r="L29" s="364">
        <f t="shared" si="2"/>
        <v>4.4999999999999998E-2</v>
      </c>
      <c r="M29" s="465">
        <f t="shared" si="3"/>
        <v>8.4822779490053235E-2</v>
      </c>
      <c r="N29" s="366">
        <f t="shared" si="0"/>
        <v>8.0472006496747642E-2</v>
      </c>
      <c r="O29" s="365">
        <f t="shared" si="4"/>
        <v>6.8258592621957565E-3</v>
      </c>
    </row>
    <row r="30" spans="1:15" s="464" customFormat="1" ht="14.6" x14ac:dyDescent="0.4">
      <c r="A30" s="348" t="s">
        <v>2807</v>
      </c>
      <c r="B30" s="348" t="s">
        <v>3073</v>
      </c>
      <c r="C30" s="348" t="str">
        <f>Input!E56</f>
        <v>SRE</v>
      </c>
      <c r="D30" s="348">
        <f>VLOOKUP($C30,'MRP WP2'!$C$3:$H$502,2,FALSE)</f>
        <v>46706698399.32</v>
      </c>
      <c r="E30" s="348">
        <f>VLOOKUP($C30,'MRP WP2'!$C$3:$H$502,3,FALSE)</f>
        <v>3.2787658313123149</v>
      </c>
      <c r="F30" s="348">
        <f>VLOOKUP($C30,'MRP WP2'!$C$3:$H$502,4,FALSE)</f>
        <v>3.9670000000000001</v>
      </c>
      <c r="G30" s="348">
        <f>VLOOKUP($C30,'MRP WP2'!$C$3:$H$502,5,FALSE)</f>
        <v>314.65039999999999</v>
      </c>
      <c r="H30" s="348">
        <f>VLOOKUP($C30,'MRP WP2'!$C$3:$H$502,6,FALSE)</f>
        <v>148.44</v>
      </c>
      <c r="J30" s="363">
        <f t="shared" si="1"/>
        <v>46706.698399319997</v>
      </c>
      <c r="K30" s="364">
        <f t="shared" si="2"/>
        <v>3.278765831312315E-2</v>
      </c>
      <c r="L30" s="364">
        <f t="shared" si="2"/>
        <v>3.9670000000000004E-2</v>
      </c>
      <c r="M30" s="465">
        <f t="shared" si="3"/>
        <v>7.3108001515763951E-2</v>
      </c>
      <c r="N30" s="366">
        <f t="shared" si="0"/>
        <v>4.8241179030526188E-2</v>
      </c>
      <c r="O30" s="365">
        <f t="shared" si="4"/>
        <v>3.5268161896859487E-3</v>
      </c>
    </row>
    <row r="31" spans="1:15" s="464" customFormat="1" ht="14.6" x14ac:dyDescent="0.4">
      <c r="A31" s="348" t="s">
        <v>2992</v>
      </c>
      <c r="B31" s="348" t="s">
        <v>2993</v>
      </c>
      <c r="C31" s="348" t="str">
        <f>Input!E57</f>
        <v>WEC</v>
      </c>
      <c r="D31" s="348">
        <f>VLOOKUP($C31,'MRP WP2'!$C$3:$H$502,2,FALSE)</f>
        <v>28830716133.400002</v>
      </c>
      <c r="E31" s="348">
        <f>VLOOKUP($C31,'MRP WP2'!$C$3:$H$502,3,FALSE)</f>
        <v>3.4102844638949668</v>
      </c>
      <c r="F31" s="348">
        <f>VLOOKUP($C31,'MRP WP2'!$C$3:$H$502,4,FALSE)</f>
        <v>6.2549999999999999</v>
      </c>
      <c r="G31" s="348">
        <f>VLOOKUP($C31,'MRP WP2'!$C$3:$H$502,5,FALSE)</f>
        <v>315.43450000000001</v>
      </c>
      <c r="H31" s="348">
        <f>VLOOKUP($C31,'MRP WP2'!$C$3:$H$502,6,FALSE)</f>
        <v>91.4</v>
      </c>
      <c r="J31" s="363">
        <f t="shared" si="1"/>
        <v>28830.716133400001</v>
      </c>
      <c r="K31" s="364">
        <f t="shared" si="2"/>
        <v>3.4102844638949664E-2</v>
      </c>
      <c r="L31" s="364">
        <f t="shared" si="2"/>
        <v>6.2549999999999994E-2</v>
      </c>
      <c r="M31" s="465">
        <f t="shared" si="3"/>
        <v>9.7719411105032808E-2</v>
      </c>
      <c r="N31" s="366">
        <f t="shared" si="0"/>
        <v>2.977790737163041E-2</v>
      </c>
      <c r="O31" s="365">
        <f t="shared" si="4"/>
        <v>2.9098795722959391E-3</v>
      </c>
    </row>
    <row r="32" spans="1:15" s="464" customFormat="1" ht="14.6" x14ac:dyDescent="0.4">
      <c r="A32" s="466" t="s">
        <v>3030</v>
      </c>
      <c r="B32" s="466" t="s">
        <v>3031</v>
      </c>
      <c r="C32" s="348" t="str">
        <f>Input!E58</f>
        <v>XEL</v>
      </c>
      <c r="D32" s="348">
        <f>VLOOKUP($C32,'MRP WP2'!$C$3:$H$502,2,FALSE)</f>
        <v>35371401393.369995</v>
      </c>
      <c r="E32" s="348">
        <f>VLOOKUP($C32,'MRP WP2'!$C$3:$H$502,3,FALSE)</f>
        <v>3.213007624085888</v>
      </c>
      <c r="F32" s="348">
        <f>VLOOKUP($C32,'MRP WP2'!$C$3:$H$502,4,FALSE)</f>
        <v>6.3</v>
      </c>
      <c r="G32" s="348">
        <f>VLOOKUP($C32,'MRP WP2'!$C$3:$H$502,5,FALSE)</f>
        <v>550.35629999999992</v>
      </c>
      <c r="H32" s="348">
        <f>VLOOKUP($C32,'MRP WP2'!$C$3:$H$502,6,FALSE)</f>
        <v>64.27</v>
      </c>
      <c r="J32" s="363">
        <f t="shared" si="1"/>
        <v>35371.401393369997</v>
      </c>
      <c r="K32" s="364">
        <f t="shared" si="2"/>
        <v>3.2130076240858882E-2</v>
      </c>
      <c r="L32" s="364">
        <f t="shared" si="2"/>
        <v>6.3E-2</v>
      </c>
      <c r="M32" s="465">
        <f t="shared" si="3"/>
        <v>9.6142173642445941E-2</v>
      </c>
      <c r="N32" s="366">
        <f t="shared" si="0"/>
        <v>3.6533477331016154E-2</v>
      </c>
      <c r="O32" s="365">
        <f t="shared" si="4"/>
        <v>3.5124079213209175E-3</v>
      </c>
    </row>
    <row r="33" spans="1:15" x14ac:dyDescent="0.45">
      <c r="A33" s="467"/>
      <c r="B33" s="467"/>
      <c r="C33" s="467"/>
      <c r="D33" s="467"/>
      <c r="E33" s="467"/>
      <c r="F33" s="467"/>
      <c r="G33" s="467"/>
      <c r="H33" s="467"/>
      <c r="J33" s="469">
        <f>SUMIF(M3:M32,"&lt;&gt;n/a",J3:J32)</f>
        <v>968191.47744637006</v>
      </c>
      <c r="K33" s="464"/>
      <c r="L33" s="464"/>
      <c r="M33" s="464"/>
      <c r="N33" s="470"/>
      <c r="O33" s="471">
        <f>SUM(O3:O32)</f>
        <v>4.2489926289832482E-2</v>
      </c>
    </row>
    <row r="34" spans="1:15" x14ac:dyDescent="0.45">
      <c r="A34" s="467"/>
      <c r="B34" s="467"/>
      <c r="C34" s="467"/>
      <c r="D34" s="467"/>
      <c r="E34" s="467"/>
      <c r="F34" s="467"/>
      <c r="G34" s="467"/>
      <c r="H34" s="467"/>
      <c r="I34" s="467"/>
      <c r="J34" s="467"/>
      <c r="K34" s="467"/>
      <c r="L34" s="467"/>
      <c r="M34" s="467"/>
      <c r="N34" s="467"/>
      <c r="O34" s="467"/>
    </row>
    <row r="35" spans="1:15" x14ac:dyDescent="0.45">
      <c r="A35" s="467"/>
      <c r="B35" s="467"/>
      <c r="C35" s="467"/>
      <c r="D35" s="467"/>
      <c r="E35" s="467"/>
      <c r="F35" s="467"/>
      <c r="G35" s="467"/>
      <c r="H35" s="467"/>
      <c r="J35" s="467"/>
      <c r="K35" s="467"/>
      <c r="L35" s="467"/>
      <c r="M35" s="467"/>
      <c r="N35" s="467"/>
      <c r="O35" s="467"/>
    </row>
    <row r="36" spans="1:15" x14ac:dyDescent="0.45">
      <c r="A36" s="467"/>
      <c r="B36" s="467"/>
      <c r="C36" s="467"/>
      <c r="D36" s="467"/>
      <c r="E36" s="467"/>
      <c r="F36" s="467"/>
      <c r="G36" s="467"/>
      <c r="H36" s="467"/>
      <c r="J36" s="467"/>
      <c r="K36" s="467"/>
      <c r="L36" s="467"/>
      <c r="M36" s="467"/>
      <c r="N36" s="467"/>
      <c r="O36" s="467"/>
    </row>
    <row r="37" spans="1:15" x14ac:dyDescent="0.45">
      <c r="A37" s="467"/>
      <c r="B37" s="467"/>
      <c r="C37" s="467"/>
      <c r="D37" s="467"/>
      <c r="E37" s="467"/>
      <c r="F37" s="467"/>
      <c r="G37" s="467"/>
      <c r="H37" s="467"/>
      <c r="J37" s="467"/>
      <c r="K37" s="467"/>
      <c r="L37" s="467"/>
      <c r="M37" s="467"/>
      <c r="N37" s="467"/>
      <c r="O37" s="467"/>
    </row>
    <row r="38" spans="1:15" x14ac:dyDescent="0.45">
      <c r="A38" s="467"/>
      <c r="B38" s="467"/>
      <c r="C38" s="467"/>
      <c r="D38" s="467"/>
      <c r="E38" s="467"/>
      <c r="F38" s="467"/>
      <c r="G38" s="467"/>
      <c r="H38" s="467"/>
      <c r="J38" s="467"/>
      <c r="K38" s="467"/>
      <c r="L38" s="467"/>
      <c r="M38" s="467"/>
      <c r="N38" s="467"/>
      <c r="O38" s="467"/>
    </row>
    <row r="39" spans="1:15" x14ac:dyDescent="0.45">
      <c r="A39" s="467"/>
      <c r="B39" s="467"/>
      <c r="C39" s="467"/>
      <c r="D39" s="467"/>
      <c r="E39" s="467"/>
      <c r="F39" s="467"/>
      <c r="G39" s="467"/>
      <c r="H39" s="467"/>
      <c r="J39" s="467"/>
      <c r="K39" s="467"/>
      <c r="L39" s="467"/>
      <c r="M39" s="467"/>
      <c r="N39" s="467"/>
      <c r="O39" s="467"/>
    </row>
    <row r="40" spans="1:15" x14ac:dyDescent="0.45">
      <c r="A40" s="467"/>
      <c r="B40" s="467"/>
      <c r="C40" s="467"/>
      <c r="D40" s="467"/>
      <c r="E40" s="467"/>
      <c r="F40" s="467"/>
      <c r="G40" s="467"/>
      <c r="H40" s="467"/>
      <c r="J40" s="467"/>
      <c r="K40" s="467"/>
      <c r="L40" s="467"/>
      <c r="M40" s="467"/>
      <c r="N40" s="467"/>
      <c r="O40" s="467"/>
    </row>
    <row r="41" spans="1:15" x14ac:dyDescent="0.45">
      <c r="A41" s="467"/>
      <c r="B41" s="467"/>
      <c r="C41" s="467"/>
      <c r="D41" s="467"/>
      <c r="E41" s="467"/>
      <c r="F41" s="467"/>
      <c r="G41" s="467"/>
      <c r="H41" s="467"/>
      <c r="J41" s="467"/>
      <c r="K41" s="467"/>
      <c r="L41" s="467"/>
      <c r="M41" s="467"/>
      <c r="N41" s="467"/>
      <c r="O41" s="467"/>
    </row>
    <row r="42" spans="1:15" x14ac:dyDescent="0.45">
      <c r="A42" s="467"/>
      <c r="B42" s="467"/>
      <c r="C42" s="467"/>
      <c r="D42" s="467"/>
      <c r="E42" s="467"/>
      <c r="F42" s="467"/>
      <c r="G42" s="467"/>
      <c r="H42" s="467"/>
      <c r="J42" s="467"/>
      <c r="K42" s="467"/>
      <c r="L42" s="467"/>
      <c r="M42" s="467"/>
      <c r="N42" s="467"/>
      <c r="O42" s="467"/>
    </row>
    <row r="43" spans="1:15" x14ac:dyDescent="0.45">
      <c r="A43" s="467"/>
      <c r="B43" s="467"/>
      <c r="C43" s="467"/>
      <c r="D43" s="467"/>
      <c r="E43" s="467"/>
      <c r="F43" s="467"/>
      <c r="G43" s="467"/>
      <c r="H43" s="467"/>
      <c r="J43" s="467"/>
      <c r="K43" s="467"/>
      <c r="L43" s="467"/>
      <c r="M43" s="467"/>
      <c r="N43" s="467"/>
      <c r="O43" s="467"/>
    </row>
    <row r="44" spans="1:15" x14ac:dyDescent="0.45">
      <c r="A44" s="467"/>
      <c r="B44" s="467"/>
      <c r="C44" s="467"/>
      <c r="D44" s="467"/>
      <c r="E44" s="467"/>
      <c r="F44" s="467"/>
      <c r="G44" s="467"/>
      <c r="H44" s="467"/>
      <c r="J44" s="467"/>
      <c r="K44" s="467"/>
      <c r="L44" s="467"/>
      <c r="M44" s="467"/>
      <c r="N44" s="467"/>
      <c r="O44" s="467"/>
    </row>
    <row r="45" spans="1:15" x14ac:dyDescent="0.45">
      <c r="B45" s="467"/>
      <c r="C45" s="467"/>
      <c r="D45" s="467"/>
      <c r="E45" s="467"/>
      <c r="F45" s="467"/>
      <c r="G45" s="467"/>
      <c r="H45" s="467"/>
      <c r="J45" s="467"/>
      <c r="K45" s="467"/>
      <c r="L45" s="467"/>
      <c r="M45" s="467"/>
      <c r="N45" s="467"/>
      <c r="O45" s="467"/>
    </row>
    <row r="46" spans="1:15" x14ac:dyDescent="0.45">
      <c r="B46" s="467"/>
      <c r="C46" s="467"/>
      <c r="D46" s="467"/>
      <c r="E46" s="467"/>
      <c r="F46" s="467"/>
      <c r="G46" s="467"/>
      <c r="H46" s="467"/>
      <c r="J46" s="467"/>
      <c r="K46" s="467"/>
      <c r="L46" s="467"/>
      <c r="M46" s="467"/>
      <c r="N46" s="467"/>
      <c r="O46" s="467"/>
    </row>
    <row r="47" spans="1:15" x14ac:dyDescent="0.45">
      <c r="B47" s="467"/>
      <c r="C47" s="467"/>
      <c r="D47" s="467"/>
      <c r="E47" s="467"/>
      <c r="F47" s="467"/>
      <c r="G47" s="467"/>
      <c r="H47" s="467"/>
      <c r="J47" s="467"/>
      <c r="K47" s="467"/>
      <c r="L47" s="467"/>
      <c r="M47" s="467"/>
      <c r="N47" s="467"/>
      <c r="O47" s="467"/>
    </row>
    <row r="48" spans="1:15" x14ac:dyDescent="0.45">
      <c r="B48" s="467"/>
      <c r="C48" s="467"/>
      <c r="D48" s="467"/>
      <c r="E48" s="467"/>
      <c r="F48" s="467"/>
      <c r="G48" s="467"/>
      <c r="H48" s="467"/>
      <c r="J48" s="467"/>
      <c r="K48" s="467"/>
      <c r="L48" s="467"/>
      <c r="M48" s="467"/>
      <c r="N48" s="467"/>
      <c r="O48" s="467"/>
    </row>
    <row r="49" spans="1:15" x14ac:dyDescent="0.45">
      <c r="B49" s="467"/>
      <c r="C49" s="467"/>
      <c r="D49" s="467"/>
      <c r="E49" s="467"/>
      <c r="F49" s="467"/>
      <c r="G49" s="467"/>
      <c r="H49" s="467"/>
      <c r="J49" s="467"/>
      <c r="K49" s="467"/>
      <c r="L49" s="467"/>
      <c r="M49" s="467"/>
      <c r="N49" s="467"/>
      <c r="O49" s="467"/>
    </row>
    <row r="50" spans="1:15" x14ac:dyDescent="0.45">
      <c r="B50" s="467"/>
      <c r="C50" s="467"/>
      <c r="D50" s="467"/>
      <c r="E50" s="467"/>
      <c r="F50" s="467"/>
      <c r="G50" s="467"/>
      <c r="H50" s="467"/>
      <c r="J50" s="467"/>
      <c r="K50" s="467"/>
      <c r="L50" s="467"/>
      <c r="M50" s="467"/>
      <c r="N50" s="467"/>
      <c r="O50" s="467"/>
    </row>
    <row r="51" spans="1:15" x14ac:dyDescent="0.45">
      <c r="B51" s="467"/>
      <c r="C51" s="467"/>
      <c r="D51" s="467"/>
      <c r="E51" s="467"/>
      <c r="F51" s="467"/>
      <c r="G51" s="467"/>
      <c r="H51" s="467"/>
      <c r="J51" s="467"/>
      <c r="K51" s="467"/>
      <c r="L51" s="467"/>
      <c r="M51" s="467"/>
      <c r="N51" s="467"/>
      <c r="O51" s="467"/>
    </row>
    <row r="52" spans="1:15" x14ac:dyDescent="0.45">
      <c r="B52" s="467"/>
      <c r="C52" s="467"/>
      <c r="D52" s="467"/>
      <c r="E52" s="467"/>
      <c r="F52" s="467"/>
      <c r="G52" s="467"/>
      <c r="H52" s="467"/>
      <c r="J52" s="467"/>
      <c r="K52" s="467"/>
      <c r="L52" s="467"/>
      <c r="M52" s="467"/>
      <c r="N52" s="467"/>
      <c r="O52" s="467"/>
    </row>
    <row r="53" spans="1:15" x14ac:dyDescent="0.45">
      <c r="B53" s="467"/>
      <c r="C53" s="467"/>
      <c r="D53" s="467"/>
      <c r="E53" s="467"/>
      <c r="F53" s="467"/>
      <c r="G53" s="467"/>
      <c r="H53" s="467"/>
      <c r="J53" s="467"/>
      <c r="K53" s="467"/>
      <c r="L53" s="467"/>
      <c r="M53" s="467"/>
      <c r="N53" s="467"/>
      <c r="O53" s="467"/>
    </row>
    <row r="54" spans="1:15" x14ac:dyDescent="0.45">
      <c r="B54" s="467"/>
      <c r="C54" s="467"/>
      <c r="D54" s="467"/>
      <c r="E54" s="467"/>
      <c r="F54" s="467"/>
      <c r="G54" s="467"/>
      <c r="H54" s="467"/>
      <c r="J54" s="467"/>
      <c r="K54" s="467"/>
      <c r="L54" s="467"/>
      <c r="M54" s="467"/>
      <c r="N54" s="467"/>
      <c r="O54" s="467"/>
    </row>
    <row r="55" spans="1:15" x14ac:dyDescent="0.45">
      <c r="B55" s="467"/>
      <c r="C55" s="467"/>
      <c r="D55" s="467"/>
      <c r="E55" s="467"/>
      <c r="F55" s="467"/>
      <c r="G55" s="467"/>
      <c r="H55" s="467"/>
      <c r="J55" s="467"/>
      <c r="K55" s="467"/>
      <c r="L55" s="467"/>
      <c r="M55" s="467"/>
      <c r="N55" s="467"/>
      <c r="O55" s="467"/>
    </row>
    <row r="56" spans="1:15" x14ac:dyDescent="0.45">
      <c r="B56" s="467"/>
      <c r="C56" s="467"/>
      <c r="D56" s="467"/>
      <c r="E56" s="467"/>
      <c r="F56" s="467"/>
      <c r="G56" s="467"/>
      <c r="H56" s="467"/>
      <c r="J56" s="467"/>
      <c r="K56" s="467"/>
      <c r="L56" s="467"/>
      <c r="M56" s="467"/>
      <c r="N56" s="467"/>
      <c r="O56" s="467"/>
    </row>
    <row r="57" spans="1:15" x14ac:dyDescent="0.45">
      <c r="B57" s="467"/>
      <c r="C57" s="467"/>
      <c r="D57" s="467"/>
      <c r="E57" s="467"/>
      <c r="F57" s="467"/>
      <c r="G57" s="467"/>
      <c r="H57" s="467"/>
      <c r="J57" s="467"/>
      <c r="K57" s="467"/>
      <c r="L57" s="467"/>
      <c r="M57" s="467"/>
      <c r="N57" s="467"/>
      <c r="O57" s="467"/>
    </row>
    <row r="58" spans="1:15" x14ac:dyDescent="0.45">
      <c r="B58" s="467"/>
      <c r="C58" s="467"/>
      <c r="D58" s="467"/>
      <c r="E58" s="467"/>
      <c r="F58" s="467"/>
      <c r="G58" s="467"/>
      <c r="H58" s="467"/>
      <c r="J58" s="467"/>
      <c r="K58" s="467"/>
      <c r="L58" s="467"/>
      <c r="M58" s="467"/>
      <c r="N58" s="467"/>
      <c r="O58" s="467"/>
    </row>
    <row r="59" spans="1:15" x14ac:dyDescent="0.45">
      <c r="B59" s="467"/>
      <c r="C59" s="467"/>
      <c r="D59" s="467"/>
      <c r="E59" s="467"/>
      <c r="F59" s="467"/>
      <c r="G59" s="467"/>
      <c r="H59" s="467"/>
      <c r="J59" s="467"/>
      <c r="K59" s="467"/>
      <c r="L59" s="467"/>
      <c r="M59" s="467"/>
      <c r="N59" s="467"/>
      <c r="O59" s="467"/>
    </row>
    <row r="60" spans="1:15" x14ac:dyDescent="0.45">
      <c r="B60" s="467"/>
      <c r="C60" s="467"/>
      <c r="D60" s="467"/>
      <c r="E60" s="467"/>
      <c r="F60" s="467"/>
      <c r="G60" s="467"/>
      <c r="H60" s="467"/>
      <c r="J60" s="467"/>
      <c r="K60" s="467"/>
      <c r="L60" s="467"/>
      <c r="M60" s="467"/>
      <c r="N60" s="467"/>
      <c r="O60" s="467"/>
    </row>
    <row r="61" spans="1:15" x14ac:dyDescent="0.45">
      <c r="B61" s="467"/>
      <c r="C61" s="467"/>
      <c r="D61" s="467"/>
      <c r="E61" s="467"/>
      <c r="F61" s="467"/>
      <c r="G61" s="467"/>
      <c r="H61" s="467"/>
      <c r="J61" s="467"/>
      <c r="K61" s="467"/>
      <c r="L61" s="467"/>
      <c r="M61" s="467"/>
      <c r="N61" s="467"/>
      <c r="O61" s="467"/>
    </row>
    <row r="62" spans="1:15" x14ac:dyDescent="0.45">
      <c r="A62" s="468" t="s">
        <v>1398</v>
      </c>
      <c r="C62" s="467"/>
      <c r="D62" s="467"/>
      <c r="E62" s="467"/>
      <c r="F62" s="467"/>
      <c r="G62" s="467"/>
      <c r="H62" s="467"/>
    </row>
    <row r="63" spans="1:15" x14ac:dyDescent="0.45">
      <c r="D63" s="467"/>
      <c r="E63" s="467"/>
      <c r="F63" s="467"/>
      <c r="G63" s="467"/>
      <c r="H63" s="467"/>
    </row>
    <row r="64" spans="1:15" x14ac:dyDescent="0.45">
      <c r="D64" s="467"/>
      <c r="E64" s="467"/>
      <c r="F64" s="467"/>
      <c r="G64" s="467"/>
      <c r="H64" s="467"/>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9CD0-B402-4EB4-9F81-C475CF0747FD}">
  <dimension ref="A1:O36"/>
  <sheetViews>
    <sheetView zoomScale="70" zoomScaleNormal="70" workbookViewId="0">
      <selection sqref="A1:H1"/>
    </sheetView>
  </sheetViews>
  <sheetFormatPr defaultColWidth="8.53515625" defaultRowHeight="14.6" x14ac:dyDescent="0.4"/>
  <cols>
    <col min="1" max="1" width="35" style="348" customWidth="1"/>
    <col min="2" max="2" width="9" style="348" customWidth="1"/>
    <col min="3" max="3" width="22.53515625" style="348" customWidth="1"/>
    <col min="4" max="5" width="11.53515625" style="348" customWidth="1"/>
    <col min="6" max="6" width="13" style="348" customWidth="1"/>
    <col min="7" max="7" width="12.53515625" style="348" customWidth="1"/>
    <col min="8" max="8" width="11.15234375" style="348" customWidth="1"/>
    <col min="9" max="9" width="8.53515625" style="348"/>
    <col min="10" max="10" width="14" style="348" bestFit="1" customWidth="1"/>
    <col min="11" max="13" width="8.53515625" style="348"/>
    <col min="14" max="14" width="11" style="348" bestFit="1" customWidth="1"/>
    <col min="15" max="16384" width="8.53515625" style="348"/>
  </cols>
  <sheetData>
    <row r="1" spans="1:8" x14ac:dyDescent="0.4">
      <c r="A1" s="348" t="s">
        <v>3058</v>
      </c>
      <c r="C1" s="351">
        <f>'MRP WP2'!B1</f>
        <v>45121</v>
      </c>
    </row>
    <row r="3" spans="1:8" ht="29.15" x14ac:dyDescent="0.4">
      <c r="A3" s="353" t="s">
        <v>712</v>
      </c>
      <c r="B3" s="353" t="s">
        <v>1520</v>
      </c>
      <c r="C3" s="353" t="s">
        <v>3059</v>
      </c>
      <c r="D3" s="354" t="s">
        <v>3060</v>
      </c>
      <c r="E3" s="463" t="s">
        <v>3061</v>
      </c>
      <c r="F3" s="354" t="s">
        <v>1586</v>
      </c>
      <c r="G3" s="354" t="s">
        <v>3062</v>
      </c>
      <c r="H3" s="354" t="s">
        <v>3063</v>
      </c>
    </row>
    <row r="4" spans="1:8" x14ac:dyDescent="0.4">
      <c r="A4" s="376" t="s">
        <v>1632</v>
      </c>
      <c r="B4" s="376" t="str">
        <f>Input!E29</f>
        <v>AEE</v>
      </c>
      <c r="C4" s="367">
        <f>VLOOKUP($B4,'MRP WP3'!$B$4:$E$503,2,FALSE)</f>
        <v>21990.13</v>
      </c>
      <c r="D4" s="368">
        <f>VLOOKUP($B4,'MRP WP3'!$B$4:$E$503,3,FALSE)</f>
        <v>3.0099999999999998E-2</v>
      </c>
      <c r="E4" s="368">
        <f>VLOOKUP($B4,'MRP WP3'!$B$4:$E$503,4,FALSE)</f>
        <v>6.5000000000000002E-2</v>
      </c>
      <c r="F4" s="369">
        <f>IFERROR(D4*(1+0.5*E4)+E4,"N/A")</f>
        <v>9.6078250000000004E-2</v>
      </c>
      <c r="G4" s="369">
        <f>IF(F4="N/A","N/A",C4/$C$34)</f>
        <v>2.4366845825639367E-2</v>
      </c>
      <c r="H4" s="370">
        <f>IF(ISNUMBER(G4),F4*G4,"N/A")</f>
        <v>2.3411239049472357E-3</v>
      </c>
    </row>
    <row r="5" spans="1:8" x14ac:dyDescent="0.4">
      <c r="A5" s="376" t="s">
        <v>1634</v>
      </c>
      <c r="B5" s="376" t="str">
        <f>Input!E30</f>
        <v>AEP</v>
      </c>
      <c r="C5" s="367">
        <f>VLOOKUP($B5,'MRP WP3'!$B$4:$E$503,2,FALSE)</f>
        <v>44157.06</v>
      </c>
      <c r="D5" s="368">
        <f>VLOOKUP($B5,'MRP WP3'!$B$4:$E$503,3,FALSE)</f>
        <v>3.8699999999999998E-2</v>
      </c>
      <c r="E5" s="368">
        <f>VLOOKUP($B5,'MRP WP3'!$B$4:$E$503,4,FALSE)</f>
        <v>0.06</v>
      </c>
      <c r="F5" s="369">
        <f t="shared" ref="F5:F33" si="0">IFERROR(D5*(1+0.5*E5)+E5,"N/A")</f>
        <v>9.9861000000000005E-2</v>
      </c>
      <c r="G5" s="369">
        <f t="shared" ref="G5:G33" si="1">IF(F5="N/A","N/A",C5/$C$34)</f>
        <v>4.8929600376782997E-2</v>
      </c>
      <c r="H5" s="370">
        <f t="shared" ref="H5:H33" si="2">IF(ISNUMBER(G5),F5*G5,"N/A")</f>
        <v>4.8861588232259274E-3</v>
      </c>
    </row>
    <row r="6" spans="1:8" x14ac:dyDescent="0.4">
      <c r="A6" s="376" t="s">
        <v>1636</v>
      </c>
      <c r="B6" s="376" t="str">
        <f>Input!E31</f>
        <v>AES</v>
      </c>
      <c r="C6" s="367">
        <f>VLOOKUP($B6,'MRP WP3'!$B$4:$E$503,2,FALSE)</f>
        <v>14357.26</v>
      </c>
      <c r="D6" s="368">
        <f>VLOOKUP($B6,'MRP WP3'!$B$4:$E$503,3,FALSE)</f>
        <v>3.0800000000000001E-2</v>
      </c>
      <c r="E6" s="368" t="str">
        <f>VLOOKUP($B6,'MRP WP3'!$B$4:$E$503,4,FALSE)</f>
        <v>N/A</v>
      </c>
      <c r="F6" s="369" t="str">
        <f t="shared" si="0"/>
        <v>N/A</v>
      </c>
      <c r="G6" s="369" t="str">
        <f t="shared" si="1"/>
        <v>N/A</v>
      </c>
      <c r="H6" s="370" t="str">
        <f t="shared" si="2"/>
        <v>N/A</v>
      </c>
    </row>
    <row r="7" spans="1:8" x14ac:dyDescent="0.4">
      <c r="A7" s="376" t="s">
        <v>1719</v>
      </c>
      <c r="B7" s="376" t="str">
        <f>Input!E32</f>
        <v>ATO</v>
      </c>
      <c r="C7" s="367">
        <f>VLOOKUP($B7,'MRP WP3'!$B$4:$E$503,2,FALSE)</f>
        <v>17134.48</v>
      </c>
      <c r="D7" s="368">
        <f>VLOOKUP($B7,'MRP WP3'!$B$4:$E$503,3,FALSE)</f>
        <v>2.6499999999999999E-2</v>
      </c>
      <c r="E7" s="368">
        <f>VLOOKUP($B7,'MRP WP3'!$B$4:$E$503,4,FALSE)</f>
        <v>7.4999999999999997E-2</v>
      </c>
      <c r="F7" s="369">
        <f t="shared" si="0"/>
        <v>0.10249374999999999</v>
      </c>
      <c r="G7" s="369">
        <f t="shared" si="1"/>
        <v>1.8986392188791119E-2</v>
      </c>
      <c r="H7" s="370">
        <f t="shared" si="2"/>
        <v>1.9459865343999098E-3</v>
      </c>
    </row>
    <row r="8" spans="1:8" x14ac:dyDescent="0.4">
      <c r="A8" s="376" t="s">
        <v>1733</v>
      </c>
      <c r="B8" s="376" t="str">
        <f>Input!E33</f>
        <v>AWK</v>
      </c>
      <c r="C8" s="367">
        <f>VLOOKUP($B8,'MRP WP3'!$B$4:$E$503,2,FALSE)</f>
        <v>28184.3</v>
      </c>
      <c r="D8" s="368">
        <f>VLOOKUP($B8,'MRP WP3'!$B$4:$E$503,3,FALSE)</f>
        <v>1.9900000000000001E-2</v>
      </c>
      <c r="E8" s="368">
        <f>VLOOKUP($B8,'MRP WP3'!$B$4:$E$503,4,FALSE)</f>
        <v>0.03</v>
      </c>
      <c r="F8" s="369">
        <f t="shared" si="0"/>
        <v>5.0198499999999993E-2</v>
      </c>
      <c r="G8" s="369">
        <f t="shared" si="1"/>
        <v>3.1230488078222714E-2</v>
      </c>
      <c r="H8" s="370">
        <f t="shared" si="2"/>
        <v>1.5677236557946627E-3</v>
      </c>
    </row>
    <row r="9" spans="1:8" x14ac:dyDescent="0.4">
      <c r="A9" s="376" t="s">
        <v>1855</v>
      </c>
      <c r="B9" s="376" t="str">
        <f>Input!E34</f>
        <v>CEG</v>
      </c>
      <c r="C9" s="367">
        <f>VLOOKUP($B9,'MRP WP3'!$B$4:$E$503,2,FALSE)</f>
        <v>30141.759999999998</v>
      </c>
      <c r="D9" s="368">
        <f>VLOOKUP($B9,'MRP WP3'!$B$4:$E$503,3,FALSE)</f>
        <v>1.23E-2</v>
      </c>
      <c r="E9" s="368" t="str">
        <f>VLOOKUP($B9,'MRP WP3'!$B$4:$E$503,4,FALSE)</f>
        <v>N/A</v>
      </c>
      <c r="F9" s="369" t="str">
        <f t="shared" si="0"/>
        <v>N/A</v>
      </c>
      <c r="G9" s="369" t="str">
        <f t="shared" si="1"/>
        <v>N/A</v>
      </c>
      <c r="H9" s="370" t="str">
        <f t="shared" si="2"/>
        <v>N/A</v>
      </c>
    </row>
    <row r="10" spans="1:8" x14ac:dyDescent="0.4">
      <c r="A10" s="376" t="s">
        <v>1899</v>
      </c>
      <c r="B10" s="376" t="str">
        <f>Input!E35</f>
        <v>CMS</v>
      </c>
      <c r="C10" s="367">
        <f>VLOOKUP($B10,'MRP WP3'!$B$4:$E$503,2,FALSE)</f>
        <v>17566.169999999998</v>
      </c>
      <c r="D10" s="368">
        <f>VLOOKUP($B10,'MRP WP3'!$B$4:$E$503,3,FALSE)</f>
        <v>3.2400000000000005E-2</v>
      </c>
      <c r="E10" s="368">
        <f>VLOOKUP($B10,'MRP WP3'!$B$4:$E$503,4,FALSE)</f>
        <v>5.5E-2</v>
      </c>
      <c r="F10" s="369">
        <f t="shared" si="0"/>
        <v>8.8291000000000008E-2</v>
      </c>
      <c r="G10" s="369">
        <f t="shared" si="1"/>
        <v>1.9464739687167446E-2</v>
      </c>
      <c r="H10" s="370">
        <f t="shared" si="2"/>
        <v>1.7185613317197011E-3</v>
      </c>
    </row>
    <row r="11" spans="1:8" x14ac:dyDescent="0.4">
      <c r="A11" s="376" t="s">
        <v>1904</v>
      </c>
      <c r="B11" s="376" t="str">
        <f>Input!E36</f>
        <v>CNP</v>
      </c>
      <c r="C11" s="367">
        <f>VLOOKUP($B11,'MRP WP3'!$B$4:$E$503,2,FALSE)</f>
        <v>18697.060000000001</v>
      </c>
      <c r="D11" s="368">
        <f>VLOOKUP($B11,'MRP WP3'!$B$4:$E$503,3,FALSE)</f>
        <v>2.5699999999999997E-2</v>
      </c>
      <c r="E11" s="368">
        <f>VLOOKUP($B11,'MRP WP3'!$B$4:$E$503,4,FALSE)</f>
        <v>7.4999999999999997E-2</v>
      </c>
      <c r="F11" s="369">
        <f t="shared" si="0"/>
        <v>0.10166375</v>
      </c>
      <c r="G11" s="369">
        <f t="shared" si="1"/>
        <v>2.0717857439347964E-2</v>
      </c>
      <c r="H11" s="370">
        <f t="shared" si="2"/>
        <v>2.1062550792495115E-3</v>
      </c>
    </row>
    <row r="12" spans="1:8" x14ac:dyDescent="0.4">
      <c r="A12" s="376" t="s">
        <v>1966</v>
      </c>
      <c r="B12" s="376" t="str">
        <f>Input!E37</f>
        <v>D</v>
      </c>
      <c r="C12" s="367">
        <f>VLOOKUP($B12,'MRP WP3'!$B$4:$E$503,2,FALSE)</f>
        <v>44383.24</v>
      </c>
      <c r="D12" s="368">
        <f>VLOOKUP($B12,'MRP WP3'!$B$4:$E$503,3,FALSE)</f>
        <v>5.0300000000000004E-2</v>
      </c>
      <c r="E12" s="368">
        <f>VLOOKUP($B12,'MRP WP3'!$B$4:$E$503,4,FALSE)</f>
        <v>4.4999999999999998E-2</v>
      </c>
      <c r="F12" s="369">
        <f t="shared" si="0"/>
        <v>9.6431750000000011E-2</v>
      </c>
      <c r="G12" s="369">
        <f t="shared" si="1"/>
        <v>4.9180226143381155E-2</v>
      </c>
      <c r="H12" s="370">
        <f t="shared" si="2"/>
        <v>4.7425352724019959E-3</v>
      </c>
    </row>
    <row r="13" spans="1:8" x14ac:dyDescent="0.4">
      <c r="A13" s="376" t="s">
        <v>2012</v>
      </c>
      <c r="B13" s="376" t="str">
        <f>Input!E38</f>
        <v>DTE</v>
      </c>
      <c r="C13" s="367">
        <f>VLOOKUP($B13,'MRP WP3'!$B$4:$E$503,2,FALSE)</f>
        <v>23187.26</v>
      </c>
      <c r="D13" s="368">
        <f>VLOOKUP($B13,'MRP WP3'!$B$4:$E$503,3,FALSE)</f>
        <v>3.39E-2</v>
      </c>
      <c r="E13" s="368">
        <f>VLOOKUP($B13,'MRP WP3'!$B$4:$E$503,4,FALSE)</f>
        <v>0.05</v>
      </c>
      <c r="F13" s="369">
        <f t="shared" si="0"/>
        <v>8.4747500000000003E-2</v>
      </c>
      <c r="G13" s="369">
        <f t="shared" si="1"/>
        <v>2.5693362865022381E-2</v>
      </c>
      <c r="H13" s="370">
        <f t="shared" si="2"/>
        <v>2.1774482694034841E-3</v>
      </c>
    </row>
    <row r="14" spans="1:8" x14ac:dyDescent="0.4">
      <c r="A14" s="376" t="s">
        <v>2014</v>
      </c>
      <c r="B14" s="376" t="str">
        <f>Input!E39</f>
        <v>DUK</v>
      </c>
      <c r="C14" s="367">
        <f>VLOOKUP($B14,'MRP WP3'!$B$4:$E$503,2,FALSE)</f>
        <v>70631.31</v>
      </c>
      <c r="D14" s="368">
        <f>VLOOKUP($B14,'MRP WP3'!$B$4:$E$503,3,FALSE)</f>
        <v>4.3899999999999995E-2</v>
      </c>
      <c r="E14" s="368">
        <f>VLOOKUP($B14,'MRP WP3'!$B$4:$E$503,4,FALSE)</f>
        <v>0.05</v>
      </c>
      <c r="F14" s="369">
        <f t="shared" si="0"/>
        <v>9.4997499999999985E-2</v>
      </c>
      <c r="G14" s="369">
        <f t="shared" si="1"/>
        <v>7.826521449545501E-2</v>
      </c>
      <c r="H14" s="370">
        <f t="shared" si="2"/>
        <v>7.4349997140319857E-3</v>
      </c>
    </row>
    <row r="15" spans="1:8" x14ac:dyDescent="0.4">
      <c r="A15" s="376" t="s">
        <v>2037</v>
      </c>
      <c r="B15" s="376" t="str">
        <f>Input!E40</f>
        <v>ED</v>
      </c>
      <c r="C15" s="367">
        <f>VLOOKUP($B15,'MRP WP3'!$B$4:$E$503,2,FALSE)</f>
        <v>32126.1</v>
      </c>
      <c r="D15" s="368">
        <f>VLOOKUP($B15,'MRP WP3'!$B$4:$E$503,3,FALSE)</f>
        <v>3.5200000000000002E-2</v>
      </c>
      <c r="E15" s="368">
        <f>VLOOKUP($B15,'MRP WP3'!$B$4:$E$503,4,FALSE)</f>
        <v>5.5E-2</v>
      </c>
      <c r="F15" s="369">
        <f t="shared" si="0"/>
        <v>9.1167999999999999E-2</v>
      </c>
      <c r="G15" s="369">
        <f t="shared" si="1"/>
        <v>3.5598321868905408E-2</v>
      </c>
      <c r="H15" s="370">
        <f t="shared" si="2"/>
        <v>3.2454278081443682E-3</v>
      </c>
    </row>
    <row r="16" spans="1:8" x14ac:dyDescent="0.4">
      <c r="A16" s="376" t="s">
        <v>2045</v>
      </c>
      <c r="B16" s="376" t="str">
        <f>Input!E41</f>
        <v>EIX</v>
      </c>
      <c r="C16" s="367">
        <f>VLOOKUP($B16,'MRP WP3'!$B$4:$E$503,2,FALSE)</f>
        <v>26874.14</v>
      </c>
      <c r="D16" s="368">
        <f>VLOOKUP($B16,'MRP WP3'!$B$4:$E$503,3,FALSE)</f>
        <v>4.2000000000000003E-2</v>
      </c>
      <c r="E16" s="368">
        <f>VLOOKUP($B16,'MRP WP3'!$B$4:$E$503,4,FALSE)</f>
        <v>0.24</v>
      </c>
      <c r="F16" s="369">
        <f t="shared" si="0"/>
        <v>0.28704000000000002</v>
      </c>
      <c r="G16" s="369">
        <f t="shared" si="1"/>
        <v>2.9778724640402213E-2</v>
      </c>
      <c r="H16" s="370">
        <f t="shared" si="2"/>
        <v>8.5476851207810511E-3</v>
      </c>
    </row>
    <row r="17" spans="1:8" x14ac:dyDescent="0.4">
      <c r="A17" s="376" t="s">
        <v>789</v>
      </c>
      <c r="B17" s="376" t="str">
        <f>Input!E42</f>
        <v>ES</v>
      </c>
      <c r="C17" s="367">
        <f>VLOOKUP($B17,'MRP WP3'!$B$4:$E$503,2,FALSE)</f>
        <v>24988.61</v>
      </c>
      <c r="D17" s="368">
        <f>VLOOKUP($B17,'MRP WP3'!$B$4:$E$503,3,FALSE)</f>
        <v>3.8300000000000001E-2</v>
      </c>
      <c r="E17" s="368">
        <f>VLOOKUP($B17,'MRP WP3'!$B$4:$E$503,4,FALSE)</f>
        <v>6.5000000000000002E-2</v>
      </c>
      <c r="F17" s="369">
        <f t="shared" si="0"/>
        <v>0.10454474999999999</v>
      </c>
      <c r="G17" s="369">
        <f t="shared" si="1"/>
        <v>2.7689404622302377E-2</v>
      </c>
      <c r="H17" s="370">
        <f t="shared" si="2"/>
        <v>2.8947818838874462E-3</v>
      </c>
    </row>
    <row r="18" spans="1:8" x14ac:dyDescent="0.4">
      <c r="A18" s="376" t="s">
        <v>2084</v>
      </c>
      <c r="B18" s="376" t="str">
        <f>Input!E43</f>
        <v>ETR</v>
      </c>
      <c r="C18" s="367">
        <f>VLOOKUP($B18,'MRP WP3'!$B$4:$E$503,2,FALSE)</f>
        <v>20966.990000000002</v>
      </c>
      <c r="D18" s="368">
        <f>VLOOKUP($B18,'MRP WP3'!$B$4:$E$503,3,FALSE)</f>
        <v>4.3200000000000002E-2</v>
      </c>
      <c r="E18" s="368">
        <f>VLOOKUP($B18,'MRP WP3'!$B$4:$E$503,4,FALSE)</f>
        <v>5.0000000000000001E-3</v>
      </c>
      <c r="F18" s="369">
        <f t="shared" si="0"/>
        <v>4.8307999999999997E-2</v>
      </c>
      <c r="G18" s="369">
        <f t="shared" si="1"/>
        <v>2.3233123804075845E-2</v>
      </c>
      <c r="H18" s="370">
        <f t="shared" si="2"/>
        <v>1.122345744727296E-3</v>
      </c>
    </row>
    <row r="19" spans="1:8" x14ac:dyDescent="0.4">
      <c r="A19" s="376" t="s">
        <v>2089</v>
      </c>
      <c r="B19" s="376" t="str">
        <f>Input!E44</f>
        <v>EVRG</v>
      </c>
      <c r="C19" s="367">
        <f>VLOOKUP($B19,'MRP WP3'!$B$4:$E$503,2,FALSE)</f>
        <v>13723.2</v>
      </c>
      <c r="D19" s="368">
        <f>VLOOKUP($B19,'MRP WP3'!$B$4:$E$503,3,FALSE)</f>
        <v>4.2300000000000004E-2</v>
      </c>
      <c r="E19" s="368">
        <f>VLOOKUP($B19,'MRP WP3'!$B$4:$E$503,4,FALSE)</f>
        <v>7.0000000000000007E-2</v>
      </c>
      <c r="F19" s="369">
        <f t="shared" si="0"/>
        <v>0.11378050000000001</v>
      </c>
      <c r="G19" s="369">
        <f t="shared" si="1"/>
        <v>1.5206417544344403E-2</v>
      </c>
      <c r="H19" s="370">
        <f t="shared" si="2"/>
        <v>1.7301937914042784E-3</v>
      </c>
    </row>
    <row r="20" spans="1:8" x14ac:dyDescent="0.4">
      <c r="A20" s="376" t="s">
        <v>2094</v>
      </c>
      <c r="B20" s="376" t="str">
        <f>Input!E45</f>
        <v>EXC</v>
      </c>
      <c r="C20" s="367">
        <f>VLOOKUP($B20,'MRP WP3'!$B$4:$E$503,2,FALSE)</f>
        <v>41254.730000000003</v>
      </c>
      <c r="D20" s="368">
        <f>VLOOKUP($B20,'MRP WP3'!$B$4:$E$503,3,FALSE)</f>
        <v>3.4700000000000002E-2</v>
      </c>
      <c r="E20" s="368">
        <f>VLOOKUP($B20,'MRP WP3'!$B$4:$E$503,4,FALSE)</f>
        <v>-5.0000000000000001E-3</v>
      </c>
      <c r="F20" s="369">
        <f t="shared" si="0"/>
        <v>2.9613250000000004E-2</v>
      </c>
      <c r="G20" s="369">
        <f t="shared" si="1"/>
        <v>4.5713583570828331E-2</v>
      </c>
      <c r="H20" s="370">
        <f t="shared" si="2"/>
        <v>1.3537277786788322E-3</v>
      </c>
    </row>
    <row r="21" spans="1:8" x14ac:dyDescent="0.4">
      <c r="A21" s="376" t="s">
        <v>2123</v>
      </c>
      <c r="B21" s="376" t="str">
        <f>Input!E46</f>
        <v>FE</v>
      </c>
      <c r="C21" s="367">
        <f>VLOOKUP($B21,'MRP WP3'!$B$4:$E$503,2,FALSE)</f>
        <v>22649.98</v>
      </c>
      <c r="D21" s="368">
        <f>VLOOKUP($B21,'MRP WP3'!$B$4:$E$503,3,FALSE)</f>
        <v>4.1700000000000001E-2</v>
      </c>
      <c r="E21" s="368">
        <f>VLOOKUP($B21,'MRP WP3'!$B$4:$E$503,4,FALSE)</f>
        <v>0.04</v>
      </c>
      <c r="F21" s="369">
        <f t="shared" si="0"/>
        <v>8.2533999999999996E-2</v>
      </c>
      <c r="G21" s="369">
        <f t="shared" si="1"/>
        <v>2.5098013091046537E-2</v>
      </c>
      <c r="H21" s="370">
        <f t="shared" si="2"/>
        <v>2.0714394124564349E-3</v>
      </c>
    </row>
    <row r="22" spans="1:8" x14ac:dyDescent="0.4">
      <c r="A22" s="376" t="s">
        <v>2410</v>
      </c>
      <c r="B22" s="376" t="str">
        <f>Input!E47</f>
        <v>LNT</v>
      </c>
      <c r="C22" s="367">
        <f>VLOOKUP($B22,'MRP WP3'!$B$4:$E$503,2,FALSE)</f>
        <v>13448.21</v>
      </c>
      <c r="D22" s="368">
        <f>VLOOKUP($B22,'MRP WP3'!$B$4:$E$503,3,FALSE)</f>
        <v>3.3799999999999997E-2</v>
      </c>
      <c r="E22" s="368">
        <f>VLOOKUP($B22,'MRP WP3'!$B$4:$E$503,4,FALSE)</f>
        <v>6.5000000000000002E-2</v>
      </c>
      <c r="F22" s="369">
        <f t="shared" si="0"/>
        <v>9.9898500000000001E-2</v>
      </c>
      <c r="G22" s="369">
        <f t="shared" si="1"/>
        <v>1.4901706342837518E-2</v>
      </c>
      <c r="H22" s="370">
        <f t="shared" si="2"/>
        <v>1.4886581110899538E-3</v>
      </c>
    </row>
    <row r="23" spans="1:8" x14ac:dyDescent="0.4">
      <c r="A23" s="376" t="s">
        <v>2549</v>
      </c>
      <c r="B23" s="376" t="str">
        <f>Input!E48</f>
        <v>NEE</v>
      </c>
      <c r="C23" s="367">
        <f>VLOOKUP($B23,'MRP WP3'!$B$4:$E$503,2,FALSE)</f>
        <v>151655.5</v>
      </c>
      <c r="D23" s="368">
        <f>VLOOKUP($B23,'MRP WP3'!$B$4:$E$503,3,FALSE)</f>
        <v>2.5600000000000001E-2</v>
      </c>
      <c r="E23" s="368">
        <f>VLOOKUP($B23,'MRP WP3'!$B$4:$E$503,4,FALSE)</f>
        <v>9.5000000000000001E-2</v>
      </c>
      <c r="F23" s="369">
        <f t="shared" si="0"/>
        <v>0.12181600000000001</v>
      </c>
      <c r="G23" s="369">
        <f t="shared" si="1"/>
        <v>0.16804658213072188</v>
      </c>
      <c r="H23" s="370">
        <f t="shared" si="2"/>
        <v>2.0470762448836017E-2</v>
      </c>
    </row>
    <row r="24" spans="1:8" x14ac:dyDescent="0.4">
      <c r="A24" s="376" t="s">
        <v>2557</v>
      </c>
      <c r="B24" s="376" t="str">
        <f>Input!E49</f>
        <v>NI</v>
      </c>
      <c r="C24" s="367">
        <f>VLOOKUP($B24,'MRP WP3'!$B$4:$E$503,2,FALSE)</f>
        <v>11513.97</v>
      </c>
      <c r="D24" s="368">
        <f>VLOOKUP($B24,'MRP WP3'!$B$4:$E$503,3,FALSE)</f>
        <v>3.5900000000000001E-2</v>
      </c>
      <c r="E24" s="368">
        <f>VLOOKUP($B24,'MRP WP3'!$B$4:$E$503,4,FALSE)</f>
        <v>0.06</v>
      </c>
      <c r="F24" s="369">
        <f t="shared" si="0"/>
        <v>9.6977000000000008E-2</v>
      </c>
      <c r="G24" s="369">
        <f t="shared" si="1"/>
        <v>1.2758411697931613E-2</v>
      </c>
      <c r="H24" s="370">
        <f t="shared" si="2"/>
        <v>1.237272491230314E-3</v>
      </c>
    </row>
    <row r="25" spans="1:8" x14ac:dyDescent="0.4">
      <c r="A25" s="376" t="s">
        <v>2568</v>
      </c>
      <c r="B25" s="376" t="str">
        <f>Input!E50</f>
        <v>NRG</v>
      </c>
      <c r="C25" s="367">
        <f>VLOOKUP($B25,'MRP WP3'!$B$4:$E$503,2,FALSE)</f>
        <v>8818.81</v>
      </c>
      <c r="D25" s="368">
        <f>VLOOKUP($B25,'MRP WP3'!$B$4:$E$503,3,FALSE)</f>
        <v>3.9399999999999998E-2</v>
      </c>
      <c r="E25" s="368">
        <f>VLOOKUP($B25,'MRP WP3'!$B$4:$E$503,4,FALSE)</f>
        <v>-2.5000000000000001E-2</v>
      </c>
      <c r="F25" s="369">
        <f t="shared" si="0"/>
        <v>1.3907499999999996E-2</v>
      </c>
      <c r="G25" s="369">
        <f t="shared" si="1"/>
        <v>9.7719560382592864E-3</v>
      </c>
      <c r="H25" s="370">
        <f t="shared" si="2"/>
        <v>1.35903478602091E-4</v>
      </c>
    </row>
    <row r="26" spans="1:8" x14ac:dyDescent="0.4">
      <c r="A26" s="376" t="s">
        <v>2642</v>
      </c>
      <c r="B26" s="376" t="str">
        <f>Input!E51</f>
        <v>PCG</v>
      </c>
      <c r="C26" s="367" t="str">
        <f>VLOOKUP($B26,'MRP WP3'!$B$4:$E$503,2,FALSE)</f>
        <v>N/A</v>
      </c>
      <c r="D26" s="368">
        <f>VLOOKUP($B26,'MRP WP3'!$B$4:$E$503,3,FALSE)</f>
        <v>0</v>
      </c>
      <c r="E26" s="368" t="str">
        <f>VLOOKUP($B26,'MRP WP3'!$B$4:$E$503,4,FALSE)</f>
        <v>N/A</v>
      </c>
      <c r="F26" s="369" t="str">
        <f t="shared" si="0"/>
        <v>N/A</v>
      </c>
      <c r="G26" s="369" t="str">
        <f t="shared" si="1"/>
        <v>N/A</v>
      </c>
      <c r="H26" s="370" t="str">
        <f t="shared" si="2"/>
        <v>N/A</v>
      </c>
    </row>
    <row r="27" spans="1:8" x14ac:dyDescent="0.4">
      <c r="A27" s="376" t="s">
        <v>2647</v>
      </c>
      <c r="B27" s="376" t="str">
        <f>Input!E52</f>
        <v>PEG</v>
      </c>
      <c r="C27" s="367">
        <f>VLOOKUP($B27,'MRP WP3'!$B$4:$E$503,2,FALSE)</f>
        <v>31634.05</v>
      </c>
      <c r="D27" s="368">
        <f>VLOOKUP($B27,'MRP WP3'!$B$4:$E$503,3,FALSE)</f>
        <v>3.6299999999999999E-2</v>
      </c>
      <c r="E27" s="368">
        <f>VLOOKUP($B27,'MRP WP3'!$B$4:$E$503,4,FALSE)</f>
        <v>0.04</v>
      </c>
      <c r="F27" s="369">
        <f t="shared" si="0"/>
        <v>7.7025999999999997E-2</v>
      </c>
      <c r="G27" s="369">
        <f t="shared" si="1"/>
        <v>3.5053090599763033E-2</v>
      </c>
      <c r="H27" s="370">
        <f t="shared" si="2"/>
        <v>2.6999993565373472E-3</v>
      </c>
    </row>
    <row r="28" spans="1:8" x14ac:dyDescent="0.4">
      <c r="A28" s="376" t="s">
        <v>2685</v>
      </c>
      <c r="B28" s="376" t="str">
        <f>Input!E53</f>
        <v>PNW</v>
      </c>
      <c r="C28" s="367">
        <f>VLOOKUP($B28,'MRP WP3'!$B$4:$E$503,2,FALSE)</f>
        <v>9363.76</v>
      </c>
      <c r="D28" s="368">
        <f>VLOOKUP($B28,'MRP WP3'!$B$4:$E$503,3,FALSE)</f>
        <v>4.2099999999999999E-2</v>
      </c>
      <c r="E28" s="368">
        <f>VLOOKUP($B28,'MRP WP3'!$B$4:$E$503,4,FALSE)</f>
        <v>2.5000000000000001E-2</v>
      </c>
      <c r="F28" s="369">
        <f t="shared" si="0"/>
        <v>6.7626249999999999E-2</v>
      </c>
      <c r="G28" s="369">
        <f t="shared" si="1"/>
        <v>1.0375804793709219E-2</v>
      </c>
      <c r="H28" s="370">
        <f t="shared" si="2"/>
        <v>7.0167676893057799E-4</v>
      </c>
    </row>
    <row r="29" spans="1:8" x14ac:dyDescent="0.4">
      <c r="A29" s="376" t="s">
        <v>2696</v>
      </c>
      <c r="B29" s="376" t="str">
        <f>Input!E54</f>
        <v>PPL</v>
      </c>
      <c r="C29" s="367">
        <f>VLOOKUP($B29,'MRP WP3'!$B$4:$E$503,2,FALSE)</f>
        <v>19694.43</v>
      </c>
      <c r="D29" s="368">
        <f>VLOOKUP($B29,'MRP WP3'!$B$4:$E$503,3,FALSE)</f>
        <v>3.5900000000000001E-2</v>
      </c>
      <c r="E29" s="368">
        <f>VLOOKUP($B29,'MRP WP3'!$B$4:$E$503,4,FALSE)</f>
        <v>0.08</v>
      </c>
      <c r="F29" s="369">
        <f t="shared" si="0"/>
        <v>0.117336</v>
      </c>
      <c r="G29" s="369">
        <f t="shared" si="1"/>
        <v>2.1823024212855802E-2</v>
      </c>
      <c r="H29" s="370">
        <f t="shared" si="2"/>
        <v>2.5606263690396485E-3</v>
      </c>
    </row>
    <row r="30" spans="1:8" x14ac:dyDescent="0.4">
      <c r="A30" s="376" t="s">
        <v>2800</v>
      </c>
      <c r="B30" s="376" t="str">
        <f>Input!E55</f>
        <v>SO</v>
      </c>
      <c r="C30" s="367">
        <f>VLOOKUP($B30,'MRP WP3'!$B$4:$E$503,2,FALSE)</f>
        <v>78160.08</v>
      </c>
      <c r="D30" s="368">
        <f>VLOOKUP($B30,'MRP WP3'!$B$4:$E$503,3,FALSE)</f>
        <v>3.9100000000000003E-2</v>
      </c>
      <c r="E30" s="368">
        <f>VLOOKUP($B30,'MRP WP3'!$B$4:$E$503,4,FALSE)</f>
        <v>6.5000000000000002E-2</v>
      </c>
      <c r="F30" s="369">
        <f t="shared" si="0"/>
        <v>0.10537075000000001</v>
      </c>
      <c r="G30" s="369">
        <f t="shared" si="1"/>
        <v>8.6607701686149147E-2</v>
      </c>
      <c r="H30" s="370">
        <f t="shared" si="2"/>
        <v>9.1259184824458005E-3</v>
      </c>
    </row>
    <row r="31" spans="1:8" x14ac:dyDescent="0.4">
      <c r="A31" s="376" t="s">
        <v>3073</v>
      </c>
      <c r="B31" s="376" t="str">
        <f>Input!E56</f>
        <v>SRE</v>
      </c>
      <c r="C31" s="367">
        <f>VLOOKUP($B31,'MRP WP3'!$B$4:$E$503,2,FALSE)</f>
        <v>46059.3</v>
      </c>
      <c r="D31" s="368">
        <f>VLOOKUP($B31,'MRP WP3'!$B$4:$E$503,3,FALSE)</f>
        <v>3.3000000000000002E-2</v>
      </c>
      <c r="E31" s="368">
        <f>VLOOKUP($B31,'MRP WP3'!$B$4:$E$503,4,FALSE)</f>
        <v>6.5000000000000002E-2</v>
      </c>
      <c r="F31" s="369">
        <f t="shared" si="0"/>
        <v>9.9072500000000008E-2</v>
      </c>
      <c r="G31" s="369">
        <f t="shared" si="1"/>
        <v>5.1037436428837457E-2</v>
      </c>
      <c r="H31" s="370">
        <f t="shared" si="2"/>
        <v>5.0564064205959993E-3</v>
      </c>
    </row>
    <row r="32" spans="1:8" x14ac:dyDescent="0.4">
      <c r="A32" s="376" t="s">
        <v>2993</v>
      </c>
      <c r="B32" s="376" t="str">
        <f>Input!E57</f>
        <v>WEC</v>
      </c>
      <c r="C32" s="367">
        <f>VLOOKUP($B32,'MRP WP3'!$B$4:$E$503,2,FALSE)</f>
        <v>28499.55</v>
      </c>
      <c r="D32" s="368">
        <f>VLOOKUP($B32,'MRP WP3'!$B$4:$E$503,3,FALSE)</f>
        <v>3.4500000000000003E-2</v>
      </c>
      <c r="E32" s="368">
        <f>VLOOKUP($B32,'MRP WP3'!$B$4:$E$503,4,FALSE)</f>
        <v>0.06</v>
      </c>
      <c r="F32" s="369">
        <f t="shared" si="0"/>
        <v>9.5535000000000009E-2</v>
      </c>
      <c r="G32" s="369">
        <f t="shared" si="1"/>
        <v>3.1579810621860827E-2</v>
      </c>
      <c r="H32" s="370">
        <f t="shared" si="2"/>
        <v>3.0169772077594742E-3</v>
      </c>
    </row>
    <row r="33" spans="1:15" x14ac:dyDescent="0.4">
      <c r="A33" s="362" t="s">
        <v>3031</v>
      </c>
      <c r="B33" s="376" t="str">
        <f>Input!E58</f>
        <v>XEL</v>
      </c>
      <c r="C33" s="367">
        <f>VLOOKUP($B33,'MRP WP3'!$B$4:$E$503,2,FALSE)</f>
        <v>35098.660000000003</v>
      </c>
      <c r="D33" s="368">
        <f>VLOOKUP($B33,'MRP WP3'!$B$4:$E$503,3,FALSE)</f>
        <v>3.2599999999999997E-2</v>
      </c>
      <c r="E33" s="368">
        <f>VLOOKUP($B33,'MRP WP3'!$B$4:$E$503,4,FALSE)</f>
        <v>0.06</v>
      </c>
      <c r="F33" s="369">
        <f t="shared" si="0"/>
        <v>9.3577999999999995E-2</v>
      </c>
      <c r="G33" s="369">
        <f t="shared" si="1"/>
        <v>3.8892159205358746E-2</v>
      </c>
      <c r="H33" s="370">
        <f t="shared" si="2"/>
        <v>3.6394504741190607E-3</v>
      </c>
      <c r="O33" s="371"/>
    </row>
    <row r="34" spans="1:15" x14ac:dyDescent="0.4">
      <c r="A34" s="362"/>
      <c r="B34" s="362"/>
      <c r="C34" s="372">
        <f>SUMIF(F4:F33,"&lt;&gt;n/a",C4:C33)</f>
        <v>902461.08000000019</v>
      </c>
      <c r="D34" s="373"/>
      <c r="E34" s="373"/>
      <c r="F34" s="373"/>
      <c r="G34" s="374"/>
      <c r="H34" s="375">
        <f>SUM(H4:H33)</f>
        <v>0.10002004573444044</v>
      </c>
    </row>
    <row r="35" spans="1:15" x14ac:dyDescent="0.4">
      <c r="A35" s="362"/>
      <c r="B35" s="362"/>
    </row>
    <row r="36" spans="1:15" x14ac:dyDescent="0.4">
      <c r="A36" s="362"/>
      <c r="B36" s="362"/>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9A32B-0200-4191-824A-5177E57D5E82}">
  <dimension ref="A1:AZ1168"/>
  <sheetViews>
    <sheetView zoomScale="70" zoomScaleNormal="70" workbookViewId="0">
      <selection sqref="A1:H1"/>
    </sheetView>
  </sheetViews>
  <sheetFormatPr defaultColWidth="10.3828125" defaultRowHeight="14.6" x14ac:dyDescent="0.4"/>
  <cols>
    <col min="1" max="1" width="10.3828125" style="436"/>
    <col min="2" max="2" width="15.3046875" style="436" bestFit="1" customWidth="1"/>
    <col min="3" max="3" width="17.3828125" style="438" customWidth="1"/>
    <col min="4" max="4" width="14" style="438" customWidth="1"/>
    <col min="5" max="5" width="15.15234375" style="438" bestFit="1" customWidth="1"/>
    <col min="6" max="7" width="11.84375" style="438" customWidth="1"/>
    <col min="8" max="8" width="17.53515625" style="438" bestFit="1" customWidth="1"/>
    <col min="9" max="9" width="11.84375" style="438" customWidth="1"/>
    <col min="10" max="12" width="12.53515625" style="438" bestFit="1" customWidth="1"/>
    <col min="13" max="13" width="20.53515625" style="436" bestFit="1" customWidth="1"/>
    <col min="14" max="14" width="20.3046875" style="436" bestFit="1" customWidth="1"/>
    <col min="15" max="15" width="24.53515625" style="436" bestFit="1" customWidth="1"/>
    <col min="16" max="17" width="24" style="436" customWidth="1"/>
    <col min="18" max="18" width="22.53515625" style="436" bestFit="1" customWidth="1"/>
    <col min="19" max="19" width="18.53515625" style="436" bestFit="1" customWidth="1"/>
    <col min="20" max="20" width="10.53515625" style="436" bestFit="1" customWidth="1"/>
    <col min="21" max="21" width="10.3828125" style="436"/>
    <col min="22" max="22" width="10.3828125" style="436" bestFit="1" customWidth="1"/>
    <col min="23" max="23" width="10.53515625" style="436" bestFit="1" customWidth="1"/>
    <col min="24" max="24" width="16.15234375" style="436" bestFit="1" customWidth="1"/>
    <col min="25" max="25" width="10.53515625" style="436" bestFit="1" customWidth="1"/>
    <col min="26" max="27" width="15.15234375" style="436" bestFit="1" customWidth="1"/>
    <col min="28" max="30" width="10.53515625" style="436" bestFit="1" customWidth="1"/>
    <col min="31" max="31" width="10.3828125" style="436"/>
    <col min="32" max="32" width="10.3828125" style="436" bestFit="1" customWidth="1"/>
    <col min="33" max="35" width="10.53515625" style="436" bestFit="1" customWidth="1"/>
    <col min="36" max="37" width="15.15234375" style="436" bestFit="1" customWidth="1"/>
    <col min="38" max="40" width="10.53515625" style="436" bestFit="1" customWidth="1"/>
    <col min="41" max="41" width="10.3828125" style="436"/>
    <col min="42" max="42" width="10.3828125" style="436" bestFit="1" customWidth="1"/>
    <col min="43" max="45" width="10.53515625" style="436" bestFit="1" customWidth="1"/>
    <col min="46" max="46" width="15.15234375" style="436" bestFit="1" customWidth="1"/>
    <col min="47" max="47" width="12.53515625" style="436" bestFit="1" customWidth="1"/>
    <col min="48" max="50" width="10.53515625" style="436" bestFit="1" customWidth="1"/>
    <col min="51" max="16384" width="10.3828125" style="436"/>
  </cols>
  <sheetData>
    <row r="1" spans="2:50" ht="15" thickBot="1" x14ac:dyDescent="0.45">
      <c r="B1" s="436" t="s">
        <v>3074</v>
      </c>
      <c r="C1" s="437"/>
      <c r="D1" s="438" t="s">
        <v>3075</v>
      </c>
      <c r="J1" s="956"/>
      <c r="K1" s="956"/>
      <c r="V1" s="376" t="s">
        <v>3076</v>
      </c>
      <c r="W1" s="376"/>
      <c r="X1" s="376"/>
      <c r="Y1" s="376"/>
      <c r="Z1" s="376"/>
      <c r="AA1" s="376"/>
      <c r="AB1" s="376"/>
      <c r="AC1" s="376"/>
      <c r="AD1" s="376"/>
      <c r="AF1" s="376" t="s">
        <v>3076</v>
      </c>
      <c r="AG1" s="376"/>
      <c r="AH1" s="376"/>
      <c r="AI1" s="376"/>
      <c r="AJ1" s="376"/>
      <c r="AK1" s="376"/>
      <c r="AL1" s="376"/>
      <c r="AM1" s="376"/>
      <c r="AN1" s="376"/>
      <c r="AP1" s="376" t="s">
        <v>3076</v>
      </c>
      <c r="AQ1" s="376"/>
      <c r="AR1" s="376"/>
      <c r="AS1" s="376"/>
      <c r="AT1" s="376"/>
      <c r="AU1" s="376"/>
      <c r="AV1" s="376"/>
      <c r="AW1" s="376"/>
      <c r="AX1" s="376"/>
    </row>
    <row r="2" spans="2:50" ht="15" thickBot="1" x14ac:dyDescent="0.45">
      <c r="B2" s="436" t="s">
        <v>3077</v>
      </c>
      <c r="C2" s="439"/>
      <c r="D2" s="438" t="s">
        <v>3078</v>
      </c>
      <c r="J2" s="956"/>
      <c r="K2" s="956"/>
      <c r="V2" s="376"/>
      <c r="W2" s="376"/>
      <c r="X2" s="376"/>
      <c r="Y2" s="376"/>
      <c r="Z2" s="376"/>
      <c r="AA2" s="376"/>
      <c r="AB2" s="376"/>
      <c r="AC2" s="376"/>
      <c r="AD2" s="376"/>
      <c r="AF2" s="376"/>
      <c r="AG2" s="376"/>
      <c r="AH2" s="376"/>
      <c r="AI2" s="376"/>
      <c r="AJ2" s="376"/>
      <c r="AK2" s="376"/>
      <c r="AL2" s="376"/>
      <c r="AM2" s="376"/>
      <c r="AN2" s="376"/>
      <c r="AP2" s="376"/>
      <c r="AQ2" s="376"/>
      <c r="AR2" s="376"/>
      <c r="AS2" s="376"/>
      <c r="AT2" s="376"/>
      <c r="AU2" s="376"/>
      <c r="AV2" s="376"/>
      <c r="AW2" s="376"/>
      <c r="AX2" s="376"/>
    </row>
    <row r="3" spans="2:50" x14ac:dyDescent="0.4">
      <c r="J3" s="956"/>
      <c r="K3" s="956"/>
      <c r="V3" s="440" t="s">
        <v>3079</v>
      </c>
      <c r="W3" s="440"/>
      <c r="X3" s="376"/>
      <c r="Y3" s="376"/>
      <c r="Z3" s="376"/>
      <c r="AA3" s="376"/>
      <c r="AB3" s="376"/>
      <c r="AC3" s="376"/>
      <c r="AD3" s="376"/>
      <c r="AF3" s="440" t="s">
        <v>3079</v>
      </c>
      <c r="AG3" s="440"/>
      <c r="AH3" s="376"/>
      <c r="AI3" s="376"/>
      <c r="AJ3" s="376"/>
      <c r="AK3" s="376"/>
      <c r="AL3" s="376"/>
      <c r="AM3" s="376"/>
      <c r="AN3" s="376"/>
      <c r="AP3" s="440" t="s">
        <v>3079</v>
      </c>
      <c r="AQ3" s="440"/>
      <c r="AR3" s="376"/>
      <c r="AS3" s="376"/>
      <c r="AT3" s="376"/>
      <c r="AU3" s="376"/>
      <c r="AV3" s="376"/>
      <c r="AW3" s="376"/>
      <c r="AX3" s="376"/>
    </row>
    <row r="4" spans="2:50" ht="29.15" x14ac:dyDescent="0.4">
      <c r="C4" s="438" t="s">
        <v>3080</v>
      </c>
      <c r="D4" s="438" t="s">
        <v>3081</v>
      </c>
      <c r="E4" s="438" t="s">
        <v>3082</v>
      </c>
      <c r="F4" s="438" t="s">
        <v>3083</v>
      </c>
      <c r="G4" s="438" t="s">
        <v>3084</v>
      </c>
      <c r="H4" s="441" t="s">
        <v>3085</v>
      </c>
      <c r="I4" s="438" t="s">
        <v>3086</v>
      </c>
      <c r="J4" s="438" t="s">
        <v>3087</v>
      </c>
      <c r="K4" s="438" t="s">
        <v>3088</v>
      </c>
      <c r="L4" s="438" t="s">
        <v>3089</v>
      </c>
      <c r="M4" s="436" t="s">
        <v>3090</v>
      </c>
      <c r="N4" s="436" t="s">
        <v>3091</v>
      </c>
      <c r="O4" s="436" t="s">
        <v>3092</v>
      </c>
      <c r="P4" s="436" t="s">
        <v>3093</v>
      </c>
      <c r="Q4" s="436" t="s">
        <v>3094</v>
      </c>
      <c r="R4" s="436" t="s">
        <v>3095</v>
      </c>
      <c r="S4" s="436" t="s">
        <v>3096</v>
      </c>
      <c r="T4" s="436" t="s">
        <v>3097</v>
      </c>
      <c r="V4" s="376" t="s">
        <v>3098</v>
      </c>
      <c r="W4" s="376">
        <v>0.13809492514636701</v>
      </c>
      <c r="X4" s="376"/>
      <c r="Y4" s="376"/>
      <c r="Z4" s="376"/>
      <c r="AA4" s="376"/>
      <c r="AB4" s="376"/>
      <c r="AC4" s="376"/>
      <c r="AD4" s="376"/>
      <c r="AF4" s="376" t="s">
        <v>3098</v>
      </c>
      <c r="AG4" s="376">
        <v>0.16726565042268413</v>
      </c>
      <c r="AH4" s="376"/>
      <c r="AI4" s="376"/>
      <c r="AJ4" s="376"/>
      <c r="AK4" s="376"/>
      <c r="AL4" s="376"/>
      <c r="AM4" s="376"/>
      <c r="AN4" s="376"/>
      <c r="AP4" s="376" t="s">
        <v>3098</v>
      </c>
      <c r="AQ4" s="376">
        <v>0.11646359949080327</v>
      </c>
      <c r="AR4" s="376"/>
      <c r="AS4" s="376"/>
      <c r="AT4" s="376"/>
      <c r="AU4" s="376"/>
      <c r="AV4" s="376"/>
      <c r="AW4" s="376"/>
      <c r="AX4" s="376"/>
    </row>
    <row r="5" spans="2:50" x14ac:dyDescent="0.4">
      <c r="B5" s="442">
        <v>9498</v>
      </c>
      <c r="C5" s="443">
        <v>0</v>
      </c>
      <c r="E5" s="438">
        <v>3.0999999999999999E-3</v>
      </c>
      <c r="V5" s="376" t="s">
        <v>3099</v>
      </c>
      <c r="W5" s="376">
        <v>1.9070208351180704E-2</v>
      </c>
      <c r="X5" s="376"/>
      <c r="Y5" s="376"/>
      <c r="Z5" s="376"/>
      <c r="AA5" s="376"/>
      <c r="AB5" s="376"/>
      <c r="AC5" s="376"/>
      <c r="AD5" s="376"/>
      <c r="AF5" s="376" t="s">
        <v>3099</v>
      </c>
      <c r="AG5" s="376">
        <v>2.797779781132357E-2</v>
      </c>
      <c r="AH5" s="376"/>
      <c r="AI5" s="376"/>
      <c r="AJ5" s="376"/>
      <c r="AK5" s="376"/>
      <c r="AL5" s="376"/>
      <c r="AM5" s="376"/>
      <c r="AN5" s="376"/>
      <c r="AP5" s="376" t="s">
        <v>3099</v>
      </c>
      <c r="AQ5" s="376">
        <v>1.3563770006354232E-2</v>
      </c>
      <c r="AR5" s="376"/>
      <c r="AS5" s="376"/>
      <c r="AT5" s="376"/>
      <c r="AU5" s="376"/>
      <c r="AV5" s="376"/>
      <c r="AW5" s="376"/>
      <c r="AX5" s="376"/>
    </row>
    <row r="6" spans="2:50" x14ac:dyDescent="0.4">
      <c r="B6" s="442">
        <v>9529</v>
      </c>
      <c r="C6" s="443">
        <v>-3.85E-2</v>
      </c>
      <c r="E6" s="438">
        <v>2.8E-3</v>
      </c>
      <c r="J6" s="438">
        <f t="shared" ref="J6:J69" si="0">C6-E6</f>
        <v>-4.1299999999999996E-2</v>
      </c>
      <c r="V6" s="376" t="s">
        <v>3100</v>
      </c>
      <c r="W6" s="376">
        <v>1.8217967003093111E-2</v>
      </c>
      <c r="X6" s="376"/>
      <c r="Y6" s="376"/>
      <c r="Z6" s="376"/>
      <c r="AA6" s="376"/>
      <c r="AB6" s="376"/>
      <c r="AC6" s="376"/>
      <c r="AD6" s="376"/>
      <c r="AF6" s="376" t="s">
        <v>3100</v>
      </c>
      <c r="AG6" s="376">
        <v>2.7115311385246661E-2</v>
      </c>
      <c r="AH6" s="376"/>
      <c r="AI6" s="376"/>
      <c r="AJ6" s="376"/>
      <c r="AK6" s="376"/>
      <c r="AL6" s="376"/>
      <c r="AM6" s="376"/>
      <c r="AN6" s="376"/>
      <c r="AP6" s="376" t="s">
        <v>3100</v>
      </c>
      <c r="AQ6" s="376">
        <v>1.2688493848418433E-2</v>
      </c>
      <c r="AR6" s="376"/>
      <c r="AS6" s="376"/>
      <c r="AT6" s="376"/>
      <c r="AU6" s="376"/>
      <c r="AV6" s="376"/>
      <c r="AW6" s="376"/>
      <c r="AX6" s="376"/>
    </row>
    <row r="7" spans="2:50" x14ac:dyDescent="0.4">
      <c r="B7" s="442">
        <v>9557</v>
      </c>
      <c r="C7" s="443">
        <v>-5.7500000000000002E-2</v>
      </c>
      <c r="E7" s="438">
        <v>3.2000000000000002E-3</v>
      </c>
      <c r="J7" s="438">
        <f t="shared" si="0"/>
        <v>-6.0700000000000004E-2</v>
      </c>
      <c r="V7" s="376" t="s">
        <v>3101</v>
      </c>
      <c r="W7" s="376">
        <v>0.21005073886993941</v>
      </c>
      <c r="X7" s="376"/>
      <c r="Y7" s="376"/>
      <c r="Z7" s="376"/>
      <c r="AA7" s="376"/>
      <c r="AB7" s="376"/>
      <c r="AC7" s="376"/>
      <c r="AD7" s="376"/>
      <c r="AF7" s="376" t="s">
        <v>3101</v>
      </c>
      <c r="AG7" s="376">
        <v>0.20972109543672041</v>
      </c>
      <c r="AH7" s="376"/>
      <c r="AI7" s="376"/>
      <c r="AJ7" s="376"/>
      <c r="AK7" s="376"/>
      <c r="AL7" s="376"/>
      <c r="AM7" s="376"/>
      <c r="AN7" s="376"/>
      <c r="AP7" s="376" t="s">
        <v>3101</v>
      </c>
      <c r="AQ7" s="376">
        <v>0.21710323482037153</v>
      </c>
      <c r="AR7" s="376"/>
      <c r="AS7" s="376"/>
      <c r="AT7" s="376"/>
      <c r="AU7" s="376"/>
      <c r="AV7" s="376"/>
      <c r="AW7" s="376"/>
      <c r="AX7" s="376"/>
    </row>
    <row r="8" spans="2:50" ht="15" thickBot="1" x14ac:dyDescent="0.45">
      <c r="B8" s="442">
        <v>9588</v>
      </c>
      <c r="C8" s="443">
        <v>2.53E-2</v>
      </c>
      <c r="E8" s="438">
        <v>3.0000000000000001E-3</v>
      </c>
      <c r="J8" s="438">
        <f t="shared" si="0"/>
        <v>2.23E-2</v>
      </c>
      <c r="V8" s="444" t="s">
        <v>3102</v>
      </c>
      <c r="W8" s="444">
        <v>1153</v>
      </c>
      <c r="X8" s="376"/>
      <c r="Y8" s="376"/>
      <c r="Z8" s="376"/>
      <c r="AA8" s="376"/>
      <c r="AB8" s="376"/>
      <c r="AC8" s="376"/>
      <c r="AD8" s="376"/>
      <c r="AF8" s="444" t="s">
        <v>3102</v>
      </c>
      <c r="AG8" s="444">
        <v>1129</v>
      </c>
      <c r="AH8" s="376"/>
      <c r="AI8" s="376"/>
      <c r="AJ8" s="376"/>
      <c r="AK8" s="376"/>
      <c r="AL8" s="376"/>
      <c r="AM8" s="376"/>
      <c r="AN8" s="376"/>
      <c r="AP8" s="444" t="s">
        <v>3102</v>
      </c>
      <c r="AQ8" s="444">
        <v>1129</v>
      </c>
      <c r="AR8" s="376"/>
      <c r="AS8" s="376"/>
      <c r="AT8" s="376"/>
      <c r="AU8" s="376"/>
      <c r="AV8" s="376"/>
      <c r="AW8" s="376"/>
      <c r="AX8" s="376"/>
    </row>
    <row r="9" spans="2:50" x14ac:dyDescent="0.4">
      <c r="B9" s="442">
        <v>9618</v>
      </c>
      <c r="C9" s="443">
        <v>1.7899999999999999E-2</v>
      </c>
      <c r="E9" s="438">
        <v>2.8E-3</v>
      </c>
      <c r="J9" s="438">
        <f t="shared" si="0"/>
        <v>1.5099999999999999E-2</v>
      </c>
      <c r="V9" s="376"/>
      <c r="W9" s="376"/>
      <c r="X9" s="376"/>
      <c r="Y9" s="376"/>
      <c r="Z9" s="376"/>
      <c r="AA9" s="376"/>
      <c r="AB9" s="376"/>
      <c r="AC9" s="376"/>
      <c r="AD9" s="376"/>
      <c r="AF9" s="376"/>
      <c r="AG9" s="376"/>
      <c r="AH9" s="376"/>
      <c r="AI9" s="376"/>
      <c r="AJ9" s="376"/>
      <c r="AK9" s="376"/>
      <c r="AL9" s="376"/>
      <c r="AM9" s="376"/>
      <c r="AN9" s="376"/>
      <c r="AP9" s="376"/>
      <c r="AQ9" s="376"/>
      <c r="AR9" s="376"/>
      <c r="AS9" s="376"/>
      <c r="AT9" s="376"/>
      <c r="AU9" s="376"/>
      <c r="AV9" s="376"/>
      <c r="AW9" s="376"/>
      <c r="AX9" s="376"/>
    </row>
    <row r="10" spans="2:50" ht="15" thickBot="1" x14ac:dyDescent="0.45">
      <c r="B10" s="442">
        <v>9649</v>
      </c>
      <c r="C10" s="443">
        <v>4.5699999999999998E-2</v>
      </c>
      <c r="E10" s="438">
        <v>3.3E-3</v>
      </c>
      <c r="J10" s="438">
        <f t="shared" si="0"/>
        <v>4.24E-2</v>
      </c>
      <c r="V10" s="376" t="s">
        <v>3103</v>
      </c>
      <c r="W10" s="376"/>
      <c r="X10" s="376"/>
      <c r="Y10" s="376"/>
      <c r="Z10" s="376"/>
      <c r="AA10" s="376"/>
      <c r="AB10" s="376"/>
      <c r="AC10" s="376"/>
      <c r="AD10" s="376"/>
      <c r="AF10" s="376" t="s">
        <v>3103</v>
      </c>
      <c r="AG10" s="376"/>
      <c r="AH10" s="376"/>
      <c r="AI10" s="376"/>
      <c r="AJ10" s="376"/>
      <c r="AK10" s="376"/>
      <c r="AL10" s="376"/>
      <c r="AM10" s="376"/>
      <c r="AN10" s="376"/>
      <c r="AP10" s="376" t="s">
        <v>3103</v>
      </c>
      <c r="AQ10" s="376"/>
      <c r="AR10" s="376"/>
      <c r="AS10" s="376"/>
      <c r="AT10" s="376"/>
      <c r="AU10" s="376"/>
      <c r="AV10" s="376"/>
      <c r="AW10" s="376"/>
      <c r="AX10" s="376"/>
    </row>
    <row r="11" spans="2:50" x14ac:dyDescent="0.4">
      <c r="B11" s="442">
        <v>9679</v>
      </c>
      <c r="C11" s="443">
        <v>4.7899999999999998E-2</v>
      </c>
      <c r="E11" s="438">
        <v>3.0999999999999999E-3</v>
      </c>
      <c r="J11" s="438">
        <f t="shared" si="0"/>
        <v>4.48E-2</v>
      </c>
      <c r="V11" s="445"/>
      <c r="W11" s="445" t="s">
        <v>3104</v>
      </c>
      <c r="X11" s="445" t="s">
        <v>3105</v>
      </c>
      <c r="Y11" s="445" t="s">
        <v>2517</v>
      </c>
      <c r="Z11" s="445" t="s">
        <v>2106</v>
      </c>
      <c r="AA11" s="445" t="s">
        <v>3106</v>
      </c>
      <c r="AB11" s="376"/>
      <c r="AC11" s="376"/>
      <c r="AD11" s="376"/>
      <c r="AF11" s="445"/>
      <c r="AG11" s="445" t="s">
        <v>3104</v>
      </c>
      <c r="AH11" s="445" t="s">
        <v>3105</v>
      </c>
      <c r="AI11" s="445" t="s">
        <v>2517</v>
      </c>
      <c r="AJ11" s="445" t="s">
        <v>2106</v>
      </c>
      <c r="AK11" s="445" t="s">
        <v>3106</v>
      </c>
      <c r="AL11" s="376"/>
      <c r="AM11" s="376"/>
      <c r="AN11" s="376"/>
      <c r="AP11" s="445"/>
      <c r="AQ11" s="445" t="s">
        <v>3104</v>
      </c>
      <c r="AR11" s="445" t="s">
        <v>3105</v>
      </c>
      <c r="AS11" s="445" t="s">
        <v>2517</v>
      </c>
      <c r="AT11" s="445" t="s">
        <v>2106</v>
      </c>
      <c r="AU11" s="445" t="s">
        <v>3106</v>
      </c>
      <c r="AV11" s="376"/>
      <c r="AW11" s="376"/>
      <c r="AX11" s="376"/>
    </row>
    <row r="12" spans="2:50" x14ac:dyDescent="0.4">
      <c r="B12" s="442">
        <v>9710</v>
      </c>
      <c r="C12" s="443">
        <v>2.4799999999999999E-2</v>
      </c>
      <c r="E12" s="438">
        <v>3.0999999999999999E-3</v>
      </c>
      <c r="J12" s="438">
        <f t="shared" si="0"/>
        <v>2.1700000000000001E-2</v>
      </c>
      <c r="V12" s="376" t="s">
        <v>3107</v>
      </c>
      <c r="W12" s="376">
        <v>1</v>
      </c>
      <c r="X12" s="376">
        <v>0.98728210220620127</v>
      </c>
      <c r="Y12" s="376">
        <v>0.98728210220620127</v>
      </c>
      <c r="Z12" s="376">
        <v>22.376534996774978</v>
      </c>
      <c r="AA12" s="376">
        <v>2.5186804615384384E-6</v>
      </c>
      <c r="AB12" s="376"/>
      <c r="AC12" s="376"/>
      <c r="AD12" s="376"/>
      <c r="AF12" s="376" t="s">
        <v>3107</v>
      </c>
      <c r="AG12" s="376">
        <v>1</v>
      </c>
      <c r="AH12" s="376">
        <v>1.4267421558215858</v>
      </c>
      <c r="AI12" s="376">
        <v>1.4267421558215858</v>
      </c>
      <c r="AJ12" s="376">
        <v>32.438536961773302</v>
      </c>
      <c r="AK12" s="376">
        <v>1.5686940290163568E-8</v>
      </c>
      <c r="AL12" s="376"/>
      <c r="AM12" s="376"/>
      <c r="AN12" s="376"/>
      <c r="AP12" s="376" t="s">
        <v>3107</v>
      </c>
      <c r="AQ12" s="376">
        <v>1</v>
      </c>
      <c r="AR12" s="376">
        <v>0.73041201287848168</v>
      </c>
      <c r="AS12" s="376">
        <v>0.73041201287848168</v>
      </c>
      <c r="AT12" s="376">
        <v>15.496560580768296</v>
      </c>
      <c r="AU12" s="376">
        <v>8.7720224984720423E-5</v>
      </c>
      <c r="AV12" s="376"/>
      <c r="AW12" s="376"/>
      <c r="AX12" s="376"/>
    </row>
    <row r="13" spans="2:50" x14ac:dyDescent="0.4">
      <c r="B13" s="442">
        <v>9741</v>
      </c>
      <c r="C13" s="443">
        <v>2.52E-2</v>
      </c>
      <c r="E13" s="438">
        <v>3.0000000000000001E-3</v>
      </c>
      <c r="J13" s="438">
        <f t="shared" si="0"/>
        <v>2.2200000000000001E-2</v>
      </c>
      <c r="V13" s="376" t="s">
        <v>3108</v>
      </c>
      <c r="W13" s="376">
        <v>1151</v>
      </c>
      <c r="X13" s="376">
        <v>50.783631147678406</v>
      </c>
      <c r="Y13" s="376">
        <v>4.4121312899807474E-2</v>
      </c>
      <c r="Z13" s="376"/>
      <c r="AA13" s="376"/>
      <c r="AB13" s="376"/>
      <c r="AC13" s="376"/>
      <c r="AD13" s="376"/>
      <c r="AF13" s="376" t="s">
        <v>3108</v>
      </c>
      <c r="AG13" s="376">
        <v>1127</v>
      </c>
      <c r="AH13" s="376">
        <v>49.56877098081759</v>
      </c>
      <c r="AI13" s="376">
        <v>4.3982937871177984E-2</v>
      </c>
      <c r="AJ13" s="376"/>
      <c r="AK13" s="376"/>
      <c r="AL13" s="376"/>
      <c r="AM13" s="376"/>
      <c r="AN13" s="376"/>
      <c r="AP13" s="376" t="s">
        <v>3108</v>
      </c>
      <c r="AQ13" s="376">
        <v>1127</v>
      </c>
      <c r="AR13" s="376">
        <v>53.119809019791994</v>
      </c>
      <c r="AS13" s="376">
        <v>4.7133814569469384E-2</v>
      </c>
      <c r="AT13" s="376"/>
      <c r="AU13" s="376"/>
      <c r="AV13" s="376"/>
      <c r="AW13" s="376"/>
      <c r="AX13" s="376"/>
    </row>
    <row r="14" spans="2:50" ht="15" thickBot="1" x14ac:dyDescent="0.45">
      <c r="B14" s="442">
        <v>9771</v>
      </c>
      <c r="C14" s="443">
        <v>-2.8400000000000002E-2</v>
      </c>
      <c r="E14" s="438">
        <v>3.0000000000000001E-3</v>
      </c>
      <c r="J14" s="438">
        <f t="shared" si="0"/>
        <v>-3.1400000000000004E-2</v>
      </c>
      <c r="V14" s="444" t="s">
        <v>21</v>
      </c>
      <c r="W14" s="444">
        <v>1152</v>
      </c>
      <c r="X14" s="444">
        <v>51.770913249884607</v>
      </c>
      <c r="Y14" s="444"/>
      <c r="Z14" s="444"/>
      <c r="AA14" s="444"/>
      <c r="AB14" s="376"/>
      <c r="AC14" s="376"/>
      <c r="AD14" s="376"/>
      <c r="AF14" s="444" t="s">
        <v>21</v>
      </c>
      <c r="AG14" s="444">
        <v>1128</v>
      </c>
      <c r="AH14" s="444">
        <v>50.995513136639175</v>
      </c>
      <c r="AI14" s="444"/>
      <c r="AJ14" s="444"/>
      <c r="AK14" s="444"/>
      <c r="AL14" s="376"/>
      <c r="AM14" s="376"/>
      <c r="AN14" s="376"/>
      <c r="AP14" s="444" t="s">
        <v>21</v>
      </c>
      <c r="AQ14" s="444">
        <v>1128</v>
      </c>
      <c r="AR14" s="444">
        <v>53.850221032670476</v>
      </c>
      <c r="AS14" s="444"/>
      <c r="AT14" s="444"/>
      <c r="AU14" s="444"/>
      <c r="AV14" s="376"/>
      <c r="AW14" s="376"/>
      <c r="AX14" s="376"/>
    </row>
    <row r="15" spans="2:50" ht="15" thickBot="1" x14ac:dyDescent="0.45">
      <c r="B15" s="442">
        <v>9802</v>
      </c>
      <c r="C15" s="443">
        <v>3.4700000000000002E-2</v>
      </c>
      <c r="E15" s="438">
        <v>3.0999999999999999E-3</v>
      </c>
      <c r="J15" s="438">
        <f t="shared" si="0"/>
        <v>3.1600000000000003E-2</v>
      </c>
      <c r="V15" s="376"/>
      <c r="W15" s="376"/>
      <c r="X15" s="376"/>
      <c r="Y15" s="376"/>
      <c r="Z15" s="376"/>
      <c r="AA15" s="376"/>
      <c r="AB15" s="376"/>
      <c r="AC15" s="376"/>
      <c r="AD15" s="376"/>
      <c r="AF15" s="376"/>
      <c r="AG15" s="376"/>
      <c r="AH15" s="376"/>
      <c r="AI15" s="376"/>
      <c r="AJ15" s="376"/>
      <c r="AK15" s="376"/>
      <c r="AL15" s="376"/>
      <c r="AM15" s="376"/>
      <c r="AN15" s="376"/>
      <c r="AP15" s="376"/>
      <c r="AQ15" s="376"/>
      <c r="AR15" s="376"/>
      <c r="AS15" s="376"/>
      <c r="AT15" s="376"/>
      <c r="AU15" s="376"/>
      <c r="AV15" s="376"/>
      <c r="AW15" s="376"/>
      <c r="AX15" s="376"/>
    </row>
    <row r="16" spans="2:50" x14ac:dyDescent="0.4">
      <c r="B16" s="442">
        <v>9832</v>
      </c>
      <c r="C16" s="443">
        <v>1.9599999999999999E-2</v>
      </c>
      <c r="E16" s="438">
        <v>3.0000000000000001E-3</v>
      </c>
      <c r="J16" s="438">
        <f t="shared" si="0"/>
        <v>1.66E-2</v>
      </c>
      <c r="M16" s="446">
        <f t="shared" ref="M16:M79" si="1">((1+C5)*(1+C6)*(1+C7)*(1+C8)*(1+C9)*(1+C10)*(1+C11)*(1+C12)*(1+C13)*(1+C14)*(1+C15)*(1+C16))-1</f>
        <v>0.11607444428240954</v>
      </c>
      <c r="N16" s="446">
        <f t="shared" ref="N16:N79" si="2">E16*12</f>
        <v>3.6000000000000004E-2</v>
      </c>
      <c r="P16" s="447">
        <f t="shared" ref="P16:P79" si="3">M16-N16</f>
        <v>8.0074444282409535E-2</v>
      </c>
      <c r="V16" s="445"/>
      <c r="W16" s="445" t="s">
        <v>3109</v>
      </c>
      <c r="X16" s="445" t="s">
        <v>3101</v>
      </c>
      <c r="Y16" s="445" t="s">
        <v>3110</v>
      </c>
      <c r="Z16" s="445" t="s">
        <v>3111</v>
      </c>
      <c r="AA16" s="445" t="s">
        <v>3112</v>
      </c>
      <c r="AB16" s="445" t="s">
        <v>3113</v>
      </c>
      <c r="AC16" s="445" t="s">
        <v>3114</v>
      </c>
      <c r="AD16" s="445" t="s">
        <v>3115</v>
      </c>
      <c r="AF16" s="445"/>
      <c r="AG16" s="445" t="s">
        <v>3109</v>
      </c>
      <c r="AH16" s="445" t="s">
        <v>3101</v>
      </c>
      <c r="AI16" s="445" t="s">
        <v>3110</v>
      </c>
      <c r="AJ16" s="445" t="s">
        <v>3111</v>
      </c>
      <c r="AK16" s="445" t="s">
        <v>3112</v>
      </c>
      <c r="AL16" s="445" t="s">
        <v>3113</v>
      </c>
      <c r="AM16" s="445" t="s">
        <v>3114</v>
      </c>
      <c r="AN16" s="445" t="s">
        <v>3115</v>
      </c>
      <c r="AP16" s="445"/>
      <c r="AQ16" s="445" t="s">
        <v>3109</v>
      </c>
      <c r="AR16" s="445" t="s">
        <v>3101</v>
      </c>
      <c r="AS16" s="445" t="s">
        <v>3110</v>
      </c>
      <c r="AT16" s="445" t="s">
        <v>3111</v>
      </c>
      <c r="AU16" s="445" t="s">
        <v>3112</v>
      </c>
      <c r="AV16" s="445" t="s">
        <v>3113</v>
      </c>
      <c r="AW16" s="445" t="s">
        <v>3114</v>
      </c>
      <c r="AX16" s="445" t="s">
        <v>3115</v>
      </c>
    </row>
    <row r="17" spans="2:50" x14ac:dyDescent="0.4">
      <c r="B17" s="442">
        <v>9863</v>
      </c>
      <c r="C17" s="443">
        <v>-1.9300000000000001E-2</v>
      </c>
      <c r="E17" s="438">
        <v>3.0000000000000001E-3</v>
      </c>
      <c r="J17" s="438">
        <f t="shared" si="0"/>
        <v>-2.23E-2</v>
      </c>
      <c r="M17" s="446">
        <f t="shared" si="1"/>
        <v>9.4534207507759094E-2</v>
      </c>
      <c r="N17" s="446">
        <f t="shared" si="2"/>
        <v>3.6000000000000004E-2</v>
      </c>
      <c r="P17" s="447">
        <f t="shared" si="3"/>
        <v>5.853420750775909E-2</v>
      </c>
      <c r="V17" s="376" t="s">
        <v>3116</v>
      </c>
      <c r="W17" s="376">
        <v>0.12732817261145449</v>
      </c>
      <c r="X17" s="376">
        <v>1.2747161591907434E-2</v>
      </c>
      <c r="Y17" s="376">
        <v>9.9887470393635773</v>
      </c>
      <c r="Z17" s="376">
        <v>1.3751660680276352E-22</v>
      </c>
      <c r="AA17" s="376">
        <v>0.10231789523981837</v>
      </c>
      <c r="AB17" s="376">
        <v>0.1523384499830906</v>
      </c>
      <c r="AC17" s="376">
        <v>0.10231789523981837</v>
      </c>
      <c r="AD17" s="376">
        <v>0.1523384499830906</v>
      </c>
      <c r="AF17" s="376" t="s">
        <v>3116</v>
      </c>
      <c r="AG17" s="376">
        <v>0.1340156402775739</v>
      </c>
      <c r="AH17" s="376">
        <v>1.4224456265240583E-2</v>
      </c>
      <c r="AI17" s="376">
        <v>9.4214947677866299</v>
      </c>
      <c r="AJ17" s="376">
        <v>2.4315154056554764E-20</v>
      </c>
      <c r="AK17" s="376">
        <v>0.10610624498726948</v>
      </c>
      <c r="AL17" s="376">
        <v>0.16192503556787832</v>
      </c>
      <c r="AM17" s="376">
        <v>0.10610624498726948</v>
      </c>
      <c r="AN17" s="376">
        <v>0.16192503556787832</v>
      </c>
      <c r="AP17" s="376" t="s">
        <v>3116</v>
      </c>
      <c r="AQ17" s="376">
        <v>9.671775002498223E-2</v>
      </c>
      <c r="AR17" s="376">
        <v>1.4690196913287082E-2</v>
      </c>
      <c r="AS17" s="376">
        <v>6.5838293792714477</v>
      </c>
      <c r="AT17" s="376">
        <v>7.0135999904182623E-11</v>
      </c>
      <c r="AU17" s="376">
        <v>6.7894538444851951E-2</v>
      </c>
      <c r="AV17" s="376">
        <v>0.12554096160511252</v>
      </c>
      <c r="AW17" s="376">
        <v>6.7894538444851951E-2</v>
      </c>
      <c r="AX17" s="376">
        <v>0.12554096160511252</v>
      </c>
    </row>
    <row r="18" spans="2:50" ht="15" thickBot="1" x14ac:dyDescent="0.45">
      <c r="B18" s="442">
        <v>9894</v>
      </c>
      <c r="C18" s="443">
        <v>5.3699999999999998E-2</v>
      </c>
      <c r="E18" s="438">
        <v>2.7000000000000001E-3</v>
      </c>
      <c r="J18" s="438">
        <f t="shared" si="0"/>
        <v>5.0999999999999997E-2</v>
      </c>
      <c r="M18" s="446">
        <f t="shared" si="1"/>
        <v>0.19949110187303742</v>
      </c>
      <c r="N18" s="446">
        <f t="shared" si="2"/>
        <v>3.2399999999999998E-2</v>
      </c>
      <c r="P18" s="447">
        <f t="shared" si="3"/>
        <v>0.16709110187303744</v>
      </c>
      <c r="V18" s="444" t="s">
        <v>3117</v>
      </c>
      <c r="W18" s="444">
        <v>-1.0757203678971521</v>
      </c>
      <c r="X18" s="444">
        <v>0.2274065519399972</v>
      </c>
      <c r="Y18" s="444">
        <v>-4.7303842335245836</v>
      </c>
      <c r="Z18" s="444">
        <v>2.5186804615345094E-6</v>
      </c>
      <c r="AA18" s="444">
        <v>-1.5218982012241753</v>
      </c>
      <c r="AB18" s="444">
        <v>-0.62954253457012888</v>
      </c>
      <c r="AC18" s="444">
        <v>-1.5218982012241753</v>
      </c>
      <c r="AD18" s="444">
        <v>-0.62954253457012888</v>
      </c>
      <c r="AF18" s="444" t="s">
        <v>3117</v>
      </c>
      <c r="AG18" s="444">
        <v>-1.2512104454570434</v>
      </c>
      <c r="AH18" s="444">
        <v>0.21968465987602784</v>
      </c>
      <c r="AI18" s="444">
        <v>-5.695483909359556</v>
      </c>
      <c r="AJ18" s="444">
        <v>1.5686940290160471E-8</v>
      </c>
      <c r="AK18" s="444">
        <v>-1.682247379127312</v>
      </c>
      <c r="AL18" s="444">
        <v>-0.82017351178677489</v>
      </c>
      <c r="AM18" s="444">
        <v>-1.682247379127312</v>
      </c>
      <c r="AN18" s="444">
        <v>-0.82017351178677489</v>
      </c>
      <c r="AP18" s="444" t="s">
        <v>3117</v>
      </c>
      <c r="AQ18" s="444">
        <v>-0.82864287233086331</v>
      </c>
      <c r="AR18" s="444">
        <v>0.21049885598251888</v>
      </c>
      <c r="AS18" s="444">
        <v>-3.936567106092391</v>
      </c>
      <c r="AT18" s="444">
        <v>8.7720224984708524E-5</v>
      </c>
      <c r="AU18" s="444">
        <v>-1.2416566051741424</v>
      </c>
      <c r="AV18" s="444">
        <v>-0.41562913948758423</v>
      </c>
      <c r="AW18" s="444">
        <v>-1.2416566051741424</v>
      </c>
      <c r="AX18" s="444">
        <v>-0.41562913948758423</v>
      </c>
    </row>
    <row r="19" spans="2:50" x14ac:dyDescent="0.4">
      <c r="B19" s="442">
        <v>9922</v>
      </c>
      <c r="C19" s="443">
        <v>8.6999999999999994E-3</v>
      </c>
      <c r="E19" s="438">
        <v>2.8999999999999998E-3</v>
      </c>
      <c r="J19" s="438">
        <f t="shared" si="0"/>
        <v>5.7999999999999996E-3</v>
      </c>
      <c r="M19" s="446">
        <f t="shared" si="1"/>
        <v>0.28374182966507422</v>
      </c>
      <c r="N19" s="446">
        <f t="shared" si="2"/>
        <v>3.4799999999999998E-2</v>
      </c>
      <c r="P19" s="447">
        <f t="shared" si="3"/>
        <v>0.24894182966507422</v>
      </c>
      <c r="V19" s="376"/>
      <c r="W19" s="376"/>
      <c r="X19" s="376"/>
      <c r="Y19" s="376"/>
      <c r="Z19" s="376"/>
      <c r="AA19" s="376"/>
      <c r="AB19" s="376"/>
      <c r="AC19" s="376"/>
      <c r="AD19" s="376"/>
      <c r="AF19" s="376"/>
      <c r="AG19" s="376"/>
      <c r="AH19" s="376"/>
      <c r="AI19" s="376"/>
      <c r="AJ19" s="376"/>
      <c r="AK19" s="376"/>
      <c r="AL19" s="376"/>
      <c r="AM19" s="376"/>
      <c r="AN19" s="376"/>
      <c r="AP19" s="376"/>
      <c r="AQ19" s="376"/>
      <c r="AR19" s="376"/>
      <c r="AS19" s="376"/>
      <c r="AT19" s="376"/>
      <c r="AU19" s="376"/>
      <c r="AV19" s="376"/>
      <c r="AW19" s="376"/>
      <c r="AX19" s="376"/>
    </row>
    <row r="20" spans="2:50" x14ac:dyDescent="0.4">
      <c r="B20" s="442">
        <v>9953</v>
      </c>
      <c r="C20" s="443">
        <v>2.01E-2</v>
      </c>
      <c r="E20" s="438">
        <v>2.7000000000000001E-3</v>
      </c>
      <c r="J20" s="438">
        <f t="shared" si="0"/>
        <v>1.7399999999999999E-2</v>
      </c>
      <c r="M20" s="446">
        <f t="shared" si="1"/>
        <v>0.27723109376898725</v>
      </c>
      <c r="N20" s="446">
        <f t="shared" si="2"/>
        <v>3.2399999999999998E-2</v>
      </c>
      <c r="P20" s="447">
        <f t="shared" si="3"/>
        <v>0.24483109376898726</v>
      </c>
      <c r="V20" s="376"/>
      <c r="W20" s="376"/>
      <c r="X20" s="376"/>
      <c r="Y20" s="376"/>
      <c r="Z20" s="376"/>
      <c r="AA20" s="376"/>
      <c r="AB20" s="376"/>
      <c r="AC20" s="376"/>
      <c r="AD20" s="376"/>
      <c r="AF20" s="376"/>
      <c r="AG20" s="376"/>
      <c r="AH20" s="376"/>
      <c r="AI20" s="376"/>
      <c r="AJ20" s="376"/>
      <c r="AK20" s="376"/>
      <c r="AL20" s="376"/>
      <c r="AM20" s="376"/>
      <c r="AN20" s="376"/>
      <c r="AP20" s="376"/>
      <c r="AQ20" s="376"/>
      <c r="AR20" s="376"/>
      <c r="AS20" s="376"/>
      <c r="AT20" s="376"/>
      <c r="AU20" s="376"/>
      <c r="AV20" s="376"/>
      <c r="AW20" s="376"/>
      <c r="AX20" s="376"/>
    </row>
    <row r="21" spans="2:50" x14ac:dyDescent="0.4">
      <c r="B21" s="442">
        <v>9983</v>
      </c>
      <c r="C21" s="443">
        <v>6.0699999999999997E-2</v>
      </c>
      <c r="E21" s="438">
        <v>2.7999999999999995E-3</v>
      </c>
      <c r="J21" s="438">
        <f t="shared" si="0"/>
        <v>5.79E-2</v>
      </c>
      <c r="M21" s="446">
        <f t="shared" si="1"/>
        <v>0.33093527965494141</v>
      </c>
      <c r="N21" s="446">
        <f t="shared" si="2"/>
        <v>3.3599999999999991E-2</v>
      </c>
      <c r="P21" s="447">
        <f t="shared" si="3"/>
        <v>0.29733527965494144</v>
      </c>
      <c r="V21" s="376"/>
      <c r="W21" s="376"/>
      <c r="X21" s="376"/>
      <c r="Y21" s="376"/>
      <c r="Z21" s="376"/>
      <c r="AA21" s="376"/>
      <c r="AB21" s="376"/>
      <c r="AC21" s="376"/>
      <c r="AD21" s="376"/>
      <c r="AF21" s="376"/>
      <c r="AG21" s="376"/>
      <c r="AH21" s="376"/>
      <c r="AI21" s="376"/>
      <c r="AJ21" s="376"/>
      <c r="AK21" s="376"/>
      <c r="AL21" s="376"/>
      <c r="AM21" s="376"/>
      <c r="AN21" s="376"/>
      <c r="AP21" s="376"/>
      <c r="AQ21" s="376"/>
      <c r="AR21" s="376"/>
      <c r="AS21" s="376"/>
      <c r="AT21" s="376"/>
      <c r="AU21" s="376"/>
      <c r="AV21" s="376"/>
      <c r="AW21" s="376"/>
      <c r="AX21" s="376"/>
    </row>
    <row r="22" spans="2:50" x14ac:dyDescent="0.4">
      <c r="B22" s="442">
        <v>10014</v>
      </c>
      <c r="C22" s="443">
        <v>-6.7000000000000002E-3</v>
      </c>
      <c r="E22" s="438">
        <v>2.7000000000000001E-3</v>
      </c>
      <c r="J22" s="438">
        <f t="shared" si="0"/>
        <v>-9.4000000000000004E-3</v>
      </c>
      <c r="M22" s="446">
        <f t="shared" si="1"/>
        <v>0.26424214715621375</v>
      </c>
      <c r="N22" s="446">
        <f t="shared" si="2"/>
        <v>3.2399999999999998E-2</v>
      </c>
      <c r="P22" s="447">
        <f t="shared" si="3"/>
        <v>0.23184214715621376</v>
      </c>
      <c r="V22" s="448"/>
      <c r="W22" s="448"/>
      <c r="X22" s="448"/>
      <c r="Y22" s="448"/>
      <c r="Z22" s="448"/>
      <c r="AA22" s="448"/>
      <c r="AB22" s="448"/>
      <c r="AC22" s="448"/>
      <c r="AD22" s="448"/>
      <c r="AF22" s="448"/>
      <c r="AG22" s="448"/>
      <c r="AH22" s="448"/>
      <c r="AI22" s="448"/>
      <c r="AJ22" s="448"/>
      <c r="AK22" s="448"/>
      <c r="AL22" s="448"/>
      <c r="AM22" s="448"/>
      <c r="AN22" s="448"/>
      <c r="AP22" s="448"/>
      <c r="AQ22" s="448"/>
      <c r="AR22" s="448"/>
      <c r="AS22" s="448"/>
      <c r="AT22" s="448"/>
      <c r="AU22" s="448"/>
      <c r="AV22" s="448"/>
      <c r="AW22" s="448"/>
      <c r="AX22" s="448"/>
    </row>
    <row r="23" spans="2:50" ht="15" thickBot="1" x14ac:dyDescent="0.45">
      <c r="B23" s="442">
        <v>10044</v>
      </c>
      <c r="C23" s="443">
        <v>6.7000000000000004E-2</v>
      </c>
      <c r="E23" s="438">
        <v>2.7000000000000001E-3</v>
      </c>
      <c r="J23" s="438">
        <f t="shared" si="0"/>
        <v>6.430000000000001E-2</v>
      </c>
      <c r="M23" s="446">
        <f t="shared" si="1"/>
        <v>0.28728540033942163</v>
      </c>
      <c r="N23" s="446">
        <f t="shared" si="2"/>
        <v>3.2399999999999998E-2</v>
      </c>
      <c r="P23" s="447">
        <f t="shared" si="3"/>
        <v>0.25488540033942164</v>
      </c>
      <c r="V23" s="448"/>
      <c r="W23" s="448"/>
      <c r="X23" s="448"/>
      <c r="Y23" s="448"/>
      <c r="Z23" s="448"/>
      <c r="AA23" s="448"/>
      <c r="AB23" s="448"/>
      <c r="AC23" s="448"/>
      <c r="AD23" s="448"/>
      <c r="AF23" s="448"/>
      <c r="AG23" s="448"/>
      <c r="AH23" s="448"/>
      <c r="AI23" s="448"/>
      <c r="AJ23" s="448"/>
      <c r="AK23" s="448"/>
      <c r="AL23" s="448"/>
      <c r="AM23" s="448"/>
      <c r="AN23" s="448"/>
      <c r="AP23" s="448"/>
      <c r="AQ23" s="448"/>
      <c r="AR23" s="448"/>
      <c r="AS23" s="448"/>
      <c r="AT23" s="448"/>
      <c r="AU23" s="448"/>
      <c r="AV23" s="448"/>
      <c r="AW23" s="448"/>
      <c r="AX23" s="448"/>
    </row>
    <row r="24" spans="2:50" x14ac:dyDescent="0.4">
      <c r="B24" s="442">
        <v>10075</v>
      </c>
      <c r="C24" s="443">
        <v>5.1499999999999997E-2</v>
      </c>
      <c r="E24" s="438">
        <v>2.8999999999999998E-3</v>
      </c>
      <c r="J24" s="438">
        <f t="shared" si="0"/>
        <v>4.8599999999999997E-2</v>
      </c>
      <c r="M24" s="446">
        <f t="shared" si="1"/>
        <v>0.32082415930611119</v>
      </c>
      <c r="N24" s="446">
        <f t="shared" si="2"/>
        <v>3.4799999999999998E-2</v>
      </c>
      <c r="P24" s="447">
        <f t="shared" si="3"/>
        <v>0.28602415930611119</v>
      </c>
      <c r="V24" s="449"/>
      <c r="W24" s="449"/>
      <c r="X24" s="449"/>
      <c r="Y24" s="448"/>
      <c r="Z24" s="448"/>
      <c r="AA24" s="448"/>
      <c r="AB24" s="448"/>
      <c r="AC24" s="448"/>
      <c r="AD24" s="448"/>
      <c r="AF24" s="449"/>
      <c r="AG24" s="449"/>
      <c r="AH24" s="449"/>
      <c r="AI24" s="448"/>
      <c r="AJ24" s="448"/>
      <c r="AK24" s="448"/>
      <c r="AL24" s="448"/>
      <c r="AM24" s="448"/>
      <c r="AN24" s="448"/>
      <c r="AP24" s="449"/>
      <c r="AQ24" s="449"/>
      <c r="AR24" s="449"/>
      <c r="AS24" s="448"/>
      <c r="AT24" s="448"/>
      <c r="AU24" s="448"/>
      <c r="AV24" s="448"/>
      <c r="AW24" s="448"/>
      <c r="AX24" s="448"/>
    </row>
    <row r="25" spans="2:50" x14ac:dyDescent="0.4">
      <c r="B25" s="442">
        <v>10106</v>
      </c>
      <c r="C25" s="443">
        <v>4.4999999999999998E-2</v>
      </c>
      <c r="E25" s="438">
        <v>2.7000000000000001E-3</v>
      </c>
      <c r="J25" s="438">
        <f t="shared" si="0"/>
        <v>4.2299999999999997E-2</v>
      </c>
      <c r="M25" s="446">
        <f t="shared" si="1"/>
        <v>0.34633363877768808</v>
      </c>
      <c r="N25" s="446">
        <f t="shared" si="2"/>
        <v>3.2399999999999998E-2</v>
      </c>
      <c r="P25" s="447">
        <f t="shared" si="3"/>
        <v>0.3139336387776881</v>
      </c>
      <c r="V25" s="448"/>
      <c r="W25" s="448"/>
      <c r="X25" s="448"/>
      <c r="Y25" s="448"/>
      <c r="Z25" s="448"/>
      <c r="AA25" s="448"/>
      <c r="AB25" s="448"/>
      <c r="AC25" s="448"/>
      <c r="AD25" s="448"/>
      <c r="AF25" s="448"/>
      <c r="AG25" s="448"/>
      <c r="AH25" s="448"/>
      <c r="AI25" s="448"/>
      <c r="AJ25" s="448"/>
      <c r="AK25" s="448"/>
      <c r="AL25" s="448"/>
      <c r="AM25" s="448"/>
      <c r="AN25" s="448"/>
      <c r="AP25" s="448"/>
      <c r="AQ25" s="448"/>
      <c r="AR25" s="448"/>
      <c r="AS25" s="448"/>
      <c r="AT25" s="448"/>
      <c r="AU25" s="448"/>
      <c r="AV25" s="448"/>
      <c r="AW25" s="448"/>
      <c r="AX25" s="448"/>
    </row>
    <row r="26" spans="2:50" x14ac:dyDescent="0.4">
      <c r="B26" s="442">
        <v>10136</v>
      </c>
      <c r="C26" s="443">
        <v>-5.0200000000000002E-2</v>
      </c>
      <c r="E26" s="438">
        <v>2.7999999999999995E-3</v>
      </c>
      <c r="J26" s="438">
        <f t="shared" si="0"/>
        <v>-5.2999999999999999E-2</v>
      </c>
      <c r="M26" s="446">
        <f t="shared" si="1"/>
        <v>0.31612565882158083</v>
      </c>
      <c r="N26" s="446">
        <f t="shared" si="2"/>
        <v>3.3599999999999991E-2</v>
      </c>
      <c r="P26" s="447">
        <f t="shared" si="3"/>
        <v>0.28252565882158087</v>
      </c>
      <c r="V26" s="448"/>
      <c r="W26" s="448"/>
      <c r="X26" s="448"/>
      <c r="Y26" s="448"/>
      <c r="Z26" s="448"/>
      <c r="AA26" s="448"/>
      <c r="AB26" s="448"/>
      <c r="AC26" s="448"/>
      <c r="AD26" s="448"/>
      <c r="AF26" s="448"/>
      <c r="AG26" s="448"/>
      <c r="AH26" s="448"/>
      <c r="AI26" s="448"/>
      <c r="AJ26" s="448"/>
      <c r="AK26" s="448"/>
      <c r="AL26" s="448"/>
      <c r="AM26" s="448"/>
      <c r="AN26" s="448"/>
      <c r="AP26" s="448"/>
      <c r="AQ26" s="448"/>
      <c r="AR26" s="448"/>
      <c r="AS26" s="448"/>
      <c r="AT26" s="448"/>
      <c r="AU26" s="448"/>
      <c r="AV26" s="448"/>
      <c r="AW26" s="448"/>
      <c r="AX26" s="448"/>
    </row>
    <row r="27" spans="2:50" x14ac:dyDescent="0.4">
      <c r="B27" s="442">
        <v>10167</v>
      </c>
      <c r="C27" s="443">
        <v>7.2099999999999997E-2</v>
      </c>
      <c r="E27" s="438">
        <v>2.7000000000000001E-3</v>
      </c>
      <c r="J27" s="438">
        <f t="shared" si="0"/>
        <v>6.9400000000000003E-2</v>
      </c>
      <c r="M27" s="446">
        <f t="shared" si="1"/>
        <v>0.36369799828222393</v>
      </c>
      <c r="N27" s="446">
        <f t="shared" si="2"/>
        <v>3.2399999999999998E-2</v>
      </c>
      <c r="P27" s="447">
        <f t="shared" si="3"/>
        <v>0.33129799828222395</v>
      </c>
      <c r="V27" s="448"/>
      <c r="W27" s="448"/>
      <c r="X27" s="448"/>
      <c r="Y27" s="448"/>
      <c r="Z27" s="448"/>
      <c r="AA27" s="448"/>
      <c r="AB27" s="448"/>
      <c r="AC27" s="448"/>
      <c r="AD27" s="448"/>
      <c r="AF27" s="448"/>
      <c r="AG27" s="448"/>
      <c r="AH27" s="448"/>
      <c r="AI27" s="448"/>
      <c r="AJ27" s="448"/>
      <c r="AK27" s="448"/>
      <c r="AL27" s="448"/>
      <c r="AM27" s="448"/>
      <c r="AN27" s="448"/>
      <c r="AP27" s="448"/>
      <c r="AQ27" s="448"/>
      <c r="AR27" s="448"/>
      <c r="AS27" s="448"/>
      <c r="AT27" s="448"/>
      <c r="AU27" s="448"/>
      <c r="AV27" s="448"/>
      <c r="AW27" s="448"/>
      <c r="AX27" s="448"/>
    </row>
    <row r="28" spans="2:50" x14ac:dyDescent="0.4">
      <c r="B28" s="442">
        <v>10197</v>
      </c>
      <c r="C28" s="443">
        <v>2.7900000000000001E-2</v>
      </c>
      <c r="E28" s="438">
        <v>2.7000000000000001E-3</v>
      </c>
      <c r="J28" s="438">
        <f t="shared" si="0"/>
        <v>2.52E-2</v>
      </c>
      <c r="M28" s="446">
        <f t="shared" si="1"/>
        <v>0.37479910988063758</v>
      </c>
      <c r="N28" s="446">
        <f t="shared" si="2"/>
        <v>3.2399999999999998E-2</v>
      </c>
      <c r="P28" s="447">
        <f t="shared" si="3"/>
        <v>0.3423991098806376</v>
      </c>
      <c r="V28" s="448"/>
      <c r="W28" s="448"/>
      <c r="X28" s="448"/>
      <c r="Y28" s="448"/>
      <c r="Z28" s="448"/>
      <c r="AA28" s="448"/>
      <c r="AB28" s="448"/>
      <c r="AC28" s="448"/>
      <c r="AD28" s="448"/>
      <c r="AF28" s="448"/>
      <c r="AG28" s="448"/>
      <c r="AH28" s="448"/>
      <c r="AI28" s="448"/>
      <c r="AJ28" s="448"/>
      <c r="AK28" s="448"/>
      <c r="AL28" s="448"/>
      <c r="AM28" s="448"/>
      <c r="AN28" s="448"/>
      <c r="AP28" s="448"/>
      <c r="AQ28" s="448"/>
      <c r="AR28" s="448"/>
      <c r="AS28" s="448"/>
      <c r="AT28" s="448"/>
      <c r="AU28" s="448"/>
      <c r="AV28" s="448"/>
      <c r="AW28" s="448"/>
      <c r="AX28" s="448"/>
    </row>
    <row r="29" spans="2:50" x14ac:dyDescent="0.4">
      <c r="B29" s="442">
        <v>10228</v>
      </c>
      <c r="C29" s="443">
        <v>-4.0000000000000001E-3</v>
      </c>
      <c r="D29" s="438">
        <v>3.7499999999999999E-2</v>
      </c>
      <c r="E29" s="438">
        <v>2.7000000000000001E-3</v>
      </c>
      <c r="F29" s="438">
        <v>3.7166666666666663E-3</v>
      </c>
      <c r="G29" s="438">
        <v>3.8416666666666673E-3</v>
      </c>
      <c r="H29" s="438">
        <v>3.7791666666666668E-3</v>
      </c>
      <c r="I29" s="438">
        <v>4.0416666666666665E-3</v>
      </c>
      <c r="J29" s="438">
        <f t="shared" si="0"/>
        <v>-6.7000000000000002E-3</v>
      </c>
      <c r="K29" s="438">
        <f t="shared" ref="K29:K92" si="4">C29-H29</f>
        <v>-7.7791666666666669E-3</v>
      </c>
      <c r="L29" s="438">
        <f t="shared" ref="L29:L92" si="5">$D29-I29</f>
        <v>3.3458333333333333E-2</v>
      </c>
      <c r="M29" s="446">
        <f t="shared" si="1"/>
        <v>0.39624748999807768</v>
      </c>
      <c r="N29" s="446">
        <f t="shared" si="2"/>
        <v>3.2399999999999998E-2</v>
      </c>
      <c r="P29" s="447">
        <f t="shared" si="3"/>
        <v>0.3638474899980777</v>
      </c>
      <c r="V29" s="448"/>
      <c r="W29" s="448"/>
      <c r="X29" s="448"/>
      <c r="Y29" s="448"/>
      <c r="Z29" s="448"/>
      <c r="AA29" s="448"/>
      <c r="AB29" s="448"/>
      <c r="AC29" s="448"/>
      <c r="AD29" s="448"/>
      <c r="AF29" s="448"/>
      <c r="AG29" s="448"/>
      <c r="AH29" s="448"/>
      <c r="AI29" s="448"/>
      <c r="AJ29" s="448"/>
      <c r="AK29" s="448"/>
      <c r="AL29" s="448"/>
      <c r="AM29" s="448"/>
      <c r="AN29" s="448"/>
      <c r="AP29" s="448"/>
      <c r="AQ29" s="448"/>
      <c r="AR29" s="448"/>
      <c r="AS29" s="448"/>
      <c r="AT29" s="448"/>
      <c r="AU29" s="448"/>
      <c r="AV29" s="448"/>
      <c r="AW29" s="448"/>
      <c r="AX29" s="448"/>
    </row>
    <row r="30" spans="2:50" x14ac:dyDescent="0.4">
      <c r="B30" s="442">
        <v>10259</v>
      </c>
      <c r="C30" s="443">
        <v>-1.2500000000000001E-2</v>
      </c>
      <c r="D30" s="438">
        <v>-8.0000000000000002E-3</v>
      </c>
      <c r="E30" s="438">
        <v>2.5000000000000001E-3</v>
      </c>
      <c r="F30" s="438">
        <v>3.7166666666666663E-3</v>
      </c>
      <c r="G30" s="438">
        <v>3.8416666666666673E-3</v>
      </c>
      <c r="H30" s="438">
        <v>3.7791666666666668E-3</v>
      </c>
      <c r="I30" s="438">
        <v>4.0416666666666665E-3</v>
      </c>
      <c r="J30" s="438">
        <f t="shared" si="0"/>
        <v>-1.5000000000000001E-2</v>
      </c>
      <c r="K30" s="438">
        <f t="shared" si="4"/>
        <v>-1.6279166666666667E-2</v>
      </c>
      <c r="L30" s="438">
        <f t="shared" si="5"/>
        <v>-1.2041666666666666E-2</v>
      </c>
      <c r="M30" s="446">
        <f t="shared" si="1"/>
        <v>0.30852652213447995</v>
      </c>
      <c r="N30" s="446">
        <f t="shared" si="2"/>
        <v>0.03</v>
      </c>
      <c r="P30" s="447">
        <f t="shared" si="3"/>
        <v>0.27852652213447993</v>
      </c>
      <c r="V30" s="448"/>
      <c r="W30" s="448"/>
      <c r="X30" s="448"/>
      <c r="Y30" s="448"/>
      <c r="Z30" s="448"/>
      <c r="AA30" s="448"/>
      <c r="AB30" s="448"/>
      <c r="AC30" s="448"/>
      <c r="AD30" s="448"/>
      <c r="AF30" s="448"/>
      <c r="AG30" s="448"/>
      <c r="AH30" s="448"/>
      <c r="AI30" s="448"/>
      <c r="AJ30" s="448"/>
      <c r="AK30" s="448"/>
      <c r="AL30" s="448"/>
      <c r="AM30" s="448"/>
      <c r="AN30" s="448"/>
      <c r="AP30" s="448"/>
      <c r="AQ30" s="448"/>
      <c r="AR30" s="448"/>
      <c r="AS30" s="448"/>
      <c r="AT30" s="448"/>
      <c r="AU30" s="448"/>
      <c r="AV30" s="448"/>
      <c r="AW30" s="448"/>
      <c r="AX30" s="448"/>
    </row>
    <row r="31" spans="2:50" x14ac:dyDescent="0.4">
      <c r="B31" s="442">
        <v>10288</v>
      </c>
      <c r="C31" s="443">
        <v>0.1101</v>
      </c>
      <c r="D31" s="438">
        <v>7.2299999999999989E-2</v>
      </c>
      <c r="E31" s="438">
        <v>2.7000000000000001E-3</v>
      </c>
      <c r="F31" s="438">
        <v>3.7166666666666663E-3</v>
      </c>
      <c r="G31" s="438">
        <v>3.8250000000000003E-3</v>
      </c>
      <c r="H31" s="438">
        <v>3.7708333333333331E-3</v>
      </c>
      <c r="I31" s="438">
        <v>4.0166666666666666E-3</v>
      </c>
      <c r="J31" s="438">
        <f t="shared" si="0"/>
        <v>0.10740000000000001</v>
      </c>
      <c r="K31" s="438">
        <f t="shared" si="4"/>
        <v>0.10632916666666667</v>
      </c>
      <c r="L31" s="438">
        <f t="shared" si="5"/>
        <v>6.8283333333333321E-2</v>
      </c>
      <c r="M31" s="446">
        <f t="shared" si="1"/>
        <v>0.44006671182857837</v>
      </c>
      <c r="N31" s="446">
        <f t="shared" si="2"/>
        <v>3.2399999999999998E-2</v>
      </c>
      <c r="P31" s="447">
        <f t="shared" si="3"/>
        <v>0.40766671182857839</v>
      </c>
      <c r="V31" s="448"/>
      <c r="W31" s="448"/>
      <c r="X31" s="448"/>
      <c r="Y31" s="448"/>
      <c r="Z31" s="448"/>
      <c r="AA31" s="448"/>
      <c r="AB31" s="448"/>
      <c r="AC31" s="448"/>
      <c r="AD31" s="448"/>
      <c r="AF31" s="448"/>
      <c r="AG31" s="448"/>
      <c r="AH31" s="448"/>
      <c r="AI31" s="448"/>
      <c r="AJ31" s="448"/>
      <c r="AK31" s="448"/>
      <c r="AL31" s="448"/>
      <c r="AM31" s="448"/>
      <c r="AN31" s="448"/>
      <c r="AP31" s="448"/>
      <c r="AQ31" s="448"/>
      <c r="AR31" s="448"/>
      <c r="AS31" s="448"/>
      <c r="AT31" s="448"/>
      <c r="AU31" s="448"/>
      <c r="AV31" s="448"/>
      <c r="AW31" s="448"/>
      <c r="AX31" s="448"/>
    </row>
    <row r="32" spans="2:50" x14ac:dyDescent="0.4">
      <c r="B32" s="442">
        <v>10319</v>
      </c>
      <c r="C32" s="443">
        <v>3.4500000000000003E-2</v>
      </c>
      <c r="D32" s="438">
        <v>9.8600000000000007E-2</v>
      </c>
      <c r="E32" s="438">
        <v>2.5999999999999999E-3</v>
      </c>
      <c r="F32" s="438">
        <v>3.7166666666666663E-3</v>
      </c>
      <c r="G32" s="438">
        <v>3.8333333333333331E-3</v>
      </c>
      <c r="H32" s="438">
        <v>3.7749999999999993E-3</v>
      </c>
      <c r="I32" s="438">
        <v>4.0166666666666666E-3</v>
      </c>
      <c r="J32" s="438">
        <f t="shared" si="0"/>
        <v>3.1900000000000005E-2</v>
      </c>
      <c r="K32" s="438">
        <f t="shared" si="4"/>
        <v>3.0725000000000002E-2</v>
      </c>
      <c r="L32" s="438">
        <f t="shared" si="5"/>
        <v>9.4583333333333339E-2</v>
      </c>
      <c r="M32" s="446">
        <f t="shared" si="1"/>
        <v>0.46039507243080435</v>
      </c>
      <c r="N32" s="446">
        <f t="shared" si="2"/>
        <v>3.1199999999999999E-2</v>
      </c>
      <c r="P32" s="447">
        <f t="shared" si="3"/>
        <v>0.42919507243080435</v>
      </c>
      <c r="V32" s="448"/>
      <c r="W32" s="448"/>
      <c r="X32" s="448"/>
      <c r="Y32" s="448"/>
      <c r="Z32" s="448"/>
      <c r="AA32" s="448"/>
      <c r="AB32" s="448"/>
      <c r="AC32" s="448"/>
      <c r="AD32" s="448"/>
      <c r="AF32" s="448"/>
      <c r="AG32" s="448"/>
      <c r="AH32" s="448"/>
      <c r="AI32" s="448"/>
      <c r="AJ32" s="448"/>
      <c r="AK32" s="448"/>
      <c r="AL32" s="448"/>
      <c r="AM32" s="448"/>
      <c r="AN32" s="448"/>
      <c r="AP32" s="448"/>
      <c r="AQ32" s="448"/>
      <c r="AR32" s="448"/>
      <c r="AS32" s="448"/>
      <c r="AT32" s="448"/>
      <c r="AU32" s="448"/>
      <c r="AV32" s="448"/>
      <c r="AW32" s="448"/>
      <c r="AX32" s="448"/>
    </row>
    <row r="33" spans="1:52" x14ac:dyDescent="0.4">
      <c r="B33" s="442">
        <v>10349</v>
      </c>
      <c r="C33" s="443">
        <v>1.9699999999999999E-2</v>
      </c>
      <c r="D33" s="438">
        <v>2.0799999999999999E-2</v>
      </c>
      <c r="E33" s="438">
        <v>2.7000000000000001E-3</v>
      </c>
      <c r="F33" s="438">
        <v>3.741666666666667E-3</v>
      </c>
      <c r="G33" s="438">
        <v>3.8666666666666667E-3</v>
      </c>
      <c r="H33" s="438">
        <v>3.8041666666666666E-3</v>
      </c>
      <c r="I33" s="438">
        <v>4.0583333333333331E-3</v>
      </c>
      <c r="J33" s="438">
        <f t="shared" si="0"/>
        <v>1.6999999999999998E-2</v>
      </c>
      <c r="K33" s="438">
        <f t="shared" si="4"/>
        <v>1.5895833333333331E-2</v>
      </c>
      <c r="L33" s="438">
        <f t="shared" si="5"/>
        <v>1.6741666666666665E-2</v>
      </c>
      <c r="M33" s="446">
        <f t="shared" si="1"/>
        <v>0.4039453713186496</v>
      </c>
      <c r="N33" s="446">
        <f t="shared" si="2"/>
        <v>3.2399999999999998E-2</v>
      </c>
      <c r="P33" s="447">
        <f t="shared" si="3"/>
        <v>0.37154537131864962</v>
      </c>
      <c r="V33" s="448"/>
      <c r="W33" s="448"/>
      <c r="X33" s="448"/>
      <c r="Y33" s="448"/>
      <c r="Z33" s="448"/>
      <c r="AA33" s="448"/>
      <c r="AB33" s="448"/>
      <c r="AC33" s="448"/>
      <c r="AD33" s="448"/>
      <c r="AF33" s="448"/>
      <c r="AG33" s="448"/>
      <c r="AH33" s="448"/>
      <c r="AI33" s="448"/>
      <c r="AJ33" s="448"/>
      <c r="AK33" s="448"/>
      <c r="AL33" s="448"/>
      <c r="AM33" s="448"/>
      <c r="AN33" s="448"/>
      <c r="AP33" s="448"/>
      <c r="AQ33" s="448"/>
      <c r="AR33" s="448"/>
      <c r="AS33" s="448"/>
      <c r="AT33" s="448"/>
      <c r="AU33" s="448"/>
      <c r="AV33" s="448"/>
      <c r="AW33" s="448"/>
      <c r="AX33" s="448"/>
    </row>
    <row r="34" spans="1:52" x14ac:dyDescent="0.4">
      <c r="B34" s="442">
        <v>10380</v>
      </c>
      <c r="C34" s="443">
        <v>-3.85E-2</v>
      </c>
      <c r="D34" s="438">
        <v>-4.0099999999999997E-2</v>
      </c>
      <c r="E34" s="438">
        <v>2.7000000000000001E-3</v>
      </c>
      <c r="F34" s="438">
        <v>3.8083333333333337E-3</v>
      </c>
      <c r="G34" s="438">
        <v>3.9583333333333328E-3</v>
      </c>
      <c r="H34" s="438">
        <v>3.8833333333333333E-3</v>
      </c>
      <c r="I34" s="438">
        <v>4.1583333333333333E-3</v>
      </c>
      <c r="J34" s="438">
        <f t="shared" si="0"/>
        <v>-4.1200000000000001E-2</v>
      </c>
      <c r="K34" s="438">
        <f t="shared" si="4"/>
        <v>-4.2383333333333335E-2</v>
      </c>
      <c r="L34" s="438">
        <f t="shared" si="5"/>
        <v>-4.425833333333333E-2</v>
      </c>
      <c r="M34" s="446">
        <f t="shared" si="1"/>
        <v>0.35899876625680216</v>
      </c>
      <c r="N34" s="446">
        <f t="shared" si="2"/>
        <v>3.2399999999999998E-2</v>
      </c>
      <c r="P34" s="447">
        <f t="shared" si="3"/>
        <v>0.32659876625680218</v>
      </c>
      <c r="V34" s="448"/>
      <c r="W34" s="448"/>
      <c r="X34" s="448"/>
      <c r="Y34" s="448"/>
      <c r="Z34" s="448"/>
      <c r="AA34" s="448"/>
      <c r="AB34" s="448"/>
      <c r="AC34" s="448"/>
      <c r="AD34" s="448"/>
      <c r="AF34" s="448"/>
      <c r="AG34" s="448"/>
      <c r="AH34" s="448"/>
      <c r="AI34" s="448"/>
      <c r="AJ34" s="448"/>
      <c r="AK34" s="448"/>
      <c r="AL34" s="448"/>
      <c r="AM34" s="448"/>
      <c r="AN34" s="448"/>
      <c r="AP34" s="448"/>
      <c r="AQ34" s="448"/>
      <c r="AR34" s="448"/>
      <c r="AS34" s="448"/>
      <c r="AT34" s="448"/>
      <c r="AU34" s="448"/>
      <c r="AV34" s="448"/>
      <c r="AW34" s="448"/>
      <c r="AX34" s="448"/>
    </row>
    <row r="35" spans="1:52" x14ac:dyDescent="0.4">
      <c r="B35" s="442">
        <v>10410</v>
      </c>
      <c r="C35" s="443">
        <v>1.41E-2</v>
      </c>
      <c r="D35" s="438">
        <v>-7.6000000000000009E-3</v>
      </c>
      <c r="E35" s="438">
        <v>2.7000000000000001E-3</v>
      </c>
      <c r="F35" s="438">
        <v>3.8416666666666673E-3</v>
      </c>
      <c r="G35" s="438">
        <v>3.9916666666666668E-3</v>
      </c>
      <c r="H35" s="438">
        <v>3.9166666666666673E-3</v>
      </c>
      <c r="I35" s="438">
        <v>4.1999999999999997E-3</v>
      </c>
      <c r="J35" s="438">
        <f t="shared" si="0"/>
        <v>1.14E-2</v>
      </c>
      <c r="K35" s="438">
        <f t="shared" si="4"/>
        <v>1.0183333333333332E-2</v>
      </c>
      <c r="L35" s="438">
        <f t="shared" si="5"/>
        <v>-1.1800000000000001E-2</v>
      </c>
      <c r="M35" s="446">
        <f t="shared" si="1"/>
        <v>0.29162197643957199</v>
      </c>
      <c r="N35" s="446">
        <f t="shared" si="2"/>
        <v>3.2399999999999998E-2</v>
      </c>
      <c r="P35" s="447">
        <f t="shared" si="3"/>
        <v>0.25922197643957201</v>
      </c>
      <c r="V35" s="448"/>
      <c r="W35" s="448"/>
      <c r="X35" s="448"/>
      <c r="Y35" s="448"/>
      <c r="Z35" s="448"/>
      <c r="AA35" s="448"/>
      <c r="AB35" s="448"/>
      <c r="AC35" s="448"/>
      <c r="AD35" s="448"/>
      <c r="AF35" s="448"/>
      <c r="AG35" s="448"/>
      <c r="AH35" s="448"/>
      <c r="AI35" s="448"/>
      <c r="AJ35" s="448"/>
      <c r="AK35" s="448"/>
      <c r="AL35" s="448"/>
      <c r="AM35" s="448"/>
      <c r="AN35" s="448"/>
      <c r="AP35" s="448"/>
      <c r="AQ35" s="448"/>
      <c r="AR35" s="448"/>
      <c r="AS35" s="448"/>
      <c r="AT35" s="448"/>
      <c r="AU35" s="448"/>
      <c r="AV35" s="448"/>
      <c r="AW35" s="448"/>
      <c r="AX35" s="448"/>
    </row>
    <row r="36" spans="1:52" x14ac:dyDescent="0.4">
      <c r="B36" s="442">
        <v>10441</v>
      </c>
      <c r="C36" s="443">
        <v>8.0299999999999996E-2</v>
      </c>
      <c r="D36" s="438">
        <v>6.8199999999999997E-2</v>
      </c>
      <c r="E36" s="438">
        <v>2.8999999999999998E-3</v>
      </c>
      <c r="F36" s="438">
        <v>3.8666666666666667E-3</v>
      </c>
      <c r="G36" s="438">
        <v>4.0166666666666666E-3</v>
      </c>
      <c r="H36" s="438">
        <v>3.9416666666666662E-3</v>
      </c>
      <c r="I36" s="438">
        <v>4.2333333333333337E-3</v>
      </c>
      <c r="J36" s="438">
        <f t="shared" si="0"/>
        <v>7.7399999999999997E-2</v>
      </c>
      <c r="K36" s="438">
        <f t="shared" si="4"/>
        <v>7.6358333333333334E-2</v>
      </c>
      <c r="L36" s="438">
        <f t="shared" si="5"/>
        <v>6.3966666666666658E-2</v>
      </c>
      <c r="M36" s="446">
        <f t="shared" si="1"/>
        <v>0.32699878378285274</v>
      </c>
      <c r="N36" s="446">
        <f t="shared" si="2"/>
        <v>3.4799999999999998E-2</v>
      </c>
      <c r="P36" s="447">
        <f t="shared" si="3"/>
        <v>0.29219878378285274</v>
      </c>
      <c r="V36" s="448"/>
      <c r="W36" s="448"/>
      <c r="X36" s="448"/>
      <c r="Y36" s="448"/>
      <c r="Z36" s="448"/>
      <c r="AA36" s="448"/>
      <c r="AB36" s="448"/>
      <c r="AC36" s="448"/>
      <c r="AD36" s="448"/>
      <c r="AF36" s="448"/>
      <c r="AG36" s="448"/>
      <c r="AH36" s="448"/>
      <c r="AI36" s="448"/>
      <c r="AJ36" s="448"/>
      <c r="AK36" s="448"/>
      <c r="AL36" s="448"/>
      <c r="AM36" s="448"/>
      <c r="AN36" s="448"/>
      <c r="AP36" s="448"/>
      <c r="AQ36" s="448"/>
      <c r="AR36" s="448"/>
      <c r="AS36" s="448"/>
      <c r="AT36" s="448"/>
      <c r="AU36" s="448"/>
      <c r="AV36" s="448"/>
      <c r="AW36" s="448"/>
      <c r="AX36" s="448"/>
    </row>
    <row r="37" spans="1:52" x14ac:dyDescent="0.4">
      <c r="B37" s="442">
        <v>10472</v>
      </c>
      <c r="C37" s="443">
        <v>2.5899999999999999E-2</v>
      </c>
      <c r="D37" s="438">
        <v>2.87E-2</v>
      </c>
      <c r="E37" s="438">
        <v>2.7000000000000001E-3</v>
      </c>
      <c r="F37" s="438">
        <v>3.8416666666666673E-3</v>
      </c>
      <c r="G37" s="438">
        <v>3.9916666666666668E-3</v>
      </c>
      <c r="H37" s="438">
        <v>3.9166666666666673E-3</v>
      </c>
      <c r="I37" s="438">
        <v>4.208333333333333E-3</v>
      </c>
      <c r="J37" s="438">
        <f t="shared" si="0"/>
        <v>2.3199999999999998E-2</v>
      </c>
      <c r="K37" s="438">
        <f t="shared" si="4"/>
        <v>2.1983333333333334E-2</v>
      </c>
      <c r="L37" s="438">
        <f t="shared" si="5"/>
        <v>2.4491666666666669E-2</v>
      </c>
      <c r="M37" s="446">
        <f t="shared" si="1"/>
        <v>0.30274454763907088</v>
      </c>
      <c r="N37" s="446">
        <f t="shared" si="2"/>
        <v>3.2399999999999998E-2</v>
      </c>
      <c r="P37" s="447">
        <f t="shared" si="3"/>
        <v>0.2703445476390709</v>
      </c>
      <c r="V37" s="448"/>
      <c r="W37" s="448"/>
      <c r="X37" s="448"/>
      <c r="Y37" s="448"/>
      <c r="Z37" s="448"/>
      <c r="AA37" s="448"/>
      <c r="AB37" s="448"/>
      <c r="AC37" s="448"/>
      <c r="AD37" s="448"/>
      <c r="AF37" s="448"/>
      <c r="AG37" s="448"/>
      <c r="AH37" s="448"/>
      <c r="AI37" s="448"/>
      <c r="AJ37" s="448"/>
      <c r="AK37" s="448"/>
      <c r="AL37" s="448"/>
      <c r="AM37" s="448"/>
      <c r="AN37" s="448"/>
      <c r="AP37" s="448"/>
      <c r="AQ37" s="448"/>
      <c r="AR37" s="448"/>
      <c r="AS37" s="448"/>
      <c r="AT37" s="448"/>
      <c r="AU37" s="448"/>
      <c r="AV37" s="448"/>
      <c r="AW37" s="448"/>
      <c r="AX37" s="448"/>
    </row>
    <row r="38" spans="1:52" x14ac:dyDescent="0.4">
      <c r="B38" s="442">
        <v>10502</v>
      </c>
      <c r="C38" s="443">
        <v>1.6799999999999999E-2</v>
      </c>
      <c r="D38" s="438">
        <v>-9.1999999999999998E-3</v>
      </c>
      <c r="E38" s="438">
        <v>3.0000000000000001E-3</v>
      </c>
      <c r="F38" s="438">
        <v>3.8416666666666673E-3</v>
      </c>
      <c r="G38" s="438">
        <v>3.9833333333333335E-3</v>
      </c>
      <c r="H38" s="438">
        <v>3.9125000000000002E-3</v>
      </c>
      <c r="I38" s="438">
        <v>4.1583333333333333E-3</v>
      </c>
      <c r="J38" s="438">
        <f t="shared" si="0"/>
        <v>1.38E-2</v>
      </c>
      <c r="K38" s="438">
        <f t="shared" si="4"/>
        <v>1.28875E-2</v>
      </c>
      <c r="L38" s="438">
        <f t="shared" si="5"/>
        <v>-1.3358333333333333E-2</v>
      </c>
      <c r="M38" s="446">
        <f t="shared" si="1"/>
        <v>0.3946416677610094</v>
      </c>
      <c r="N38" s="446">
        <f t="shared" si="2"/>
        <v>3.6000000000000004E-2</v>
      </c>
      <c r="P38" s="447">
        <f t="shared" si="3"/>
        <v>0.35864166776100936</v>
      </c>
      <c r="V38" s="448"/>
      <c r="W38" s="448"/>
      <c r="X38" s="448"/>
      <c r="Y38" s="448"/>
      <c r="Z38" s="448"/>
      <c r="AA38" s="448"/>
      <c r="AB38" s="448"/>
      <c r="AC38" s="448"/>
      <c r="AD38" s="448"/>
      <c r="AF38" s="448"/>
      <c r="AG38" s="448"/>
      <c r="AH38" s="448"/>
      <c r="AI38" s="448"/>
      <c r="AJ38" s="448"/>
      <c r="AK38" s="448"/>
      <c r="AL38" s="448"/>
      <c r="AM38" s="448"/>
      <c r="AN38" s="448"/>
      <c r="AP38" s="448"/>
      <c r="AQ38" s="448"/>
      <c r="AR38" s="448"/>
      <c r="AS38" s="448"/>
      <c r="AT38" s="448"/>
      <c r="AU38" s="448"/>
      <c r="AV38" s="448"/>
      <c r="AW38" s="448"/>
      <c r="AX38" s="448"/>
    </row>
    <row r="39" spans="1:52" x14ac:dyDescent="0.4">
      <c r="B39" s="442">
        <v>10533</v>
      </c>
      <c r="C39" s="443">
        <v>0.12920000000000001</v>
      </c>
      <c r="D39" s="438">
        <v>0.2147</v>
      </c>
      <c r="E39" s="438">
        <v>2.7000000000000001E-3</v>
      </c>
      <c r="F39" s="438">
        <v>3.8166666666666666E-3</v>
      </c>
      <c r="G39" s="438">
        <v>3.933333333333333E-3</v>
      </c>
      <c r="H39" s="438">
        <v>3.8749999999999995E-3</v>
      </c>
      <c r="I39" s="438">
        <v>4.15E-3</v>
      </c>
      <c r="J39" s="438">
        <f t="shared" si="0"/>
        <v>0.1265</v>
      </c>
      <c r="K39" s="438">
        <f t="shared" si="4"/>
        <v>0.12532500000000002</v>
      </c>
      <c r="L39" s="438">
        <f t="shared" si="5"/>
        <v>0.21055000000000001</v>
      </c>
      <c r="M39" s="446">
        <f t="shared" si="1"/>
        <v>0.46892022314684367</v>
      </c>
      <c r="N39" s="446">
        <f t="shared" si="2"/>
        <v>3.2399999999999998E-2</v>
      </c>
      <c r="P39" s="447">
        <f t="shared" si="3"/>
        <v>0.43652022314684369</v>
      </c>
      <c r="V39" s="448"/>
      <c r="W39" s="448"/>
      <c r="X39" s="448"/>
      <c r="Y39" s="448"/>
      <c r="Z39" s="448"/>
      <c r="AA39" s="448"/>
      <c r="AB39" s="448"/>
      <c r="AC39" s="448"/>
      <c r="AD39" s="448"/>
      <c r="AF39" s="448"/>
      <c r="AG39" s="448"/>
      <c r="AH39" s="448"/>
      <c r="AI39" s="448"/>
      <c r="AJ39" s="448"/>
      <c r="AK39" s="448"/>
      <c r="AL39" s="448"/>
      <c r="AM39" s="448"/>
      <c r="AN39" s="448"/>
      <c r="AP39" s="448"/>
      <c r="AQ39" s="448"/>
      <c r="AR39" s="448"/>
      <c r="AS39" s="448"/>
      <c r="AT39" s="448"/>
      <c r="AU39" s="448"/>
      <c r="AV39" s="448"/>
      <c r="AW39" s="448"/>
      <c r="AX39" s="448"/>
    </row>
    <row r="40" spans="1:52" x14ac:dyDescent="0.4">
      <c r="A40" s="442" t="str">
        <f>MONTH(B40)&amp;YEAR(B40)</f>
        <v>121928</v>
      </c>
      <c r="B40" s="442">
        <v>10563</v>
      </c>
      <c r="C40" s="443">
        <v>4.8999999999999998E-3</v>
      </c>
      <c r="D40" s="438">
        <v>0.01</v>
      </c>
      <c r="E40" s="438">
        <v>2.8999999999999998E-3</v>
      </c>
      <c r="F40" s="438">
        <v>3.8416666666666673E-3</v>
      </c>
      <c r="G40" s="438">
        <v>3.9749999999999994E-3</v>
      </c>
      <c r="H40" s="438">
        <v>3.908333333333334E-3</v>
      </c>
      <c r="I40" s="438">
        <v>4.208333333333333E-3</v>
      </c>
      <c r="J40" s="438">
        <f t="shared" si="0"/>
        <v>2E-3</v>
      </c>
      <c r="K40" s="438">
        <f t="shared" si="4"/>
        <v>9.9166666666666587E-4</v>
      </c>
      <c r="L40" s="438">
        <f t="shared" si="5"/>
        <v>5.7916666666666672E-3</v>
      </c>
      <c r="M40" s="446">
        <f t="shared" si="1"/>
        <v>0.43605207922975375</v>
      </c>
      <c r="N40" s="446">
        <f t="shared" si="2"/>
        <v>3.4799999999999998E-2</v>
      </c>
      <c r="O40" s="446">
        <f t="shared" ref="O40:O103" si="6">H40*12</f>
        <v>4.6900000000000011E-2</v>
      </c>
      <c r="P40" s="447">
        <f t="shared" si="3"/>
        <v>0.40125207922975376</v>
      </c>
      <c r="Q40" s="446">
        <f t="shared" ref="Q40:Q103" si="7">M40-O40</f>
        <v>0.38915207922975376</v>
      </c>
      <c r="R40" s="446">
        <f t="shared" ref="R40:R103" si="8">((1+D29)*(1+D30)*(1+D31)*(1+D32)*(1+D33)*(1+D34)*(1+D35)*(1+D36)*(1+D37)*(1+D38)*(1+D39)*(1+D40))-1</f>
        <v>0.57480506712921131</v>
      </c>
      <c r="S40" s="446">
        <f t="shared" ref="S40:S103" si="9">I40*12</f>
        <v>5.0499999999999996E-2</v>
      </c>
      <c r="T40" s="447">
        <f t="shared" ref="T40:T103" si="10">R40-S40</f>
        <v>0.52430506712921132</v>
      </c>
      <c r="V40" s="448"/>
      <c r="W40" s="448"/>
      <c r="X40" s="448"/>
      <c r="Y40" s="448"/>
      <c r="Z40" s="448"/>
      <c r="AA40" s="448"/>
      <c r="AB40" s="448"/>
      <c r="AC40" s="448"/>
      <c r="AD40" s="448"/>
      <c r="AF40" s="448"/>
      <c r="AG40" s="448"/>
      <c r="AH40" s="448"/>
      <c r="AI40" s="448"/>
      <c r="AJ40" s="448"/>
      <c r="AK40" s="448"/>
      <c r="AL40" s="448"/>
      <c r="AM40" s="448"/>
      <c r="AN40" s="448"/>
      <c r="AP40" s="448"/>
      <c r="AQ40" s="448"/>
      <c r="AR40" s="448"/>
      <c r="AS40" s="448"/>
      <c r="AT40" s="448"/>
      <c r="AU40" s="448"/>
      <c r="AV40" s="448"/>
      <c r="AW40" s="448"/>
      <c r="AX40" s="448"/>
    </row>
    <row r="41" spans="1:52" x14ac:dyDescent="0.4">
      <c r="A41" s="442" t="str">
        <f t="shared" ref="A41:A104" si="11">MONTH(B41)&amp;YEAR(B41)</f>
        <v>11929</v>
      </c>
      <c r="B41" s="442">
        <v>10594</v>
      </c>
      <c r="C41" s="443">
        <v>5.8299999999999998E-2</v>
      </c>
      <c r="D41" s="438">
        <v>0.13250000000000001</v>
      </c>
      <c r="E41" s="438">
        <v>2.8999999999999998E-3</v>
      </c>
      <c r="F41" s="438">
        <v>3.8500000000000001E-3</v>
      </c>
      <c r="G41" s="438">
        <v>3.9916666666666668E-3</v>
      </c>
      <c r="H41" s="438">
        <v>3.9208333333333335E-3</v>
      </c>
      <c r="I41" s="438">
        <v>4.208333333333333E-3</v>
      </c>
      <c r="J41" s="438">
        <f t="shared" si="0"/>
        <v>5.5399999999999998E-2</v>
      </c>
      <c r="K41" s="438">
        <f t="shared" si="4"/>
        <v>5.4379166666666666E-2</v>
      </c>
      <c r="L41" s="438">
        <f t="shared" si="5"/>
        <v>0.12829166666666666</v>
      </c>
      <c r="M41" s="446">
        <f t="shared" si="1"/>
        <v>0.5258774251494458</v>
      </c>
      <c r="N41" s="446">
        <f t="shared" si="2"/>
        <v>3.4799999999999998E-2</v>
      </c>
      <c r="O41" s="446">
        <f t="shared" si="6"/>
        <v>4.7050000000000002E-2</v>
      </c>
      <c r="P41" s="447">
        <f t="shared" si="3"/>
        <v>0.4910774251494458</v>
      </c>
      <c r="Q41" s="446">
        <f t="shared" si="7"/>
        <v>0.47882742514944582</v>
      </c>
      <c r="R41" s="446">
        <f t="shared" si="8"/>
        <v>0.71900408532417592</v>
      </c>
      <c r="S41" s="446">
        <f t="shared" si="9"/>
        <v>5.0499999999999996E-2</v>
      </c>
      <c r="T41" s="447">
        <f t="shared" si="10"/>
        <v>0.66850408532417593</v>
      </c>
      <c r="V41" s="448"/>
      <c r="W41" s="448"/>
      <c r="X41" s="448"/>
      <c r="Y41" s="448"/>
      <c r="Z41" s="448" t="s">
        <v>3118</v>
      </c>
      <c r="AA41" s="448"/>
      <c r="AB41" s="448" t="s">
        <v>3119</v>
      </c>
      <c r="AC41" s="448"/>
      <c r="AD41" s="448"/>
      <c r="AF41" s="448"/>
      <c r="AG41" s="448"/>
      <c r="AH41" s="448"/>
      <c r="AI41" s="448"/>
      <c r="AJ41" s="448" t="s">
        <v>3120</v>
      </c>
      <c r="AK41" s="448"/>
      <c r="AL41" s="448" t="s">
        <v>3119</v>
      </c>
      <c r="AM41" s="448"/>
      <c r="AN41" s="448"/>
      <c r="AP41" s="448"/>
      <c r="AQ41" s="448"/>
      <c r="AR41" s="448"/>
      <c r="AS41" s="448"/>
      <c r="AT41" s="448" t="s">
        <v>3121</v>
      </c>
      <c r="AU41" s="448"/>
      <c r="AV41" s="448" t="s">
        <v>3119</v>
      </c>
      <c r="AW41" s="448"/>
      <c r="AX41" s="448"/>
    </row>
    <row r="42" spans="1:52" x14ac:dyDescent="0.4">
      <c r="A42" s="442" t="str">
        <f t="shared" si="11"/>
        <v>21929</v>
      </c>
      <c r="B42" s="442">
        <v>10625</v>
      </c>
      <c r="C42" s="443">
        <v>-1.9E-3</v>
      </c>
      <c r="D42" s="438">
        <v>-2.3199999999999998E-2</v>
      </c>
      <c r="E42" s="438">
        <v>2.7000000000000001E-3</v>
      </c>
      <c r="F42" s="438">
        <v>3.8833333333333337E-3</v>
      </c>
      <c r="G42" s="438">
        <v>4.0500000000000006E-3</v>
      </c>
      <c r="H42" s="438">
        <v>3.966666666666667E-3</v>
      </c>
      <c r="I42" s="438">
        <v>4.2500000000000003E-3</v>
      </c>
      <c r="J42" s="438">
        <f t="shared" si="0"/>
        <v>-4.5999999999999999E-3</v>
      </c>
      <c r="K42" s="438">
        <f t="shared" si="4"/>
        <v>-5.8666666666666667E-3</v>
      </c>
      <c r="L42" s="438">
        <f t="shared" si="5"/>
        <v>-2.7449999999999999E-2</v>
      </c>
      <c r="M42" s="446">
        <f t="shared" si="1"/>
        <v>0.54225646383965787</v>
      </c>
      <c r="N42" s="446">
        <f t="shared" si="2"/>
        <v>3.2399999999999998E-2</v>
      </c>
      <c r="O42" s="446">
        <f t="shared" si="6"/>
        <v>4.7600000000000003E-2</v>
      </c>
      <c r="P42" s="447">
        <f t="shared" si="3"/>
        <v>0.50985646383965788</v>
      </c>
      <c r="Q42" s="446">
        <f t="shared" si="7"/>
        <v>0.49465646383965789</v>
      </c>
      <c r="R42" s="446">
        <f t="shared" si="8"/>
        <v>0.69266450659743395</v>
      </c>
      <c r="S42" s="446">
        <f t="shared" si="9"/>
        <v>5.1000000000000004E-2</v>
      </c>
      <c r="T42" s="447">
        <f t="shared" si="10"/>
        <v>0.6416645065974339</v>
      </c>
      <c r="V42" s="448"/>
      <c r="W42" s="448"/>
      <c r="X42" s="448"/>
      <c r="Y42" s="448"/>
      <c r="Z42" s="450">
        <f>'MRP WP1'!F37/100</f>
        <v>3.85E-2</v>
      </c>
      <c r="AA42" s="450"/>
      <c r="AB42" s="450">
        <f>Z42*W18+W17</f>
        <v>8.5912938447414128E-2</v>
      </c>
      <c r="AC42" s="448"/>
      <c r="AD42" s="448"/>
      <c r="AF42" s="448"/>
      <c r="AG42" s="448"/>
      <c r="AH42" s="448"/>
      <c r="AI42" s="448"/>
      <c r="AJ42" s="450">
        <f>'MRP WP1'!M37/100</f>
        <v>4.7500000000000001E-2</v>
      </c>
      <c r="AK42" s="450"/>
      <c r="AL42" s="450">
        <f>AJ42*AG18+AG17</f>
        <v>7.4583144118364336E-2</v>
      </c>
      <c r="AM42" s="448"/>
      <c r="AN42" s="448"/>
      <c r="AP42" s="448"/>
      <c r="AQ42" s="448"/>
      <c r="AR42" s="448"/>
      <c r="AS42" s="448"/>
      <c r="AT42" s="450">
        <f>'1.12 Risk Premium Summary'!G18/100</f>
        <v>5.4400000000000004E-2</v>
      </c>
      <c r="AU42" s="450"/>
      <c r="AV42" s="450">
        <f>AT42*AQ18+AQ17</f>
        <v>5.1639577770183263E-2</v>
      </c>
      <c r="AW42" s="448"/>
      <c r="AX42" s="448"/>
    </row>
    <row r="43" spans="1:52" x14ac:dyDescent="0.4">
      <c r="A43" s="442" t="str">
        <f t="shared" si="11"/>
        <v>31929</v>
      </c>
      <c r="B43" s="442">
        <v>10653</v>
      </c>
      <c r="C43" s="443">
        <v>-1.1999999999999999E-3</v>
      </c>
      <c r="D43" s="438">
        <v>-1.1000000000000001E-2</v>
      </c>
      <c r="E43" s="438">
        <v>2.7999999999999995E-3</v>
      </c>
      <c r="F43" s="438">
        <v>3.9166666666666664E-3</v>
      </c>
      <c r="G43" s="438">
        <v>4.0999999999999995E-3</v>
      </c>
      <c r="H43" s="438">
        <v>4.0083333333333334E-3</v>
      </c>
      <c r="I43" s="438">
        <v>4.2833333333333326E-3</v>
      </c>
      <c r="J43" s="438">
        <f t="shared" si="0"/>
        <v>-3.9999999999999992E-3</v>
      </c>
      <c r="K43" s="438">
        <f t="shared" si="4"/>
        <v>-5.208333333333333E-3</v>
      </c>
      <c r="L43" s="438">
        <f t="shared" si="5"/>
        <v>-1.5283333333333333E-2</v>
      </c>
      <c r="M43" s="446">
        <f t="shared" si="1"/>
        <v>0.38762792188365869</v>
      </c>
      <c r="N43" s="446">
        <f t="shared" si="2"/>
        <v>3.3599999999999991E-2</v>
      </c>
      <c r="O43" s="446">
        <f t="shared" si="6"/>
        <v>4.8100000000000004E-2</v>
      </c>
      <c r="P43" s="447">
        <f t="shared" si="3"/>
        <v>0.35402792188365872</v>
      </c>
      <c r="Q43" s="446">
        <f t="shared" si="7"/>
        <v>0.33952792188365866</v>
      </c>
      <c r="R43" s="446">
        <f t="shared" si="8"/>
        <v>0.56117243031321684</v>
      </c>
      <c r="S43" s="446">
        <f t="shared" si="9"/>
        <v>5.1399999999999987E-2</v>
      </c>
      <c r="T43" s="447">
        <f t="shared" si="10"/>
        <v>0.50977243031321684</v>
      </c>
      <c r="V43" s="448"/>
      <c r="W43" s="448"/>
      <c r="X43" s="448"/>
      <c r="Y43" s="448"/>
      <c r="Z43" s="448"/>
      <c r="AA43" s="448"/>
      <c r="AB43" s="448"/>
      <c r="AC43" s="448"/>
      <c r="AD43" s="448"/>
      <c r="AF43" s="448"/>
      <c r="AG43" s="448"/>
      <c r="AH43" s="448"/>
      <c r="AI43" s="448"/>
      <c r="AJ43" s="448"/>
      <c r="AK43" s="448"/>
      <c r="AL43" s="448"/>
      <c r="AM43" s="448"/>
      <c r="AN43" s="448"/>
      <c r="AP43" s="448"/>
      <c r="AQ43" s="448"/>
      <c r="AR43" s="448"/>
      <c r="AS43" s="448"/>
      <c r="AT43" s="448"/>
      <c r="AU43" s="448"/>
      <c r="AV43" s="448"/>
      <c r="AW43" s="448"/>
      <c r="AX43" s="448"/>
    </row>
    <row r="44" spans="1:52" x14ac:dyDescent="0.4">
      <c r="A44" s="442" t="str">
        <f t="shared" si="11"/>
        <v>41929</v>
      </c>
      <c r="B44" s="442">
        <v>10684</v>
      </c>
      <c r="C44" s="443">
        <v>1.7600000000000001E-2</v>
      </c>
      <c r="D44" s="438">
        <v>3.4700000000000002E-2</v>
      </c>
      <c r="E44" s="438">
        <v>3.3999999999999998E-3</v>
      </c>
      <c r="F44" s="438">
        <v>3.908333333333334E-3</v>
      </c>
      <c r="G44" s="438">
        <v>4.0916666666666671E-3</v>
      </c>
      <c r="H44" s="438">
        <v>4.0000000000000001E-3</v>
      </c>
      <c r="I44" s="438">
        <v>4.2833333333333326E-3</v>
      </c>
      <c r="J44" s="438">
        <f t="shared" si="0"/>
        <v>1.4200000000000001E-2</v>
      </c>
      <c r="K44" s="438">
        <f t="shared" si="4"/>
        <v>1.3600000000000001E-2</v>
      </c>
      <c r="L44" s="438">
        <f t="shared" si="5"/>
        <v>3.0416666666666668E-2</v>
      </c>
      <c r="M44" s="446">
        <f t="shared" si="1"/>
        <v>0.36495908488043649</v>
      </c>
      <c r="N44" s="446">
        <f t="shared" si="2"/>
        <v>4.0799999999999996E-2</v>
      </c>
      <c r="O44" s="446">
        <f t="shared" si="6"/>
        <v>4.8000000000000001E-2</v>
      </c>
      <c r="P44" s="447">
        <f t="shared" si="3"/>
        <v>0.32415908488043649</v>
      </c>
      <c r="Q44" s="446">
        <f t="shared" si="7"/>
        <v>0.3169590848804365</v>
      </c>
      <c r="R44" s="446">
        <f t="shared" si="8"/>
        <v>0.47036693395693163</v>
      </c>
      <c r="S44" s="446">
        <f t="shared" si="9"/>
        <v>5.1399999999999987E-2</v>
      </c>
      <c r="T44" s="447">
        <f t="shared" si="10"/>
        <v>0.41896693395693163</v>
      </c>
      <c r="V44" s="448"/>
      <c r="W44" s="448"/>
      <c r="X44" s="448"/>
      <c r="Y44" s="448"/>
      <c r="Z44" s="448"/>
      <c r="AA44" s="448"/>
      <c r="AB44" s="448"/>
      <c r="AC44" s="448"/>
      <c r="AD44" s="448"/>
      <c r="AF44" s="448"/>
      <c r="AG44" s="448"/>
      <c r="AH44" s="448"/>
      <c r="AI44" s="448"/>
      <c r="AJ44" s="448"/>
      <c r="AK44" s="448"/>
      <c r="AL44" s="448"/>
      <c r="AM44" s="448"/>
      <c r="AN44" s="448"/>
      <c r="AP44" s="448"/>
      <c r="AQ44" s="448"/>
      <c r="AR44" s="448"/>
      <c r="AS44" s="448"/>
      <c r="AT44" s="448"/>
      <c r="AU44" s="448"/>
      <c r="AV44" s="448"/>
      <c r="AW44" s="448"/>
      <c r="AX44" s="448"/>
    </row>
    <row r="45" spans="1:52" x14ac:dyDescent="0.4">
      <c r="A45" s="442" t="str">
        <f t="shared" si="11"/>
        <v>51929</v>
      </c>
      <c r="B45" s="442">
        <v>10714</v>
      </c>
      <c r="C45" s="443">
        <v>-3.6200000000000003E-2</v>
      </c>
      <c r="D45" s="438">
        <v>4.7E-2</v>
      </c>
      <c r="E45" s="438">
        <v>3.0000000000000001E-3</v>
      </c>
      <c r="F45" s="438">
        <v>3.9166666666666664E-3</v>
      </c>
      <c r="G45" s="438">
        <v>4.0916666666666671E-3</v>
      </c>
      <c r="H45" s="438">
        <v>4.0041666666666663E-3</v>
      </c>
      <c r="I45" s="438">
        <v>4.2833333333333326E-3</v>
      </c>
      <c r="J45" s="438">
        <f t="shared" si="0"/>
        <v>-3.9200000000000006E-2</v>
      </c>
      <c r="K45" s="438">
        <f t="shared" si="4"/>
        <v>-4.0204166666666666E-2</v>
      </c>
      <c r="L45" s="438">
        <f t="shared" si="5"/>
        <v>4.2716666666666667E-2</v>
      </c>
      <c r="M45" s="446">
        <f t="shared" si="1"/>
        <v>0.29013196627220239</v>
      </c>
      <c r="N45" s="446">
        <f t="shared" si="2"/>
        <v>3.6000000000000004E-2</v>
      </c>
      <c r="O45" s="446">
        <f t="shared" si="6"/>
        <v>4.8049999999999995E-2</v>
      </c>
      <c r="P45" s="447">
        <f t="shared" si="3"/>
        <v>0.25413196627220236</v>
      </c>
      <c r="Q45" s="446">
        <f t="shared" si="7"/>
        <v>0.24208196627220241</v>
      </c>
      <c r="R45" s="446">
        <f t="shared" si="8"/>
        <v>0.50810558371170389</v>
      </c>
      <c r="S45" s="446">
        <f t="shared" si="9"/>
        <v>5.1399999999999987E-2</v>
      </c>
      <c r="T45" s="447">
        <f t="shared" si="10"/>
        <v>0.45670558371170389</v>
      </c>
      <c r="V45" s="448"/>
      <c r="W45" s="448"/>
      <c r="X45" s="448"/>
      <c r="Y45" s="448"/>
      <c r="Z45" s="448"/>
      <c r="AA45" s="448"/>
      <c r="AB45" s="448"/>
      <c r="AC45" s="448"/>
      <c r="AD45" s="448"/>
      <c r="AF45" s="448"/>
      <c r="AG45" s="448"/>
      <c r="AH45" s="448"/>
      <c r="AI45" s="448"/>
      <c r="AJ45" s="448"/>
      <c r="AK45" s="448"/>
      <c r="AL45" s="448"/>
      <c r="AM45" s="448"/>
      <c r="AN45" s="448"/>
      <c r="AP45" s="448"/>
      <c r="AQ45" s="448"/>
      <c r="AR45" s="448"/>
      <c r="AS45" s="448"/>
      <c r="AT45" s="448"/>
      <c r="AU45" s="448"/>
      <c r="AV45" s="448"/>
      <c r="AW45" s="448"/>
      <c r="AX45" s="448"/>
    </row>
    <row r="46" spans="1:52" x14ac:dyDescent="0.4">
      <c r="A46" s="442" t="str">
        <f t="shared" si="11"/>
        <v>61929</v>
      </c>
      <c r="B46" s="442">
        <v>10745</v>
      </c>
      <c r="C46" s="443">
        <v>0.114</v>
      </c>
      <c r="D46" s="438">
        <v>0.21780000000000002</v>
      </c>
      <c r="E46" s="438">
        <v>2.8999999999999998E-3</v>
      </c>
      <c r="F46" s="438">
        <v>3.9749999999999994E-3</v>
      </c>
      <c r="G46" s="438">
        <v>4.15E-3</v>
      </c>
      <c r="H46" s="438">
        <v>4.0625000000000001E-3</v>
      </c>
      <c r="I46" s="438">
        <v>4.3583333333333339E-3</v>
      </c>
      <c r="J46" s="438">
        <f t="shared" si="0"/>
        <v>0.1111</v>
      </c>
      <c r="K46" s="438">
        <f t="shared" si="4"/>
        <v>0.10993750000000001</v>
      </c>
      <c r="L46" s="438">
        <f t="shared" si="5"/>
        <v>0.2134416666666667</v>
      </c>
      <c r="M46" s="446">
        <f t="shared" si="1"/>
        <v>0.49475508104756472</v>
      </c>
      <c r="N46" s="446">
        <f t="shared" si="2"/>
        <v>3.4799999999999998E-2</v>
      </c>
      <c r="O46" s="446">
        <f t="shared" si="6"/>
        <v>4.8750000000000002E-2</v>
      </c>
      <c r="P46" s="447">
        <f t="shared" si="3"/>
        <v>0.45995508104756472</v>
      </c>
      <c r="Q46" s="446">
        <f t="shared" si="7"/>
        <v>0.4460050810475647</v>
      </c>
      <c r="R46" s="446">
        <f t="shared" si="8"/>
        <v>0.91329407213679858</v>
      </c>
      <c r="S46" s="446">
        <f t="shared" si="9"/>
        <v>5.2300000000000006E-2</v>
      </c>
      <c r="T46" s="447">
        <f t="shared" si="10"/>
        <v>0.86099407213679857</v>
      </c>
      <c r="V46" s="376"/>
      <c r="W46" s="376"/>
      <c r="X46" s="376"/>
      <c r="Y46" s="376"/>
      <c r="Z46" s="451"/>
      <c r="AA46" s="348"/>
      <c r="AB46" s="451"/>
      <c r="AC46" s="348"/>
      <c r="AD46" s="348"/>
      <c r="AF46" s="348"/>
      <c r="AG46" s="348"/>
      <c r="AH46" s="348"/>
      <c r="AI46" s="348"/>
      <c r="AJ46" s="451"/>
      <c r="AK46" s="348"/>
      <c r="AL46" s="451"/>
      <c r="AM46" s="348"/>
      <c r="AN46" s="348"/>
      <c r="AP46" s="448"/>
      <c r="AQ46" s="448"/>
      <c r="AR46" s="448"/>
      <c r="AS46" s="448"/>
      <c r="AT46" s="356"/>
      <c r="AU46" s="448"/>
      <c r="AV46" s="356"/>
      <c r="AW46" s="448"/>
      <c r="AX46" s="448"/>
    </row>
    <row r="47" spans="1:52" x14ac:dyDescent="0.4">
      <c r="A47" s="442" t="str">
        <f t="shared" si="11"/>
        <v>71929</v>
      </c>
      <c r="B47" s="442">
        <v>10775</v>
      </c>
      <c r="C47" s="443">
        <v>4.7100000000000003E-2</v>
      </c>
      <c r="D47" s="438">
        <v>9.0499999999999983E-2</v>
      </c>
      <c r="E47" s="438">
        <v>3.2000000000000002E-3</v>
      </c>
      <c r="F47" s="438">
        <v>3.9749999999999994E-3</v>
      </c>
      <c r="G47" s="438">
        <v>4.1416666666666659E-3</v>
      </c>
      <c r="H47" s="438">
        <v>4.0583333333333331E-3</v>
      </c>
      <c r="I47" s="438">
        <v>4.3666666666666671E-3</v>
      </c>
      <c r="J47" s="438">
        <f t="shared" si="0"/>
        <v>4.3900000000000002E-2</v>
      </c>
      <c r="K47" s="438">
        <f t="shared" si="4"/>
        <v>4.3041666666666673E-2</v>
      </c>
      <c r="L47" s="438">
        <f t="shared" si="5"/>
        <v>8.6133333333333312E-2</v>
      </c>
      <c r="M47" s="446">
        <f t="shared" si="1"/>
        <v>0.54339615951573328</v>
      </c>
      <c r="N47" s="446">
        <f t="shared" si="2"/>
        <v>3.8400000000000004E-2</v>
      </c>
      <c r="O47" s="446">
        <f t="shared" si="6"/>
        <v>4.8699999999999993E-2</v>
      </c>
      <c r="P47" s="447">
        <f t="shared" si="3"/>
        <v>0.50499615951573329</v>
      </c>
      <c r="Q47" s="446">
        <f t="shared" si="7"/>
        <v>0.49469615951573331</v>
      </c>
      <c r="R47" s="446">
        <f t="shared" si="8"/>
        <v>1.102425620380068</v>
      </c>
      <c r="S47" s="446">
        <f t="shared" si="9"/>
        <v>5.2400000000000002E-2</v>
      </c>
      <c r="T47" s="447">
        <f t="shared" si="10"/>
        <v>1.050025620380068</v>
      </c>
      <c r="V47" s="376"/>
      <c r="W47" s="376"/>
      <c r="X47" s="376"/>
      <c r="Y47" s="376"/>
      <c r="Z47" s="348"/>
      <c r="AA47" s="348"/>
      <c r="AB47" s="348"/>
      <c r="AC47" s="348"/>
      <c r="AD47" s="348"/>
      <c r="AF47" s="348"/>
      <c r="AG47" s="348"/>
      <c r="AH47" s="348"/>
      <c r="AI47" s="348"/>
      <c r="AJ47" s="348"/>
      <c r="AK47" s="348"/>
      <c r="AL47" s="348"/>
      <c r="AM47" s="348"/>
      <c r="AN47" s="348"/>
      <c r="AP47" s="448"/>
      <c r="AQ47" s="448"/>
      <c r="AR47" s="348"/>
      <c r="AS47" s="348"/>
      <c r="AT47" s="348"/>
      <c r="AU47" s="348"/>
      <c r="AV47" s="348"/>
      <c r="AW47" s="348"/>
      <c r="AX47" s="348"/>
      <c r="AY47" s="348"/>
      <c r="AZ47" s="348"/>
    </row>
    <row r="48" spans="1:52" x14ac:dyDescent="0.4">
      <c r="A48" s="442" t="str">
        <f t="shared" si="11"/>
        <v>81929</v>
      </c>
      <c r="B48" s="442">
        <v>10806</v>
      </c>
      <c r="C48" s="443">
        <v>0.1028</v>
      </c>
      <c r="D48" s="438">
        <v>0.1033</v>
      </c>
      <c r="E48" s="438">
        <v>3.0000000000000001E-3</v>
      </c>
      <c r="F48" s="438">
        <v>3.9916666666666668E-3</v>
      </c>
      <c r="G48" s="438">
        <v>4.1583333333333333E-3</v>
      </c>
      <c r="H48" s="438">
        <v>4.0749999999999996E-3</v>
      </c>
      <c r="I48" s="438">
        <v>4.4166666666666668E-3</v>
      </c>
      <c r="J48" s="438">
        <f t="shared" si="0"/>
        <v>9.98E-2</v>
      </c>
      <c r="K48" s="438">
        <f t="shared" si="4"/>
        <v>9.8725000000000007E-2</v>
      </c>
      <c r="L48" s="438">
        <f t="shared" si="5"/>
        <v>9.8883333333333337E-2</v>
      </c>
      <c r="M48" s="446">
        <f t="shared" si="1"/>
        <v>0.5755413169619088</v>
      </c>
      <c r="N48" s="446">
        <f t="shared" si="2"/>
        <v>3.6000000000000004E-2</v>
      </c>
      <c r="O48" s="446">
        <f t="shared" si="6"/>
        <v>4.8899999999999999E-2</v>
      </c>
      <c r="P48" s="447">
        <f t="shared" si="3"/>
        <v>0.53954131696190877</v>
      </c>
      <c r="Q48" s="446">
        <f t="shared" si="7"/>
        <v>0.52664131696190886</v>
      </c>
      <c r="R48" s="446">
        <f t="shared" si="8"/>
        <v>1.171509255724891</v>
      </c>
      <c r="S48" s="446">
        <f t="shared" si="9"/>
        <v>5.3000000000000005E-2</v>
      </c>
      <c r="T48" s="447">
        <f t="shared" si="10"/>
        <v>1.118509255724891</v>
      </c>
      <c r="V48" s="452"/>
      <c r="W48" s="452"/>
      <c r="X48" s="376"/>
      <c r="Y48" s="376"/>
      <c r="Z48" s="376"/>
      <c r="AA48" s="376"/>
      <c r="AB48" s="376"/>
      <c r="AC48" s="376"/>
      <c r="AD48" s="376"/>
      <c r="AF48" s="452"/>
      <c r="AG48" s="452"/>
      <c r="AH48" s="376"/>
      <c r="AI48" s="376"/>
      <c r="AJ48" s="376"/>
      <c r="AK48" s="376"/>
      <c r="AL48" s="376"/>
      <c r="AM48" s="376"/>
      <c r="AN48" s="376"/>
      <c r="AP48" s="448"/>
      <c r="AQ48" s="448"/>
      <c r="AR48" s="376"/>
      <c r="AS48" s="376"/>
      <c r="AT48" s="376"/>
      <c r="AU48" s="376"/>
      <c r="AV48" s="376"/>
      <c r="AW48" s="376"/>
      <c r="AX48" s="376"/>
      <c r="AY48" s="376"/>
      <c r="AZ48" s="376"/>
    </row>
    <row r="49" spans="1:52" x14ac:dyDescent="0.4">
      <c r="A49" s="442" t="str">
        <f t="shared" si="11"/>
        <v>91929</v>
      </c>
      <c r="B49" s="442">
        <v>10837</v>
      </c>
      <c r="C49" s="443">
        <v>-4.7600000000000003E-2</v>
      </c>
      <c r="D49" s="438">
        <v>3.9999999999999996E-4</v>
      </c>
      <c r="E49" s="438">
        <v>3.2000000000000002E-3</v>
      </c>
      <c r="F49" s="438">
        <v>4.0000000000000001E-3</v>
      </c>
      <c r="G49" s="438">
        <v>4.1749999999999999E-3</v>
      </c>
      <c r="H49" s="438">
        <v>4.0874999999999991E-3</v>
      </c>
      <c r="I49" s="438">
        <v>4.4833333333333331E-3</v>
      </c>
      <c r="J49" s="438">
        <f t="shared" si="0"/>
        <v>-5.0800000000000005E-2</v>
      </c>
      <c r="K49" s="438">
        <f t="shared" si="4"/>
        <v>-5.1687500000000004E-2</v>
      </c>
      <c r="L49" s="438">
        <f t="shared" si="5"/>
        <v>-4.0833333333333329E-3</v>
      </c>
      <c r="M49" s="446">
        <f t="shared" si="1"/>
        <v>0.46266258921388248</v>
      </c>
      <c r="N49" s="446">
        <f t="shared" si="2"/>
        <v>3.8400000000000004E-2</v>
      </c>
      <c r="O49" s="446">
        <f t="shared" si="6"/>
        <v>4.9049999999999989E-2</v>
      </c>
      <c r="P49" s="447">
        <f t="shared" si="3"/>
        <v>0.42426258921388249</v>
      </c>
      <c r="Q49" s="446">
        <f t="shared" si="7"/>
        <v>0.4136125892138825</v>
      </c>
      <c r="R49" s="446">
        <f t="shared" si="8"/>
        <v>1.1117700587413051</v>
      </c>
      <c r="S49" s="446">
        <f t="shared" si="9"/>
        <v>5.3800000000000001E-2</v>
      </c>
      <c r="T49" s="447">
        <f t="shared" si="10"/>
        <v>1.057970058741305</v>
      </c>
      <c r="V49" s="376"/>
      <c r="W49" s="376"/>
      <c r="X49" s="376"/>
      <c r="Y49" s="376"/>
      <c r="Z49" s="376"/>
      <c r="AA49" s="376"/>
      <c r="AB49" s="376"/>
      <c r="AC49" s="376"/>
      <c r="AD49" s="376"/>
      <c r="AF49" s="376"/>
      <c r="AG49" s="376"/>
      <c r="AH49" s="376"/>
      <c r="AI49" s="376"/>
      <c r="AJ49" s="376"/>
      <c r="AK49" s="376"/>
      <c r="AL49" s="376"/>
      <c r="AM49" s="376"/>
      <c r="AN49" s="376"/>
      <c r="AP49" s="448"/>
      <c r="AQ49" s="448"/>
      <c r="AR49" s="452"/>
      <c r="AS49" s="452"/>
      <c r="AT49" s="376"/>
      <c r="AU49" s="376"/>
      <c r="AV49" s="376"/>
      <c r="AW49" s="376"/>
      <c r="AX49" s="376"/>
      <c r="AY49" s="376"/>
      <c r="AZ49" s="376"/>
    </row>
    <row r="50" spans="1:52" x14ac:dyDescent="0.4">
      <c r="A50" s="442" t="str">
        <f t="shared" si="11"/>
        <v>101929</v>
      </c>
      <c r="B50" s="442">
        <v>10867</v>
      </c>
      <c r="C50" s="443">
        <v>-0.1973</v>
      </c>
      <c r="D50" s="438">
        <v>-0.30220000000000002</v>
      </c>
      <c r="E50" s="438">
        <v>3.0999999999999999E-3</v>
      </c>
      <c r="F50" s="438">
        <v>3.9749999999999994E-3</v>
      </c>
      <c r="G50" s="438">
        <v>4.1749999999999999E-3</v>
      </c>
      <c r="H50" s="438">
        <v>4.0749999999999996E-3</v>
      </c>
      <c r="I50" s="438">
        <v>4.45E-3</v>
      </c>
      <c r="J50" s="438">
        <f t="shared" si="0"/>
        <v>-0.20039999999999999</v>
      </c>
      <c r="K50" s="438">
        <f t="shared" si="4"/>
        <v>-0.201375</v>
      </c>
      <c r="L50" s="438">
        <f t="shared" si="5"/>
        <v>-0.30665000000000003</v>
      </c>
      <c r="M50" s="446">
        <f t="shared" si="1"/>
        <v>0.15468062584774178</v>
      </c>
      <c r="N50" s="446">
        <f t="shared" si="2"/>
        <v>3.7199999999999997E-2</v>
      </c>
      <c r="O50" s="446">
        <f t="shared" si="6"/>
        <v>4.8899999999999999E-2</v>
      </c>
      <c r="P50" s="447">
        <f t="shared" si="3"/>
        <v>0.11748062584774178</v>
      </c>
      <c r="Q50" s="446">
        <f t="shared" si="7"/>
        <v>0.10578062584774178</v>
      </c>
      <c r="R50" s="446">
        <f t="shared" si="8"/>
        <v>0.48727608698999036</v>
      </c>
      <c r="S50" s="446">
        <f t="shared" si="9"/>
        <v>5.3400000000000003E-2</v>
      </c>
      <c r="T50" s="447">
        <f t="shared" si="10"/>
        <v>0.43387608698999036</v>
      </c>
      <c r="V50" s="376"/>
      <c r="W50" s="376"/>
      <c r="X50" s="376"/>
      <c r="Y50" s="376"/>
      <c r="Z50" s="376"/>
      <c r="AA50" s="376"/>
      <c r="AB50" s="376"/>
      <c r="AC50" s="376"/>
      <c r="AD50" s="376"/>
      <c r="AE50" s="376"/>
      <c r="AF50" s="376"/>
      <c r="AG50" s="376"/>
      <c r="AH50" s="376"/>
      <c r="AI50" s="376"/>
      <c r="AJ50" s="376"/>
      <c r="AK50" s="376"/>
      <c r="AL50" s="376"/>
      <c r="AM50" s="376"/>
      <c r="AN50" s="376"/>
      <c r="AP50" s="448"/>
      <c r="AQ50" s="448"/>
      <c r="AR50" s="376"/>
      <c r="AS50" s="376"/>
      <c r="AT50" s="376"/>
      <c r="AU50" s="376"/>
      <c r="AV50" s="376"/>
      <c r="AW50" s="376"/>
      <c r="AX50" s="376"/>
      <c r="AY50" s="376"/>
      <c r="AZ50" s="376"/>
    </row>
    <row r="51" spans="1:52" x14ac:dyDescent="0.4">
      <c r="A51" s="442" t="str">
        <f t="shared" si="11"/>
        <v>111929</v>
      </c>
      <c r="B51" s="442">
        <v>10898</v>
      </c>
      <c r="C51" s="443">
        <v>-0.1246</v>
      </c>
      <c r="D51" s="438">
        <v>-0.1424</v>
      </c>
      <c r="E51" s="438">
        <v>2.5999999999999999E-3</v>
      </c>
      <c r="F51" s="438">
        <v>3.966666666666667E-3</v>
      </c>
      <c r="G51" s="438">
        <v>4.1166666666666669E-3</v>
      </c>
      <c r="H51" s="438">
        <v>4.0416666666666665E-3</v>
      </c>
      <c r="I51" s="438">
        <v>4.4083333333333335E-3</v>
      </c>
      <c r="J51" s="438">
        <f t="shared" si="0"/>
        <v>-0.12720000000000001</v>
      </c>
      <c r="K51" s="438">
        <f t="shared" si="4"/>
        <v>-0.12864166666666668</v>
      </c>
      <c r="L51" s="438">
        <f t="shared" si="5"/>
        <v>-0.14680833333333332</v>
      </c>
      <c r="M51" s="446">
        <f t="shared" si="1"/>
        <v>-0.10484642236351993</v>
      </c>
      <c r="N51" s="446">
        <f t="shared" si="2"/>
        <v>3.1199999999999999E-2</v>
      </c>
      <c r="O51" s="446">
        <f t="shared" si="6"/>
        <v>4.8500000000000001E-2</v>
      </c>
      <c r="P51" s="447">
        <f t="shared" si="3"/>
        <v>-0.13604642236351994</v>
      </c>
      <c r="Q51" s="446">
        <f t="shared" si="7"/>
        <v>-0.15334642236351992</v>
      </c>
      <c r="R51" s="446">
        <f t="shared" si="8"/>
        <v>5.0043609288396906E-2</v>
      </c>
      <c r="S51" s="446">
        <f t="shared" si="9"/>
        <v>5.2900000000000003E-2</v>
      </c>
      <c r="T51" s="447">
        <f t="shared" si="10"/>
        <v>-2.8563907116030962E-3</v>
      </c>
      <c r="V51" s="376"/>
      <c r="W51" s="376"/>
      <c r="X51" s="376"/>
      <c r="Y51" s="376"/>
      <c r="Z51" s="376"/>
      <c r="AA51" s="376"/>
      <c r="AB51" s="376"/>
      <c r="AC51" s="376"/>
      <c r="AD51" s="376"/>
      <c r="AE51" s="376"/>
      <c r="AF51" s="376"/>
      <c r="AG51" s="376"/>
      <c r="AH51" s="376"/>
      <c r="AI51" s="376"/>
      <c r="AJ51" s="376"/>
      <c r="AK51" s="376"/>
      <c r="AL51" s="376"/>
      <c r="AM51" s="376"/>
      <c r="AN51" s="376"/>
      <c r="AP51" s="448"/>
      <c r="AQ51" s="448"/>
      <c r="AR51" s="376"/>
      <c r="AS51" s="376"/>
      <c r="AT51" s="376"/>
      <c r="AU51" s="376"/>
      <c r="AV51" s="376"/>
      <c r="AW51" s="376"/>
      <c r="AX51" s="376"/>
      <c r="AY51" s="376"/>
      <c r="AZ51" s="376"/>
    </row>
    <row r="52" spans="1:52" x14ac:dyDescent="0.4">
      <c r="A52" s="442" t="str">
        <f t="shared" si="11"/>
        <v>121929</v>
      </c>
      <c r="B52" s="442">
        <v>10928</v>
      </c>
      <c r="C52" s="443">
        <v>2.8199999999999999E-2</v>
      </c>
      <c r="D52" s="438">
        <v>6.7999999999999991E-2</v>
      </c>
      <c r="E52" s="438">
        <v>3.0999999999999999E-3</v>
      </c>
      <c r="F52" s="438">
        <v>3.8916666666666665E-3</v>
      </c>
      <c r="G52" s="438">
        <v>4.0333333333333332E-3</v>
      </c>
      <c r="H52" s="438">
        <v>3.9624999999999999E-3</v>
      </c>
      <c r="I52" s="438">
        <v>4.3583333333333339E-3</v>
      </c>
      <c r="J52" s="438">
        <f t="shared" si="0"/>
        <v>2.5100000000000001E-2</v>
      </c>
      <c r="K52" s="438">
        <f t="shared" si="4"/>
        <v>2.4237499999999999E-2</v>
      </c>
      <c r="L52" s="438">
        <f t="shared" si="5"/>
        <v>6.3641666666666652E-2</v>
      </c>
      <c r="M52" s="446">
        <f t="shared" si="1"/>
        <v>-8.4091045351946891E-2</v>
      </c>
      <c r="N52" s="446">
        <f t="shared" si="2"/>
        <v>3.7199999999999997E-2</v>
      </c>
      <c r="O52" s="446">
        <f t="shared" si="6"/>
        <v>4.7549999999999995E-2</v>
      </c>
      <c r="P52" s="447">
        <f t="shared" si="3"/>
        <v>-0.12129104535194689</v>
      </c>
      <c r="Q52" s="446">
        <f t="shared" si="7"/>
        <v>-0.13164104535194687</v>
      </c>
      <c r="R52" s="446">
        <f t="shared" si="8"/>
        <v>0.11034314328713646</v>
      </c>
      <c r="S52" s="446">
        <f t="shared" si="9"/>
        <v>5.2300000000000006E-2</v>
      </c>
      <c r="T52" s="447">
        <f t="shared" si="10"/>
        <v>5.8043143287136452E-2</v>
      </c>
      <c r="V52" s="376"/>
      <c r="W52" s="376"/>
      <c r="X52" s="376"/>
      <c r="Y52" s="376"/>
      <c r="Z52" s="376"/>
      <c r="AA52" s="376"/>
      <c r="AB52" s="376"/>
      <c r="AC52" s="376"/>
      <c r="AD52" s="376"/>
      <c r="AE52" s="376"/>
      <c r="AF52" s="376"/>
      <c r="AG52" s="376"/>
      <c r="AH52" s="376"/>
      <c r="AI52" s="376"/>
      <c r="AJ52" s="376"/>
      <c r="AK52" s="376"/>
      <c r="AL52" s="376"/>
      <c r="AM52" s="376"/>
      <c r="AN52" s="376"/>
      <c r="AP52" s="448"/>
      <c r="AQ52" s="448"/>
      <c r="AR52" s="376"/>
      <c r="AS52" s="376"/>
      <c r="AT52" s="376"/>
      <c r="AU52" s="376"/>
      <c r="AV52" s="376"/>
      <c r="AW52" s="376"/>
      <c r="AX52" s="376"/>
      <c r="AY52" s="376"/>
      <c r="AZ52" s="376"/>
    </row>
    <row r="53" spans="1:52" x14ac:dyDescent="0.4">
      <c r="A53" s="442" t="str">
        <f t="shared" si="11"/>
        <v>11930</v>
      </c>
      <c r="B53" s="442">
        <v>10959</v>
      </c>
      <c r="C53" s="443">
        <v>6.3899999999999998E-2</v>
      </c>
      <c r="D53" s="438">
        <v>7.3999999999999996E-2</v>
      </c>
      <c r="E53" s="438">
        <v>2.8999999999999998E-3</v>
      </c>
      <c r="F53" s="438">
        <v>3.8833333333333337E-3</v>
      </c>
      <c r="G53" s="438">
        <v>4.0500000000000006E-3</v>
      </c>
      <c r="H53" s="438">
        <v>3.966666666666667E-3</v>
      </c>
      <c r="I53" s="438">
        <v>4.3833333333333328E-3</v>
      </c>
      <c r="J53" s="438">
        <f t="shared" si="0"/>
        <v>6.0999999999999999E-2</v>
      </c>
      <c r="K53" s="438">
        <f t="shared" si="4"/>
        <v>5.9933333333333332E-2</v>
      </c>
      <c r="L53" s="438">
        <f t="shared" si="5"/>
        <v>6.961666666666666E-2</v>
      </c>
      <c r="M53" s="446">
        <f t="shared" si="1"/>
        <v>-7.9244508315162165E-2</v>
      </c>
      <c r="N53" s="446">
        <f t="shared" si="2"/>
        <v>3.4799999999999998E-2</v>
      </c>
      <c r="O53" s="446">
        <f t="shared" si="6"/>
        <v>4.7600000000000003E-2</v>
      </c>
      <c r="P53" s="447">
        <f t="shared" si="3"/>
        <v>-0.11404450831516216</v>
      </c>
      <c r="Q53" s="446">
        <f t="shared" si="7"/>
        <v>-0.12684450831516217</v>
      </c>
      <c r="R53" s="446">
        <f t="shared" si="8"/>
        <v>5.2987669660384151E-2</v>
      </c>
      <c r="S53" s="446">
        <f t="shared" si="9"/>
        <v>5.2599999999999994E-2</v>
      </c>
      <c r="T53" s="447">
        <f t="shared" si="10"/>
        <v>3.8766966038415729E-4</v>
      </c>
      <c r="V53" s="376"/>
      <c r="W53" s="376"/>
      <c r="X53" s="376"/>
      <c r="Y53" s="376"/>
      <c r="Z53" s="376"/>
      <c r="AA53" s="376"/>
      <c r="AB53" s="376"/>
      <c r="AC53" s="376"/>
      <c r="AD53" s="376"/>
      <c r="AE53" s="376"/>
      <c r="AF53" s="376"/>
      <c r="AG53" s="376"/>
      <c r="AH53" s="376"/>
      <c r="AI53" s="376"/>
      <c r="AJ53" s="376"/>
      <c r="AK53" s="376"/>
      <c r="AL53" s="376"/>
      <c r="AM53" s="376"/>
      <c r="AN53" s="376"/>
      <c r="AP53" s="448"/>
      <c r="AQ53" s="448"/>
      <c r="AR53" s="376"/>
      <c r="AS53" s="376"/>
      <c r="AT53" s="376"/>
      <c r="AU53" s="376"/>
      <c r="AV53" s="376"/>
      <c r="AW53" s="376"/>
      <c r="AX53" s="376"/>
      <c r="AY53" s="376"/>
      <c r="AZ53" s="376"/>
    </row>
    <row r="54" spans="1:52" x14ac:dyDescent="0.4">
      <c r="A54" s="442" t="str">
        <f t="shared" si="11"/>
        <v>21930</v>
      </c>
      <c r="B54" s="442">
        <v>10990</v>
      </c>
      <c r="C54" s="443">
        <v>2.5899999999999999E-2</v>
      </c>
      <c r="D54" s="438">
        <v>8.8499999999999995E-2</v>
      </c>
      <c r="E54" s="438">
        <v>2.5999999999999999E-3</v>
      </c>
      <c r="F54" s="438">
        <v>3.908333333333334E-3</v>
      </c>
      <c r="G54" s="438">
        <v>4.0749999999999996E-3</v>
      </c>
      <c r="H54" s="438">
        <v>3.9916666666666668E-3</v>
      </c>
      <c r="I54" s="438">
        <v>4.4083333333333335E-3</v>
      </c>
      <c r="J54" s="438">
        <f t="shared" si="0"/>
        <v>2.3300000000000001E-2</v>
      </c>
      <c r="K54" s="438">
        <f t="shared" si="4"/>
        <v>2.1908333333333332E-2</v>
      </c>
      <c r="L54" s="438">
        <f t="shared" si="5"/>
        <v>8.4091666666666662E-2</v>
      </c>
      <c r="M54" s="446">
        <f t="shared" si="1"/>
        <v>-5.3598778760169385E-2</v>
      </c>
      <c r="N54" s="446">
        <f t="shared" si="2"/>
        <v>3.1199999999999999E-2</v>
      </c>
      <c r="O54" s="446">
        <f t="shared" si="6"/>
        <v>4.7899999999999998E-2</v>
      </c>
      <c r="P54" s="447">
        <f t="shared" si="3"/>
        <v>-8.4798778760169391E-2</v>
      </c>
      <c r="Q54" s="446">
        <f t="shared" si="7"/>
        <v>-0.10149877876016938</v>
      </c>
      <c r="R54" s="446">
        <f t="shared" si="8"/>
        <v>0.17339995743788683</v>
      </c>
      <c r="S54" s="446">
        <f t="shared" si="9"/>
        <v>5.2900000000000003E-2</v>
      </c>
      <c r="T54" s="447">
        <f t="shared" si="10"/>
        <v>0.12049995743788683</v>
      </c>
      <c r="V54" s="376"/>
      <c r="W54" s="376"/>
      <c r="X54" s="376"/>
      <c r="Y54" s="376"/>
      <c r="Z54" s="376"/>
      <c r="AA54" s="376"/>
      <c r="AB54" s="376"/>
      <c r="AC54" s="376"/>
      <c r="AD54" s="376"/>
      <c r="AE54" s="376"/>
      <c r="AF54" s="376"/>
      <c r="AG54" s="376"/>
      <c r="AH54" s="376"/>
      <c r="AI54" s="376"/>
      <c r="AJ54" s="376"/>
      <c r="AK54" s="376"/>
      <c r="AL54" s="376"/>
      <c r="AM54" s="376"/>
      <c r="AN54" s="376"/>
      <c r="AP54" s="448"/>
      <c r="AQ54" s="448"/>
      <c r="AR54" s="376"/>
      <c r="AS54" s="376"/>
      <c r="AT54" s="376"/>
      <c r="AU54" s="376"/>
      <c r="AV54" s="376"/>
      <c r="AW54" s="376"/>
      <c r="AX54" s="376"/>
      <c r="AY54" s="376"/>
      <c r="AZ54" s="376"/>
    </row>
    <row r="55" spans="1:52" x14ac:dyDescent="0.4">
      <c r="A55" s="442" t="str">
        <f t="shared" si="11"/>
        <v>31930</v>
      </c>
      <c r="B55" s="442">
        <v>11018</v>
      </c>
      <c r="C55" s="443">
        <v>8.1199999999999994E-2</v>
      </c>
      <c r="D55" s="438">
        <v>8.9099999999999999E-2</v>
      </c>
      <c r="E55" s="438">
        <v>2.8999999999999998E-3</v>
      </c>
      <c r="F55" s="438">
        <v>3.8500000000000001E-3</v>
      </c>
      <c r="G55" s="438">
        <v>4.0000000000000001E-3</v>
      </c>
      <c r="H55" s="438">
        <v>3.9249999999999997E-3</v>
      </c>
      <c r="I55" s="438">
        <v>4.3166666666666666E-3</v>
      </c>
      <c r="J55" s="438">
        <f t="shared" si="0"/>
        <v>7.8299999999999995E-2</v>
      </c>
      <c r="K55" s="438">
        <f t="shared" si="4"/>
        <v>7.7274999999999996E-2</v>
      </c>
      <c r="L55" s="438">
        <f t="shared" si="5"/>
        <v>8.4783333333333336E-2</v>
      </c>
      <c r="M55" s="446">
        <f t="shared" si="1"/>
        <v>2.4478374453849705E-2</v>
      </c>
      <c r="N55" s="446">
        <f t="shared" si="2"/>
        <v>3.4799999999999998E-2</v>
      </c>
      <c r="O55" s="446">
        <f t="shared" si="6"/>
        <v>4.7099999999999996E-2</v>
      </c>
      <c r="P55" s="447">
        <f t="shared" si="3"/>
        <v>-1.0321625546150293E-2</v>
      </c>
      <c r="Q55" s="446">
        <f t="shared" si="7"/>
        <v>-2.2621625546150291E-2</v>
      </c>
      <c r="R55" s="446">
        <f t="shared" si="8"/>
        <v>0.29216369428271283</v>
      </c>
      <c r="S55" s="446">
        <f t="shared" si="9"/>
        <v>5.1799999999999999E-2</v>
      </c>
      <c r="T55" s="447">
        <f t="shared" si="10"/>
        <v>0.24036369428271281</v>
      </c>
      <c r="V55" s="376"/>
      <c r="W55" s="376"/>
      <c r="X55" s="376"/>
      <c r="Y55" s="376"/>
      <c r="Z55" s="376"/>
      <c r="AA55" s="376"/>
      <c r="AB55" s="376"/>
      <c r="AC55" s="376"/>
      <c r="AD55" s="376"/>
      <c r="AE55" s="376"/>
      <c r="AF55" s="376"/>
      <c r="AG55" s="376"/>
      <c r="AH55" s="376"/>
      <c r="AI55" s="376"/>
      <c r="AJ55" s="376"/>
      <c r="AK55" s="376"/>
      <c r="AL55" s="376"/>
      <c r="AM55" s="376"/>
      <c r="AN55" s="376"/>
      <c r="AP55" s="448"/>
      <c r="AQ55" s="448"/>
      <c r="AR55" s="376"/>
      <c r="AS55" s="376"/>
      <c r="AT55" s="376"/>
      <c r="AU55" s="376"/>
      <c r="AV55" s="376"/>
      <c r="AW55" s="376"/>
      <c r="AX55" s="376"/>
      <c r="AY55" s="376"/>
      <c r="AZ55" s="376"/>
    </row>
    <row r="56" spans="1:52" x14ac:dyDescent="0.4">
      <c r="A56" s="442" t="str">
        <f t="shared" si="11"/>
        <v>41930</v>
      </c>
      <c r="B56" s="442">
        <v>11049</v>
      </c>
      <c r="C56" s="443">
        <v>-8.0000000000000002E-3</v>
      </c>
      <c r="D56" s="438">
        <v>3.4099999999999998E-2</v>
      </c>
      <c r="E56" s="438">
        <v>2.7000000000000001E-3</v>
      </c>
      <c r="F56" s="438">
        <v>3.8333333333333331E-3</v>
      </c>
      <c r="G56" s="438">
        <v>3.9833333333333335E-3</v>
      </c>
      <c r="H56" s="438">
        <v>3.908333333333334E-3</v>
      </c>
      <c r="I56" s="438">
        <v>4.2916666666666667E-3</v>
      </c>
      <c r="J56" s="438">
        <f t="shared" si="0"/>
        <v>-1.0700000000000001E-2</v>
      </c>
      <c r="K56" s="438">
        <f t="shared" si="4"/>
        <v>-1.1908333333333333E-2</v>
      </c>
      <c r="L56" s="438">
        <f t="shared" si="5"/>
        <v>2.9808333333333333E-2</v>
      </c>
      <c r="M56" s="446">
        <f t="shared" si="1"/>
        <v>-1.2946664129139807E-3</v>
      </c>
      <c r="N56" s="446">
        <f t="shared" si="2"/>
        <v>3.2399999999999998E-2</v>
      </c>
      <c r="O56" s="446">
        <f t="shared" si="6"/>
        <v>4.6900000000000011E-2</v>
      </c>
      <c r="P56" s="447">
        <f t="shared" si="3"/>
        <v>-3.3694666412913979E-2</v>
      </c>
      <c r="Q56" s="446">
        <f t="shared" si="7"/>
        <v>-4.8194666412913992E-2</v>
      </c>
      <c r="R56" s="446">
        <f t="shared" si="8"/>
        <v>0.29141439669252267</v>
      </c>
      <c r="S56" s="446">
        <f t="shared" si="9"/>
        <v>5.1500000000000004E-2</v>
      </c>
      <c r="T56" s="447">
        <f t="shared" si="10"/>
        <v>0.23991439669252268</v>
      </c>
      <c r="V56" s="376"/>
      <c r="W56" s="376"/>
      <c r="X56" s="376"/>
      <c r="Y56" s="376"/>
      <c r="Z56" s="376"/>
      <c r="AA56" s="376"/>
      <c r="AB56" s="376"/>
      <c r="AC56" s="376"/>
      <c r="AD56" s="376"/>
      <c r="AE56" s="376"/>
      <c r="AF56" s="376"/>
      <c r="AG56" s="453"/>
      <c r="AH56" s="453"/>
      <c r="AI56" s="453"/>
      <c r="AJ56" s="453"/>
      <c r="AK56" s="453"/>
      <c r="AL56" s="376"/>
      <c r="AM56" s="376"/>
      <c r="AN56" s="376"/>
      <c r="AP56" s="448"/>
      <c r="AQ56" s="448"/>
      <c r="AR56" s="376"/>
      <c r="AS56" s="376"/>
      <c r="AT56" s="376"/>
      <c r="AU56" s="376"/>
      <c r="AV56" s="376"/>
      <c r="AW56" s="376"/>
      <c r="AX56" s="376"/>
      <c r="AY56" s="376"/>
      <c r="AZ56" s="376"/>
    </row>
    <row r="57" spans="1:52" x14ac:dyDescent="0.4">
      <c r="A57" s="442" t="str">
        <f t="shared" si="11"/>
        <v>51930</v>
      </c>
      <c r="B57" s="442">
        <v>11079</v>
      </c>
      <c r="C57" s="443">
        <v>-9.5999999999999992E-3</v>
      </c>
      <c r="D57" s="438">
        <v>-2.3600000000000003E-2</v>
      </c>
      <c r="E57" s="438">
        <v>2.7000000000000001E-3</v>
      </c>
      <c r="F57" s="438">
        <v>3.8333333333333331E-3</v>
      </c>
      <c r="G57" s="438">
        <v>3.9749999999999994E-3</v>
      </c>
      <c r="H57" s="438">
        <v>3.9041666666666665E-3</v>
      </c>
      <c r="I57" s="438">
        <v>4.1999999999999997E-3</v>
      </c>
      <c r="J57" s="438">
        <f t="shared" si="0"/>
        <v>-1.2299999999999998E-2</v>
      </c>
      <c r="K57" s="438">
        <f t="shared" si="4"/>
        <v>-1.3504166666666666E-2</v>
      </c>
      <c r="L57" s="438">
        <f t="shared" si="5"/>
        <v>-2.7800000000000002E-2</v>
      </c>
      <c r="M57" s="446">
        <f t="shared" si="1"/>
        <v>2.6268688923687389E-2</v>
      </c>
      <c r="N57" s="446">
        <f t="shared" si="2"/>
        <v>3.2399999999999998E-2</v>
      </c>
      <c r="O57" s="446">
        <f t="shared" si="6"/>
        <v>4.6849999999999996E-2</v>
      </c>
      <c r="P57" s="447">
        <f t="shared" si="3"/>
        <v>-6.1313110763126094E-3</v>
      </c>
      <c r="Q57" s="446">
        <f t="shared" si="7"/>
        <v>-2.0581311076312607E-2</v>
      </c>
      <c r="R57" s="446">
        <f t="shared" si="8"/>
        <v>0.20433334950389614</v>
      </c>
      <c r="S57" s="446">
        <f t="shared" si="9"/>
        <v>5.04E-2</v>
      </c>
      <c r="T57" s="447">
        <f t="shared" si="10"/>
        <v>0.15393334950389614</v>
      </c>
      <c r="V57" s="376"/>
      <c r="W57" s="376"/>
      <c r="X57" s="376"/>
      <c r="Y57" s="376"/>
      <c r="Z57" s="376"/>
      <c r="AA57" s="376"/>
      <c r="AB57" s="376"/>
      <c r="AC57" s="376"/>
      <c r="AD57" s="376"/>
      <c r="AE57" s="376"/>
      <c r="AF57" s="376"/>
      <c r="AG57" s="376"/>
      <c r="AH57" s="376"/>
      <c r="AI57" s="376"/>
      <c r="AJ57" s="376"/>
      <c r="AK57" s="376"/>
      <c r="AL57" s="376"/>
      <c r="AM57" s="376"/>
      <c r="AN57" s="376"/>
      <c r="AP57" s="448"/>
      <c r="AQ57" s="448"/>
      <c r="AR57" s="453"/>
      <c r="AS57" s="453"/>
      <c r="AT57" s="453"/>
      <c r="AU57" s="453"/>
      <c r="AV57" s="453"/>
      <c r="AW57" s="453"/>
      <c r="AX57" s="376"/>
      <c r="AY57" s="376"/>
      <c r="AZ57" s="376"/>
    </row>
    <row r="58" spans="1:52" x14ac:dyDescent="0.4">
      <c r="A58" s="442" t="str">
        <f t="shared" si="11"/>
        <v>61930</v>
      </c>
      <c r="B58" s="442">
        <v>11110</v>
      </c>
      <c r="C58" s="443">
        <v>-0.16250000000000001</v>
      </c>
      <c r="D58" s="438">
        <v>-0.19030000000000002</v>
      </c>
      <c r="E58" s="438">
        <v>2.8999999999999998E-3</v>
      </c>
      <c r="F58" s="438">
        <v>3.8083333333333337E-3</v>
      </c>
      <c r="G58" s="438">
        <v>3.966666666666667E-3</v>
      </c>
      <c r="H58" s="438">
        <v>3.8875000000000003E-3</v>
      </c>
      <c r="I58" s="438">
        <v>4.1749999999999999E-3</v>
      </c>
      <c r="J58" s="438">
        <f t="shared" si="0"/>
        <v>-0.16539999999999999</v>
      </c>
      <c r="K58" s="438">
        <f t="shared" si="4"/>
        <v>-0.16638749999999999</v>
      </c>
      <c r="L58" s="438">
        <f t="shared" si="5"/>
        <v>-0.19447500000000004</v>
      </c>
      <c r="M58" s="446">
        <f t="shared" si="1"/>
        <v>-0.22845599014938212</v>
      </c>
      <c r="N58" s="446">
        <f t="shared" si="2"/>
        <v>3.4799999999999998E-2</v>
      </c>
      <c r="O58" s="446">
        <f t="shared" si="6"/>
        <v>4.6650000000000004E-2</v>
      </c>
      <c r="P58" s="447">
        <f t="shared" si="3"/>
        <v>-0.26325599014938211</v>
      </c>
      <c r="Q58" s="446">
        <f t="shared" si="7"/>
        <v>-0.27510599014938214</v>
      </c>
      <c r="R58" s="446">
        <f t="shared" si="8"/>
        <v>-0.19925380760937395</v>
      </c>
      <c r="S58" s="446">
        <f t="shared" si="9"/>
        <v>5.0099999999999999E-2</v>
      </c>
      <c r="T58" s="447">
        <f t="shared" si="10"/>
        <v>-0.24935380760937395</v>
      </c>
      <c r="V58" s="376"/>
      <c r="W58" s="376"/>
      <c r="X58" s="376"/>
      <c r="Y58" s="376"/>
      <c r="Z58" s="376"/>
      <c r="AA58" s="376"/>
      <c r="AB58" s="376"/>
      <c r="AC58" s="376"/>
      <c r="AD58" s="376"/>
      <c r="AE58" s="376"/>
      <c r="AF58" s="376"/>
      <c r="AG58" s="376"/>
      <c r="AH58" s="376"/>
      <c r="AI58" s="376"/>
      <c r="AJ58" s="376"/>
      <c r="AK58" s="376"/>
      <c r="AL58" s="376"/>
      <c r="AM58" s="376"/>
      <c r="AN58" s="376"/>
      <c r="AP58" s="448"/>
      <c r="AQ58" s="448"/>
      <c r="AR58" s="376"/>
      <c r="AS58" s="376"/>
      <c r="AT58" s="376"/>
      <c r="AU58" s="376"/>
      <c r="AV58" s="376"/>
      <c r="AW58" s="376"/>
      <c r="AX58" s="376"/>
      <c r="AY58" s="376"/>
      <c r="AZ58" s="376"/>
    </row>
    <row r="59" spans="1:52" x14ac:dyDescent="0.4">
      <c r="A59" s="442" t="str">
        <f t="shared" si="11"/>
        <v>71930</v>
      </c>
      <c r="B59" s="442">
        <v>11140</v>
      </c>
      <c r="C59" s="443">
        <v>3.8600000000000002E-2</v>
      </c>
      <c r="D59" s="438">
        <v>1.7599999999999998E-2</v>
      </c>
      <c r="E59" s="438">
        <v>2.7999999999999995E-3</v>
      </c>
      <c r="F59" s="438">
        <v>3.7666666666666664E-3</v>
      </c>
      <c r="G59" s="438">
        <v>3.9500000000000004E-3</v>
      </c>
      <c r="H59" s="438">
        <v>3.8583333333333334E-3</v>
      </c>
      <c r="I59" s="438">
        <v>4.1583333333333333E-3</v>
      </c>
      <c r="J59" s="438">
        <f t="shared" si="0"/>
        <v>3.5800000000000005E-2</v>
      </c>
      <c r="K59" s="438">
        <f t="shared" si="4"/>
        <v>3.4741666666666671E-2</v>
      </c>
      <c r="L59" s="438">
        <f t="shared" si="5"/>
        <v>1.3441666666666664E-2</v>
      </c>
      <c r="M59" s="446">
        <f t="shared" si="1"/>
        <v>-0.23471912078039192</v>
      </c>
      <c r="N59" s="446">
        <f t="shared" si="2"/>
        <v>3.3599999999999991E-2</v>
      </c>
      <c r="O59" s="446">
        <f t="shared" si="6"/>
        <v>4.6300000000000001E-2</v>
      </c>
      <c r="P59" s="447">
        <f t="shared" si="3"/>
        <v>-0.26831912078039188</v>
      </c>
      <c r="Q59" s="446">
        <f t="shared" si="7"/>
        <v>-0.28101912078039193</v>
      </c>
      <c r="R59" s="446">
        <f t="shared" si="8"/>
        <v>-0.25278374564263972</v>
      </c>
      <c r="S59" s="446">
        <f t="shared" si="9"/>
        <v>4.99E-2</v>
      </c>
      <c r="T59" s="447">
        <f t="shared" si="10"/>
        <v>-0.30268374564263972</v>
      </c>
      <c r="V59" s="376"/>
      <c r="W59" s="376"/>
      <c r="X59" s="376"/>
      <c r="Y59" s="376"/>
      <c r="Z59" s="376"/>
      <c r="AA59" s="376"/>
      <c r="AB59" s="376"/>
      <c r="AC59" s="376"/>
      <c r="AD59" s="376"/>
      <c r="AE59" s="376"/>
      <c r="AF59" s="376"/>
      <c r="AG59" s="376"/>
      <c r="AH59" s="376"/>
      <c r="AI59" s="376"/>
      <c r="AJ59" s="376"/>
      <c r="AK59" s="376"/>
      <c r="AL59" s="376"/>
      <c r="AM59" s="376"/>
      <c r="AN59" s="376"/>
      <c r="AP59" s="448"/>
      <c r="AQ59" s="448"/>
      <c r="AR59" s="376"/>
      <c r="AS59" s="376"/>
      <c r="AT59" s="376"/>
      <c r="AU59" s="376"/>
      <c r="AV59" s="376"/>
      <c r="AW59" s="376"/>
      <c r="AX59" s="376"/>
      <c r="AY59" s="376"/>
      <c r="AZ59" s="376"/>
    </row>
    <row r="60" spans="1:52" x14ac:dyDescent="0.4">
      <c r="A60" s="442" t="str">
        <f t="shared" si="11"/>
        <v>81930</v>
      </c>
      <c r="B60" s="442">
        <v>11171</v>
      </c>
      <c r="C60" s="443">
        <v>1.41E-2</v>
      </c>
      <c r="D60" s="438">
        <v>7.6000000000000009E-3</v>
      </c>
      <c r="E60" s="438">
        <v>2.5999999999999999E-3</v>
      </c>
      <c r="F60" s="438">
        <v>3.725E-3</v>
      </c>
      <c r="G60" s="438">
        <v>3.8999999999999994E-3</v>
      </c>
      <c r="H60" s="438">
        <v>3.8124999999999999E-3</v>
      </c>
      <c r="I60" s="438">
        <v>4.1250000000000002E-3</v>
      </c>
      <c r="J60" s="438">
        <f t="shared" si="0"/>
        <v>1.15E-2</v>
      </c>
      <c r="K60" s="438">
        <f t="shared" si="4"/>
        <v>1.02875E-2</v>
      </c>
      <c r="L60" s="438">
        <f t="shared" si="5"/>
        <v>3.4750000000000007E-3</v>
      </c>
      <c r="M60" s="446">
        <f t="shared" si="1"/>
        <v>-0.29627190821853056</v>
      </c>
      <c r="N60" s="446">
        <f t="shared" si="2"/>
        <v>3.1199999999999999E-2</v>
      </c>
      <c r="O60" s="446">
        <f t="shared" si="6"/>
        <v>4.5749999999999999E-2</v>
      </c>
      <c r="P60" s="447">
        <f t="shared" si="3"/>
        <v>-0.32747190821853056</v>
      </c>
      <c r="Q60" s="446">
        <f t="shared" si="7"/>
        <v>-0.34202190821853057</v>
      </c>
      <c r="R60" s="446">
        <f t="shared" si="8"/>
        <v>-0.31759711964970894</v>
      </c>
      <c r="S60" s="446">
        <f t="shared" si="9"/>
        <v>4.9500000000000002E-2</v>
      </c>
      <c r="T60" s="447">
        <f t="shared" si="10"/>
        <v>-0.36709711964970893</v>
      </c>
      <c r="V60" s="376"/>
      <c r="W60" s="376"/>
      <c r="X60" s="376"/>
      <c r="Y60" s="376"/>
      <c r="Z60" s="376"/>
      <c r="AA60" s="376"/>
      <c r="AB60" s="376"/>
      <c r="AC60" s="376"/>
      <c r="AD60" s="376"/>
      <c r="AE60" s="376"/>
      <c r="AF60" s="376"/>
      <c r="AG60" s="376"/>
      <c r="AH60" s="376"/>
      <c r="AI60" s="376"/>
      <c r="AJ60" s="376"/>
      <c r="AK60" s="376"/>
      <c r="AL60" s="376"/>
      <c r="AM60" s="376"/>
      <c r="AN60" s="376"/>
      <c r="AP60" s="448"/>
      <c r="AQ60" s="448"/>
      <c r="AR60" s="376"/>
      <c r="AS60" s="376"/>
      <c r="AT60" s="376"/>
      <c r="AU60" s="376"/>
      <c r="AV60" s="376"/>
      <c r="AW60" s="376"/>
      <c r="AX60" s="376"/>
      <c r="AY60" s="376"/>
      <c r="AZ60" s="376"/>
    </row>
    <row r="61" spans="1:52" x14ac:dyDescent="0.4">
      <c r="A61" s="442" t="str">
        <f t="shared" si="11"/>
        <v>91930</v>
      </c>
      <c r="B61" s="442">
        <v>11202</v>
      </c>
      <c r="C61" s="443">
        <v>-0.12820000000000001</v>
      </c>
      <c r="D61" s="438">
        <v>-0.1108</v>
      </c>
      <c r="E61" s="438">
        <v>2.8999999999999998E-3</v>
      </c>
      <c r="F61" s="438">
        <v>3.6833333333333336E-3</v>
      </c>
      <c r="G61" s="438">
        <v>3.875E-3</v>
      </c>
      <c r="H61" s="438">
        <v>3.7791666666666668E-3</v>
      </c>
      <c r="I61" s="438">
        <v>4.0500000000000006E-3</v>
      </c>
      <c r="J61" s="438">
        <f t="shared" si="0"/>
        <v>-0.13109999999999999</v>
      </c>
      <c r="K61" s="438">
        <f t="shared" si="4"/>
        <v>-0.13197916666666668</v>
      </c>
      <c r="L61" s="438">
        <f t="shared" si="5"/>
        <v>-0.11484999999999999</v>
      </c>
      <c r="M61" s="446">
        <f t="shared" si="1"/>
        <v>-0.35582722551965029</v>
      </c>
      <c r="N61" s="446">
        <f t="shared" si="2"/>
        <v>3.4799999999999998E-2</v>
      </c>
      <c r="O61" s="446">
        <f t="shared" si="6"/>
        <v>4.5350000000000001E-2</v>
      </c>
      <c r="P61" s="447">
        <f t="shared" si="3"/>
        <v>-0.39062722551965029</v>
      </c>
      <c r="Q61" s="446">
        <f t="shared" si="7"/>
        <v>-0.40117722551965029</v>
      </c>
      <c r="R61" s="446">
        <f t="shared" si="8"/>
        <v>-0.39344997880100063</v>
      </c>
      <c r="S61" s="446">
        <f t="shared" si="9"/>
        <v>4.8600000000000004E-2</v>
      </c>
      <c r="T61" s="447">
        <f t="shared" si="10"/>
        <v>-0.44204997880100061</v>
      </c>
      <c r="V61" s="376"/>
      <c r="W61" s="376"/>
      <c r="X61" s="376"/>
      <c r="Y61" s="376"/>
      <c r="Z61" s="376"/>
      <c r="AA61" s="376"/>
      <c r="AB61" s="376"/>
      <c r="AC61" s="376"/>
      <c r="AD61" s="376"/>
      <c r="AE61" s="376"/>
      <c r="AF61" s="376"/>
      <c r="AG61" s="453"/>
      <c r="AH61" s="453"/>
      <c r="AI61" s="453"/>
      <c r="AJ61" s="453"/>
      <c r="AK61" s="453"/>
      <c r="AL61" s="453"/>
      <c r="AM61" s="453"/>
      <c r="AN61" s="453"/>
      <c r="AP61" s="448"/>
      <c r="AQ61" s="448"/>
      <c r="AR61" s="376"/>
      <c r="AS61" s="376"/>
      <c r="AT61" s="376"/>
      <c r="AU61" s="376"/>
      <c r="AV61" s="376"/>
      <c r="AW61" s="376"/>
      <c r="AX61" s="376"/>
      <c r="AY61" s="376"/>
      <c r="AZ61" s="376"/>
    </row>
    <row r="62" spans="1:52" x14ac:dyDescent="0.4">
      <c r="A62" s="442" t="str">
        <f t="shared" si="11"/>
        <v>101930</v>
      </c>
      <c r="B62" s="442">
        <v>11232</v>
      </c>
      <c r="C62" s="443">
        <v>-8.5500000000000007E-2</v>
      </c>
      <c r="D62" s="438">
        <v>-8.1799999999999998E-2</v>
      </c>
      <c r="E62" s="438">
        <v>2.7000000000000001E-3</v>
      </c>
      <c r="F62" s="438">
        <v>3.6833333333333336E-3</v>
      </c>
      <c r="G62" s="438">
        <v>3.8916666666666665E-3</v>
      </c>
      <c r="H62" s="438">
        <v>3.7875000000000005E-3</v>
      </c>
      <c r="I62" s="438">
        <v>4.0666666666666663E-3</v>
      </c>
      <c r="J62" s="438">
        <f t="shared" si="0"/>
        <v>-8.8200000000000001E-2</v>
      </c>
      <c r="K62" s="438">
        <f t="shared" si="4"/>
        <v>-8.9287500000000006E-2</v>
      </c>
      <c r="L62" s="438">
        <f t="shared" si="5"/>
        <v>-8.5866666666666661E-2</v>
      </c>
      <c r="M62" s="446">
        <f t="shared" si="1"/>
        <v>-0.26610688643044766</v>
      </c>
      <c r="N62" s="446">
        <f t="shared" si="2"/>
        <v>3.2399999999999998E-2</v>
      </c>
      <c r="O62" s="446">
        <f t="shared" si="6"/>
        <v>4.5450000000000004E-2</v>
      </c>
      <c r="P62" s="447">
        <f t="shared" si="3"/>
        <v>-0.29850688643044765</v>
      </c>
      <c r="Q62" s="446">
        <f t="shared" si="7"/>
        <v>-0.31155688643044765</v>
      </c>
      <c r="R62" s="446">
        <f t="shared" si="8"/>
        <v>-0.20187126760544427</v>
      </c>
      <c r="S62" s="446">
        <f t="shared" si="9"/>
        <v>4.8799999999999996E-2</v>
      </c>
      <c r="T62" s="447">
        <f t="shared" si="10"/>
        <v>-0.25067126760544428</v>
      </c>
      <c r="V62" s="376"/>
      <c r="W62" s="376"/>
      <c r="X62" s="376"/>
      <c r="Y62" s="376"/>
      <c r="Z62" s="376"/>
      <c r="AA62" s="376"/>
      <c r="AB62" s="376"/>
      <c r="AC62" s="376"/>
      <c r="AD62" s="376"/>
      <c r="AE62" s="376"/>
      <c r="AF62" s="376"/>
      <c r="AG62" s="376"/>
      <c r="AH62" s="376"/>
      <c r="AI62" s="376"/>
      <c r="AJ62" s="376"/>
      <c r="AK62" s="376"/>
      <c r="AL62" s="376"/>
      <c r="AM62" s="376"/>
      <c r="AN62" s="376"/>
      <c r="AP62" s="448"/>
      <c r="AQ62" s="448"/>
      <c r="AR62" s="453"/>
      <c r="AS62" s="453"/>
      <c r="AT62" s="453"/>
      <c r="AU62" s="453"/>
      <c r="AV62" s="453"/>
      <c r="AW62" s="453"/>
      <c r="AX62" s="453"/>
      <c r="AY62" s="453"/>
      <c r="AZ62" s="453"/>
    </row>
    <row r="63" spans="1:52" x14ac:dyDescent="0.4">
      <c r="A63" s="442" t="str">
        <f t="shared" si="11"/>
        <v>111930</v>
      </c>
      <c r="B63" s="442">
        <v>11263</v>
      </c>
      <c r="C63" s="443">
        <v>-8.8999999999999999E-3</v>
      </c>
      <c r="D63" s="438">
        <v>-7.3000000000000009E-2</v>
      </c>
      <c r="E63" s="438">
        <v>2.5999999999999999E-3</v>
      </c>
      <c r="F63" s="438">
        <v>3.725E-3</v>
      </c>
      <c r="G63" s="438">
        <v>3.9583333333333328E-3</v>
      </c>
      <c r="H63" s="438">
        <v>3.8416666666666664E-3</v>
      </c>
      <c r="I63" s="438">
        <v>4.1333333333333335E-3</v>
      </c>
      <c r="J63" s="438">
        <f t="shared" si="0"/>
        <v>-1.15E-2</v>
      </c>
      <c r="K63" s="438">
        <f t="shared" si="4"/>
        <v>-1.2741666666666667E-2</v>
      </c>
      <c r="L63" s="438">
        <f t="shared" si="5"/>
        <v>-7.7133333333333345E-2</v>
      </c>
      <c r="M63" s="446">
        <f t="shared" si="1"/>
        <v>-0.16910959006307591</v>
      </c>
      <c r="N63" s="446">
        <f t="shared" si="2"/>
        <v>3.1199999999999999E-2</v>
      </c>
      <c r="O63" s="446">
        <f t="shared" si="6"/>
        <v>4.6099999999999995E-2</v>
      </c>
      <c r="P63" s="447">
        <f t="shared" si="3"/>
        <v>-0.20030959006307592</v>
      </c>
      <c r="Q63" s="446">
        <f t="shared" si="7"/>
        <v>-0.21520959006307591</v>
      </c>
      <c r="R63" s="446">
        <f t="shared" si="8"/>
        <v>-0.13728389117332884</v>
      </c>
      <c r="S63" s="446">
        <f t="shared" si="9"/>
        <v>4.9600000000000005E-2</v>
      </c>
      <c r="T63" s="447">
        <f t="shared" si="10"/>
        <v>-0.18688389117332885</v>
      </c>
      <c r="V63" s="376"/>
      <c r="W63" s="376"/>
      <c r="X63" s="376"/>
      <c r="Y63" s="376"/>
      <c r="Z63" s="376"/>
      <c r="AA63" s="376"/>
      <c r="AB63" s="376"/>
      <c r="AC63" s="376"/>
      <c r="AD63" s="376"/>
      <c r="AE63" s="376"/>
      <c r="AF63" s="376"/>
      <c r="AG63" s="376"/>
      <c r="AH63" s="376"/>
      <c r="AI63" s="376"/>
      <c r="AJ63" s="376"/>
      <c r="AK63" s="376"/>
      <c r="AL63" s="376"/>
      <c r="AM63" s="376"/>
      <c r="AN63" s="376"/>
      <c r="AP63" s="448"/>
      <c r="AQ63" s="448"/>
      <c r="AR63" s="376"/>
      <c r="AS63" s="376"/>
      <c r="AT63" s="376"/>
      <c r="AU63" s="376"/>
      <c r="AV63" s="376"/>
      <c r="AW63" s="376"/>
      <c r="AX63" s="376"/>
      <c r="AY63" s="376"/>
      <c r="AZ63" s="376"/>
    </row>
    <row r="64" spans="1:52" x14ac:dyDescent="0.4">
      <c r="A64" s="442" t="str">
        <f t="shared" si="11"/>
        <v>121930</v>
      </c>
      <c r="B64" s="442">
        <v>11293</v>
      </c>
      <c r="C64" s="443">
        <v>-7.0599999999999996E-2</v>
      </c>
      <c r="D64" s="438">
        <v>-3.39E-2</v>
      </c>
      <c r="E64" s="438">
        <v>2.7999999999999995E-3</v>
      </c>
      <c r="F64" s="438">
        <v>3.7666666666666664E-3</v>
      </c>
      <c r="G64" s="438">
        <v>4.0416666666666665E-3</v>
      </c>
      <c r="H64" s="438">
        <v>3.9041666666666665E-3</v>
      </c>
      <c r="I64" s="438">
        <v>4.2583333333333336E-3</v>
      </c>
      <c r="J64" s="438">
        <f t="shared" si="0"/>
        <v>-7.3399999999999993E-2</v>
      </c>
      <c r="K64" s="438">
        <f t="shared" si="4"/>
        <v>-7.4504166666666663E-2</v>
      </c>
      <c r="L64" s="438">
        <f t="shared" si="5"/>
        <v>-3.8158333333333336E-2</v>
      </c>
      <c r="M64" s="446">
        <f t="shared" si="1"/>
        <v>-0.24895006127662178</v>
      </c>
      <c r="N64" s="446">
        <f t="shared" si="2"/>
        <v>3.3599999999999991E-2</v>
      </c>
      <c r="O64" s="446">
        <f t="shared" si="6"/>
        <v>4.6849999999999996E-2</v>
      </c>
      <c r="P64" s="447">
        <f t="shared" si="3"/>
        <v>-0.28255006127662174</v>
      </c>
      <c r="Q64" s="446">
        <f t="shared" si="7"/>
        <v>-0.29580006127662178</v>
      </c>
      <c r="R64" s="446">
        <f t="shared" si="8"/>
        <v>-0.2195973476241132</v>
      </c>
      <c r="S64" s="446">
        <f t="shared" si="9"/>
        <v>5.1100000000000007E-2</v>
      </c>
      <c r="T64" s="447">
        <f t="shared" si="10"/>
        <v>-0.27069734762411324</v>
      </c>
      <c r="V64" s="376"/>
      <c r="W64" s="376"/>
      <c r="X64" s="376"/>
      <c r="Y64" s="376"/>
      <c r="Z64" s="376"/>
      <c r="AA64" s="376"/>
      <c r="AB64" s="376"/>
      <c r="AC64" s="376"/>
      <c r="AD64" s="376"/>
      <c r="AE64" s="376"/>
      <c r="AF64" s="376"/>
      <c r="AG64" s="376"/>
      <c r="AH64" s="376"/>
      <c r="AI64" s="376"/>
      <c r="AJ64" s="376"/>
      <c r="AK64" s="376"/>
      <c r="AL64" s="376"/>
      <c r="AM64" s="376"/>
      <c r="AN64" s="376"/>
      <c r="AP64" s="448"/>
      <c r="AQ64" s="448"/>
      <c r="AR64" s="376"/>
      <c r="AS64" s="376"/>
      <c r="AT64" s="376"/>
      <c r="AU64" s="376"/>
      <c r="AV64" s="376"/>
      <c r="AW64" s="376"/>
      <c r="AX64" s="376"/>
      <c r="AY64" s="376"/>
      <c r="AZ64" s="376"/>
    </row>
    <row r="65" spans="1:52" x14ac:dyDescent="0.4">
      <c r="A65" s="442" t="str">
        <f t="shared" si="11"/>
        <v>11931</v>
      </c>
      <c r="B65" s="442">
        <v>11324</v>
      </c>
      <c r="C65" s="443">
        <v>5.0200000000000002E-2</v>
      </c>
      <c r="D65" s="438">
        <v>5.4000000000000006E-2</v>
      </c>
      <c r="E65" s="438">
        <v>2.7999999999999995E-3</v>
      </c>
      <c r="F65" s="438">
        <v>3.6833333333333336E-3</v>
      </c>
      <c r="G65" s="438">
        <v>3.9166666666666664E-3</v>
      </c>
      <c r="H65" s="438">
        <v>3.8E-3</v>
      </c>
      <c r="I65" s="438">
        <v>4.1749999999999999E-3</v>
      </c>
      <c r="J65" s="438">
        <f t="shared" si="0"/>
        <v>4.7400000000000005E-2</v>
      </c>
      <c r="K65" s="438">
        <f t="shared" si="4"/>
        <v>4.6400000000000004E-2</v>
      </c>
      <c r="L65" s="438">
        <f t="shared" si="5"/>
        <v>4.9825000000000008E-2</v>
      </c>
      <c r="M65" s="446">
        <f t="shared" si="1"/>
        <v>-0.25862144407623688</v>
      </c>
      <c r="N65" s="446">
        <f t="shared" si="2"/>
        <v>3.3599999999999991E-2</v>
      </c>
      <c r="O65" s="446">
        <f t="shared" si="6"/>
        <v>4.5600000000000002E-2</v>
      </c>
      <c r="P65" s="447">
        <f t="shared" si="3"/>
        <v>-0.29222144407623685</v>
      </c>
      <c r="Q65" s="446">
        <f t="shared" si="7"/>
        <v>-0.30422144407623686</v>
      </c>
      <c r="R65" s="446">
        <f t="shared" si="8"/>
        <v>-0.23412998547096386</v>
      </c>
      <c r="S65" s="446">
        <f t="shared" si="9"/>
        <v>5.0099999999999999E-2</v>
      </c>
      <c r="T65" s="447">
        <f t="shared" si="10"/>
        <v>-0.28422998547096384</v>
      </c>
      <c r="V65" s="376"/>
      <c r="W65" s="376"/>
      <c r="X65" s="376"/>
      <c r="Y65" s="376"/>
      <c r="Z65" s="376"/>
      <c r="AA65" s="376"/>
      <c r="AB65" s="376"/>
      <c r="AC65" s="376"/>
      <c r="AD65" s="376"/>
      <c r="AE65" s="376"/>
      <c r="AF65" s="376"/>
      <c r="AG65" s="376"/>
      <c r="AH65" s="376"/>
      <c r="AI65" s="376"/>
      <c r="AJ65" s="376"/>
      <c r="AK65" s="376"/>
      <c r="AL65" s="376"/>
      <c r="AM65" s="376"/>
      <c r="AN65" s="376"/>
      <c r="AP65" s="448"/>
      <c r="AQ65" s="448"/>
      <c r="AR65" s="376"/>
      <c r="AS65" s="376"/>
      <c r="AT65" s="376"/>
      <c r="AU65" s="376"/>
      <c r="AV65" s="376"/>
      <c r="AW65" s="376"/>
      <c r="AX65" s="376"/>
      <c r="AY65" s="376"/>
      <c r="AZ65" s="376"/>
    </row>
    <row r="66" spans="1:52" x14ac:dyDescent="0.4">
      <c r="A66" s="442" t="str">
        <f t="shared" si="11"/>
        <v>21931</v>
      </c>
      <c r="B66" s="442">
        <v>11355</v>
      </c>
      <c r="C66" s="443">
        <v>0.1193</v>
      </c>
      <c r="D66" s="438">
        <v>0.15240000000000001</v>
      </c>
      <c r="E66" s="438">
        <v>2.5999999999999999E-3</v>
      </c>
      <c r="F66" s="438">
        <v>3.6916666666666664E-3</v>
      </c>
      <c r="G66" s="438">
        <v>3.9166666666666664E-3</v>
      </c>
      <c r="H66" s="438">
        <v>3.8041666666666662E-3</v>
      </c>
      <c r="I66" s="438">
        <v>4.1749999999999999E-3</v>
      </c>
      <c r="J66" s="438">
        <f t="shared" si="0"/>
        <v>0.1167</v>
      </c>
      <c r="K66" s="438">
        <f t="shared" si="4"/>
        <v>0.11549583333333334</v>
      </c>
      <c r="L66" s="438">
        <f t="shared" si="5"/>
        <v>0.148225</v>
      </c>
      <c r="M66" s="446">
        <f t="shared" si="1"/>
        <v>-0.19112484877135394</v>
      </c>
      <c r="N66" s="446">
        <f t="shared" si="2"/>
        <v>3.1199999999999999E-2</v>
      </c>
      <c r="O66" s="446">
        <f t="shared" si="6"/>
        <v>4.5649999999999996E-2</v>
      </c>
      <c r="P66" s="447">
        <f t="shared" si="3"/>
        <v>-0.22232484877135394</v>
      </c>
      <c r="Q66" s="446">
        <f t="shared" si="7"/>
        <v>-0.23677484877135394</v>
      </c>
      <c r="R66" s="446">
        <f t="shared" si="8"/>
        <v>-0.18916986243154688</v>
      </c>
      <c r="S66" s="446">
        <f t="shared" si="9"/>
        <v>5.0099999999999999E-2</v>
      </c>
      <c r="T66" s="447">
        <f t="shared" si="10"/>
        <v>-0.23926986243154688</v>
      </c>
      <c r="V66" s="376"/>
      <c r="W66" s="376"/>
      <c r="X66" s="376"/>
      <c r="Y66" s="376"/>
      <c r="Z66" s="376"/>
      <c r="AA66" s="376"/>
      <c r="AB66" s="376"/>
      <c r="AC66" s="376"/>
      <c r="AD66" s="376"/>
      <c r="AE66" s="376"/>
      <c r="AF66" s="376"/>
      <c r="AG66" s="376"/>
      <c r="AH66" s="376"/>
      <c r="AI66" s="376"/>
      <c r="AJ66" s="376"/>
      <c r="AK66" s="376"/>
      <c r="AL66" s="376"/>
      <c r="AM66" s="376"/>
      <c r="AN66" s="376"/>
      <c r="AP66" s="448"/>
      <c r="AQ66" s="448"/>
      <c r="AR66" s="376"/>
      <c r="AS66" s="376"/>
      <c r="AT66" s="376"/>
      <c r="AU66" s="376"/>
      <c r="AV66" s="376"/>
      <c r="AW66" s="376"/>
      <c r="AX66" s="376"/>
      <c r="AY66" s="376"/>
      <c r="AZ66" s="376"/>
    </row>
    <row r="67" spans="1:52" x14ac:dyDescent="0.4">
      <c r="A67" s="442" t="str">
        <f t="shared" si="11"/>
        <v>31931</v>
      </c>
      <c r="B67" s="442">
        <v>11383</v>
      </c>
      <c r="C67" s="443">
        <v>-6.7500000000000004E-2</v>
      </c>
      <c r="D67" s="438">
        <v>-2.3900000000000001E-2</v>
      </c>
      <c r="E67" s="438">
        <v>2.8999999999999998E-3</v>
      </c>
      <c r="F67" s="438">
        <v>3.6583333333333329E-3</v>
      </c>
      <c r="G67" s="438">
        <v>3.8916666666666665E-3</v>
      </c>
      <c r="H67" s="438">
        <v>3.7749999999999993E-3</v>
      </c>
      <c r="I67" s="438">
        <v>4.15E-3</v>
      </c>
      <c r="J67" s="438">
        <f t="shared" si="0"/>
        <v>-7.0400000000000004E-2</v>
      </c>
      <c r="K67" s="438">
        <f t="shared" si="4"/>
        <v>-7.1275000000000005E-2</v>
      </c>
      <c r="L67" s="438">
        <f t="shared" si="5"/>
        <v>-2.8050000000000002E-2</v>
      </c>
      <c r="M67" s="446">
        <f t="shared" si="1"/>
        <v>-0.30237136651802388</v>
      </c>
      <c r="N67" s="446">
        <f t="shared" si="2"/>
        <v>3.4799999999999998E-2</v>
      </c>
      <c r="O67" s="446">
        <f t="shared" si="6"/>
        <v>4.5299999999999993E-2</v>
      </c>
      <c r="P67" s="447">
        <f t="shared" si="3"/>
        <v>-0.33717136651802387</v>
      </c>
      <c r="Q67" s="446">
        <f t="shared" si="7"/>
        <v>-0.34767136651802388</v>
      </c>
      <c r="R67" s="446">
        <f t="shared" si="8"/>
        <v>-0.27329786311581405</v>
      </c>
      <c r="S67" s="446">
        <f t="shared" si="9"/>
        <v>4.9799999999999997E-2</v>
      </c>
      <c r="T67" s="447">
        <f t="shared" si="10"/>
        <v>-0.32309786311581407</v>
      </c>
      <c r="V67" s="376"/>
      <c r="W67" s="376"/>
      <c r="X67" s="376"/>
      <c r="Y67" s="376"/>
      <c r="Z67" s="376"/>
      <c r="AA67" s="376"/>
      <c r="AB67" s="376"/>
      <c r="AC67" s="376"/>
      <c r="AD67" s="376"/>
      <c r="AE67" s="376"/>
      <c r="AF67" s="376"/>
      <c r="AG67" s="448"/>
      <c r="AH67" s="448"/>
      <c r="AI67" s="448"/>
      <c r="AJ67" s="448"/>
      <c r="AK67" s="448"/>
      <c r="AL67" s="448"/>
      <c r="AM67" s="448"/>
      <c r="AN67" s="448"/>
      <c r="AP67" s="448"/>
      <c r="AQ67" s="448"/>
      <c r="AR67" s="376"/>
      <c r="AS67" s="376"/>
      <c r="AT67" s="376"/>
      <c r="AU67" s="376"/>
      <c r="AV67" s="376"/>
      <c r="AW67" s="376"/>
      <c r="AX67" s="376"/>
      <c r="AY67" s="376"/>
      <c r="AZ67" s="376"/>
    </row>
    <row r="68" spans="1:52" x14ac:dyDescent="0.4">
      <c r="A68" s="442" t="str">
        <f t="shared" si="11"/>
        <v>41931</v>
      </c>
      <c r="B68" s="442">
        <v>11414</v>
      </c>
      <c r="C68" s="443">
        <v>-9.35E-2</v>
      </c>
      <c r="D68" s="438">
        <v>-0.10540000000000001</v>
      </c>
      <c r="E68" s="438">
        <v>2.7000000000000001E-3</v>
      </c>
      <c r="F68" s="438">
        <v>3.666666666666667E-3</v>
      </c>
      <c r="G68" s="438">
        <v>3.966666666666667E-3</v>
      </c>
      <c r="H68" s="438">
        <v>3.816666666666667E-3</v>
      </c>
      <c r="I68" s="438">
        <v>4.0500000000000006E-3</v>
      </c>
      <c r="J68" s="438">
        <f t="shared" si="0"/>
        <v>-9.6199999999999994E-2</v>
      </c>
      <c r="K68" s="438">
        <f t="shared" si="4"/>
        <v>-9.7316666666666662E-2</v>
      </c>
      <c r="L68" s="438">
        <f t="shared" si="5"/>
        <v>-0.10945000000000001</v>
      </c>
      <c r="M68" s="446">
        <f t="shared" si="1"/>
        <v>-0.36249964087559328</v>
      </c>
      <c r="N68" s="446">
        <f t="shared" si="2"/>
        <v>3.2399999999999998E-2</v>
      </c>
      <c r="O68" s="446">
        <f t="shared" si="6"/>
        <v>4.5800000000000007E-2</v>
      </c>
      <c r="P68" s="447">
        <f t="shared" si="3"/>
        <v>-0.39489964087559326</v>
      </c>
      <c r="Q68" s="446">
        <f t="shared" si="7"/>
        <v>-0.40829964087559328</v>
      </c>
      <c r="R68" s="446">
        <f t="shared" si="8"/>
        <v>-0.37132991813500349</v>
      </c>
      <c r="S68" s="446">
        <f t="shared" si="9"/>
        <v>4.8600000000000004E-2</v>
      </c>
      <c r="T68" s="447">
        <f t="shared" si="10"/>
        <v>-0.41992991813500347</v>
      </c>
      <c r="V68" s="376"/>
      <c r="W68" s="376"/>
      <c r="X68" s="376"/>
      <c r="Y68" s="376"/>
      <c r="Z68" s="376"/>
      <c r="AA68" s="376"/>
      <c r="AB68" s="376"/>
      <c r="AC68" s="376"/>
      <c r="AD68" s="376"/>
      <c r="AE68" s="376"/>
      <c r="AF68" s="376"/>
      <c r="AG68" s="448"/>
      <c r="AH68" s="448"/>
      <c r="AI68" s="448"/>
      <c r="AJ68" s="448"/>
      <c r="AK68" s="448"/>
      <c r="AL68" s="448"/>
      <c r="AM68" s="448"/>
      <c r="AN68" s="448"/>
      <c r="AP68" s="448"/>
      <c r="AQ68" s="448"/>
      <c r="AR68" s="448"/>
      <c r="AS68" s="448"/>
      <c r="AT68" s="448"/>
      <c r="AU68" s="448"/>
      <c r="AV68" s="448"/>
      <c r="AW68" s="448"/>
      <c r="AX68" s="448"/>
    </row>
    <row r="69" spans="1:52" x14ac:dyDescent="0.4">
      <c r="A69" s="442" t="str">
        <f t="shared" si="11"/>
        <v>51931</v>
      </c>
      <c r="B69" s="442">
        <v>11444</v>
      </c>
      <c r="C69" s="443">
        <v>-0.12790000000000001</v>
      </c>
      <c r="D69" s="438">
        <v>-0.10289999999999999</v>
      </c>
      <c r="E69" s="438">
        <v>2.5999999999999999E-3</v>
      </c>
      <c r="F69" s="438">
        <v>3.6416666666666667E-3</v>
      </c>
      <c r="G69" s="438">
        <v>3.966666666666667E-3</v>
      </c>
      <c r="H69" s="438">
        <v>3.8041666666666666E-3</v>
      </c>
      <c r="I69" s="438">
        <v>4.0333333333333332E-3</v>
      </c>
      <c r="J69" s="438">
        <f t="shared" si="0"/>
        <v>-0.1305</v>
      </c>
      <c r="K69" s="438">
        <f t="shared" si="4"/>
        <v>-0.13170416666666668</v>
      </c>
      <c r="L69" s="438">
        <f t="shared" si="5"/>
        <v>-0.10693333333333332</v>
      </c>
      <c r="M69" s="446">
        <f t="shared" si="1"/>
        <v>-0.43864694750363986</v>
      </c>
      <c r="N69" s="446">
        <f t="shared" si="2"/>
        <v>3.1199999999999999E-2</v>
      </c>
      <c r="O69" s="446">
        <f t="shared" si="6"/>
        <v>4.5649999999999996E-2</v>
      </c>
      <c r="P69" s="447">
        <f t="shared" si="3"/>
        <v>-0.46984694750363987</v>
      </c>
      <c r="Q69" s="446">
        <f t="shared" si="7"/>
        <v>-0.48429694750363983</v>
      </c>
      <c r="R69" s="446">
        <f t="shared" si="8"/>
        <v>-0.42238843666418657</v>
      </c>
      <c r="S69" s="446">
        <f t="shared" si="9"/>
        <v>4.8399999999999999E-2</v>
      </c>
      <c r="T69" s="447">
        <f t="shared" si="10"/>
        <v>-0.47078843666418657</v>
      </c>
      <c r="V69" s="376"/>
      <c r="W69" s="376"/>
      <c r="X69" s="376"/>
      <c r="Y69" s="376"/>
      <c r="Z69" s="376"/>
      <c r="AA69" s="376"/>
      <c r="AB69" s="376"/>
      <c r="AC69" s="376"/>
      <c r="AD69" s="376"/>
      <c r="AE69" s="376"/>
      <c r="AF69" s="376"/>
      <c r="AG69" s="448"/>
      <c r="AH69" s="448"/>
      <c r="AI69" s="448"/>
      <c r="AJ69" s="448"/>
      <c r="AK69" s="448"/>
      <c r="AL69" s="448"/>
      <c r="AM69" s="448"/>
      <c r="AN69" s="448"/>
      <c r="AP69" s="448"/>
      <c r="AQ69" s="448"/>
      <c r="AR69" s="448"/>
      <c r="AS69" s="448"/>
      <c r="AT69" s="448"/>
      <c r="AU69" s="448"/>
      <c r="AV69" s="448"/>
      <c r="AW69" s="448"/>
      <c r="AX69" s="448"/>
    </row>
    <row r="70" spans="1:52" x14ac:dyDescent="0.4">
      <c r="A70" s="442" t="str">
        <f t="shared" si="11"/>
        <v>61931</v>
      </c>
      <c r="B70" s="442">
        <v>11475</v>
      </c>
      <c r="C70" s="443">
        <v>0.1421</v>
      </c>
      <c r="D70" s="438">
        <v>0.13730000000000001</v>
      </c>
      <c r="E70" s="438">
        <v>2.7999999999999995E-3</v>
      </c>
      <c r="F70" s="438">
        <v>3.6333333333333335E-3</v>
      </c>
      <c r="G70" s="438">
        <v>4.0083333333333334E-3</v>
      </c>
      <c r="H70" s="438">
        <v>3.8208333333333332E-3</v>
      </c>
      <c r="I70" s="438">
        <v>4.0583333333333331E-3</v>
      </c>
      <c r="J70" s="438">
        <f t="shared" ref="J70:J133" si="12">C70-E70</f>
        <v>0.13930000000000001</v>
      </c>
      <c r="K70" s="438">
        <f t="shared" si="4"/>
        <v>0.13827916666666668</v>
      </c>
      <c r="L70" s="438">
        <f t="shared" si="5"/>
        <v>0.13324166666666667</v>
      </c>
      <c r="M70" s="446">
        <f t="shared" si="1"/>
        <v>-0.23448200447033651</v>
      </c>
      <c r="N70" s="446">
        <f t="shared" si="2"/>
        <v>3.3599999999999991E-2</v>
      </c>
      <c r="O70" s="446">
        <f t="shared" si="6"/>
        <v>4.5850000000000002E-2</v>
      </c>
      <c r="P70" s="447">
        <f t="shared" si="3"/>
        <v>-0.26808200447033648</v>
      </c>
      <c r="Q70" s="446">
        <f t="shared" si="7"/>
        <v>-0.28033200447033652</v>
      </c>
      <c r="R70" s="446">
        <f t="shared" si="8"/>
        <v>-0.18869009388437619</v>
      </c>
      <c r="S70" s="446">
        <f t="shared" si="9"/>
        <v>4.8699999999999993E-2</v>
      </c>
      <c r="T70" s="447">
        <f t="shared" si="10"/>
        <v>-0.23739009388437618</v>
      </c>
      <c r="V70" s="376"/>
      <c r="W70" s="376"/>
      <c r="X70" s="376"/>
      <c r="Y70" s="376"/>
      <c r="Z70" s="376"/>
      <c r="AA70" s="376"/>
      <c r="AB70" s="376"/>
      <c r="AC70" s="376"/>
      <c r="AD70" s="376"/>
      <c r="AE70" s="376"/>
      <c r="AF70" s="376"/>
      <c r="AG70" s="448"/>
      <c r="AH70" s="448"/>
      <c r="AI70" s="448"/>
      <c r="AJ70" s="448"/>
      <c r="AK70" s="448"/>
      <c r="AL70" s="448"/>
      <c r="AM70" s="448"/>
      <c r="AN70" s="448"/>
      <c r="AP70" s="448"/>
      <c r="AQ70" s="448"/>
      <c r="AR70" s="448"/>
      <c r="AS70" s="448"/>
      <c r="AT70" s="448"/>
      <c r="AU70" s="448"/>
      <c r="AV70" s="448"/>
      <c r="AW70" s="448"/>
      <c r="AX70" s="448"/>
    </row>
    <row r="71" spans="1:52" x14ac:dyDescent="0.4">
      <c r="A71" s="442" t="str">
        <f t="shared" si="11"/>
        <v>71931</v>
      </c>
      <c r="B71" s="442">
        <v>11505</v>
      </c>
      <c r="C71" s="443">
        <v>-7.22E-2</v>
      </c>
      <c r="D71" s="438">
        <v>-6.2199999999999991E-2</v>
      </c>
      <c r="E71" s="438">
        <v>2.7000000000000001E-3</v>
      </c>
      <c r="F71" s="438">
        <v>3.6333333333333335E-3</v>
      </c>
      <c r="G71" s="438">
        <v>4.0083333333333334E-3</v>
      </c>
      <c r="H71" s="438">
        <v>3.8208333333333332E-3</v>
      </c>
      <c r="I71" s="438">
        <v>4.0249999999999999E-3</v>
      </c>
      <c r="J71" s="438">
        <f t="shared" si="12"/>
        <v>-7.4899999999999994E-2</v>
      </c>
      <c r="K71" s="438">
        <f t="shared" si="4"/>
        <v>-7.6020833333333329E-2</v>
      </c>
      <c r="L71" s="438">
        <f t="shared" si="5"/>
        <v>-6.6224999999999992E-2</v>
      </c>
      <c r="M71" s="446">
        <f t="shared" si="1"/>
        <v>-0.31614905040205898</v>
      </c>
      <c r="N71" s="446">
        <f t="shared" si="2"/>
        <v>3.2399999999999998E-2</v>
      </c>
      <c r="O71" s="446">
        <f t="shared" si="6"/>
        <v>4.5850000000000002E-2</v>
      </c>
      <c r="P71" s="447">
        <f t="shared" si="3"/>
        <v>-0.34854905040205897</v>
      </c>
      <c r="Q71" s="446">
        <f t="shared" si="7"/>
        <v>-0.36199905040205899</v>
      </c>
      <c r="R71" s="446">
        <f t="shared" si="8"/>
        <v>-0.25231286364462269</v>
      </c>
      <c r="S71" s="446">
        <f t="shared" si="9"/>
        <v>4.8299999999999996E-2</v>
      </c>
      <c r="T71" s="447">
        <f t="shared" si="10"/>
        <v>-0.3006128636446227</v>
      </c>
      <c r="V71" s="376"/>
      <c r="W71" s="376"/>
      <c r="X71" s="376"/>
      <c r="Y71" s="376"/>
      <c r="Z71" s="376"/>
      <c r="AA71" s="376"/>
      <c r="AB71" s="376"/>
      <c r="AC71" s="376"/>
      <c r="AD71" s="376"/>
      <c r="AE71" s="376"/>
      <c r="AF71" s="376"/>
      <c r="AG71" s="448"/>
      <c r="AH71" s="448"/>
      <c r="AI71" s="448"/>
      <c r="AJ71" s="448"/>
      <c r="AK71" s="448"/>
      <c r="AL71" s="448"/>
      <c r="AM71" s="448"/>
      <c r="AN71" s="448"/>
      <c r="AP71" s="448"/>
      <c r="AQ71" s="448"/>
      <c r="AR71" s="448"/>
      <c r="AS71" s="448"/>
      <c r="AT71" s="448"/>
      <c r="AU71" s="448"/>
      <c r="AV71" s="448"/>
      <c r="AW71" s="448"/>
      <c r="AX71" s="448"/>
    </row>
    <row r="72" spans="1:52" x14ac:dyDescent="0.4">
      <c r="A72" s="442" t="str">
        <f t="shared" si="11"/>
        <v>81931</v>
      </c>
      <c r="B72" s="442">
        <v>11536</v>
      </c>
      <c r="C72" s="443">
        <v>1.8200000000000001E-2</v>
      </c>
      <c r="D72" s="438">
        <v>2.5599999999999998E-2</v>
      </c>
      <c r="E72" s="438">
        <v>2.7000000000000001E-3</v>
      </c>
      <c r="F72" s="438">
        <v>3.666666666666667E-3</v>
      </c>
      <c r="G72" s="438">
        <v>4.0416666666666665E-3</v>
      </c>
      <c r="H72" s="438">
        <v>3.8541666666666663E-3</v>
      </c>
      <c r="I72" s="438">
        <v>4.0083333333333334E-3</v>
      </c>
      <c r="J72" s="438">
        <f t="shared" si="12"/>
        <v>1.55E-2</v>
      </c>
      <c r="K72" s="438">
        <f t="shared" si="4"/>
        <v>1.4345833333333335E-2</v>
      </c>
      <c r="L72" s="438">
        <f t="shared" si="5"/>
        <v>2.1591666666666665E-2</v>
      </c>
      <c r="M72" s="446">
        <f t="shared" si="1"/>
        <v>-0.31338424526119368</v>
      </c>
      <c r="N72" s="446">
        <f t="shared" si="2"/>
        <v>3.2399999999999998E-2</v>
      </c>
      <c r="O72" s="446">
        <f t="shared" si="6"/>
        <v>4.6249999999999999E-2</v>
      </c>
      <c r="P72" s="447">
        <f t="shared" si="3"/>
        <v>-0.34578424526119367</v>
      </c>
      <c r="Q72" s="446">
        <f t="shared" si="7"/>
        <v>-0.3596342452611937</v>
      </c>
      <c r="R72" s="446">
        <f t="shared" si="8"/>
        <v>-0.23895600729845656</v>
      </c>
      <c r="S72" s="446">
        <f t="shared" si="9"/>
        <v>4.8100000000000004E-2</v>
      </c>
      <c r="T72" s="447">
        <f t="shared" si="10"/>
        <v>-0.28705600729845659</v>
      </c>
      <c r="V72" s="448"/>
      <c r="W72" s="448"/>
      <c r="X72" s="448"/>
      <c r="Y72" s="448"/>
      <c r="Z72" s="448"/>
      <c r="AA72" s="448"/>
      <c r="AB72" s="448"/>
      <c r="AC72" s="448"/>
      <c r="AD72" s="448"/>
      <c r="AF72" s="448"/>
      <c r="AG72" s="448"/>
      <c r="AH72" s="448"/>
      <c r="AI72" s="448"/>
      <c r="AJ72" s="448"/>
      <c r="AK72" s="448"/>
      <c r="AL72" s="448"/>
      <c r="AM72" s="448"/>
      <c r="AN72" s="448"/>
      <c r="AP72" s="448"/>
      <c r="AQ72" s="448"/>
      <c r="AR72" s="448"/>
      <c r="AS72" s="448"/>
      <c r="AT72" s="448"/>
      <c r="AU72" s="448"/>
      <c r="AV72" s="448"/>
      <c r="AW72" s="448"/>
      <c r="AX72" s="448"/>
    </row>
    <row r="73" spans="1:52" x14ac:dyDescent="0.4">
      <c r="A73" s="442" t="str">
        <f t="shared" si="11"/>
        <v>91931</v>
      </c>
      <c r="B73" s="442">
        <v>11567</v>
      </c>
      <c r="C73" s="443">
        <v>-0.29730000000000001</v>
      </c>
      <c r="D73" s="438">
        <v>-0.31490000000000001</v>
      </c>
      <c r="E73" s="438">
        <v>2.7000000000000001E-3</v>
      </c>
      <c r="F73" s="438">
        <v>3.7916666666666667E-3</v>
      </c>
      <c r="G73" s="438">
        <v>4.2333333333333337E-3</v>
      </c>
      <c r="H73" s="438">
        <v>4.0124999999999996E-3</v>
      </c>
      <c r="I73" s="438">
        <v>4.208333333333333E-3</v>
      </c>
      <c r="J73" s="438">
        <f t="shared" si="12"/>
        <v>-0.3</v>
      </c>
      <c r="K73" s="438">
        <f t="shared" si="4"/>
        <v>-0.30131249999999998</v>
      </c>
      <c r="L73" s="438">
        <f t="shared" si="5"/>
        <v>-0.31910833333333333</v>
      </c>
      <c r="M73" s="446">
        <f t="shared" si="1"/>
        <v>-0.44656470422693362</v>
      </c>
      <c r="N73" s="446">
        <f t="shared" si="2"/>
        <v>3.2399999999999998E-2</v>
      </c>
      <c r="O73" s="446">
        <f t="shared" si="6"/>
        <v>4.8149999999999998E-2</v>
      </c>
      <c r="P73" s="447">
        <f t="shared" si="3"/>
        <v>-0.4789647042269336</v>
      </c>
      <c r="Q73" s="446">
        <f t="shared" si="7"/>
        <v>-0.49471470422693364</v>
      </c>
      <c r="R73" s="446">
        <f t="shared" si="8"/>
        <v>-0.41364008164661792</v>
      </c>
      <c r="S73" s="446">
        <f t="shared" si="9"/>
        <v>5.0499999999999996E-2</v>
      </c>
      <c r="T73" s="447">
        <f t="shared" si="10"/>
        <v>-0.46414008164661791</v>
      </c>
      <c r="V73" s="448"/>
      <c r="W73" s="448"/>
      <c r="X73" s="448"/>
      <c r="Y73" s="448"/>
      <c r="Z73" s="448"/>
      <c r="AA73" s="448"/>
      <c r="AB73" s="448"/>
      <c r="AC73" s="448"/>
      <c r="AD73" s="448"/>
      <c r="AF73" s="448"/>
      <c r="AG73" s="448"/>
      <c r="AH73" s="448"/>
      <c r="AI73" s="448"/>
      <c r="AJ73" s="448"/>
      <c r="AK73" s="448"/>
      <c r="AL73" s="448"/>
      <c r="AM73" s="448"/>
      <c r="AN73" s="448"/>
      <c r="AP73" s="448"/>
      <c r="AQ73" s="448"/>
      <c r="AR73" s="448"/>
      <c r="AS73" s="448"/>
      <c r="AT73" s="448"/>
      <c r="AU73" s="448"/>
      <c r="AV73" s="448"/>
      <c r="AW73" s="448"/>
      <c r="AX73" s="448"/>
    </row>
    <row r="74" spans="1:52" x14ac:dyDescent="0.4">
      <c r="A74" s="442" t="str">
        <f t="shared" si="11"/>
        <v>101931</v>
      </c>
      <c r="B74" s="442">
        <v>11597</v>
      </c>
      <c r="C74" s="443">
        <v>8.9599999999999999E-2</v>
      </c>
      <c r="D74" s="438">
        <v>9.9000000000000005E-2</v>
      </c>
      <c r="E74" s="438">
        <v>2.8999999999999998E-3</v>
      </c>
      <c r="F74" s="438">
        <v>4.1583333333333333E-3</v>
      </c>
      <c r="G74" s="438">
        <v>4.6416666666666663E-3</v>
      </c>
      <c r="H74" s="438">
        <v>4.4000000000000003E-3</v>
      </c>
      <c r="I74" s="438">
        <v>4.6166666666666665E-3</v>
      </c>
      <c r="J74" s="438">
        <f t="shared" si="12"/>
        <v>8.6699999999999999E-2</v>
      </c>
      <c r="K74" s="438">
        <f t="shared" si="4"/>
        <v>8.5199999999999998E-2</v>
      </c>
      <c r="L74" s="438">
        <f t="shared" si="5"/>
        <v>9.4383333333333333E-2</v>
      </c>
      <c r="M74" s="446">
        <f t="shared" si="1"/>
        <v>-0.34059803359832364</v>
      </c>
      <c r="N74" s="446">
        <f t="shared" si="2"/>
        <v>3.4799999999999998E-2</v>
      </c>
      <c r="O74" s="446">
        <f t="shared" si="6"/>
        <v>5.28E-2</v>
      </c>
      <c r="P74" s="447">
        <f t="shared" si="3"/>
        <v>-0.37539803359832363</v>
      </c>
      <c r="Q74" s="446">
        <f t="shared" si="7"/>
        <v>-0.39339803359832365</v>
      </c>
      <c r="R74" s="446">
        <f t="shared" si="8"/>
        <v>-0.29818171392902748</v>
      </c>
      <c r="S74" s="446">
        <f t="shared" si="9"/>
        <v>5.5399999999999998E-2</v>
      </c>
      <c r="T74" s="447">
        <f t="shared" si="10"/>
        <v>-0.35358171392902749</v>
      </c>
      <c r="V74" s="448"/>
      <c r="W74" s="448"/>
      <c r="X74" s="448"/>
      <c r="Y74" s="448"/>
      <c r="Z74" s="448"/>
      <c r="AA74" s="448"/>
      <c r="AB74" s="448"/>
      <c r="AC74" s="448"/>
      <c r="AD74" s="448"/>
      <c r="AF74" s="448"/>
      <c r="AG74" s="448"/>
      <c r="AH74" s="448"/>
      <c r="AI74" s="448"/>
      <c r="AJ74" s="448"/>
      <c r="AK74" s="448"/>
      <c r="AL74" s="448"/>
      <c r="AM74" s="448"/>
      <c r="AN74" s="448"/>
      <c r="AP74" s="448"/>
      <c r="AQ74" s="448"/>
      <c r="AR74" s="448"/>
      <c r="AS74" s="448"/>
      <c r="AT74" s="448"/>
      <c r="AU74" s="448"/>
      <c r="AV74" s="448"/>
      <c r="AW74" s="448"/>
      <c r="AX74" s="448"/>
    </row>
    <row r="75" spans="1:52" x14ac:dyDescent="0.4">
      <c r="A75" s="442" t="str">
        <f t="shared" si="11"/>
        <v>111931</v>
      </c>
      <c r="B75" s="442">
        <v>11628</v>
      </c>
      <c r="C75" s="443">
        <v>-7.9799999999999996E-2</v>
      </c>
      <c r="D75" s="438">
        <v>-6.1400000000000003E-2</v>
      </c>
      <c r="E75" s="438">
        <v>3.0999999999999999E-3</v>
      </c>
      <c r="F75" s="438">
        <v>4.1166666666666669E-3</v>
      </c>
      <c r="G75" s="438">
        <v>4.6750000000000003E-3</v>
      </c>
      <c r="H75" s="438">
        <v>4.3958333333333332E-3</v>
      </c>
      <c r="I75" s="438">
        <v>4.5916666666666666E-3</v>
      </c>
      <c r="J75" s="438">
        <f t="shared" si="12"/>
        <v>-8.2900000000000001E-2</v>
      </c>
      <c r="K75" s="438">
        <f t="shared" si="4"/>
        <v>-8.4195833333333331E-2</v>
      </c>
      <c r="L75" s="438">
        <f t="shared" si="5"/>
        <v>-6.5991666666666671E-2</v>
      </c>
      <c r="M75" s="446">
        <f t="shared" si="1"/>
        <v>-0.38776945869960389</v>
      </c>
      <c r="N75" s="446">
        <f t="shared" si="2"/>
        <v>3.7199999999999997E-2</v>
      </c>
      <c r="O75" s="446">
        <f t="shared" si="6"/>
        <v>5.2749999999999998E-2</v>
      </c>
      <c r="P75" s="447">
        <f t="shared" si="3"/>
        <v>-0.4249694586996039</v>
      </c>
      <c r="Q75" s="446">
        <f t="shared" si="7"/>
        <v>-0.44051945869960391</v>
      </c>
      <c r="R75" s="446">
        <f t="shared" si="8"/>
        <v>-0.28939952178401851</v>
      </c>
      <c r="S75" s="446">
        <f t="shared" si="9"/>
        <v>5.5099999999999996E-2</v>
      </c>
      <c r="T75" s="447">
        <f t="shared" si="10"/>
        <v>-0.34449952178401849</v>
      </c>
      <c r="V75" s="448"/>
      <c r="W75" s="448"/>
      <c r="X75" s="448"/>
      <c r="Y75" s="448"/>
      <c r="Z75" s="448"/>
      <c r="AA75" s="448"/>
      <c r="AB75" s="448"/>
      <c r="AC75" s="448"/>
      <c r="AD75" s="448"/>
      <c r="AF75" s="448"/>
      <c r="AG75" s="448"/>
      <c r="AH75" s="448"/>
      <c r="AI75" s="448"/>
      <c r="AJ75" s="448"/>
      <c r="AK75" s="448"/>
      <c r="AL75" s="448"/>
      <c r="AM75" s="448"/>
      <c r="AN75" s="448"/>
      <c r="AP75" s="448"/>
      <c r="AQ75" s="448"/>
      <c r="AR75" s="448"/>
      <c r="AS75" s="448"/>
      <c r="AT75" s="448"/>
      <c r="AU75" s="448"/>
      <c r="AV75" s="448"/>
      <c r="AW75" s="448"/>
      <c r="AX75" s="448"/>
    </row>
    <row r="76" spans="1:52" x14ac:dyDescent="0.4">
      <c r="A76" s="442" t="str">
        <f t="shared" si="11"/>
        <v>121931</v>
      </c>
      <c r="B76" s="442">
        <v>11658</v>
      </c>
      <c r="C76" s="443">
        <v>-0.14000000000000001</v>
      </c>
      <c r="D76" s="438">
        <v>-0.1283</v>
      </c>
      <c r="E76" s="438">
        <v>3.2000000000000002E-3</v>
      </c>
      <c r="F76" s="438">
        <v>4.4333333333333334E-3</v>
      </c>
      <c r="G76" s="438">
        <v>5.2166666666666663E-3</v>
      </c>
      <c r="H76" s="438">
        <v>4.8249999999999994E-3</v>
      </c>
      <c r="I76" s="438">
        <v>5.1999999999999998E-3</v>
      </c>
      <c r="J76" s="438">
        <f t="shared" si="12"/>
        <v>-0.14320000000000002</v>
      </c>
      <c r="K76" s="438">
        <f t="shared" si="4"/>
        <v>-0.14482500000000001</v>
      </c>
      <c r="L76" s="438">
        <f t="shared" si="5"/>
        <v>-0.13350000000000001</v>
      </c>
      <c r="M76" s="446">
        <f t="shared" si="1"/>
        <v>-0.43348583438956245</v>
      </c>
      <c r="N76" s="446">
        <f t="shared" si="2"/>
        <v>3.8400000000000004E-2</v>
      </c>
      <c r="O76" s="446">
        <f t="shared" si="6"/>
        <v>5.7899999999999993E-2</v>
      </c>
      <c r="P76" s="447">
        <f t="shared" si="3"/>
        <v>-0.47188583438956244</v>
      </c>
      <c r="Q76" s="446">
        <f t="shared" si="7"/>
        <v>-0.49138583438956246</v>
      </c>
      <c r="R76" s="446">
        <f t="shared" si="8"/>
        <v>-0.35883403699319849</v>
      </c>
      <c r="S76" s="446">
        <f t="shared" si="9"/>
        <v>6.2399999999999997E-2</v>
      </c>
      <c r="T76" s="447">
        <f t="shared" si="10"/>
        <v>-0.4212340369931985</v>
      </c>
      <c r="V76" s="448"/>
      <c r="W76" s="448"/>
      <c r="X76" s="448"/>
      <c r="Y76" s="448"/>
      <c r="Z76" s="448"/>
      <c r="AA76" s="448"/>
      <c r="AB76" s="448"/>
      <c r="AC76" s="448"/>
      <c r="AD76" s="448"/>
      <c r="AF76" s="448"/>
      <c r="AG76" s="448"/>
      <c r="AH76" s="448"/>
      <c r="AI76" s="448"/>
      <c r="AJ76" s="448"/>
      <c r="AK76" s="448"/>
      <c r="AL76" s="448"/>
      <c r="AM76" s="448"/>
      <c r="AN76" s="448"/>
      <c r="AP76" s="448"/>
      <c r="AQ76" s="448"/>
      <c r="AR76" s="448"/>
      <c r="AS76" s="448"/>
      <c r="AT76" s="448"/>
      <c r="AU76" s="448"/>
      <c r="AV76" s="448"/>
      <c r="AW76" s="448"/>
      <c r="AX76" s="448"/>
    </row>
    <row r="77" spans="1:52" x14ac:dyDescent="0.4">
      <c r="A77" s="442" t="str">
        <f t="shared" si="11"/>
        <v>11932</v>
      </c>
      <c r="B77" s="442">
        <v>11689</v>
      </c>
      <c r="C77" s="443">
        <v>-2.7099999999999999E-2</v>
      </c>
      <c r="D77" s="438">
        <v>-1.9999999999999997E-2</v>
      </c>
      <c r="E77" s="438">
        <v>3.2000000000000002E-3</v>
      </c>
      <c r="F77" s="438">
        <v>4.3333333333333331E-3</v>
      </c>
      <c r="G77" s="438">
        <v>5.0666666666666672E-3</v>
      </c>
      <c r="H77" s="438">
        <v>4.7000000000000002E-3</v>
      </c>
      <c r="I77" s="438">
        <v>5.1416666666666668E-3</v>
      </c>
      <c r="J77" s="438">
        <f t="shared" si="12"/>
        <v>-3.0300000000000001E-2</v>
      </c>
      <c r="K77" s="438">
        <f t="shared" si="4"/>
        <v>-3.1800000000000002E-2</v>
      </c>
      <c r="L77" s="438">
        <f t="shared" si="5"/>
        <v>-2.5141666666666663E-2</v>
      </c>
      <c r="M77" s="446">
        <f t="shared" si="1"/>
        <v>-0.47518412519292075</v>
      </c>
      <c r="N77" s="446">
        <f t="shared" si="2"/>
        <v>3.8400000000000004E-2</v>
      </c>
      <c r="O77" s="446">
        <f t="shared" si="6"/>
        <v>5.6400000000000006E-2</v>
      </c>
      <c r="P77" s="447">
        <f t="shared" si="3"/>
        <v>-0.51358412519292074</v>
      </c>
      <c r="Q77" s="446">
        <f t="shared" si="7"/>
        <v>-0.53158412519292075</v>
      </c>
      <c r="R77" s="446">
        <f t="shared" si="8"/>
        <v>-0.40384948411132304</v>
      </c>
      <c r="S77" s="446">
        <f t="shared" si="9"/>
        <v>6.1700000000000005E-2</v>
      </c>
      <c r="T77" s="447">
        <f t="shared" si="10"/>
        <v>-0.46554948411132302</v>
      </c>
      <c r="V77" s="448"/>
      <c r="W77" s="448"/>
      <c r="X77" s="448"/>
      <c r="Y77" s="448"/>
      <c r="Z77" s="448"/>
      <c r="AA77" s="448"/>
      <c r="AB77" s="448"/>
      <c r="AC77" s="448"/>
      <c r="AD77" s="448"/>
      <c r="AF77" s="448"/>
      <c r="AG77" s="448"/>
      <c r="AH77" s="448"/>
      <c r="AI77" s="448"/>
      <c r="AJ77" s="448"/>
      <c r="AK77" s="448"/>
      <c r="AL77" s="448"/>
      <c r="AM77" s="448"/>
      <c r="AN77" s="448"/>
      <c r="AP77" s="448"/>
      <c r="AQ77" s="448"/>
      <c r="AR77" s="448"/>
      <c r="AS77" s="448"/>
      <c r="AT77" s="448"/>
      <c r="AU77" s="448"/>
      <c r="AV77" s="448"/>
      <c r="AW77" s="448"/>
      <c r="AX77" s="448"/>
    </row>
    <row r="78" spans="1:52" x14ac:dyDescent="0.4">
      <c r="A78" s="442" t="str">
        <f t="shared" si="11"/>
        <v>21932</v>
      </c>
      <c r="B78" s="442">
        <v>11720</v>
      </c>
      <c r="C78" s="443">
        <v>5.7000000000000002E-2</v>
      </c>
      <c r="D78" s="438">
        <v>7.9899999999999999E-2</v>
      </c>
      <c r="E78" s="438">
        <v>3.2000000000000002E-3</v>
      </c>
      <c r="F78" s="438">
        <v>4.3583333333333339E-3</v>
      </c>
      <c r="G78" s="438">
        <v>5.1083333333333336E-3</v>
      </c>
      <c r="H78" s="438">
        <v>4.7333333333333342E-3</v>
      </c>
      <c r="I78" s="438">
        <v>5.3416666666666664E-3</v>
      </c>
      <c r="J78" s="438">
        <f t="shared" si="12"/>
        <v>5.3800000000000001E-2</v>
      </c>
      <c r="K78" s="438">
        <f t="shared" si="4"/>
        <v>5.226666666666667E-2</v>
      </c>
      <c r="L78" s="438">
        <f t="shared" si="5"/>
        <v>7.4558333333333338E-2</v>
      </c>
      <c r="M78" s="446">
        <f t="shared" si="1"/>
        <v>-0.50439526519156352</v>
      </c>
      <c r="N78" s="446">
        <f t="shared" si="2"/>
        <v>3.8400000000000004E-2</v>
      </c>
      <c r="O78" s="446">
        <f t="shared" si="6"/>
        <v>5.680000000000001E-2</v>
      </c>
      <c r="P78" s="447">
        <f t="shared" si="3"/>
        <v>-0.54279526519156351</v>
      </c>
      <c r="Q78" s="446">
        <f t="shared" si="7"/>
        <v>-0.56119526519156349</v>
      </c>
      <c r="R78" s="446">
        <f t="shared" si="8"/>
        <v>-0.44135461462323655</v>
      </c>
      <c r="S78" s="446">
        <f t="shared" si="9"/>
        <v>6.409999999999999E-2</v>
      </c>
      <c r="T78" s="447">
        <f t="shared" si="10"/>
        <v>-0.5054546146232366</v>
      </c>
      <c r="V78" s="448"/>
      <c r="W78" s="448"/>
      <c r="X78" s="448"/>
      <c r="Y78" s="448"/>
      <c r="Z78" s="448"/>
      <c r="AA78" s="448"/>
      <c r="AB78" s="448"/>
      <c r="AC78" s="448"/>
      <c r="AD78" s="448"/>
      <c r="AF78" s="448"/>
      <c r="AG78" s="448"/>
      <c r="AH78" s="448"/>
      <c r="AI78" s="448"/>
      <c r="AJ78" s="448"/>
      <c r="AK78" s="448"/>
      <c r="AL78" s="448"/>
      <c r="AM78" s="448"/>
      <c r="AN78" s="448"/>
      <c r="AP78" s="448"/>
      <c r="AQ78" s="448"/>
      <c r="AR78" s="448"/>
      <c r="AS78" s="448"/>
      <c r="AT78" s="448"/>
      <c r="AU78" s="448"/>
      <c r="AV78" s="448"/>
      <c r="AW78" s="448"/>
      <c r="AX78" s="448"/>
    </row>
    <row r="79" spans="1:52" x14ac:dyDescent="0.4">
      <c r="A79" s="442" t="str">
        <f t="shared" si="11"/>
        <v>31932</v>
      </c>
      <c r="B79" s="442">
        <v>11749</v>
      </c>
      <c r="C79" s="443">
        <v>-0.1158</v>
      </c>
      <c r="D79" s="438">
        <v>-0.10580000000000001</v>
      </c>
      <c r="E79" s="438">
        <v>3.0999999999999999E-3</v>
      </c>
      <c r="F79" s="438">
        <v>4.15E-3</v>
      </c>
      <c r="G79" s="438">
        <v>4.875E-3</v>
      </c>
      <c r="H79" s="438">
        <v>4.5125E-3</v>
      </c>
      <c r="I79" s="438">
        <v>5.0499999999999998E-3</v>
      </c>
      <c r="J79" s="438">
        <f t="shared" si="12"/>
        <v>-0.11890000000000001</v>
      </c>
      <c r="K79" s="438">
        <f t="shared" si="4"/>
        <v>-0.1203125</v>
      </c>
      <c r="L79" s="438">
        <f t="shared" si="5"/>
        <v>-0.11085</v>
      </c>
      <c r="M79" s="446">
        <f t="shared" si="1"/>
        <v>-0.53006573027601145</v>
      </c>
      <c r="N79" s="446">
        <f t="shared" si="2"/>
        <v>3.7199999999999997E-2</v>
      </c>
      <c r="O79" s="446">
        <f t="shared" si="6"/>
        <v>5.4150000000000004E-2</v>
      </c>
      <c r="P79" s="447">
        <f t="shared" si="3"/>
        <v>-0.56726573027601146</v>
      </c>
      <c r="Q79" s="446">
        <f t="shared" si="7"/>
        <v>-0.58421573027601148</v>
      </c>
      <c r="R79" s="446">
        <f t="shared" si="8"/>
        <v>-0.48822794426400784</v>
      </c>
      <c r="S79" s="446">
        <f t="shared" si="9"/>
        <v>6.0600000000000001E-2</v>
      </c>
      <c r="T79" s="447">
        <f t="shared" si="10"/>
        <v>-0.54882794426400783</v>
      </c>
      <c r="V79" s="448"/>
      <c r="W79" s="448"/>
      <c r="X79" s="448"/>
      <c r="Y79" s="448"/>
      <c r="Z79" s="448"/>
      <c r="AA79" s="448"/>
      <c r="AB79" s="448"/>
      <c r="AC79" s="448"/>
      <c r="AD79" s="448"/>
      <c r="AF79" s="448"/>
      <c r="AG79" s="448"/>
      <c r="AH79" s="448"/>
      <c r="AI79" s="448"/>
      <c r="AJ79" s="448"/>
      <c r="AK79" s="448"/>
      <c r="AL79" s="448"/>
      <c r="AM79" s="448"/>
      <c r="AN79" s="448"/>
      <c r="AP79" s="448"/>
      <c r="AQ79" s="448"/>
      <c r="AR79" s="448"/>
      <c r="AS79" s="448"/>
      <c r="AT79" s="448"/>
      <c r="AU79" s="448"/>
      <c r="AV79" s="448"/>
      <c r="AW79" s="448"/>
      <c r="AX79" s="448"/>
    </row>
    <row r="80" spans="1:52" x14ac:dyDescent="0.4">
      <c r="A80" s="442" t="str">
        <f t="shared" si="11"/>
        <v>41932</v>
      </c>
      <c r="B80" s="442">
        <v>11780</v>
      </c>
      <c r="C80" s="443">
        <v>-0.19969999999999999</v>
      </c>
      <c r="D80" s="438">
        <v>-0.1535</v>
      </c>
      <c r="E80" s="438">
        <v>3.0000000000000001E-3</v>
      </c>
      <c r="F80" s="438">
        <v>4.3083333333333333E-3</v>
      </c>
      <c r="G80" s="438">
        <v>5.0916666666666662E-3</v>
      </c>
      <c r="H80" s="438">
        <v>4.6999999999999993E-3</v>
      </c>
      <c r="I80" s="438">
        <v>5.6916666666666669E-3</v>
      </c>
      <c r="J80" s="438">
        <f t="shared" si="12"/>
        <v>-0.20269999999999999</v>
      </c>
      <c r="K80" s="438">
        <f t="shared" si="4"/>
        <v>-0.2044</v>
      </c>
      <c r="L80" s="438">
        <f t="shared" si="5"/>
        <v>-0.15919166666666668</v>
      </c>
      <c r="M80" s="446">
        <f t="shared" ref="M80:M143" si="13">((1+C69)*(1+C70)*(1+C71)*(1+C72)*(1+C73)*(1+C74)*(1+C75)*(1+C76)*(1+C77)*(1+C78)*(1+C79)*(1+C80))-1</f>
        <v>-0.58512035735233514</v>
      </c>
      <c r="N80" s="446">
        <f t="shared" ref="N80:N143" si="14">E80*12</f>
        <v>3.6000000000000004E-2</v>
      </c>
      <c r="O80" s="446">
        <f t="shared" si="6"/>
        <v>5.6399999999999992E-2</v>
      </c>
      <c r="P80" s="447">
        <f t="shared" ref="P80:P143" si="15">M80-N80</f>
        <v>-0.62112035735233517</v>
      </c>
      <c r="Q80" s="446">
        <f t="shared" si="7"/>
        <v>-0.64152035735233515</v>
      </c>
      <c r="R80" s="446">
        <f t="shared" si="8"/>
        <v>-0.51574441629720846</v>
      </c>
      <c r="S80" s="446">
        <f t="shared" si="9"/>
        <v>6.83E-2</v>
      </c>
      <c r="T80" s="447">
        <f t="shared" si="10"/>
        <v>-0.58404441629720849</v>
      </c>
      <c r="V80" s="448"/>
      <c r="W80" s="448"/>
      <c r="X80" s="448"/>
      <c r="Y80" s="448"/>
      <c r="Z80" s="448"/>
      <c r="AA80" s="448"/>
      <c r="AB80" s="448"/>
      <c r="AC80" s="448"/>
      <c r="AD80" s="448"/>
      <c r="AF80" s="448"/>
      <c r="AG80" s="448"/>
      <c r="AH80" s="448"/>
      <c r="AI80" s="448"/>
      <c r="AJ80" s="448"/>
      <c r="AK80" s="448"/>
      <c r="AL80" s="448"/>
      <c r="AM80" s="448"/>
      <c r="AN80" s="448"/>
      <c r="AP80" s="448"/>
      <c r="AQ80" s="448"/>
      <c r="AR80" s="448"/>
      <c r="AS80" s="448"/>
      <c r="AT80" s="448"/>
      <c r="AU80" s="448"/>
      <c r="AV80" s="448"/>
      <c r="AW80" s="448"/>
      <c r="AX80" s="448"/>
    </row>
    <row r="81" spans="1:50" x14ac:dyDescent="0.4">
      <c r="A81" s="442" t="str">
        <f t="shared" si="11"/>
        <v>51932</v>
      </c>
      <c r="B81" s="442">
        <v>11810</v>
      </c>
      <c r="C81" s="443">
        <v>-0.21959999999999999</v>
      </c>
      <c r="D81" s="438">
        <v>-0.28059999999999996</v>
      </c>
      <c r="E81" s="438">
        <v>2.7999999999999995E-3</v>
      </c>
      <c r="F81" s="438">
        <v>4.4666666666666674E-3</v>
      </c>
      <c r="G81" s="438">
        <v>5.3166666666666666E-3</v>
      </c>
      <c r="H81" s="438">
        <v>4.8916666666666666E-3</v>
      </c>
      <c r="I81" s="438">
        <v>6.1333333333333344E-3</v>
      </c>
      <c r="J81" s="438">
        <f t="shared" si="12"/>
        <v>-0.22239999999999999</v>
      </c>
      <c r="K81" s="438">
        <f t="shared" si="4"/>
        <v>-0.22449166666666664</v>
      </c>
      <c r="L81" s="438">
        <f t="shared" si="5"/>
        <v>-0.28673333333333328</v>
      </c>
      <c r="M81" s="446">
        <f t="shared" si="13"/>
        <v>-0.62874432619855791</v>
      </c>
      <c r="N81" s="446">
        <f t="shared" si="14"/>
        <v>3.3599999999999991E-2</v>
      </c>
      <c r="O81" s="446">
        <f t="shared" si="6"/>
        <v>5.8700000000000002E-2</v>
      </c>
      <c r="P81" s="447">
        <f t="shared" si="15"/>
        <v>-0.66234432619855788</v>
      </c>
      <c r="Q81" s="446">
        <f t="shared" si="7"/>
        <v>-0.68744432619855789</v>
      </c>
      <c r="R81" s="446">
        <f t="shared" si="8"/>
        <v>-0.61166707511337837</v>
      </c>
      <c r="S81" s="446">
        <f t="shared" si="9"/>
        <v>7.3600000000000013E-2</v>
      </c>
      <c r="T81" s="447">
        <f t="shared" si="10"/>
        <v>-0.68526707511337837</v>
      </c>
      <c r="V81" s="448"/>
      <c r="W81" s="448"/>
      <c r="X81" s="448"/>
      <c r="Y81" s="448"/>
      <c r="Z81" s="448"/>
      <c r="AA81" s="448"/>
      <c r="AB81" s="448"/>
      <c r="AC81" s="448"/>
      <c r="AD81" s="448"/>
      <c r="AF81" s="448"/>
      <c r="AG81" s="448"/>
      <c r="AH81" s="448"/>
      <c r="AI81" s="448"/>
      <c r="AJ81" s="448"/>
      <c r="AK81" s="448"/>
      <c r="AL81" s="448"/>
      <c r="AM81" s="448"/>
      <c r="AN81" s="448"/>
      <c r="AP81" s="448"/>
      <c r="AQ81" s="448"/>
      <c r="AR81" s="448"/>
      <c r="AS81" s="448"/>
      <c r="AT81" s="448"/>
      <c r="AU81" s="448"/>
      <c r="AV81" s="448"/>
      <c r="AW81" s="448"/>
      <c r="AX81" s="448"/>
    </row>
    <row r="82" spans="1:50" x14ac:dyDescent="0.4">
      <c r="A82" s="442" t="str">
        <f t="shared" si="11"/>
        <v>61932</v>
      </c>
      <c r="B82" s="442">
        <v>11841</v>
      </c>
      <c r="C82" s="443">
        <v>-2.2000000000000001E-3</v>
      </c>
      <c r="D82" s="438">
        <v>8.9999999999999993E-3</v>
      </c>
      <c r="E82" s="438">
        <v>2.7999999999999995E-3</v>
      </c>
      <c r="F82" s="438">
        <v>4.5083333333333338E-3</v>
      </c>
      <c r="G82" s="438">
        <v>5.4999999999999997E-3</v>
      </c>
      <c r="H82" s="438">
        <v>5.0041666666666663E-3</v>
      </c>
      <c r="I82" s="438">
        <v>6.3083333333333333E-3</v>
      </c>
      <c r="J82" s="438">
        <f t="shared" si="12"/>
        <v>-4.9999999999999992E-3</v>
      </c>
      <c r="K82" s="438">
        <f t="shared" si="4"/>
        <v>-7.204166666666666E-3</v>
      </c>
      <c r="L82" s="438">
        <f t="shared" si="5"/>
        <v>2.691666666666666E-3</v>
      </c>
      <c r="M82" s="446">
        <f t="shared" si="13"/>
        <v>-0.67565107143062886</v>
      </c>
      <c r="N82" s="446">
        <f t="shared" si="14"/>
        <v>3.3599999999999991E-2</v>
      </c>
      <c r="O82" s="446">
        <f t="shared" si="6"/>
        <v>6.0049999999999992E-2</v>
      </c>
      <c r="P82" s="447">
        <f t="shared" si="15"/>
        <v>-0.70925107143062882</v>
      </c>
      <c r="Q82" s="446">
        <f t="shared" si="7"/>
        <v>-0.73570107143062891</v>
      </c>
      <c r="R82" s="446">
        <f t="shared" si="8"/>
        <v>-0.65547531767290845</v>
      </c>
      <c r="S82" s="446">
        <f t="shared" si="9"/>
        <v>7.5700000000000003E-2</v>
      </c>
      <c r="T82" s="447">
        <f t="shared" si="10"/>
        <v>-0.73117531767290844</v>
      </c>
      <c r="V82" s="448"/>
      <c r="W82" s="448"/>
      <c r="X82" s="448"/>
      <c r="Y82" s="448"/>
      <c r="Z82" s="448"/>
      <c r="AA82" s="448"/>
      <c r="AB82" s="448"/>
      <c r="AC82" s="448"/>
      <c r="AD82" s="448"/>
      <c r="AF82" s="448"/>
      <c r="AG82" s="448"/>
      <c r="AH82" s="448"/>
      <c r="AI82" s="448"/>
      <c r="AJ82" s="448"/>
      <c r="AK82" s="448"/>
      <c r="AL82" s="448"/>
      <c r="AM82" s="448"/>
      <c r="AN82" s="448"/>
      <c r="AP82" s="448"/>
      <c r="AQ82" s="448"/>
      <c r="AR82" s="448"/>
      <c r="AS82" s="448"/>
      <c r="AT82" s="448"/>
      <c r="AU82" s="448"/>
      <c r="AV82" s="448"/>
      <c r="AW82" s="448"/>
      <c r="AX82" s="448"/>
    </row>
    <row r="83" spans="1:50" x14ac:dyDescent="0.4">
      <c r="A83" s="442" t="str">
        <f t="shared" si="11"/>
        <v>71932</v>
      </c>
      <c r="B83" s="442">
        <v>11871</v>
      </c>
      <c r="C83" s="443">
        <v>0.38150000000000001</v>
      </c>
      <c r="D83" s="438">
        <v>0.33179999999999998</v>
      </c>
      <c r="E83" s="438">
        <v>2.7999999999999995E-3</v>
      </c>
      <c r="F83" s="438">
        <v>4.3833333333333328E-3</v>
      </c>
      <c r="G83" s="438">
        <v>5.4250000000000001E-3</v>
      </c>
      <c r="H83" s="438">
        <v>4.904166666666666E-3</v>
      </c>
      <c r="I83" s="438">
        <v>6.0666666666666673E-3</v>
      </c>
      <c r="J83" s="438">
        <f t="shared" si="12"/>
        <v>0.37869999999999998</v>
      </c>
      <c r="K83" s="438">
        <f t="shared" si="4"/>
        <v>0.37659583333333335</v>
      </c>
      <c r="L83" s="438">
        <f t="shared" si="5"/>
        <v>0.32573333333333332</v>
      </c>
      <c r="M83" s="446">
        <f t="shared" si="13"/>
        <v>-0.5170424177424161</v>
      </c>
      <c r="N83" s="446">
        <f t="shared" si="14"/>
        <v>3.3599999999999991E-2</v>
      </c>
      <c r="O83" s="446">
        <f t="shared" si="6"/>
        <v>5.8849999999999993E-2</v>
      </c>
      <c r="P83" s="447">
        <f t="shared" si="15"/>
        <v>-0.55064241774241607</v>
      </c>
      <c r="Q83" s="446">
        <f t="shared" si="7"/>
        <v>-0.57589241774241606</v>
      </c>
      <c r="R83" s="446">
        <f t="shared" si="8"/>
        <v>-0.51072939654167149</v>
      </c>
      <c r="S83" s="446">
        <f t="shared" si="9"/>
        <v>7.2800000000000004E-2</v>
      </c>
      <c r="T83" s="447">
        <f t="shared" si="10"/>
        <v>-0.58352939654167146</v>
      </c>
      <c r="V83" s="448"/>
      <c r="W83" s="448"/>
      <c r="X83" s="448"/>
      <c r="Y83" s="448"/>
      <c r="Z83" s="448"/>
      <c r="AA83" s="448"/>
      <c r="AB83" s="448"/>
      <c r="AC83" s="448"/>
      <c r="AD83" s="448"/>
      <c r="AF83" s="448"/>
      <c r="AG83" s="448"/>
      <c r="AH83" s="448"/>
      <c r="AI83" s="448"/>
      <c r="AJ83" s="448"/>
      <c r="AK83" s="448"/>
      <c r="AL83" s="448"/>
      <c r="AM83" s="448"/>
      <c r="AN83" s="448"/>
      <c r="AP83" s="448"/>
      <c r="AQ83" s="448"/>
      <c r="AR83" s="448"/>
      <c r="AS83" s="448"/>
      <c r="AT83" s="448"/>
      <c r="AU83" s="448"/>
      <c r="AV83" s="448"/>
      <c r="AW83" s="448"/>
      <c r="AX83" s="448"/>
    </row>
    <row r="84" spans="1:50" x14ac:dyDescent="0.4">
      <c r="A84" s="442" t="str">
        <f t="shared" si="11"/>
        <v>81932</v>
      </c>
      <c r="B84" s="442">
        <v>11902</v>
      </c>
      <c r="C84" s="443">
        <v>0.38690000000000002</v>
      </c>
      <c r="D84" s="438">
        <v>0.40300000000000002</v>
      </c>
      <c r="E84" s="438">
        <v>2.7999999999999995E-3</v>
      </c>
      <c r="F84" s="438">
        <v>4.0916666666666671E-3</v>
      </c>
      <c r="G84" s="438">
        <v>4.8583333333333334E-3</v>
      </c>
      <c r="H84" s="438">
        <v>4.4749999999999998E-3</v>
      </c>
      <c r="I84" s="438">
        <v>5.2916666666666667E-3</v>
      </c>
      <c r="J84" s="438">
        <f t="shared" si="12"/>
        <v>0.3841</v>
      </c>
      <c r="K84" s="438">
        <f t="shared" si="4"/>
        <v>0.38242500000000001</v>
      </c>
      <c r="L84" s="438">
        <f t="shared" si="5"/>
        <v>0.39770833333333333</v>
      </c>
      <c r="M84" s="446">
        <f t="shared" si="13"/>
        <v>-0.34215883830972005</v>
      </c>
      <c r="N84" s="446">
        <f t="shared" si="14"/>
        <v>3.3599999999999991E-2</v>
      </c>
      <c r="O84" s="446">
        <f t="shared" si="6"/>
        <v>5.3699999999999998E-2</v>
      </c>
      <c r="P84" s="447">
        <f t="shared" si="15"/>
        <v>-0.37575883830972001</v>
      </c>
      <c r="Q84" s="446">
        <f t="shared" si="7"/>
        <v>-0.39585883830972002</v>
      </c>
      <c r="R84" s="446">
        <f t="shared" si="8"/>
        <v>-0.330687737273757</v>
      </c>
      <c r="S84" s="446">
        <f t="shared" si="9"/>
        <v>6.3500000000000001E-2</v>
      </c>
      <c r="T84" s="447">
        <f t="shared" si="10"/>
        <v>-0.394187737273757</v>
      </c>
      <c r="V84" s="448"/>
      <c r="W84" s="448"/>
      <c r="X84" s="448"/>
      <c r="Y84" s="448"/>
      <c r="Z84" s="448"/>
      <c r="AA84" s="448"/>
      <c r="AB84" s="448"/>
      <c r="AC84" s="448"/>
      <c r="AD84" s="448"/>
      <c r="AF84" s="448"/>
      <c r="AG84" s="448"/>
      <c r="AH84" s="448"/>
      <c r="AI84" s="448"/>
      <c r="AJ84" s="448"/>
      <c r="AK84" s="448"/>
      <c r="AL84" s="448"/>
      <c r="AM84" s="448"/>
      <c r="AN84" s="448"/>
      <c r="AP84" s="448"/>
      <c r="AQ84" s="448"/>
      <c r="AR84" s="448"/>
      <c r="AS84" s="448"/>
      <c r="AT84" s="448"/>
      <c r="AU84" s="448"/>
      <c r="AV84" s="448"/>
      <c r="AW84" s="448"/>
      <c r="AX84" s="448"/>
    </row>
    <row r="85" spans="1:50" x14ac:dyDescent="0.4">
      <c r="A85" s="442" t="str">
        <f t="shared" si="11"/>
        <v>91932</v>
      </c>
      <c r="B85" s="442">
        <v>11933</v>
      </c>
      <c r="C85" s="443">
        <v>-3.4599999999999999E-2</v>
      </c>
      <c r="D85" s="438">
        <v>-2.7000000000000003E-2</v>
      </c>
      <c r="E85" s="438">
        <v>2.5999999999999999E-3</v>
      </c>
      <c r="F85" s="438">
        <v>3.9166666666666664E-3</v>
      </c>
      <c r="G85" s="438">
        <v>4.6166666666666665E-3</v>
      </c>
      <c r="H85" s="438">
        <v>4.266666666666666E-3</v>
      </c>
      <c r="I85" s="438">
        <v>4.9249999999999997E-3</v>
      </c>
      <c r="J85" s="438">
        <f t="shared" si="12"/>
        <v>-3.7199999999999997E-2</v>
      </c>
      <c r="K85" s="438">
        <f t="shared" si="4"/>
        <v>-3.8866666666666667E-2</v>
      </c>
      <c r="L85" s="438">
        <f t="shared" si="5"/>
        <v>-3.1925000000000002E-2</v>
      </c>
      <c r="M85" s="446">
        <f t="shared" si="13"/>
        <v>-9.6229034444576089E-2</v>
      </c>
      <c r="N85" s="446">
        <f t="shared" si="14"/>
        <v>3.1199999999999999E-2</v>
      </c>
      <c r="O85" s="446">
        <f t="shared" si="6"/>
        <v>5.1199999999999996E-2</v>
      </c>
      <c r="P85" s="447">
        <f t="shared" si="15"/>
        <v>-0.12742903444457609</v>
      </c>
      <c r="Q85" s="446">
        <f t="shared" si="7"/>
        <v>-0.14742903444457608</v>
      </c>
      <c r="R85" s="446">
        <f t="shared" si="8"/>
        <v>-4.9422227948278441E-2</v>
      </c>
      <c r="S85" s="446">
        <f t="shared" si="9"/>
        <v>5.91E-2</v>
      </c>
      <c r="T85" s="447">
        <f t="shared" si="10"/>
        <v>-0.10852222794827844</v>
      </c>
      <c r="V85" s="448"/>
      <c r="W85" s="448"/>
      <c r="X85" s="448"/>
      <c r="Y85" s="448"/>
      <c r="Z85" s="448"/>
      <c r="AA85" s="448"/>
      <c r="AB85" s="448"/>
      <c r="AC85" s="448"/>
      <c r="AD85" s="448"/>
      <c r="AF85" s="448"/>
      <c r="AG85" s="448"/>
      <c r="AH85" s="448"/>
      <c r="AI85" s="448"/>
      <c r="AJ85" s="448"/>
      <c r="AK85" s="448"/>
      <c r="AL85" s="448"/>
      <c r="AM85" s="448"/>
      <c r="AN85" s="448"/>
      <c r="AP85" s="448"/>
      <c r="AQ85" s="448"/>
      <c r="AR85" s="448"/>
      <c r="AS85" s="448"/>
      <c r="AT85" s="448"/>
      <c r="AU85" s="448"/>
      <c r="AV85" s="448"/>
      <c r="AW85" s="448"/>
      <c r="AX85" s="448"/>
    </row>
    <row r="86" spans="1:50" x14ac:dyDescent="0.4">
      <c r="A86" s="442" t="str">
        <f t="shared" si="11"/>
        <v>101932</v>
      </c>
      <c r="B86" s="442">
        <v>11963</v>
      </c>
      <c r="C86" s="443">
        <v>-0.13489999999999999</v>
      </c>
      <c r="D86" s="438">
        <v>-0.1047</v>
      </c>
      <c r="E86" s="438">
        <v>2.7000000000000001E-3</v>
      </c>
      <c r="F86" s="438">
        <v>3.8666666666666667E-3</v>
      </c>
      <c r="G86" s="438">
        <v>4.5916666666666666E-3</v>
      </c>
      <c r="H86" s="438">
        <v>4.2291666666666667E-3</v>
      </c>
      <c r="I86" s="438">
        <v>4.8416666666666669E-3</v>
      </c>
      <c r="J86" s="438">
        <f t="shared" si="12"/>
        <v>-0.1376</v>
      </c>
      <c r="K86" s="438">
        <f t="shared" si="4"/>
        <v>-0.13912916666666666</v>
      </c>
      <c r="L86" s="438">
        <f t="shared" si="5"/>
        <v>-0.10954166666666666</v>
      </c>
      <c r="M86" s="446">
        <f t="shared" si="13"/>
        <v>-0.28244102211637556</v>
      </c>
      <c r="N86" s="446">
        <f t="shared" si="14"/>
        <v>3.2399999999999998E-2</v>
      </c>
      <c r="O86" s="446">
        <f t="shared" si="6"/>
        <v>5.0750000000000003E-2</v>
      </c>
      <c r="P86" s="447">
        <f t="shared" si="15"/>
        <v>-0.31484102211637555</v>
      </c>
      <c r="Q86" s="446">
        <f t="shared" si="7"/>
        <v>-0.33319102211637558</v>
      </c>
      <c r="R86" s="446">
        <f t="shared" si="8"/>
        <v>-0.22561212072983938</v>
      </c>
      <c r="S86" s="446">
        <f t="shared" si="9"/>
        <v>5.8099999999999999E-2</v>
      </c>
      <c r="T86" s="447">
        <f t="shared" si="10"/>
        <v>-0.28371212072983937</v>
      </c>
      <c r="V86" s="448"/>
      <c r="W86" s="448"/>
      <c r="X86" s="448"/>
      <c r="Y86" s="448"/>
      <c r="Z86" s="448"/>
      <c r="AA86" s="448"/>
      <c r="AB86" s="448"/>
      <c r="AC86" s="448"/>
      <c r="AD86" s="448"/>
      <c r="AF86" s="448"/>
      <c r="AG86" s="448"/>
      <c r="AH86" s="448"/>
      <c r="AI86" s="448"/>
      <c r="AJ86" s="448"/>
      <c r="AK86" s="448"/>
      <c r="AL86" s="448"/>
      <c r="AM86" s="448"/>
      <c r="AN86" s="448"/>
      <c r="AP86" s="448"/>
      <c r="AQ86" s="448"/>
      <c r="AR86" s="448"/>
      <c r="AS86" s="448"/>
      <c r="AT86" s="448"/>
      <c r="AU86" s="448"/>
      <c r="AV86" s="448"/>
      <c r="AW86" s="448"/>
      <c r="AX86" s="448"/>
    </row>
    <row r="87" spans="1:50" x14ac:dyDescent="0.4">
      <c r="A87" s="442" t="str">
        <f t="shared" si="11"/>
        <v>111932</v>
      </c>
      <c r="B87" s="442">
        <v>11994</v>
      </c>
      <c r="C87" s="443">
        <v>-4.1700000000000001E-2</v>
      </c>
      <c r="D87" s="438">
        <v>-3.5400000000000001E-2</v>
      </c>
      <c r="E87" s="438">
        <v>2.5999999999999999E-3</v>
      </c>
      <c r="F87" s="438">
        <v>3.858333333333333E-3</v>
      </c>
      <c r="G87" s="438">
        <v>4.6416666666666663E-3</v>
      </c>
      <c r="H87" s="438">
        <v>4.2500000000000003E-3</v>
      </c>
      <c r="I87" s="438">
        <v>4.8999999999999998E-3</v>
      </c>
      <c r="J87" s="438">
        <f t="shared" si="12"/>
        <v>-4.4299999999999999E-2</v>
      </c>
      <c r="K87" s="438">
        <f t="shared" si="4"/>
        <v>-4.5950000000000005E-2</v>
      </c>
      <c r="L87" s="438">
        <f t="shared" si="5"/>
        <v>-4.0300000000000002E-2</v>
      </c>
      <c r="M87" s="446">
        <f t="shared" si="13"/>
        <v>-0.25273117962847502</v>
      </c>
      <c r="N87" s="446">
        <f t="shared" si="14"/>
        <v>3.1199999999999999E-2</v>
      </c>
      <c r="O87" s="446">
        <f t="shared" si="6"/>
        <v>5.1000000000000004E-2</v>
      </c>
      <c r="P87" s="447">
        <f t="shared" si="15"/>
        <v>-0.28393117962847503</v>
      </c>
      <c r="Q87" s="446">
        <f t="shared" si="7"/>
        <v>-0.30373117962847501</v>
      </c>
      <c r="R87" s="446">
        <f t="shared" si="8"/>
        <v>-0.20416093293842219</v>
      </c>
      <c r="S87" s="446">
        <f t="shared" si="9"/>
        <v>5.8799999999999998E-2</v>
      </c>
      <c r="T87" s="447">
        <f t="shared" si="10"/>
        <v>-0.26296093293842221</v>
      </c>
      <c r="V87" s="448"/>
      <c r="W87" s="448"/>
      <c r="X87" s="448"/>
      <c r="Y87" s="448"/>
      <c r="Z87" s="448"/>
      <c r="AA87" s="448"/>
      <c r="AB87" s="448"/>
      <c r="AC87" s="448"/>
      <c r="AD87" s="448"/>
      <c r="AF87" s="448"/>
      <c r="AG87" s="448"/>
      <c r="AH87" s="448"/>
      <c r="AI87" s="448"/>
      <c r="AJ87" s="448"/>
      <c r="AK87" s="448"/>
      <c r="AL87" s="448"/>
      <c r="AM87" s="448"/>
      <c r="AN87" s="448"/>
      <c r="AP87" s="448"/>
      <c r="AQ87" s="448"/>
      <c r="AR87" s="448"/>
      <c r="AS87" s="448"/>
      <c r="AT87" s="448"/>
      <c r="AU87" s="448"/>
      <c r="AV87" s="448"/>
      <c r="AW87" s="448"/>
      <c r="AX87" s="448"/>
    </row>
    <row r="88" spans="1:50" x14ac:dyDescent="0.4">
      <c r="A88" s="442" t="str">
        <f t="shared" si="11"/>
        <v>121932</v>
      </c>
      <c r="B88" s="442">
        <v>12024</v>
      </c>
      <c r="C88" s="454">
        <v>5.6500000000000002E-2</v>
      </c>
      <c r="D88" s="438">
        <v>8.929999999999999E-2</v>
      </c>
      <c r="E88" s="438">
        <v>2.7000000000000001E-3</v>
      </c>
      <c r="F88" s="438">
        <v>3.8250000000000003E-3</v>
      </c>
      <c r="G88" s="438">
        <v>4.6666666666666662E-3</v>
      </c>
      <c r="H88" s="438">
        <v>4.2458333333333332E-3</v>
      </c>
      <c r="I88" s="438">
        <v>4.8750000000000009E-3</v>
      </c>
      <c r="J88" s="438">
        <f t="shared" si="12"/>
        <v>5.3800000000000001E-2</v>
      </c>
      <c r="K88" s="438">
        <f t="shared" si="4"/>
        <v>5.2254166666666671E-2</v>
      </c>
      <c r="L88" s="438">
        <f t="shared" si="5"/>
        <v>8.4424999999999986E-2</v>
      </c>
      <c r="M88" s="446">
        <f t="shared" si="13"/>
        <v>-8.1988943345911225E-2</v>
      </c>
      <c r="N88" s="446">
        <f t="shared" si="14"/>
        <v>3.2399999999999998E-2</v>
      </c>
      <c r="O88" s="446">
        <f t="shared" si="6"/>
        <v>5.0949999999999995E-2</v>
      </c>
      <c r="P88" s="447">
        <f t="shared" si="15"/>
        <v>-0.11438894334591122</v>
      </c>
      <c r="Q88" s="446">
        <f t="shared" si="7"/>
        <v>-0.13293894334591122</v>
      </c>
      <c r="R88" s="446">
        <f t="shared" si="8"/>
        <v>-5.4978825855496183E-3</v>
      </c>
      <c r="S88" s="446">
        <f t="shared" si="9"/>
        <v>5.850000000000001E-2</v>
      </c>
      <c r="T88" s="447">
        <f t="shared" si="10"/>
        <v>-6.3997882585549629E-2</v>
      </c>
      <c r="V88" s="448"/>
      <c r="W88" s="448"/>
      <c r="X88" s="448"/>
      <c r="Y88" s="448"/>
      <c r="Z88" s="448"/>
      <c r="AA88" s="448"/>
      <c r="AB88" s="448"/>
      <c r="AC88" s="448"/>
      <c r="AD88" s="448"/>
      <c r="AF88" s="448"/>
      <c r="AG88" s="448"/>
      <c r="AH88" s="448"/>
      <c r="AI88" s="448"/>
      <c r="AJ88" s="448"/>
      <c r="AK88" s="448"/>
      <c r="AL88" s="448"/>
      <c r="AM88" s="448"/>
      <c r="AN88" s="448"/>
      <c r="AP88" s="448"/>
      <c r="AQ88" s="448"/>
      <c r="AR88" s="448"/>
      <c r="AS88" s="448"/>
      <c r="AT88" s="448"/>
      <c r="AU88" s="448"/>
      <c r="AV88" s="448"/>
      <c r="AW88" s="448"/>
      <c r="AX88" s="448"/>
    </row>
    <row r="89" spans="1:50" x14ac:dyDescent="0.4">
      <c r="A89" s="442" t="str">
        <f t="shared" si="11"/>
        <v>11933</v>
      </c>
      <c r="B89" s="442">
        <v>12055</v>
      </c>
      <c r="C89" s="455">
        <v>8.6999999999999994E-3</v>
      </c>
      <c r="D89" s="438">
        <v>-3.1099999999999996E-2</v>
      </c>
      <c r="E89" s="456">
        <v>2.7000000000000001E-3</v>
      </c>
      <c r="F89" s="456">
        <v>3.7000000000000006E-3</v>
      </c>
      <c r="G89" s="438">
        <v>4.4166666666666668E-3</v>
      </c>
      <c r="H89" s="438">
        <v>4.0583333333333339E-3</v>
      </c>
      <c r="I89" s="456">
        <v>4.4916666666666664E-3</v>
      </c>
      <c r="J89" s="438">
        <f t="shared" si="12"/>
        <v>5.9999999999999993E-3</v>
      </c>
      <c r="K89" s="438">
        <f t="shared" si="4"/>
        <v>4.6416666666666655E-3</v>
      </c>
      <c r="L89" s="438">
        <f t="shared" si="5"/>
        <v>-3.559166666666666E-2</v>
      </c>
      <c r="M89" s="446">
        <f t="shared" si="13"/>
        <v>-4.8208703004441134E-2</v>
      </c>
      <c r="N89" s="446">
        <f t="shared" si="14"/>
        <v>3.2399999999999998E-2</v>
      </c>
      <c r="O89" s="446">
        <f t="shared" si="6"/>
        <v>4.8700000000000007E-2</v>
      </c>
      <c r="P89" s="447">
        <f t="shared" si="15"/>
        <v>-8.0608703004441132E-2</v>
      </c>
      <c r="Q89" s="446">
        <f t="shared" si="7"/>
        <v>-9.6908703004441141E-2</v>
      </c>
      <c r="R89" s="446">
        <f t="shared" si="8"/>
        <v>-1.6762141262386954E-2</v>
      </c>
      <c r="S89" s="446">
        <f t="shared" si="9"/>
        <v>5.3899999999999997E-2</v>
      </c>
      <c r="T89" s="447">
        <f t="shared" si="10"/>
        <v>-7.0662141262386957E-2</v>
      </c>
      <c r="V89" s="448"/>
      <c r="W89" s="448"/>
      <c r="X89" s="448"/>
      <c r="Y89" s="448"/>
      <c r="Z89" s="448"/>
      <c r="AA89" s="448"/>
      <c r="AB89" s="448"/>
      <c r="AC89" s="448"/>
      <c r="AD89" s="448"/>
      <c r="AF89" s="448"/>
      <c r="AG89" s="448"/>
      <c r="AH89" s="448"/>
      <c r="AI89" s="448"/>
      <c r="AJ89" s="448"/>
      <c r="AK89" s="448"/>
      <c r="AL89" s="448"/>
      <c r="AM89" s="448"/>
      <c r="AN89" s="448"/>
      <c r="AP89" s="448"/>
      <c r="AQ89" s="448"/>
      <c r="AR89" s="448"/>
      <c r="AS89" s="448"/>
      <c r="AT89" s="448"/>
      <c r="AU89" s="448"/>
      <c r="AV89" s="448"/>
      <c r="AW89" s="448"/>
      <c r="AX89" s="448"/>
    </row>
    <row r="90" spans="1:50" x14ac:dyDescent="0.4">
      <c r="A90" s="442" t="str">
        <f t="shared" si="11"/>
        <v>21933</v>
      </c>
      <c r="B90" s="442">
        <v>12086</v>
      </c>
      <c r="C90" s="455">
        <v>-0.1772</v>
      </c>
      <c r="D90" s="438">
        <v>-0.19839999999999999</v>
      </c>
      <c r="E90" s="457">
        <v>2.3E-3</v>
      </c>
      <c r="F90" s="457">
        <v>3.7333333333333333E-3</v>
      </c>
      <c r="G90" s="438">
        <v>4.4583333333333332E-3</v>
      </c>
      <c r="H90" s="438">
        <v>4.0958333333333333E-3</v>
      </c>
      <c r="I90" s="457">
        <v>4.8083333333333337E-3</v>
      </c>
      <c r="J90" s="438">
        <f t="shared" si="12"/>
        <v>-0.17949999999999999</v>
      </c>
      <c r="K90" s="438">
        <f t="shared" si="4"/>
        <v>-0.18129583333333332</v>
      </c>
      <c r="L90" s="438">
        <f t="shared" si="5"/>
        <v>-0.20320833333333332</v>
      </c>
      <c r="M90" s="446">
        <f t="shared" si="13"/>
        <v>-0.25909755991679684</v>
      </c>
      <c r="N90" s="446">
        <f t="shared" si="14"/>
        <v>2.76E-2</v>
      </c>
      <c r="O90" s="446">
        <f t="shared" si="6"/>
        <v>4.9149999999999999E-2</v>
      </c>
      <c r="P90" s="447">
        <f t="shared" si="15"/>
        <v>-0.28669755991679685</v>
      </c>
      <c r="Q90" s="446">
        <f t="shared" si="7"/>
        <v>-0.30824755991679686</v>
      </c>
      <c r="R90" s="446">
        <f t="shared" si="8"/>
        <v>-0.27015143294372557</v>
      </c>
      <c r="S90" s="446">
        <f t="shared" si="9"/>
        <v>5.7700000000000001E-2</v>
      </c>
      <c r="T90" s="447">
        <f t="shared" si="10"/>
        <v>-0.32785143294372554</v>
      </c>
      <c r="V90" s="448"/>
      <c r="W90" s="448"/>
      <c r="X90" s="448"/>
      <c r="Y90" s="448"/>
      <c r="Z90" s="448"/>
      <c r="AA90" s="448"/>
      <c r="AB90" s="448"/>
      <c r="AC90" s="448"/>
      <c r="AD90" s="448"/>
      <c r="AF90" s="448"/>
      <c r="AG90" s="448"/>
      <c r="AH90" s="448"/>
      <c r="AI90" s="448"/>
      <c r="AJ90" s="448"/>
      <c r="AK90" s="448"/>
      <c r="AL90" s="448"/>
      <c r="AM90" s="448"/>
      <c r="AN90" s="448"/>
      <c r="AP90" s="448"/>
      <c r="AQ90" s="448"/>
      <c r="AR90" s="448"/>
      <c r="AS90" s="448"/>
      <c r="AT90" s="448"/>
      <c r="AU90" s="448"/>
      <c r="AV90" s="448"/>
      <c r="AW90" s="448"/>
      <c r="AX90" s="448"/>
    </row>
    <row r="91" spans="1:50" x14ac:dyDescent="0.4">
      <c r="A91" s="442" t="str">
        <f t="shared" si="11"/>
        <v>31933</v>
      </c>
      <c r="B91" s="442">
        <v>12114</v>
      </c>
      <c r="C91" s="455">
        <v>3.5299999999999998E-2</v>
      </c>
      <c r="D91" s="438">
        <v>-0.10800000000000001</v>
      </c>
      <c r="E91" s="457">
        <v>2.7000000000000001E-3</v>
      </c>
      <c r="F91" s="457">
        <v>3.8999999999999994E-3</v>
      </c>
      <c r="G91" s="438">
        <v>4.6750000000000003E-3</v>
      </c>
      <c r="H91" s="438">
        <v>4.2874999999999996E-3</v>
      </c>
      <c r="I91" s="457">
        <v>5.2833333333333335E-3</v>
      </c>
      <c r="J91" s="438">
        <f t="shared" si="12"/>
        <v>3.2599999999999997E-2</v>
      </c>
      <c r="K91" s="438">
        <f t="shared" si="4"/>
        <v>3.1012499999999998E-2</v>
      </c>
      <c r="L91" s="438">
        <f t="shared" si="5"/>
        <v>-0.11328333333333335</v>
      </c>
      <c r="M91" s="446">
        <f t="shared" si="13"/>
        <v>-0.13248552791434054</v>
      </c>
      <c r="N91" s="446">
        <f t="shared" si="14"/>
        <v>3.2399999999999998E-2</v>
      </c>
      <c r="O91" s="446">
        <f t="shared" si="6"/>
        <v>5.1449999999999996E-2</v>
      </c>
      <c r="P91" s="447">
        <f t="shared" si="15"/>
        <v>-0.16488552791434052</v>
      </c>
      <c r="Q91" s="446">
        <f t="shared" si="7"/>
        <v>-0.18393552791434054</v>
      </c>
      <c r="R91" s="446">
        <f t="shared" si="8"/>
        <v>-0.27194707916104133</v>
      </c>
      <c r="S91" s="446">
        <f t="shared" si="9"/>
        <v>6.3399999999999998E-2</v>
      </c>
      <c r="T91" s="447">
        <f t="shared" si="10"/>
        <v>-0.33534707916104134</v>
      </c>
      <c r="V91" s="448"/>
      <c r="W91" s="448"/>
      <c r="X91" s="448"/>
      <c r="Y91" s="448"/>
      <c r="Z91" s="448"/>
      <c r="AA91" s="448"/>
      <c r="AB91" s="448"/>
      <c r="AC91" s="448"/>
      <c r="AD91" s="448"/>
      <c r="AF91" s="448"/>
      <c r="AG91" s="448"/>
      <c r="AH91" s="448"/>
      <c r="AI91" s="448"/>
      <c r="AJ91" s="448"/>
      <c r="AK91" s="448"/>
      <c r="AL91" s="448"/>
      <c r="AM91" s="448"/>
      <c r="AN91" s="448"/>
      <c r="AP91" s="448"/>
      <c r="AQ91" s="448"/>
      <c r="AR91" s="448"/>
      <c r="AS91" s="448"/>
      <c r="AT91" s="448"/>
      <c r="AU91" s="448"/>
      <c r="AV91" s="448"/>
      <c r="AW91" s="448"/>
      <c r="AX91" s="448"/>
    </row>
    <row r="92" spans="1:50" x14ac:dyDescent="0.4">
      <c r="A92" s="442" t="str">
        <f t="shared" si="11"/>
        <v>41933</v>
      </c>
      <c r="B92" s="442">
        <v>12145</v>
      </c>
      <c r="C92" s="455">
        <v>0.42559999999999998</v>
      </c>
      <c r="D92" s="438">
        <v>0.26349999999999996</v>
      </c>
      <c r="E92" s="457">
        <v>2.5000000000000001E-3</v>
      </c>
      <c r="F92" s="457">
        <v>3.9833333333333335E-3</v>
      </c>
      <c r="G92" s="438">
        <v>4.841666666666666E-3</v>
      </c>
      <c r="H92" s="438">
        <v>4.4125000000000006E-3</v>
      </c>
      <c r="I92" s="457">
        <v>5.7416666666666675E-3</v>
      </c>
      <c r="J92" s="438">
        <f t="shared" si="12"/>
        <v>0.42309999999999998</v>
      </c>
      <c r="K92" s="438">
        <f t="shared" si="4"/>
        <v>0.42118749999999999</v>
      </c>
      <c r="L92" s="438">
        <f t="shared" si="5"/>
        <v>0.25775833333333331</v>
      </c>
      <c r="M92" s="446">
        <f t="shared" si="13"/>
        <v>0.54533129002288661</v>
      </c>
      <c r="N92" s="446">
        <f t="shared" si="14"/>
        <v>0.03</v>
      </c>
      <c r="O92" s="446">
        <f t="shared" si="6"/>
        <v>5.2950000000000011E-2</v>
      </c>
      <c r="P92" s="447">
        <f t="shared" si="15"/>
        <v>0.51533129002288658</v>
      </c>
      <c r="Q92" s="446">
        <f t="shared" si="7"/>
        <v>0.49238129002288661</v>
      </c>
      <c r="R92" s="446">
        <f t="shared" si="8"/>
        <v>8.6703916692290717E-2</v>
      </c>
      <c r="S92" s="446">
        <f t="shared" si="9"/>
        <v>6.8900000000000017E-2</v>
      </c>
      <c r="T92" s="447">
        <f t="shared" si="10"/>
        <v>1.78039166922907E-2</v>
      </c>
      <c r="V92" s="448"/>
      <c r="W92" s="448"/>
      <c r="X92" s="448"/>
      <c r="Y92" s="448"/>
      <c r="Z92" s="448"/>
      <c r="AA92" s="448"/>
      <c r="AB92" s="448"/>
      <c r="AC92" s="448"/>
      <c r="AD92" s="448"/>
      <c r="AF92" s="448"/>
      <c r="AG92" s="448"/>
      <c r="AH92" s="448"/>
      <c r="AI92" s="448"/>
      <c r="AJ92" s="448"/>
      <c r="AK92" s="448"/>
      <c r="AL92" s="448"/>
      <c r="AM92" s="448"/>
      <c r="AN92" s="448"/>
      <c r="AP92" s="448"/>
      <c r="AQ92" s="448"/>
      <c r="AR92" s="448"/>
      <c r="AS92" s="448"/>
      <c r="AT92" s="448"/>
      <c r="AU92" s="448"/>
      <c r="AV92" s="448"/>
      <c r="AW92" s="448"/>
      <c r="AX92" s="448"/>
    </row>
    <row r="93" spans="1:50" x14ac:dyDescent="0.4">
      <c r="A93" s="442" t="str">
        <f t="shared" si="11"/>
        <v>51933</v>
      </c>
      <c r="B93" s="442">
        <v>12175</v>
      </c>
      <c r="C93" s="455">
        <v>0.16830000000000001</v>
      </c>
      <c r="D93" s="438">
        <v>0.17319999999999999</v>
      </c>
      <c r="E93" s="457">
        <v>2.7999999999999995E-3</v>
      </c>
      <c r="F93" s="457">
        <v>3.858333333333333E-3</v>
      </c>
      <c r="G93" s="438">
        <v>4.5000000000000005E-3</v>
      </c>
      <c r="H93" s="438">
        <v>4.179166666666667E-3</v>
      </c>
      <c r="I93" s="457">
        <v>5.416666666666666E-3</v>
      </c>
      <c r="J93" s="438">
        <f t="shared" si="12"/>
        <v>0.16550000000000001</v>
      </c>
      <c r="K93" s="438">
        <f t="shared" ref="K93:K156" si="16">C93-H93</f>
        <v>0.16412083333333333</v>
      </c>
      <c r="L93" s="438">
        <f t="shared" ref="L93:L156" si="17">$D93-I93</f>
        <v>0.16778333333333334</v>
      </c>
      <c r="M93" s="446">
        <f t="shared" si="13"/>
        <v>1.3134425245178605</v>
      </c>
      <c r="N93" s="446">
        <f t="shared" si="14"/>
        <v>3.3599999999999991E-2</v>
      </c>
      <c r="O93" s="446">
        <f t="shared" si="6"/>
        <v>5.015E-2</v>
      </c>
      <c r="P93" s="447">
        <f t="shared" si="15"/>
        <v>1.2798425245178604</v>
      </c>
      <c r="Q93" s="446">
        <f t="shared" si="7"/>
        <v>1.2632925245178606</v>
      </c>
      <c r="R93" s="446">
        <f t="shared" si="8"/>
        <v>0.77220049355490117</v>
      </c>
      <c r="S93" s="446">
        <f t="shared" si="9"/>
        <v>6.4999999999999988E-2</v>
      </c>
      <c r="T93" s="447">
        <f t="shared" si="10"/>
        <v>0.70720049355490122</v>
      </c>
      <c r="V93" s="448"/>
      <c r="W93" s="448"/>
      <c r="X93" s="448"/>
      <c r="Y93" s="448"/>
      <c r="Z93" s="448"/>
      <c r="AA93" s="448"/>
      <c r="AB93" s="448"/>
      <c r="AC93" s="448"/>
      <c r="AD93" s="448"/>
      <c r="AF93" s="448"/>
      <c r="AG93" s="448"/>
      <c r="AH93" s="448"/>
      <c r="AI93" s="448"/>
      <c r="AJ93" s="448"/>
      <c r="AK93" s="448"/>
      <c r="AL93" s="448"/>
      <c r="AM93" s="448"/>
      <c r="AN93" s="448"/>
      <c r="AP93" s="448"/>
      <c r="AQ93" s="448"/>
      <c r="AR93" s="448"/>
      <c r="AS93" s="448"/>
      <c r="AT93" s="448"/>
      <c r="AU93" s="448"/>
      <c r="AV93" s="448"/>
      <c r="AW93" s="448"/>
      <c r="AX93" s="448"/>
    </row>
    <row r="94" spans="1:50" x14ac:dyDescent="0.4">
      <c r="A94" s="442" t="str">
        <f t="shared" si="11"/>
        <v>61933</v>
      </c>
      <c r="B94" s="442">
        <v>12206</v>
      </c>
      <c r="C94" s="455">
        <v>0.1338</v>
      </c>
      <c r="D94" s="438">
        <v>0.14259999999999998</v>
      </c>
      <c r="E94" s="457">
        <v>2.5000000000000001E-3</v>
      </c>
      <c r="F94" s="457">
        <v>3.7166666666666663E-3</v>
      </c>
      <c r="G94" s="438">
        <v>4.2416666666666662E-3</v>
      </c>
      <c r="H94" s="438">
        <v>3.9791666666666664E-3</v>
      </c>
      <c r="I94" s="457">
        <v>5.0916666666666662E-3</v>
      </c>
      <c r="J94" s="438">
        <f t="shared" si="12"/>
        <v>0.1313</v>
      </c>
      <c r="K94" s="438">
        <f t="shared" si="16"/>
        <v>0.12982083333333333</v>
      </c>
      <c r="L94" s="438">
        <f t="shared" si="17"/>
        <v>0.13750833333333332</v>
      </c>
      <c r="M94" s="446">
        <f t="shared" si="13"/>
        <v>1.6287644160135799</v>
      </c>
      <c r="N94" s="446">
        <f t="shared" si="14"/>
        <v>0.03</v>
      </c>
      <c r="O94" s="446">
        <f t="shared" si="6"/>
        <v>4.7750000000000001E-2</v>
      </c>
      <c r="P94" s="447">
        <f t="shared" si="15"/>
        <v>1.5987644160135799</v>
      </c>
      <c r="Q94" s="446">
        <f t="shared" si="7"/>
        <v>1.5810144160135799</v>
      </c>
      <c r="R94" s="446">
        <f t="shared" si="8"/>
        <v>1.0068545926024082</v>
      </c>
      <c r="S94" s="446">
        <f t="shared" si="9"/>
        <v>6.1099999999999995E-2</v>
      </c>
      <c r="T94" s="447">
        <f t="shared" si="10"/>
        <v>0.94575459260240813</v>
      </c>
      <c r="V94" s="448"/>
      <c r="W94" s="448"/>
      <c r="X94" s="448"/>
      <c r="Y94" s="448"/>
      <c r="Z94" s="448"/>
      <c r="AA94" s="448"/>
      <c r="AB94" s="448"/>
      <c r="AC94" s="448"/>
      <c r="AD94" s="448"/>
      <c r="AF94" s="448"/>
      <c r="AG94" s="448"/>
      <c r="AH94" s="448"/>
      <c r="AI94" s="448"/>
      <c r="AJ94" s="448"/>
      <c r="AK94" s="448"/>
      <c r="AL94" s="448"/>
      <c r="AM94" s="448"/>
      <c r="AN94" s="448"/>
      <c r="AP94" s="448"/>
      <c r="AQ94" s="448"/>
      <c r="AR94" s="448"/>
      <c r="AS94" s="448"/>
      <c r="AT94" s="448"/>
      <c r="AU94" s="448"/>
      <c r="AV94" s="448"/>
      <c r="AW94" s="448"/>
      <c r="AX94" s="448"/>
    </row>
    <row r="95" spans="1:50" x14ac:dyDescent="0.4">
      <c r="A95" s="442" t="str">
        <f t="shared" si="11"/>
        <v>71933</v>
      </c>
      <c r="B95" s="442">
        <v>12236</v>
      </c>
      <c r="C95" s="455">
        <v>-8.6199999999999999E-2</v>
      </c>
      <c r="D95" s="438">
        <v>-0.12039999999999999</v>
      </c>
      <c r="E95" s="457">
        <v>2.5999999999999999E-3</v>
      </c>
      <c r="F95" s="457">
        <v>3.6333333333333335E-3</v>
      </c>
      <c r="G95" s="438">
        <v>4.0249999999999999E-3</v>
      </c>
      <c r="H95" s="438">
        <v>3.8291666666666669E-3</v>
      </c>
      <c r="I95" s="457">
        <v>4.9249999999999997E-3</v>
      </c>
      <c r="J95" s="438">
        <f t="shared" si="12"/>
        <v>-8.8800000000000004E-2</v>
      </c>
      <c r="K95" s="438">
        <f t="shared" si="16"/>
        <v>-9.002916666666666E-2</v>
      </c>
      <c r="L95" s="438">
        <f t="shared" si="17"/>
        <v>-0.12532499999999999</v>
      </c>
      <c r="M95" s="446">
        <f t="shared" si="13"/>
        <v>0.73880920981050235</v>
      </c>
      <c r="N95" s="446">
        <f t="shared" si="14"/>
        <v>3.1199999999999999E-2</v>
      </c>
      <c r="O95" s="446">
        <f t="shared" si="6"/>
        <v>4.5950000000000005E-2</v>
      </c>
      <c r="P95" s="447">
        <f t="shared" si="15"/>
        <v>0.70760920981050235</v>
      </c>
      <c r="Q95" s="446">
        <f t="shared" si="7"/>
        <v>0.69285920981050231</v>
      </c>
      <c r="R95" s="446">
        <f t="shared" si="8"/>
        <v>0.32544623791340954</v>
      </c>
      <c r="S95" s="446">
        <f t="shared" si="9"/>
        <v>5.91E-2</v>
      </c>
      <c r="T95" s="447">
        <f t="shared" si="10"/>
        <v>0.26634623791340956</v>
      </c>
      <c r="V95" s="448"/>
      <c r="W95" s="448"/>
      <c r="X95" s="448"/>
      <c r="Y95" s="448"/>
      <c r="Z95" s="448"/>
      <c r="AA95" s="448"/>
      <c r="AB95" s="448"/>
      <c r="AC95" s="448"/>
      <c r="AD95" s="448"/>
      <c r="AF95" s="448"/>
      <c r="AG95" s="448"/>
      <c r="AH95" s="448"/>
      <c r="AI95" s="448"/>
      <c r="AJ95" s="448"/>
      <c r="AK95" s="448"/>
      <c r="AL95" s="448"/>
      <c r="AM95" s="448"/>
      <c r="AN95" s="448"/>
      <c r="AP95" s="448"/>
      <c r="AQ95" s="448"/>
      <c r="AR95" s="448"/>
      <c r="AS95" s="448"/>
      <c r="AT95" s="448"/>
      <c r="AU95" s="448"/>
      <c r="AV95" s="448"/>
      <c r="AW95" s="448"/>
      <c r="AX95" s="448"/>
    </row>
    <row r="96" spans="1:50" x14ac:dyDescent="0.4">
      <c r="A96" s="442" t="str">
        <f t="shared" si="11"/>
        <v>81933</v>
      </c>
      <c r="B96" s="442">
        <v>12267</v>
      </c>
      <c r="C96" s="455">
        <v>0.1206</v>
      </c>
      <c r="D96" s="438">
        <v>-5.5999999999999991E-3</v>
      </c>
      <c r="E96" s="457">
        <v>2.5999999999999999E-3</v>
      </c>
      <c r="F96" s="457">
        <v>3.5833333333333333E-3</v>
      </c>
      <c r="G96" s="438">
        <v>3.9749999999999994E-3</v>
      </c>
      <c r="H96" s="438">
        <v>3.7791666666666668E-3</v>
      </c>
      <c r="I96" s="457">
        <v>4.9833333333333335E-3</v>
      </c>
      <c r="J96" s="438">
        <f t="shared" si="12"/>
        <v>0.11799999999999999</v>
      </c>
      <c r="K96" s="438">
        <f t="shared" si="16"/>
        <v>0.11682083333333333</v>
      </c>
      <c r="L96" s="438">
        <f t="shared" si="17"/>
        <v>-1.0583333333333333E-2</v>
      </c>
      <c r="M96" s="446">
        <f t="shared" si="13"/>
        <v>0.40493878470953137</v>
      </c>
      <c r="N96" s="446">
        <f t="shared" si="14"/>
        <v>3.1199999999999999E-2</v>
      </c>
      <c r="O96" s="446">
        <f t="shared" si="6"/>
        <v>4.5350000000000001E-2</v>
      </c>
      <c r="P96" s="447">
        <f t="shared" si="15"/>
        <v>0.37373878470953137</v>
      </c>
      <c r="Q96" s="446">
        <f t="shared" si="7"/>
        <v>0.35958878470953137</v>
      </c>
      <c r="R96" s="446">
        <f t="shared" si="8"/>
        <v>-6.0567541709840134E-2</v>
      </c>
      <c r="S96" s="446">
        <f t="shared" si="9"/>
        <v>5.9800000000000006E-2</v>
      </c>
      <c r="T96" s="447">
        <f t="shared" si="10"/>
        <v>-0.12036754170984014</v>
      </c>
      <c r="V96" s="448"/>
      <c r="W96" s="448"/>
      <c r="X96" s="448"/>
      <c r="Y96" s="448"/>
      <c r="Z96" s="448"/>
      <c r="AA96" s="448"/>
      <c r="AB96" s="448"/>
      <c r="AC96" s="448"/>
      <c r="AD96" s="448"/>
      <c r="AF96" s="448"/>
      <c r="AG96" s="448"/>
      <c r="AH96" s="448"/>
      <c r="AI96" s="448"/>
      <c r="AJ96" s="448"/>
      <c r="AK96" s="448"/>
      <c r="AL96" s="448"/>
      <c r="AM96" s="448"/>
      <c r="AN96" s="448"/>
      <c r="AP96" s="448"/>
      <c r="AQ96" s="448"/>
      <c r="AR96" s="448"/>
      <c r="AS96" s="448"/>
      <c r="AT96" s="448"/>
      <c r="AU96" s="448"/>
      <c r="AV96" s="448"/>
      <c r="AW96" s="448"/>
      <c r="AX96" s="448"/>
    </row>
    <row r="97" spans="1:50" x14ac:dyDescent="0.4">
      <c r="A97" s="442" t="str">
        <f t="shared" si="11"/>
        <v>91933</v>
      </c>
      <c r="B97" s="442">
        <v>12298</v>
      </c>
      <c r="C97" s="455">
        <v>-0.1118</v>
      </c>
      <c r="D97" s="438">
        <v>-0.1759</v>
      </c>
      <c r="E97" s="457">
        <v>2.5000000000000001E-3</v>
      </c>
      <c r="F97" s="457">
        <v>3.6333333333333335E-3</v>
      </c>
      <c r="G97" s="438">
        <v>4.1333333333333335E-3</v>
      </c>
      <c r="H97" s="438">
        <v>3.8833333333333333E-3</v>
      </c>
      <c r="I97" s="457">
        <v>5.3E-3</v>
      </c>
      <c r="J97" s="438">
        <f t="shared" si="12"/>
        <v>-0.1143</v>
      </c>
      <c r="K97" s="438">
        <f t="shared" si="16"/>
        <v>-0.11568333333333333</v>
      </c>
      <c r="L97" s="438">
        <f t="shared" si="17"/>
        <v>-0.1812</v>
      </c>
      <c r="M97" s="446">
        <f t="shared" si="13"/>
        <v>0.29259025127305338</v>
      </c>
      <c r="N97" s="446">
        <f t="shared" si="14"/>
        <v>0.03</v>
      </c>
      <c r="O97" s="446">
        <f t="shared" si="6"/>
        <v>4.6600000000000003E-2</v>
      </c>
      <c r="P97" s="447">
        <f t="shared" si="15"/>
        <v>0.26259025127305335</v>
      </c>
      <c r="Q97" s="446">
        <f t="shared" si="7"/>
        <v>0.24599025127305338</v>
      </c>
      <c r="R97" s="446">
        <f t="shared" si="8"/>
        <v>-0.20433063835876586</v>
      </c>
      <c r="S97" s="446">
        <f t="shared" si="9"/>
        <v>6.3600000000000004E-2</v>
      </c>
      <c r="T97" s="447">
        <f t="shared" si="10"/>
        <v>-0.26793063835876585</v>
      </c>
      <c r="V97" s="448"/>
      <c r="W97" s="448"/>
      <c r="X97" s="448"/>
      <c r="Y97" s="448"/>
      <c r="Z97" s="448"/>
      <c r="AA97" s="448"/>
      <c r="AB97" s="448"/>
      <c r="AC97" s="448"/>
      <c r="AD97" s="448"/>
      <c r="AF97" s="448"/>
      <c r="AG97" s="448"/>
      <c r="AH97" s="448"/>
      <c r="AI97" s="448"/>
      <c r="AJ97" s="448"/>
      <c r="AK97" s="448"/>
      <c r="AL97" s="448"/>
      <c r="AM97" s="448"/>
      <c r="AN97" s="448"/>
      <c r="AP97" s="448"/>
      <c r="AQ97" s="448"/>
      <c r="AR97" s="448"/>
      <c r="AS97" s="448"/>
      <c r="AT97" s="448"/>
      <c r="AU97" s="448"/>
      <c r="AV97" s="448"/>
      <c r="AW97" s="448"/>
      <c r="AX97" s="448"/>
    </row>
    <row r="98" spans="1:50" x14ac:dyDescent="0.4">
      <c r="A98" s="442" t="str">
        <f t="shared" si="11"/>
        <v>101933</v>
      </c>
      <c r="B98" s="442">
        <v>12328</v>
      </c>
      <c r="C98" s="455">
        <v>-8.5500000000000007E-2</v>
      </c>
      <c r="D98" s="438">
        <v>-7.1200000000000013E-2</v>
      </c>
      <c r="E98" s="457">
        <v>2.5999999999999999E-3</v>
      </c>
      <c r="F98" s="457">
        <v>3.6166666666666665E-3</v>
      </c>
      <c r="G98" s="438">
        <v>4.1416666666666659E-3</v>
      </c>
      <c r="H98" s="438">
        <v>3.8791666666666662E-3</v>
      </c>
      <c r="I98" s="457">
        <v>5.3E-3</v>
      </c>
      <c r="J98" s="438">
        <f t="shared" si="12"/>
        <v>-8.8100000000000012E-2</v>
      </c>
      <c r="K98" s="438">
        <f t="shared" si="16"/>
        <v>-8.9379166666666676E-2</v>
      </c>
      <c r="L98" s="438">
        <f t="shared" si="17"/>
        <v>-7.6500000000000012E-2</v>
      </c>
      <c r="M98" s="446">
        <f t="shared" si="13"/>
        <v>0.36640132330274788</v>
      </c>
      <c r="N98" s="446">
        <f t="shared" si="14"/>
        <v>3.1199999999999999E-2</v>
      </c>
      <c r="O98" s="446">
        <f t="shared" si="6"/>
        <v>4.6549999999999994E-2</v>
      </c>
      <c r="P98" s="447">
        <f t="shared" si="15"/>
        <v>0.33520132330274788</v>
      </c>
      <c r="Q98" s="446">
        <f t="shared" si="7"/>
        <v>0.3198513233027479</v>
      </c>
      <c r="R98" s="446">
        <f t="shared" si="8"/>
        <v>-0.17455858026094262</v>
      </c>
      <c r="S98" s="446">
        <f t="shared" si="9"/>
        <v>6.3600000000000004E-2</v>
      </c>
      <c r="T98" s="447">
        <f t="shared" si="10"/>
        <v>-0.23815858026094261</v>
      </c>
      <c r="V98" s="448"/>
      <c r="W98" s="448"/>
      <c r="X98" s="448"/>
      <c r="Y98" s="448"/>
      <c r="Z98" s="448"/>
      <c r="AA98" s="448"/>
      <c r="AB98" s="448"/>
      <c r="AC98" s="448"/>
      <c r="AD98" s="448"/>
      <c r="AF98" s="448"/>
      <c r="AG98" s="448"/>
      <c r="AH98" s="448"/>
      <c r="AI98" s="448"/>
      <c r="AJ98" s="448"/>
      <c r="AK98" s="448"/>
      <c r="AL98" s="448"/>
      <c r="AM98" s="448"/>
      <c r="AN98" s="448"/>
      <c r="AP98" s="448"/>
      <c r="AQ98" s="448"/>
      <c r="AR98" s="448"/>
      <c r="AS98" s="448"/>
      <c r="AT98" s="448"/>
      <c r="AU98" s="448"/>
      <c r="AV98" s="448"/>
      <c r="AW98" s="448"/>
      <c r="AX98" s="448"/>
    </row>
    <row r="99" spans="1:50" x14ac:dyDescent="0.4">
      <c r="A99" s="442" t="str">
        <f t="shared" si="11"/>
        <v>111933</v>
      </c>
      <c r="B99" s="442">
        <v>12359</v>
      </c>
      <c r="C99" s="455">
        <v>0.11269999999999999</v>
      </c>
      <c r="D99" s="438">
        <v>-1.7999999999999999E-2</v>
      </c>
      <c r="E99" s="457">
        <v>2.5000000000000001E-3</v>
      </c>
      <c r="F99" s="457">
        <v>3.7833333333333334E-3</v>
      </c>
      <c r="G99" s="438">
        <v>4.4583333333333332E-3</v>
      </c>
      <c r="H99" s="438">
        <v>4.120833333333334E-3</v>
      </c>
      <c r="I99" s="457">
        <v>5.8833333333333342E-3</v>
      </c>
      <c r="J99" s="438">
        <f t="shared" si="12"/>
        <v>0.11019999999999999</v>
      </c>
      <c r="K99" s="438">
        <f t="shared" si="16"/>
        <v>0.10857916666666666</v>
      </c>
      <c r="L99" s="438">
        <f t="shared" si="17"/>
        <v>-2.3883333333333333E-2</v>
      </c>
      <c r="M99" s="446">
        <f t="shared" si="13"/>
        <v>0.58655405659915205</v>
      </c>
      <c r="N99" s="446">
        <f t="shared" si="14"/>
        <v>0.03</v>
      </c>
      <c r="O99" s="446">
        <f t="shared" si="6"/>
        <v>4.9450000000000008E-2</v>
      </c>
      <c r="P99" s="447">
        <f t="shared" si="15"/>
        <v>0.55655405659915202</v>
      </c>
      <c r="Q99" s="446">
        <f t="shared" si="7"/>
        <v>0.53710405659915206</v>
      </c>
      <c r="R99" s="446">
        <f t="shared" si="8"/>
        <v>-0.15966880138528483</v>
      </c>
      <c r="S99" s="446">
        <f t="shared" si="9"/>
        <v>7.060000000000001E-2</v>
      </c>
      <c r="T99" s="447">
        <f t="shared" si="10"/>
        <v>-0.23026880138528483</v>
      </c>
      <c r="V99" s="448"/>
      <c r="W99" s="448"/>
      <c r="X99" s="448"/>
      <c r="Y99" s="448"/>
      <c r="Z99" s="448"/>
      <c r="AA99" s="448"/>
      <c r="AB99" s="448"/>
      <c r="AC99" s="448"/>
      <c r="AD99" s="448"/>
      <c r="AF99" s="448"/>
      <c r="AG99" s="448"/>
      <c r="AH99" s="448"/>
      <c r="AI99" s="448"/>
      <c r="AJ99" s="448"/>
      <c r="AK99" s="448"/>
      <c r="AL99" s="448"/>
      <c r="AM99" s="448"/>
      <c r="AN99" s="448"/>
      <c r="AP99" s="448"/>
      <c r="AQ99" s="448"/>
      <c r="AR99" s="448"/>
      <c r="AS99" s="448"/>
      <c r="AT99" s="448"/>
      <c r="AU99" s="448"/>
      <c r="AV99" s="448"/>
      <c r="AW99" s="448"/>
      <c r="AX99" s="448"/>
    </row>
    <row r="100" spans="1:50" x14ac:dyDescent="0.4">
      <c r="A100" s="442" t="str">
        <f t="shared" si="11"/>
        <v>121933</v>
      </c>
      <c r="B100" s="442">
        <v>12389</v>
      </c>
      <c r="C100" s="455">
        <v>2.53E-2</v>
      </c>
      <c r="D100" s="438">
        <v>1.26E-2</v>
      </c>
      <c r="E100" s="457">
        <v>2.7999999999999995E-3</v>
      </c>
      <c r="F100" s="457">
        <v>3.7499999999999999E-3</v>
      </c>
      <c r="G100" s="438">
        <v>4.3916666666666661E-3</v>
      </c>
      <c r="H100" s="438">
        <v>4.0708333333333334E-3</v>
      </c>
      <c r="I100" s="457">
        <v>6.0166666666666667E-3</v>
      </c>
      <c r="J100" s="438">
        <f t="shared" si="12"/>
        <v>2.2499999999999999E-2</v>
      </c>
      <c r="K100" s="438">
        <f t="shared" si="16"/>
        <v>2.1229166666666667E-2</v>
      </c>
      <c r="L100" s="438">
        <f t="shared" si="17"/>
        <v>6.5833333333333334E-3</v>
      </c>
      <c r="M100" s="446">
        <f t="shared" si="13"/>
        <v>0.53970078015249512</v>
      </c>
      <c r="N100" s="446">
        <f t="shared" si="14"/>
        <v>3.3599999999999991E-2</v>
      </c>
      <c r="O100" s="446">
        <f t="shared" si="6"/>
        <v>4.8850000000000005E-2</v>
      </c>
      <c r="P100" s="447">
        <f t="shared" si="15"/>
        <v>0.50610078015249516</v>
      </c>
      <c r="Q100" s="446">
        <f t="shared" si="7"/>
        <v>0.49085078015249511</v>
      </c>
      <c r="R100" s="446">
        <f t="shared" si="8"/>
        <v>-0.21883836251054711</v>
      </c>
      <c r="S100" s="446">
        <f t="shared" si="9"/>
        <v>7.22E-2</v>
      </c>
      <c r="T100" s="447">
        <f t="shared" si="10"/>
        <v>-0.2910383625105471</v>
      </c>
      <c r="V100" s="448"/>
      <c r="W100" s="448"/>
      <c r="X100" s="448"/>
      <c r="Y100" s="448"/>
      <c r="Z100" s="448"/>
      <c r="AA100" s="448"/>
      <c r="AB100" s="448"/>
      <c r="AC100" s="448"/>
      <c r="AD100" s="448"/>
      <c r="AF100" s="448"/>
      <c r="AG100" s="448"/>
      <c r="AH100" s="448"/>
      <c r="AI100" s="448"/>
      <c r="AJ100" s="448"/>
      <c r="AK100" s="448"/>
      <c r="AL100" s="448"/>
      <c r="AM100" s="448"/>
      <c r="AN100" s="448"/>
      <c r="AP100" s="448"/>
      <c r="AQ100" s="448"/>
      <c r="AR100" s="448"/>
      <c r="AS100" s="448"/>
      <c r="AT100" s="448"/>
      <c r="AU100" s="448"/>
      <c r="AV100" s="448"/>
      <c r="AW100" s="448"/>
      <c r="AX100" s="448"/>
    </row>
    <row r="101" spans="1:50" x14ac:dyDescent="0.4">
      <c r="A101" s="442" t="str">
        <f t="shared" si="11"/>
        <v>11934</v>
      </c>
      <c r="B101" s="442">
        <v>12420</v>
      </c>
      <c r="C101" s="455">
        <v>0.1069</v>
      </c>
      <c r="D101" s="438">
        <v>0.17460000000000001</v>
      </c>
      <c r="E101" s="438">
        <v>2.8999999999999998E-3</v>
      </c>
      <c r="F101" s="438">
        <v>3.6249999999999998E-3</v>
      </c>
      <c r="G101" s="438">
        <v>4.1666666666666666E-3</v>
      </c>
      <c r="H101" s="438">
        <v>3.8958333333333332E-3</v>
      </c>
      <c r="I101" s="438">
        <v>5.4666666666666674E-3</v>
      </c>
      <c r="J101" s="438">
        <f t="shared" si="12"/>
        <v>0.104</v>
      </c>
      <c r="K101" s="438">
        <f t="shared" si="16"/>
        <v>0.10300416666666666</v>
      </c>
      <c r="L101" s="438">
        <f t="shared" si="17"/>
        <v>0.16913333333333333</v>
      </c>
      <c r="M101" s="446">
        <f t="shared" si="13"/>
        <v>0.68959531431624588</v>
      </c>
      <c r="N101" s="446">
        <f t="shared" si="14"/>
        <v>3.4799999999999998E-2</v>
      </c>
      <c r="O101" s="446">
        <f t="shared" si="6"/>
        <v>4.675E-2</v>
      </c>
      <c r="P101" s="447">
        <f t="shared" si="15"/>
        <v>0.65479531431624594</v>
      </c>
      <c r="Q101" s="446">
        <f t="shared" si="7"/>
        <v>0.64284531431624592</v>
      </c>
      <c r="R101" s="446">
        <f t="shared" si="8"/>
        <v>-5.2995707095560562E-2</v>
      </c>
      <c r="S101" s="446">
        <f t="shared" si="9"/>
        <v>6.5600000000000006E-2</v>
      </c>
      <c r="T101" s="447">
        <f t="shared" si="10"/>
        <v>-0.11859570709556057</v>
      </c>
      <c r="V101" s="448"/>
      <c r="W101" s="448"/>
      <c r="X101" s="448"/>
      <c r="Y101" s="448"/>
      <c r="Z101" s="448"/>
      <c r="AA101" s="448"/>
      <c r="AB101" s="448"/>
      <c r="AC101" s="448"/>
      <c r="AD101" s="448"/>
      <c r="AF101" s="448"/>
      <c r="AG101" s="448"/>
      <c r="AH101" s="448"/>
      <c r="AI101" s="448"/>
      <c r="AJ101" s="448"/>
      <c r="AK101" s="448"/>
      <c r="AL101" s="448"/>
      <c r="AM101" s="448"/>
      <c r="AN101" s="448"/>
      <c r="AP101" s="448"/>
      <c r="AQ101" s="448"/>
      <c r="AR101" s="448"/>
      <c r="AS101" s="448"/>
      <c r="AT101" s="448"/>
      <c r="AU101" s="448"/>
      <c r="AV101" s="448"/>
      <c r="AW101" s="448"/>
      <c r="AX101" s="448"/>
    </row>
    <row r="102" spans="1:50" x14ac:dyDescent="0.4">
      <c r="A102" s="442" t="str">
        <f t="shared" si="11"/>
        <v>21934</v>
      </c>
      <c r="B102" s="442">
        <v>12451</v>
      </c>
      <c r="C102" s="455">
        <v>-3.2199999999999999E-2</v>
      </c>
      <c r="D102" s="438">
        <v>-2.4199999999999999E-2</v>
      </c>
      <c r="E102" s="438">
        <v>2.3999999999999998E-3</v>
      </c>
      <c r="F102" s="438">
        <v>3.5000000000000005E-3</v>
      </c>
      <c r="G102" s="438">
        <v>3.9166666666666664E-3</v>
      </c>
      <c r="H102" s="438">
        <v>3.7083333333333334E-3</v>
      </c>
      <c r="I102" s="438">
        <v>4.816666666666667E-3</v>
      </c>
      <c r="J102" s="438">
        <f t="shared" si="12"/>
        <v>-3.4599999999999999E-2</v>
      </c>
      <c r="K102" s="438">
        <f t="shared" si="16"/>
        <v>-3.5908333333333334E-2</v>
      </c>
      <c r="L102" s="438">
        <f t="shared" si="17"/>
        <v>-2.9016666666666666E-2</v>
      </c>
      <c r="M102" s="446">
        <f t="shared" si="13"/>
        <v>0.98734849926502455</v>
      </c>
      <c r="N102" s="446">
        <f t="shared" si="14"/>
        <v>2.8799999999999999E-2</v>
      </c>
      <c r="O102" s="446">
        <f t="shared" si="6"/>
        <v>4.4499999999999998E-2</v>
      </c>
      <c r="P102" s="447">
        <f t="shared" si="15"/>
        <v>0.9585484992650245</v>
      </c>
      <c r="Q102" s="446">
        <f t="shared" si="7"/>
        <v>0.94284849926502456</v>
      </c>
      <c r="R102" s="446">
        <f t="shared" si="8"/>
        <v>0.15280288050917146</v>
      </c>
      <c r="S102" s="446">
        <f t="shared" si="9"/>
        <v>5.7800000000000004E-2</v>
      </c>
      <c r="T102" s="447">
        <f t="shared" si="10"/>
        <v>9.5002880509171453E-2</v>
      </c>
      <c r="V102" s="448"/>
      <c r="W102" s="448"/>
      <c r="X102" s="448"/>
      <c r="Y102" s="448"/>
      <c r="Z102" s="448"/>
      <c r="AA102" s="448"/>
      <c r="AB102" s="448"/>
      <c r="AC102" s="448"/>
      <c r="AD102" s="448"/>
      <c r="AF102" s="448"/>
      <c r="AG102" s="448"/>
      <c r="AH102" s="448"/>
      <c r="AI102" s="448"/>
      <c r="AJ102" s="448"/>
      <c r="AK102" s="448"/>
      <c r="AL102" s="448"/>
      <c r="AM102" s="448"/>
      <c r="AN102" s="448"/>
      <c r="AP102" s="448"/>
      <c r="AQ102" s="448"/>
      <c r="AR102" s="448"/>
      <c r="AS102" s="448"/>
      <c r="AT102" s="448"/>
      <c r="AU102" s="448"/>
      <c r="AV102" s="448"/>
      <c r="AW102" s="448"/>
      <c r="AX102" s="448"/>
    </row>
    <row r="103" spans="1:50" x14ac:dyDescent="0.4">
      <c r="A103" s="442" t="str">
        <f t="shared" si="11"/>
        <v>31934</v>
      </c>
      <c r="B103" s="442">
        <v>12479</v>
      </c>
      <c r="C103" s="455">
        <v>0</v>
      </c>
      <c r="D103" s="438">
        <v>-1.1099999999999999E-2</v>
      </c>
      <c r="E103" s="438">
        <v>2.7000000000000001E-3</v>
      </c>
      <c r="F103" s="438">
        <v>3.4416666666666667E-3</v>
      </c>
      <c r="G103" s="438">
        <v>3.7916666666666667E-3</v>
      </c>
      <c r="H103" s="438">
        <v>3.6166666666666669E-3</v>
      </c>
      <c r="I103" s="438">
        <v>4.7166666666666668E-3</v>
      </c>
      <c r="J103" s="438">
        <f t="shared" si="12"/>
        <v>-2.7000000000000001E-3</v>
      </c>
      <c r="K103" s="438">
        <f t="shared" si="16"/>
        <v>-3.6166666666666669E-3</v>
      </c>
      <c r="L103" s="438">
        <f t="shared" si="17"/>
        <v>-1.5816666666666666E-2</v>
      </c>
      <c r="M103" s="446">
        <f t="shared" si="13"/>
        <v>0.91958707549987984</v>
      </c>
      <c r="N103" s="446">
        <f t="shared" si="14"/>
        <v>3.2399999999999998E-2</v>
      </c>
      <c r="O103" s="446">
        <f t="shared" si="6"/>
        <v>4.3400000000000001E-2</v>
      </c>
      <c r="P103" s="447">
        <f t="shared" si="15"/>
        <v>0.88718707549987985</v>
      </c>
      <c r="Q103" s="446">
        <f t="shared" si="7"/>
        <v>0.87618707549987984</v>
      </c>
      <c r="R103" s="446">
        <f t="shared" si="8"/>
        <v>0.278034493873901</v>
      </c>
      <c r="S103" s="446">
        <f t="shared" si="9"/>
        <v>5.6599999999999998E-2</v>
      </c>
      <c r="T103" s="447">
        <f t="shared" si="10"/>
        <v>0.22143449387390102</v>
      </c>
      <c r="V103" s="448"/>
      <c r="W103" s="448"/>
      <c r="X103" s="448"/>
      <c r="Y103" s="448"/>
      <c r="Z103" s="448"/>
      <c r="AA103" s="448"/>
      <c r="AB103" s="448"/>
      <c r="AC103" s="448"/>
      <c r="AD103" s="448"/>
      <c r="AF103" s="448"/>
      <c r="AG103" s="448"/>
      <c r="AH103" s="448"/>
      <c r="AI103" s="448"/>
      <c r="AJ103" s="448"/>
      <c r="AK103" s="448"/>
      <c r="AL103" s="448"/>
      <c r="AM103" s="448"/>
      <c r="AN103" s="448"/>
      <c r="AP103" s="448"/>
      <c r="AQ103" s="448"/>
      <c r="AR103" s="448"/>
      <c r="AS103" s="448"/>
      <c r="AT103" s="448"/>
      <c r="AU103" s="448"/>
      <c r="AV103" s="448"/>
      <c r="AW103" s="448"/>
      <c r="AX103" s="448"/>
    </row>
    <row r="104" spans="1:50" x14ac:dyDescent="0.4">
      <c r="A104" s="442" t="str">
        <f t="shared" si="11"/>
        <v>41934</v>
      </c>
      <c r="B104" s="442">
        <v>12510</v>
      </c>
      <c r="C104" s="455">
        <v>-2.5100000000000001E-2</v>
      </c>
      <c r="D104" s="438">
        <v>-3.5099999999999999E-2</v>
      </c>
      <c r="E104" s="438">
        <v>2.5000000000000001E-3</v>
      </c>
      <c r="F104" s="438">
        <v>3.3916666666666665E-3</v>
      </c>
      <c r="G104" s="438">
        <v>3.6916666666666664E-3</v>
      </c>
      <c r="H104" s="438">
        <v>3.5416666666666665E-3</v>
      </c>
      <c r="I104" s="438">
        <v>4.5333333333333337E-3</v>
      </c>
      <c r="J104" s="438">
        <f t="shared" si="12"/>
        <v>-2.76E-2</v>
      </c>
      <c r="K104" s="438">
        <f t="shared" si="16"/>
        <v>-2.8641666666666666E-2</v>
      </c>
      <c r="L104" s="438">
        <f t="shared" si="17"/>
        <v>-3.9633333333333333E-2</v>
      </c>
      <c r="M104" s="446">
        <f t="shared" si="13"/>
        <v>0.31271425358083071</v>
      </c>
      <c r="N104" s="446">
        <f t="shared" si="14"/>
        <v>0.03</v>
      </c>
      <c r="O104" s="446">
        <f t="shared" ref="O104:O167" si="18">H104*12</f>
        <v>4.2499999999999996E-2</v>
      </c>
      <c r="P104" s="447">
        <f t="shared" si="15"/>
        <v>0.28271425358083069</v>
      </c>
      <c r="Q104" s="446">
        <f t="shared" ref="Q104:Q167" si="19">M104-O104</f>
        <v>0.27021425358083073</v>
      </c>
      <c r="R104" s="446">
        <f t="shared" ref="R104:R167" si="20">((1+D93)*(1+D94)*(1+D95)*(1+D96)*(1+D97)*(1+D98)*(1+D99)*(1+D100)*(1+D101)*(1+D102)*(1+D103)*(1+D104))-1</f>
        <v>-2.4000409070892847E-2</v>
      </c>
      <c r="S104" s="446">
        <f t="shared" ref="S104:S167" si="21">I104*12</f>
        <v>5.4400000000000004E-2</v>
      </c>
      <c r="T104" s="447">
        <f t="shared" ref="T104:T167" si="22">R104-S104</f>
        <v>-7.8400409070892851E-2</v>
      </c>
      <c r="V104" s="448"/>
      <c r="W104" s="448"/>
      <c r="X104" s="448"/>
      <c r="Y104" s="448"/>
      <c r="Z104" s="448"/>
      <c r="AA104" s="448"/>
      <c r="AB104" s="448"/>
      <c r="AC104" s="448"/>
      <c r="AD104" s="448"/>
      <c r="AF104" s="448"/>
      <c r="AG104" s="448"/>
      <c r="AH104" s="448"/>
      <c r="AI104" s="448"/>
      <c r="AJ104" s="448"/>
      <c r="AK104" s="448"/>
      <c r="AL104" s="448"/>
      <c r="AM104" s="448"/>
      <c r="AN104" s="448"/>
      <c r="AP104" s="448"/>
      <c r="AQ104" s="448"/>
      <c r="AR104" s="448"/>
      <c r="AS104" s="448"/>
      <c r="AT104" s="448"/>
      <c r="AU104" s="448"/>
      <c r="AV104" s="448"/>
      <c r="AW104" s="448"/>
      <c r="AX104" s="448"/>
    </row>
    <row r="105" spans="1:50" x14ac:dyDescent="0.4">
      <c r="A105" s="442" t="str">
        <f t="shared" ref="A105:A168" si="23">MONTH(B105)&amp;YEAR(B105)</f>
        <v>51934</v>
      </c>
      <c r="B105" s="442">
        <v>12540</v>
      </c>
      <c r="C105" s="455">
        <v>-7.3599999999999999E-2</v>
      </c>
      <c r="D105" s="438">
        <v>-7.6499999999999999E-2</v>
      </c>
      <c r="E105" s="438">
        <v>2.5000000000000001E-3</v>
      </c>
      <c r="F105" s="438">
        <v>3.3416666666666668E-3</v>
      </c>
      <c r="G105" s="438">
        <v>3.6416666666666667E-3</v>
      </c>
      <c r="H105" s="438">
        <v>3.4916666666666668E-3</v>
      </c>
      <c r="I105" s="438">
        <v>4.4916666666666664E-3</v>
      </c>
      <c r="J105" s="438">
        <f t="shared" si="12"/>
        <v>-7.6100000000000001E-2</v>
      </c>
      <c r="K105" s="438">
        <f t="shared" si="16"/>
        <v>-7.7091666666666669E-2</v>
      </c>
      <c r="L105" s="438">
        <f t="shared" si="17"/>
        <v>-8.099166666666667E-2</v>
      </c>
      <c r="M105" s="446">
        <f t="shared" si="13"/>
        <v>4.0912851594009814E-2</v>
      </c>
      <c r="N105" s="446">
        <f t="shared" si="14"/>
        <v>0.03</v>
      </c>
      <c r="O105" s="446">
        <f t="shared" si="18"/>
        <v>4.19E-2</v>
      </c>
      <c r="P105" s="447">
        <f t="shared" si="15"/>
        <v>1.0912851594009815E-2</v>
      </c>
      <c r="Q105" s="446">
        <f t="shared" si="19"/>
        <v>-9.8714840599018611E-4</v>
      </c>
      <c r="R105" s="446">
        <f t="shared" si="20"/>
        <v>-0.23172892752895469</v>
      </c>
      <c r="S105" s="446">
        <f t="shared" si="21"/>
        <v>5.3899999999999997E-2</v>
      </c>
      <c r="T105" s="447">
        <f t="shared" si="22"/>
        <v>-0.28562892752895469</v>
      </c>
      <c r="V105" s="448"/>
      <c r="W105" s="448"/>
      <c r="X105" s="448"/>
      <c r="Y105" s="448"/>
      <c r="Z105" s="448"/>
      <c r="AA105" s="448"/>
      <c r="AB105" s="448"/>
      <c r="AC105" s="448"/>
      <c r="AD105" s="448"/>
      <c r="AF105" s="448"/>
      <c r="AG105" s="448"/>
      <c r="AH105" s="448"/>
      <c r="AI105" s="448"/>
      <c r="AJ105" s="448"/>
      <c r="AK105" s="448"/>
      <c r="AL105" s="448"/>
      <c r="AM105" s="448"/>
      <c r="AN105" s="448"/>
      <c r="AP105" s="448"/>
      <c r="AQ105" s="448"/>
      <c r="AR105" s="448"/>
      <c r="AS105" s="448"/>
      <c r="AT105" s="448"/>
      <c r="AU105" s="448"/>
      <c r="AV105" s="448"/>
      <c r="AW105" s="448"/>
      <c r="AX105" s="448"/>
    </row>
    <row r="106" spans="1:50" x14ac:dyDescent="0.4">
      <c r="A106" s="442" t="str">
        <f t="shared" si="23"/>
        <v>61934</v>
      </c>
      <c r="B106" s="442">
        <v>12571</v>
      </c>
      <c r="C106" s="455">
        <v>2.29E-2</v>
      </c>
      <c r="D106" s="438">
        <v>4.7800000000000002E-2</v>
      </c>
      <c r="E106" s="438">
        <v>2.3999999999999998E-3</v>
      </c>
      <c r="F106" s="438">
        <v>3.2750000000000001E-3</v>
      </c>
      <c r="G106" s="438">
        <v>3.5833333333333333E-3</v>
      </c>
      <c r="H106" s="438">
        <v>3.4291666666666663E-3</v>
      </c>
      <c r="I106" s="438">
        <v>4.5000000000000005E-3</v>
      </c>
      <c r="J106" s="438">
        <f t="shared" si="12"/>
        <v>2.0500000000000001E-2</v>
      </c>
      <c r="K106" s="438">
        <f t="shared" si="16"/>
        <v>1.9470833333333333E-2</v>
      </c>
      <c r="L106" s="438">
        <f t="shared" si="17"/>
        <v>4.3300000000000005E-2</v>
      </c>
      <c r="M106" s="446">
        <f t="shared" si="13"/>
        <v>-6.0901608841495092E-2</v>
      </c>
      <c r="N106" s="446">
        <f t="shared" si="14"/>
        <v>2.8799999999999999E-2</v>
      </c>
      <c r="O106" s="446">
        <f t="shared" si="18"/>
        <v>4.1149999999999992E-2</v>
      </c>
      <c r="P106" s="447">
        <f t="shared" si="15"/>
        <v>-8.9701608841495084E-2</v>
      </c>
      <c r="Q106" s="446">
        <f t="shared" si="19"/>
        <v>-0.10205160884149508</v>
      </c>
      <c r="R106" s="446">
        <f t="shared" si="20"/>
        <v>-0.29547135503661714</v>
      </c>
      <c r="S106" s="446">
        <f t="shared" si="21"/>
        <v>5.4000000000000006E-2</v>
      </c>
      <c r="T106" s="447">
        <f t="shared" si="22"/>
        <v>-0.34947135503661714</v>
      </c>
      <c r="V106" s="448"/>
      <c r="W106" s="448"/>
      <c r="X106" s="448"/>
      <c r="Y106" s="448"/>
      <c r="Z106" s="448"/>
      <c r="AA106" s="448"/>
      <c r="AB106" s="448"/>
      <c r="AC106" s="448"/>
      <c r="AD106" s="448"/>
      <c r="AF106" s="448"/>
      <c r="AG106" s="448"/>
      <c r="AH106" s="448"/>
      <c r="AI106" s="448"/>
      <c r="AJ106" s="448"/>
      <c r="AK106" s="448"/>
      <c r="AL106" s="448"/>
      <c r="AM106" s="448"/>
      <c r="AN106" s="448"/>
      <c r="AP106" s="448"/>
      <c r="AQ106" s="448"/>
      <c r="AR106" s="448"/>
      <c r="AS106" s="448"/>
      <c r="AT106" s="448"/>
      <c r="AU106" s="448"/>
      <c r="AV106" s="448"/>
      <c r="AW106" s="448"/>
      <c r="AX106" s="448"/>
    </row>
    <row r="107" spans="1:50" x14ac:dyDescent="0.4">
      <c r="A107" s="442" t="str">
        <f t="shared" si="23"/>
        <v>71934</v>
      </c>
      <c r="B107" s="442">
        <v>12601</v>
      </c>
      <c r="C107" s="455">
        <v>-0.1132</v>
      </c>
      <c r="D107" s="438">
        <v>-0.1603</v>
      </c>
      <c r="E107" s="438">
        <v>2.3999999999999998E-3</v>
      </c>
      <c r="F107" s="438">
        <v>3.2416666666666666E-3</v>
      </c>
      <c r="G107" s="438">
        <v>3.5666666666666668E-3</v>
      </c>
      <c r="H107" s="438">
        <v>3.4041666666666669E-3</v>
      </c>
      <c r="I107" s="438">
        <v>4.4083333333333335E-3</v>
      </c>
      <c r="J107" s="438">
        <f t="shared" si="12"/>
        <v>-0.11559999999999999</v>
      </c>
      <c r="K107" s="438">
        <f t="shared" si="16"/>
        <v>-0.11660416666666666</v>
      </c>
      <c r="L107" s="438">
        <f t="shared" si="17"/>
        <v>-0.16470833333333335</v>
      </c>
      <c r="M107" s="446">
        <f t="shared" si="13"/>
        <v>-8.8649099059573078E-2</v>
      </c>
      <c r="N107" s="446">
        <f t="shared" si="14"/>
        <v>2.8799999999999999E-2</v>
      </c>
      <c r="O107" s="446">
        <f t="shared" si="18"/>
        <v>4.0850000000000004E-2</v>
      </c>
      <c r="P107" s="447">
        <f t="shared" si="15"/>
        <v>-0.11744909905957307</v>
      </c>
      <c r="Q107" s="446">
        <f t="shared" si="19"/>
        <v>-0.12949909905957308</v>
      </c>
      <c r="R107" s="446">
        <f t="shared" si="20"/>
        <v>-0.32742985086885779</v>
      </c>
      <c r="S107" s="446">
        <f t="shared" si="21"/>
        <v>5.2900000000000003E-2</v>
      </c>
      <c r="T107" s="447">
        <f t="shared" si="22"/>
        <v>-0.38032985086885779</v>
      </c>
      <c r="V107" s="448"/>
      <c r="W107" s="448"/>
      <c r="X107" s="448"/>
      <c r="Y107" s="448"/>
      <c r="Z107" s="448"/>
      <c r="AA107" s="448"/>
      <c r="AB107" s="448"/>
      <c r="AC107" s="448"/>
      <c r="AD107" s="448"/>
      <c r="AF107" s="448"/>
      <c r="AG107" s="448"/>
      <c r="AH107" s="448"/>
      <c r="AI107" s="448"/>
      <c r="AJ107" s="448"/>
      <c r="AK107" s="448"/>
      <c r="AL107" s="448"/>
      <c r="AM107" s="448"/>
      <c r="AN107" s="448"/>
      <c r="AP107" s="448"/>
      <c r="AQ107" s="448"/>
      <c r="AR107" s="448"/>
      <c r="AS107" s="448"/>
      <c r="AT107" s="448"/>
      <c r="AU107" s="448"/>
      <c r="AV107" s="448"/>
      <c r="AW107" s="448"/>
      <c r="AX107" s="448"/>
    </row>
    <row r="108" spans="1:50" x14ac:dyDescent="0.4">
      <c r="A108" s="442" t="str">
        <f t="shared" si="23"/>
        <v>81934</v>
      </c>
      <c r="B108" s="442">
        <v>12632</v>
      </c>
      <c r="C108" s="455">
        <v>6.1100000000000002E-2</v>
      </c>
      <c r="D108" s="438">
        <v>2.69E-2</v>
      </c>
      <c r="E108" s="438">
        <v>2.3999999999999998E-3</v>
      </c>
      <c r="F108" s="438">
        <v>3.2750000000000001E-3</v>
      </c>
      <c r="G108" s="438">
        <v>3.6166666666666665E-3</v>
      </c>
      <c r="H108" s="438">
        <v>3.4458333333333337E-3</v>
      </c>
      <c r="I108" s="438">
        <v>4.5249999999999995E-3</v>
      </c>
      <c r="J108" s="438">
        <f t="shared" si="12"/>
        <v>5.8700000000000002E-2</v>
      </c>
      <c r="K108" s="438">
        <f t="shared" si="16"/>
        <v>5.7654166666666666E-2</v>
      </c>
      <c r="L108" s="438">
        <f t="shared" si="17"/>
        <v>2.2374999999999999E-2</v>
      </c>
      <c r="M108" s="446">
        <f t="shared" si="13"/>
        <v>-0.1370386926754531</v>
      </c>
      <c r="N108" s="446">
        <f t="shared" si="14"/>
        <v>2.8799999999999999E-2</v>
      </c>
      <c r="O108" s="446">
        <f t="shared" si="18"/>
        <v>4.1350000000000005E-2</v>
      </c>
      <c r="P108" s="447">
        <f t="shared" si="15"/>
        <v>-0.16583869267545309</v>
      </c>
      <c r="Q108" s="446">
        <f t="shared" si="19"/>
        <v>-0.1783886926754531</v>
      </c>
      <c r="R108" s="446">
        <f t="shared" si="20"/>
        <v>-0.30544822391113235</v>
      </c>
      <c r="S108" s="446">
        <f t="shared" si="21"/>
        <v>5.4299999999999994E-2</v>
      </c>
      <c r="T108" s="447">
        <f t="shared" si="22"/>
        <v>-0.35974822391113237</v>
      </c>
      <c r="V108" s="448"/>
      <c r="W108" s="448"/>
      <c r="X108" s="448"/>
      <c r="Y108" s="448"/>
      <c r="Z108" s="448"/>
      <c r="AA108" s="448"/>
      <c r="AB108" s="448"/>
      <c r="AC108" s="448"/>
      <c r="AD108" s="448"/>
      <c r="AF108" s="448"/>
      <c r="AG108" s="448"/>
      <c r="AH108" s="448"/>
      <c r="AI108" s="448"/>
      <c r="AJ108" s="448"/>
      <c r="AK108" s="448"/>
      <c r="AL108" s="448"/>
      <c r="AM108" s="448"/>
      <c r="AN108" s="448"/>
      <c r="AP108" s="448"/>
      <c r="AQ108" s="448"/>
      <c r="AR108" s="448"/>
      <c r="AS108" s="448"/>
      <c r="AT108" s="448"/>
      <c r="AU108" s="448"/>
      <c r="AV108" s="448"/>
      <c r="AW108" s="448"/>
      <c r="AX108" s="448"/>
    </row>
    <row r="109" spans="1:50" x14ac:dyDescent="0.4">
      <c r="A109" s="442" t="str">
        <f t="shared" si="23"/>
        <v>91934</v>
      </c>
      <c r="B109" s="442">
        <v>12663</v>
      </c>
      <c r="C109" s="455">
        <v>-3.3E-3</v>
      </c>
      <c r="D109" s="438">
        <v>9.4999999999999998E-3</v>
      </c>
      <c r="E109" s="438">
        <v>2.3E-3</v>
      </c>
      <c r="F109" s="438">
        <v>3.3E-3</v>
      </c>
      <c r="G109" s="438">
        <v>3.6833333333333336E-3</v>
      </c>
      <c r="H109" s="438">
        <v>3.4916666666666668E-3</v>
      </c>
      <c r="I109" s="438">
        <v>4.6333333333333339E-3</v>
      </c>
      <c r="J109" s="438">
        <f t="shared" si="12"/>
        <v>-5.5999999999999999E-3</v>
      </c>
      <c r="K109" s="438">
        <f t="shared" si="16"/>
        <v>-6.7916666666666663E-3</v>
      </c>
      <c r="L109" s="438">
        <f t="shared" si="17"/>
        <v>4.8666666666666658E-3</v>
      </c>
      <c r="M109" s="446">
        <f t="shared" si="13"/>
        <v>-3.1621779992822008E-2</v>
      </c>
      <c r="N109" s="446">
        <f t="shared" si="14"/>
        <v>2.76E-2</v>
      </c>
      <c r="O109" s="446">
        <f t="shared" si="18"/>
        <v>4.19E-2</v>
      </c>
      <c r="P109" s="447">
        <f t="shared" si="15"/>
        <v>-5.9221779992822007E-2</v>
      </c>
      <c r="Q109" s="446">
        <f t="shared" si="19"/>
        <v>-7.3521779992822001E-2</v>
      </c>
      <c r="R109" s="446">
        <f t="shared" si="20"/>
        <v>-0.14919303729922118</v>
      </c>
      <c r="S109" s="446">
        <f t="shared" si="21"/>
        <v>5.5600000000000011E-2</v>
      </c>
      <c r="T109" s="447">
        <f t="shared" si="22"/>
        <v>-0.20479303729922119</v>
      </c>
      <c r="V109" s="448"/>
      <c r="W109" s="448"/>
      <c r="X109" s="448"/>
      <c r="Y109" s="448"/>
      <c r="Z109" s="448"/>
      <c r="AA109" s="448"/>
      <c r="AB109" s="448"/>
      <c r="AC109" s="448"/>
      <c r="AD109" s="448"/>
      <c r="AF109" s="448"/>
      <c r="AG109" s="448"/>
      <c r="AH109" s="448"/>
      <c r="AI109" s="448"/>
      <c r="AJ109" s="448"/>
      <c r="AK109" s="448"/>
      <c r="AL109" s="448"/>
      <c r="AM109" s="448"/>
      <c r="AN109" s="448"/>
      <c r="AP109" s="448"/>
      <c r="AQ109" s="448"/>
      <c r="AR109" s="448"/>
      <c r="AS109" s="448"/>
      <c r="AT109" s="448"/>
      <c r="AU109" s="448"/>
      <c r="AV109" s="448"/>
      <c r="AW109" s="448"/>
      <c r="AX109" s="448"/>
    </row>
    <row r="110" spans="1:50" x14ac:dyDescent="0.4">
      <c r="A110" s="442" t="str">
        <f t="shared" si="23"/>
        <v>101934</v>
      </c>
      <c r="B110" s="442">
        <v>12693</v>
      </c>
      <c r="C110" s="455">
        <v>-2.86E-2</v>
      </c>
      <c r="D110" s="438">
        <v>-6.6599999999999993E-2</v>
      </c>
      <c r="E110" s="438">
        <v>2.7000000000000001E-3</v>
      </c>
      <c r="F110" s="438">
        <v>3.2500000000000003E-3</v>
      </c>
      <c r="G110" s="438">
        <v>3.6333333333333335E-3</v>
      </c>
      <c r="H110" s="438">
        <v>3.4416666666666667E-3</v>
      </c>
      <c r="I110" s="438">
        <v>4.5000000000000005E-3</v>
      </c>
      <c r="J110" s="438">
        <f t="shared" si="12"/>
        <v>-3.1300000000000001E-2</v>
      </c>
      <c r="K110" s="438">
        <f t="shared" si="16"/>
        <v>-3.204166666666667E-2</v>
      </c>
      <c r="L110" s="438">
        <f t="shared" si="17"/>
        <v>-7.1099999999999997E-2</v>
      </c>
      <c r="M110" s="446">
        <f t="shared" si="13"/>
        <v>2.8630511662080638E-2</v>
      </c>
      <c r="N110" s="446">
        <f t="shared" si="14"/>
        <v>3.2399999999999998E-2</v>
      </c>
      <c r="O110" s="446">
        <f t="shared" si="18"/>
        <v>4.1300000000000003E-2</v>
      </c>
      <c r="P110" s="447">
        <f t="shared" si="15"/>
        <v>-3.7694883379193606E-3</v>
      </c>
      <c r="Q110" s="446">
        <f t="shared" si="19"/>
        <v>-1.2669488337919366E-2</v>
      </c>
      <c r="R110" s="446">
        <f t="shared" si="20"/>
        <v>-0.1449793077251218</v>
      </c>
      <c r="S110" s="446">
        <f t="shared" si="21"/>
        <v>5.4000000000000006E-2</v>
      </c>
      <c r="T110" s="447">
        <f t="shared" si="22"/>
        <v>-0.19897930772512179</v>
      </c>
      <c r="V110" s="448"/>
      <c r="W110" s="448"/>
      <c r="X110" s="448"/>
      <c r="Y110" s="448"/>
      <c r="Z110" s="448"/>
      <c r="AA110" s="448"/>
      <c r="AB110" s="448"/>
      <c r="AC110" s="448"/>
      <c r="AD110" s="448"/>
      <c r="AF110" s="448"/>
      <c r="AG110" s="448"/>
      <c r="AH110" s="448"/>
      <c r="AI110" s="448"/>
      <c r="AJ110" s="448"/>
      <c r="AK110" s="448"/>
      <c r="AL110" s="448"/>
      <c r="AM110" s="448"/>
      <c r="AN110" s="448"/>
      <c r="AP110" s="448"/>
      <c r="AQ110" s="448"/>
      <c r="AR110" s="448"/>
      <c r="AS110" s="448"/>
      <c r="AT110" s="448"/>
      <c r="AU110" s="448"/>
      <c r="AV110" s="448"/>
      <c r="AW110" s="448"/>
      <c r="AX110" s="448"/>
    </row>
    <row r="111" spans="1:50" x14ac:dyDescent="0.4">
      <c r="A111" s="442" t="str">
        <f t="shared" si="23"/>
        <v>111934</v>
      </c>
      <c r="B111" s="442">
        <v>12724</v>
      </c>
      <c r="C111" s="455">
        <v>9.4200000000000006E-2</v>
      </c>
      <c r="D111" s="438">
        <v>-4.8000000000000004E-3</v>
      </c>
      <c r="E111" s="438">
        <v>2.5000000000000001E-3</v>
      </c>
      <c r="F111" s="438">
        <v>3.2166666666666667E-3</v>
      </c>
      <c r="G111" s="438">
        <v>3.5666666666666668E-3</v>
      </c>
      <c r="H111" s="438">
        <v>3.3916666666666665E-3</v>
      </c>
      <c r="I111" s="438">
        <v>4.4833333333333331E-3</v>
      </c>
      <c r="J111" s="438">
        <f t="shared" si="12"/>
        <v>9.1700000000000004E-2</v>
      </c>
      <c r="K111" s="438">
        <f t="shared" si="16"/>
        <v>9.0808333333333338E-2</v>
      </c>
      <c r="L111" s="438">
        <f t="shared" si="17"/>
        <v>-9.2833333333333344E-3</v>
      </c>
      <c r="M111" s="446">
        <f t="shared" si="13"/>
        <v>1.1528269848700035E-2</v>
      </c>
      <c r="N111" s="446">
        <f t="shared" si="14"/>
        <v>0.03</v>
      </c>
      <c r="O111" s="446">
        <f t="shared" si="18"/>
        <v>4.07E-2</v>
      </c>
      <c r="P111" s="447">
        <f t="shared" si="15"/>
        <v>-1.8471730151299964E-2</v>
      </c>
      <c r="Q111" s="446">
        <f t="shared" si="19"/>
        <v>-2.9171730151299965E-2</v>
      </c>
      <c r="R111" s="446">
        <f t="shared" si="20"/>
        <v>-0.13348615789006235</v>
      </c>
      <c r="S111" s="446">
        <f t="shared" si="21"/>
        <v>5.3800000000000001E-2</v>
      </c>
      <c r="T111" s="447">
        <f t="shared" si="22"/>
        <v>-0.18728615789006237</v>
      </c>
      <c r="V111" s="448"/>
      <c r="W111" s="448"/>
      <c r="X111" s="448"/>
      <c r="Y111" s="448"/>
      <c r="Z111" s="448"/>
      <c r="AA111" s="448"/>
      <c r="AB111" s="448"/>
      <c r="AC111" s="448"/>
      <c r="AD111" s="448"/>
      <c r="AF111" s="448"/>
      <c r="AG111" s="448"/>
      <c r="AH111" s="448"/>
      <c r="AI111" s="448"/>
      <c r="AJ111" s="448"/>
      <c r="AK111" s="448"/>
      <c r="AL111" s="448"/>
      <c r="AM111" s="448"/>
      <c r="AN111" s="448"/>
      <c r="AP111" s="448"/>
      <c r="AQ111" s="448"/>
      <c r="AR111" s="448"/>
      <c r="AS111" s="448"/>
      <c r="AT111" s="448"/>
      <c r="AU111" s="448"/>
      <c r="AV111" s="448"/>
      <c r="AW111" s="448"/>
      <c r="AX111" s="448"/>
    </row>
    <row r="112" spans="1:50" x14ac:dyDescent="0.4">
      <c r="A112" s="442" t="str">
        <f t="shared" si="23"/>
        <v>121934</v>
      </c>
      <c r="B112" s="442">
        <v>12754</v>
      </c>
      <c r="C112" s="455">
        <v>-1E-3</v>
      </c>
      <c r="D112" s="438">
        <v>-7.010000000000001E-2</v>
      </c>
      <c r="E112" s="438">
        <v>2.5000000000000001E-3</v>
      </c>
      <c r="F112" s="438">
        <v>3.1749999999999999E-3</v>
      </c>
      <c r="G112" s="438">
        <v>3.5583333333333326E-3</v>
      </c>
      <c r="H112" s="438">
        <v>3.3666666666666667E-3</v>
      </c>
      <c r="I112" s="438">
        <v>4.4666666666666674E-3</v>
      </c>
      <c r="J112" s="438">
        <f t="shared" si="12"/>
        <v>-3.5000000000000001E-3</v>
      </c>
      <c r="K112" s="438">
        <f t="shared" si="16"/>
        <v>-4.3666666666666663E-3</v>
      </c>
      <c r="L112" s="438">
        <f t="shared" si="17"/>
        <v>-7.456666666666667E-2</v>
      </c>
      <c r="M112" s="446">
        <f t="shared" si="13"/>
        <v>-1.4418471102261021E-2</v>
      </c>
      <c r="N112" s="446">
        <f t="shared" si="14"/>
        <v>0.03</v>
      </c>
      <c r="O112" s="446">
        <f t="shared" si="18"/>
        <v>4.0399999999999998E-2</v>
      </c>
      <c r="P112" s="447">
        <f t="shared" si="15"/>
        <v>-4.441847110226102E-2</v>
      </c>
      <c r="Q112" s="446">
        <f t="shared" si="19"/>
        <v>-5.481847110226102E-2</v>
      </c>
      <c r="R112" s="446">
        <f t="shared" si="20"/>
        <v>-0.20425516316607606</v>
      </c>
      <c r="S112" s="446">
        <f t="shared" si="21"/>
        <v>5.3600000000000009E-2</v>
      </c>
      <c r="T112" s="447">
        <f t="shared" si="22"/>
        <v>-0.25785516316607604</v>
      </c>
      <c r="V112" s="448"/>
      <c r="W112" s="448"/>
      <c r="X112" s="448"/>
      <c r="Y112" s="448"/>
      <c r="Z112" s="448"/>
      <c r="AA112" s="448"/>
      <c r="AB112" s="448"/>
      <c r="AC112" s="448"/>
      <c r="AD112" s="448"/>
      <c r="AF112" s="448"/>
      <c r="AG112" s="448"/>
      <c r="AH112" s="448"/>
      <c r="AI112" s="448"/>
      <c r="AJ112" s="448"/>
      <c r="AK112" s="448"/>
      <c r="AL112" s="448"/>
      <c r="AM112" s="448"/>
      <c r="AN112" s="448"/>
      <c r="AP112" s="448"/>
      <c r="AQ112" s="448"/>
      <c r="AR112" s="448"/>
      <c r="AS112" s="448"/>
      <c r="AT112" s="448"/>
      <c r="AU112" s="448"/>
      <c r="AV112" s="448"/>
      <c r="AW112" s="448"/>
      <c r="AX112" s="448"/>
    </row>
    <row r="113" spans="1:50" x14ac:dyDescent="0.4">
      <c r="A113" s="442" t="str">
        <f t="shared" si="23"/>
        <v>11935</v>
      </c>
      <c r="B113" s="442">
        <v>12785</v>
      </c>
      <c r="C113" s="455">
        <v>-4.1099999999999998E-2</v>
      </c>
      <c r="D113" s="438">
        <v>-2.3099999999999999E-2</v>
      </c>
      <c r="E113" s="438">
        <v>2.5000000000000001E-3</v>
      </c>
      <c r="F113" s="438">
        <v>3.1416666666666663E-3</v>
      </c>
      <c r="G113" s="438">
        <v>3.5083333333333334E-3</v>
      </c>
      <c r="H113" s="438">
        <v>3.3250000000000003E-3</v>
      </c>
      <c r="I113" s="438">
        <v>4.3166666666666666E-3</v>
      </c>
      <c r="J113" s="438">
        <f t="shared" si="12"/>
        <v>-4.36E-2</v>
      </c>
      <c r="K113" s="438">
        <f t="shared" si="16"/>
        <v>-4.4424999999999999E-2</v>
      </c>
      <c r="L113" s="438">
        <f t="shared" si="17"/>
        <v>-2.7416666666666666E-2</v>
      </c>
      <c r="M113" s="446">
        <f t="shared" si="13"/>
        <v>-0.14619737278883216</v>
      </c>
      <c r="N113" s="446">
        <f t="shared" si="14"/>
        <v>0.03</v>
      </c>
      <c r="O113" s="446">
        <f t="shared" si="18"/>
        <v>3.9900000000000005E-2</v>
      </c>
      <c r="P113" s="447">
        <f t="shared" si="15"/>
        <v>-0.17619737278883216</v>
      </c>
      <c r="Q113" s="446">
        <f t="shared" si="19"/>
        <v>-0.18609737278883215</v>
      </c>
      <c r="R113" s="446">
        <f t="shared" si="20"/>
        <v>-0.33818905916647357</v>
      </c>
      <c r="S113" s="446">
        <f t="shared" si="21"/>
        <v>5.1799999999999999E-2</v>
      </c>
      <c r="T113" s="447">
        <f t="shared" si="22"/>
        <v>-0.38998905916647358</v>
      </c>
      <c r="V113" s="448"/>
      <c r="W113" s="448"/>
      <c r="X113" s="448"/>
      <c r="Y113" s="448"/>
      <c r="Z113" s="448"/>
      <c r="AA113" s="448"/>
      <c r="AB113" s="448"/>
      <c r="AC113" s="448"/>
      <c r="AD113" s="448"/>
      <c r="AF113" s="448"/>
      <c r="AG113" s="448"/>
      <c r="AH113" s="448"/>
      <c r="AI113" s="448"/>
      <c r="AJ113" s="448"/>
      <c r="AK113" s="448"/>
      <c r="AL113" s="448"/>
      <c r="AM113" s="448"/>
      <c r="AN113" s="448"/>
      <c r="AP113" s="448"/>
      <c r="AQ113" s="448"/>
      <c r="AR113" s="448"/>
      <c r="AS113" s="448"/>
      <c r="AT113" s="448"/>
      <c r="AU113" s="448"/>
      <c r="AV113" s="448"/>
      <c r="AW113" s="448"/>
      <c r="AX113" s="448"/>
    </row>
    <row r="114" spans="1:50" x14ac:dyDescent="0.4">
      <c r="A114" s="442" t="str">
        <f t="shared" si="23"/>
        <v>21935</v>
      </c>
      <c r="B114" s="442">
        <v>12816</v>
      </c>
      <c r="C114" s="455">
        <v>-3.4099999999999998E-2</v>
      </c>
      <c r="D114" s="438">
        <v>-0.11360000000000001</v>
      </c>
      <c r="E114" s="438">
        <v>2.0999999999999999E-3</v>
      </c>
      <c r="F114" s="438">
        <v>3.075E-3</v>
      </c>
      <c r="G114" s="438">
        <v>3.4416666666666667E-3</v>
      </c>
      <c r="H114" s="438">
        <v>3.2583333333333331E-3</v>
      </c>
      <c r="I114" s="438">
        <v>4.1333333333333335E-3</v>
      </c>
      <c r="J114" s="438">
        <f t="shared" si="12"/>
        <v>-3.6199999999999996E-2</v>
      </c>
      <c r="K114" s="438">
        <f t="shared" si="16"/>
        <v>-3.7358333333333334E-2</v>
      </c>
      <c r="L114" s="438">
        <f t="shared" si="17"/>
        <v>-0.11773333333333334</v>
      </c>
      <c r="M114" s="446">
        <f t="shared" si="13"/>
        <v>-0.14787357137500834</v>
      </c>
      <c r="N114" s="446">
        <f t="shared" si="14"/>
        <v>2.52E-2</v>
      </c>
      <c r="O114" s="446">
        <f t="shared" si="18"/>
        <v>3.9099999999999996E-2</v>
      </c>
      <c r="P114" s="447">
        <f t="shared" si="15"/>
        <v>-0.17307357137500834</v>
      </c>
      <c r="Q114" s="446">
        <f t="shared" si="19"/>
        <v>-0.18697357137500834</v>
      </c>
      <c r="R114" s="446">
        <f t="shared" si="20"/>
        <v>-0.39882228125144725</v>
      </c>
      <c r="S114" s="446">
        <f t="shared" si="21"/>
        <v>4.9600000000000005E-2</v>
      </c>
      <c r="T114" s="447">
        <f t="shared" si="22"/>
        <v>-0.44842228125144723</v>
      </c>
      <c r="V114" s="448"/>
      <c r="W114" s="448"/>
      <c r="X114" s="448"/>
      <c r="Y114" s="448"/>
      <c r="Z114" s="448"/>
      <c r="AA114" s="448"/>
      <c r="AB114" s="448"/>
      <c r="AC114" s="448"/>
      <c r="AD114" s="448"/>
      <c r="AF114" s="448"/>
      <c r="AG114" s="448"/>
      <c r="AH114" s="448"/>
      <c r="AI114" s="448"/>
      <c r="AJ114" s="448"/>
      <c r="AK114" s="448"/>
      <c r="AL114" s="448"/>
      <c r="AM114" s="448"/>
      <c r="AN114" s="448"/>
      <c r="AP114" s="448"/>
      <c r="AQ114" s="448"/>
      <c r="AR114" s="448"/>
      <c r="AS114" s="448"/>
      <c r="AT114" s="448"/>
      <c r="AU114" s="448"/>
      <c r="AV114" s="448"/>
      <c r="AW114" s="448"/>
      <c r="AX114" s="448"/>
    </row>
    <row r="115" spans="1:50" x14ac:dyDescent="0.4">
      <c r="A115" s="442" t="str">
        <f t="shared" si="23"/>
        <v>31935</v>
      </c>
      <c r="B115" s="442">
        <v>12844</v>
      </c>
      <c r="C115" s="455">
        <v>-2.86E-2</v>
      </c>
      <c r="D115" s="438">
        <v>0.1043</v>
      </c>
      <c r="E115" s="438">
        <v>2.2000000000000001E-3</v>
      </c>
      <c r="F115" s="438">
        <v>3.0583333333333335E-3</v>
      </c>
      <c r="G115" s="438">
        <v>3.4250000000000001E-3</v>
      </c>
      <c r="H115" s="438">
        <v>3.241666666666667E-3</v>
      </c>
      <c r="I115" s="438">
        <v>4.0666666666666663E-3</v>
      </c>
      <c r="J115" s="438">
        <f t="shared" si="12"/>
        <v>-3.0800000000000001E-2</v>
      </c>
      <c r="K115" s="438">
        <f t="shared" si="16"/>
        <v>-3.1841666666666671E-2</v>
      </c>
      <c r="L115" s="438">
        <f t="shared" si="17"/>
        <v>0.10023333333333334</v>
      </c>
      <c r="M115" s="446">
        <f t="shared" si="13"/>
        <v>-0.17224438723368307</v>
      </c>
      <c r="N115" s="446">
        <f t="shared" si="14"/>
        <v>2.64E-2</v>
      </c>
      <c r="O115" s="446">
        <f t="shared" si="18"/>
        <v>3.8900000000000004E-2</v>
      </c>
      <c r="P115" s="447">
        <f t="shared" si="15"/>
        <v>-0.19864438723368308</v>
      </c>
      <c r="Q115" s="446">
        <f t="shared" si="19"/>
        <v>-0.21114438723368306</v>
      </c>
      <c r="R115" s="446">
        <f t="shared" si="20"/>
        <v>-0.32866765616945426</v>
      </c>
      <c r="S115" s="446">
        <f t="shared" si="21"/>
        <v>4.8799999999999996E-2</v>
      </c>
      <c r="T115" s="447">
        <f t="shared" si="22"/>
        <v>-0.37746765616945427</v>
      </c>
      <c r="V115" s="448"/>
      <c r="W115" s="448"/>
      <c r="X115" s="448"/>
      <c r="Y115" s="448"/>
      <c r="Z115" s="448"/>
      <c r="AA115" s="448"/>
      <c r="AB115" s="448"/>
      <c r="AC115" s="448"/>
      <c r="AD115" s="448"/>
      <c r="AF115" s="448"/>
      <c r="AG115" s="448"/>
      <c r="AH115" s="448"/>
      <c r="AI115" s="448"/>
      <c r="AJ115" s="448"/>
      <c r="AK115" s="448"/>
      <c r="AL115" s="448"/>
      <c r="AM115" s="448"/>
      <c r="AN115" s="448"/>
      <c r="AP115" s="448"/>
      <c r="AQ115" s="448"/>
      <c r="AR115" s="448"/>
      <c r="AS115" s="448"/>
      <c r="AT115" s="448"/>
      <c r="AU115" s="448"/>
      <c r="AV115" s="448"/>
      <c r="AW115" s="448"/>
      <c r="AX115" s="448"/>
    </row>
    <row r="116" spans="1:50" x14ac:dyDescent="0.4">
      <c r="A116" s="442" t="str">
        <f t="shared" si="23"/>
        <v>41935</v>
      </c>
      <c r="B116" s="442">
        <v>12875</v>
      </c>
      <c r="C116" s="455">
        <v>9.8000000000000004E-2</v>
      </c>
      <c r="D116" s="438">
        <v>0.11779999999999999</v>
      </c>
      <c r="E116" s="438">
        <v>2.3E-3</v>
      </c>
      <c r="F116" s="438">
        <v>3.0499999999999998E-3</v>
      </c>
      <c r="G116" s="438">
        <v>3.4000000000000002E-3</v>
      </c>
      <c r="H116" s="438">
        <v>3.225E-3</v>
      </c>
      <c r="I116" s="438">
        <v>3.9916666666666668E-3</v>
      </c>
      <c r="J116" s="438">
        <f t="shared" si="12"/>
        <v>9.5700000000000007E-2</v>
      </c>
      <c r="K116" s="438">
        <f t="shared" si="16"/>
        <v>9.4774999999999998E-2</v>
      </c>
      <c r="L116" s="438">
        <f t="shared" si="17"/>
        <v>0.11380833333333332</v>
      </c>
      <c r="M116" s="446">
        <f t="shared" si="13"/>
        <v>-6.7724214978545416E-2</v>
      </c>
      <c r="N116" s="446">
        <f t="shared" si="14"/>
        <v>2.76E-2</v>
      </c>
      <c r="O116" s="446">
        <f t="shared" si="18"/>
        <v>3.8699999999999998E-2</v>
      </c>
      <c r="P116" s="447">
        <f t="shared" si="15"/>
        <v>-9.5324214978545416E-2</v>
      </c>
      <c r="Q116" s="446">
        <f t="shared" si="19"/>
        <v>-0.10642421497854541</v>
      </c>
      <c r="R116" s="446">
        <f t="shared" si="20"/>
        <v>-0.22228697903017502</v>
      </c>
      <c r="S116" s="446">
        <f t="shared" si="21"/>
        <v>4.7899999999999998E-2</v>
      </c>
      <c r="T116" s="447">
        <f t="shared" si="22"/>
        <v>-0.27018697903017502</v>
      </c>
      <c r="V116" s="448"/>
      <c r="W116" s="448"/>
      <c r="X116" s="448"/>
      <c r="Y116" s="448"/>
      <c r="Z116" s="448"/>
      <c r="AA116" s="448"/>
      <c r="AB116" s="448"/>
      <c r="AC116" s="448"/>
      <c r="AD116" s="448"/>
      <c r="AF116" s="448"/>
      <c r="AG116" s="448"/>
      <c r="AH116" s="448"/>
      <c r="AI116" s="448"/>
      <c r="AJ116" s="448"/>
      <c r="AK116" s="448"/>
      <c r="AL116" s="448"/>
      <c r="AM116" s="448"/>
      <c r="AN116" s="448"/>
      <c r="AP116" s="448"/>
      <c r="AQ116" s="448"/>
      <c r="AR116" s="448"/>
      <c r="AS116" s="448"/>
      <c r="AT116" s="448"/>
      <c r="AU116" s="448"/>
      <c r="AV116" s="448"/>
      <c r="AW116" s="448"/>
      <c r="AX116" s="448"/>
    </row>
    <row r="117" spans="1:50" x14ac:dyDescent="0.4">
      <c r="A117" s="442" t="str">
        <f t="shared" si="23"/>
        <v>51935</v>
      </c>
      <c r="B117" s="442">
        <v>12905</v>
      </c>
      <c r="C117" s="455">
        <v>4.0899999999999999E-2</v>
      </c>
      <c r="D117" s="438">
        <v>0.1106</v>
      </c>
      <c r="E117" s="438">
        <v>2.3E-3</v>
      </c>
      <c r="F117" s="438">
        <v>3.0416666666666665E-3</v>
      </c>
      <c r="G117" s="438">
        <v>3.3583333333333338E-3</v>
      </c>
      <c r="H117" s="438">
        <v>3.2000000000000002E-3</v>
      </c>
      <c r="I117" s="438">
        <v>3.8416666666666673E-3</v>
      </c>
      <c r="J117" s="438">
        <f t="shared" si="12"/>
        <v>3.8599999999999995E-2</v>
      </c>
      <c r="K117" s="438">
        <f t="shared" si="16"/>
        <v>3.7699999999999997E-2</v>
      </c>
      <c r="L117" s="438">
        <f t="shared" si="17"/>
        <v>0.10675833333333333</v>
      </c>
      <c r="M117" s="446">
        <f t="shared" si="13"/>
        <v>4.7502012768601221E-2</v>
      </c>
      <c r="N117" s="446">
        <f t="shared" si="14"/>
        <v>2.76E-2</v>
      </c>
      <c r="O117" s="446">
        <f t="shared" si="18"/>
        <v>3.8400000000000004E-2</v>
      </c>
      <c r="P117" s="447">
        <f t="shared" si="15"/>
        <v>1.9902012768601221E-2</v>
      </c>
      <c r="Q117" s="446">
        <f t="shared" si="19"/>
        <v>9.102012768601217E-3</v>
      </c>
      <c r="R117" s="446">
        <f t="shared" si="20"/>
        <v>-6.4723247331794576E-2</v>
      </c>
      <c r="S117" s="446">
        <f t="shared" si="21"/>
        <v>4.6100000000000009E-2</v>
      </c>
      <c r="T117" s="447">
        <f t="shared" si="22"/>
        <v>-0.11082324733179458</v>
      </c>
      <c r="V117" s="448"/>
      <c r="W117" s="448"/>
      <c r="X117" s="448"/>
      <c r="Y117" s="448"/>
      <c r="Z117" s="448"/>
      <c r="AA117" s="448"/>
      <c r="AB117" s="448"/>
      <c r="AC117" s="448"/>
      <c r="AD117" s="448"/>
      <c r="AF117" s="448"/>
      <c r="AG117" s="448"/>
      <c r="AH117" s="448"/>
      <c r="AI117" s="448"/>
      <c r="AJ117" s="448"/>
      <c r="AK117" s="448"/>
      <c r="AL117" s="448"/>
      <c r="AM117" s="448"/>
      <c r="AN117" s="448"/>
      <c r="AP117" s="448"/>
      <c r="AQ117" s="448"/>
      <c r="AR117" s="448"/>
      <c r="AS117" s="448"/>
      <c r="AT117" s="448"/>
      <c r="AU117" s="448"/>
      <c r="AV117" s="448"/>
      <c r="AW117" s="448"/>
      <c r="AX117" s="448"/>
    </row>
    <row r="118" spans="1:50" x14ac:dyDescent="0.4">
      <c r="A118" s="442" t="str">
        <f t="shared" si="23"/>
        <v>61935</v>
      </c>
      <c r="B118" s="442">
        <v>12936</v>
      </c>
      <c r="C118" s="455">
        <v>6.9900000000000004E-2</v>
      </c>
      <c r="D118" s="438">
        <v>0.1036</v>
      </c>
      <c r="E118" s="438">
        <v>2.2000000000000001E-3</v>
      </c>
      <c r="F118" s="438">
        <v>3.0083333333333333E-3</v>
      </c>
      <c r="G118" s="438">
        <v>3.3250000000000003E-3</v>
      </c>
      <c r="H118" s="438">
        <v>3.1666666666666666E-3</v>
      </c>
      <c r="I118" s="438">
        <v>3.7750000000000001E-3</v>
      </c>
      <c r="J118" s="438">
        <f t="shared" si="12"/>
        <v>6.770000000000001E-2</v>
      </c>
      <c r="K118" s="438">
        <f t="shared" si="16"/>
        <v>6.6733333333333339E-2</v>
      </c>
      <c r="L118" s="438">
        <f t="shared" si="17"/>
        <v>9.9824999999999997E-2</v>
      </c>
      <c r="M118" s="446">
        <f t="shared" si="13"/>
        <v>9.563242101977365E-2</v>
      </c>
      <c r="N118" s="446">
        <f t="shared" si="14"/>
        <v>2.64E-2</v>
      </c>
      <c r="O118" s="446">
        <f t="shared" si="18"/>
        <v>3.7999999999999999E-2</v>
      </c>
      <c r="P118" s="447">
        <f t="shared" si="15"/>
        <v>6.9232421019773643E-2</v>
      </c>
      <c r="Q118" s="446">
        <f t="shared" si="19"/>
        <v>5.7632421019773651E-2</v>
      </c>
      <c r="R118" s="446">
        <f t="shared" si="20"/>
        <v>-1.4915609615736458E-2</v>
      </c>
      <c r="S118" s="446">
        <f t="shared" si="21"/>
        <v>4.53E-2</v>
      </c>
      <c r="T118" s="447">
        <f t="shared" si="22"/>
        <v>-6.0215609615736458E-2</v>
      </c>
      <c r="V118" s="448"/>
      <c r="W118" s="448"/>
      <c r="X118" s="448"/>
      <c r="Y118" s="448"/>
      <c r="Z118" s="448"/>
      <c r="AA118" s="448"/>
      <c r="AB118" s="448"/>
      <c r="AC118" s="448"/>
      <c r="AD118" s="448"/>
      <c r="AF118" s="448"/>
      <c r="AG118" s="448"/>
      <c r="AH118" s="448"/>
      <c r="AI118" s="448"/>
      <c r="AJ118" s="448"/>
      <c r="AK118" s="448"/>
      <c r="AL118" s="448"/>
      <c r="AM118" s="448"/>
      <c r="AN118" s="448"/>
      <c r="AP118" s="448"/>
      <c r="AQ118" s="448"/>
      <c r="AR118" s="448"/>
      <c r="AS118" s="448"/>
      <c r="AT118" s="448"/>
      <c r="AU118" s="448"/>
      <c r="AV118" s="448"/>
      <c r="AW118" s="448"/>
      <c r="AX118" s="448"/>
    </row>
    <row r="119" spans="1:50" x14ac:dyDescent="0.4">
      <c r="A119" s="442" t="str">
        <f t="shared" si="23"/>
        <v>71935</v>
      </c>
      <c r="B119" s="442">
        <v>12966</v>
      </c>
      <c r="C119" s="455">
        <v>8.5000000000000006E-2</v>
      </c>
      <c r="D119" s="438">
        <v>8.6999999999999994E-2</v>
      </c>
      <c r="E119" s="438">
        <v>2.3999999999999998E-3</v>
      </c>
      <c r="F119" s="438">
        <v>2.9666666666666669E-3</v>
      </c>
      <c r="G119" s="438">
        <v>3.2416666666666666E-3</v>
      </c>
      <c r="H119" s="438">
        <v>3.1041666666666665E-3</v>
      </c>
      <c r="I119" s="438">
        <v>3.6833333333333336E-3</v>
      </c>
      <c r="J119" s="438">
        <f t="shared" si="12"/>
        <v>8.2600000000000007E-2</v>
      </c>
      <c r="K119" s="438">
        <f t="shared" si="16"/>
        <v>8.1895833333333334E-2</v>
      </c>
      <c r="L119" s="438">
        <f t="shared" si="17"/>
        <v>8.3316666666666664E-2</v>
      </c>
      <c r="M119" s="446">
        <f t="shared" si="13"/>
        <v>0.34050651421566802</v>
      </c>
      <c r="N119" s="446">
        <f t="shared" si="14"/>
        <v>2.8799999999999999E-2</v>
      </c>
      <c r="O119" s="446">
        <f t="shared" si="18"/>
        <v>3.7249999999999998E-2</v>
      </c>
      <c r="P119" s="447">
        <f t="shared" si="15"/>
        <v>0.31170651421566803</v>
      </c>
      <c r="Q119" s="446">
        <f t="shared" si="19"/>
        <v>0.30325651421566802</v>
      </c>
      <c r="R119" s="446">
        <f t="shared" si="20"/>
        <v>0.27520153905882383</v>
      </c>
      <c r="S119" s="446">
        <f t="shared" si="21"/>
        <v>4.4200000000000003E-2</v>
      </c>
      <c r="T119" s="447">
        <f t="shared" si="22"/>
        <v>0.23100153905882381</v>
      </c>
      <c r="V119" s="448"/>
      <c r="W119" s="448"/>
      <c r="X119" s="448"/>
      <c r="Y119" s="448"/>
      <c r="Z119" s="448"/>
      <c r="AA119" s="448"/>
      <c r="AB119" s="448"/>
      <c r="AC119" s="448"/>
      <c r="AD119" s="448"/>
      <c r="AF119" s="448"/>
      <c r="AG119" s="448"/>
      <c r="AH119" s="448"/>
      <c r="AI119" s="448"/>
      <c r="AJ119" s="448"/>
      <c r="AK119" s="448"/>
      <c r="AL119" s="448"/>
      <c r="AM119" s="448"/>
      <c r="AN119" s="448"/>
      <c r="AP119" s="448"/>
      <c r="AQ119" s="448"/>
      <c r="AR119" s="448"/>
      <c r="AS119" s="448"/>
      <c r="AT119" s="448"/>
      <c r="AU119" s="448"/>
      <c r="AV119" s="448"/>
      <c r="AW119" s="448"/>
      <c r="AX119" s="448"/>
    </row>
    <row r="120" spans="1:50" x14ac:dyDescent="0.4">
      <c r="A120" s="442" t="str">
        <f t="shared" si="23"/>
        <v>81935</v>
      </c>
      <c r="B120" s="442">
        <v>12997</v>
      </c>
      <c r="C120" s="455">
        <v>2.8000000000000001E-2</v>
      </c>
      <c r="D120" s="438">
        <v>5.6299999999999996E-2</v>
      </c>
      <c r="E120" s="438">
        <v>2.3E-3</v>
      </c>
      <c r="F120" s="438">
        <v>3.0000000000000001E-3</v>
      </c>
      <c r="G120" s="438">
        <v>3.225E-3</v>
      </c>
      <c r="H120" s="438">
        <v>3.1125000000000002E-3</v>
      </c>
      <c r="I120" s="438">
        <v>3.7000000000000006E-3</v>
      </c>
      <c r="J120" s="438">
        <f t="shared" si="12"/>
        <v>2.5700000000000001E-2</v>
      </c>
      <c r="K120" s="438">
        <f t="shared" si="16"/>
        <v>2.48875E-2</v>
      </c>
      <c r="L120" s="438">
        <f t="shared" si="17"/>
        <v>5.2599999999999994E-2</v>
      </c>
      <c r="M120" s="446">
        <f t="shared" si="13"/>
        <v>0.29869069514061519</v>
      </c>
      <c r="N120" s="446">
        <f t="shared" si="14"/>
        <v>2.76E-2</v>
      </c>
      <c r="O120" s="446">
        <f t="shared" si="18"/>
        <v>3.7350000000000001E-2</v>
      </c>
      <c r="P120" s="447">
        <f t="shared" si="15"/>
        <v>0.27109069514061518</v>
      </c>
      <c r="Q120" s="446">
        <f t="shared" si="19"/>
        <v>0.2613406951406152</v>
      </c>
      <c r="R120" s="446">
        <f t="shared" si="20"/>
        <v>0.31171037657789036</v>
      </c>
      <c r="S120" s="446">
        <f t="shared" si="21"/>
        <v>4.4400000000000009E-2</v>
      </c>
      <c r="T120" s="447">
        <f t="shared" si="22"/>
        <v>0.26731037657789036</v>
      </c>
      <c r="V120" s="448"/>
      <c r="W120" s="448"/>
      <c r="X120" s="448"/>
      <c r="Y120" s="448"/>
      <c r="Z120" s="448"/>
      <c r="AA120" s="448"/>
      <c r="AB120" s="448"/>
      <c r="AC120" s="448"/>
      <c r="AD120" s="448"/>
      <c r="AF120" s="448"/>
      <c r="AG120" s="448"/>
      <c r="AH120" s="448"/>
      <c r="AI120" s="448"/>
      <c r="AJ120" s="448"/>
      <c r="AK120" s="448"/>
      <c r="AL120" s="448"/>
      <c r="AM120" s="448"/>
      <c r="AN120" s="448"/>
      <c r="AP120" s="448"/>
      <c r="AQ120" s="448"/>
      <c r="AR120" s="448"/>
      <c r="AS120" s="448"/>
      <c r="AT120" s="448"/>
      <c r="AU120" s="448"/>
      <c r="AV120" s="448"/>
      <c r="AW120" s="448"/>
      <c r="AX120" s="448"/>
    </row>
    <row r="121" spans="1:50" x14ac:dyDescent="0.4">
      <c r="A121" s="442" t="str">
        <f t="shared" si="23"/>
        <v>91935</v>
      </c>
      <c r="B121" s="442">
        <v>13028</v>
      </c>
      <c r="C121" s="455">
        <v>2.5600000000000001E-2</v>
      </c>
      <c r="D121" s="438">
        <v>-1.2199999999999999E-2</v>
      </c>
      <c r="E121" s="438">
        <v>2.3E-3</v>
      </c>
      <c r="F121" s="438">
        <v>2.9916666666666663E-3</v>
      </c>
      <c r="G121" s="438">
        <v>3.2083333333333334E-3</v>
      </c>
      <c r="H121" s="438">
        <v>3.0999999999999999E-3</v>
      </c>
      <c r="I121" s="438">
        <v>3.6916666666666664E-3</v>
      </c>
      <c r="J121" s="438">
        <f t="shared" si="12"/>
        <v>2.3300000000000001E-2</v>
      </c>
      <c r="K121" s="438">
        <f t="shared" si="16"/>
        <v>2.2500000000000003E-2</v>
      </c>
      <c r="L121" s="438">
        <f t="shared" si="17"/>
        <v>-1.5891666666666665E-2</v>
      </c>
      <c r="M121" s="446">
        <f t="shared" si="13"/>
        <v>0.3363471224402681</v>
      </c>
      <c r="N121" s="446">
        <f t="shared" si="14"/>
        <v>2.76E-2</v>
      </c>
      <c r="O121" s="446">
        <f t="shared" si="18"/>
        <v>3.7199999999999997E-2</v>
      </c>
      <c r="P121" s="447">
        <f t="shared" si="15"/>
        <v>0.30874712244026808</v>
      </c>
      <c r="Q121" s="446">
        <f t="shared" si="19"/>
        <v>0.29914712244026809</v>
      </c>
      <c r="R121" s="446">
        <f t="shared" si="20"/>
        <v>0.28351412578864821</v>
      </c>
      <c r="S121" s="446">
        <f t="shared" si="21"/>
        <v>4.4299999999999999E-2</v>
      </c>
      <c r="T121" s="447">
        <f t="shared" si="22"/>
        <v>0.2392141257886482</v>
      </c>
      <c r="V121" s="448"/>
      <c r="W121" s="448"/>
      <c r="X121" s="448"/>
      <c r="Y121" s="448"/>
      <c r="Z121" s="448"/>
      <c r="AA121" s="448"/>
      <c r="AB121" s="448"/>
      <c r="AC121" s="448"/>
      <c r="AD121" s="448"/>
      <c r="AF121" s="448"/>
      <c r="AG121" s="448"/>
      <c r="AH121" s="448"/>
      <c r="AI121" s="448"/>
      <c r="AJ121" s="448"/>
      <c r="AK121" s="448"/>
      <c r="AL121" s="448"/>
      <c r="AM121" s="448"/>
      <c r="AN121" s="448"/>
      <c r="AP121" s="448"/>
      <c r="AQ121" s="448"/>
      <c r="AR121" s="448"/>
      <c r="AS121" s="448"/>
      <c r="AT121" s="448"/>
      <c r="AU121" s="448"/>
      <c r="AV121" s="448"/>
      <c r="AW121" s="448"/>
      <c r="AX121" s="448"/>
    </row>
    <row r="122" spans="1:50" x14ac:dyDescent="0.4">
      <c r="A122" s="442" t="str">
        <f t="shared" si="23"/>
        <v>101935</v>
      </c>
      <c r="B122" s="442">
        <v>13058</v>
      </c>
      <c r="C122" s="455">
        <v>7.7700000000000005E-2</v>
      </c>
      <c r="D122" s="438">
        <v>0.12240000000000001</v>
      </c>
      <c r="E122" s="438">
        <v>2.3E-3</v>
      </c>
      <c r="F122" s="438">
        <v>2.9333333333333334E-3</v>
      </c>
      <c r="G122" s="438">
        <v>3.1833333333333332E-3</v>
      </c>
      <c r="H122" s="438">
        <v>3.058333333333333E-3</v>
      </c>
      <c r="I122" s="438">
        <v>3.666666666666667E-3</v>
      </c>
      <c r="J122" s="438">
        <f t="shared" si="12"/>
        <v>7.5400000000000009E-2</v>
      </c>
      <c r="K122" s="438">
        <f t="shared" si="16"/>
        <v>7.4641666666666676E-2</v>
      </c>
      <c r="L122" s="438">
        <f t="shared" si="17"/>
        <v>0.11873333333333334</v>
      </c>
      <c r="M122" s="446">
        <f t="shared" si="13"/>
        <v>0.48258317258994943</v>
      </c>
      <c r="N122" s="446">
        <f t="shared" si="14"/>
        <v>2.76E-2</v>
      </c>
      <c r="O122" s="446">
        <f t="shared" si="18"/>
        <v>3.6699999999999997E-2</v>
      </c>
      <c r="P122" s="447">
        <f t="shared" si="15"/>
        <v>0.45498317258994941</v>
      </c>
      <c r="Q122" s="446">
        <f t="shared" si="19"/>
        <v>0.44588317258994942</v>
      </c>
      <c r="R122" s="446">
        <f t="shared" si="20"/>
        <v>0.54340717247180015</v>
      </c>
      <c r="S122" s="446">
        <f t="shared" si="21"/>
        <v>4.4000000000000004E-2</v>
      </c>
      <c r="T122" s="447">
        <f t="shared" si="22"/>
        <v>0.49940717247180016</v>
      </c>
      <c r="V122" s="448"/>
      <c r="W122" s="448"/>
      <c r="X122" s="448"/>
      <c r="Y122" s="448"/>
      <c r="Z122" s="448"/>
      <c r="AA122" s="448"/>
      <c r="AB122" s="448"/>
      <c r="AC122" s="448"/>
      <c r="AD122" s="448"/>
      <c r="AF122" s="448"/>
      <c r="AG122" s="448"/>
      <c r="AH122" s="448"/>
      <c r="AI122" s="448"/>
      <c r="AJ122" s="448"/>
      <c r="AK122" s="448"/>
      <c r="AL122" s="448"/>
      <c r="AM122" s="448"/>
      <c r="AN122" s="448"/>
      <c r="AP122" s="448"/>
      <c r="AQ122" s="448"/>
      <c r="AR122" s="448"/>
      <c r="AS122" s="448"/>
      <c r="AT122" s="448"/>
      <c r="AU122" s="448"/>
      <c r="AV122" s="448"/>
      <c r="AW122" s="448"/>
      <c r="AX122" s="448"/>
    </row>
    <row r="123" spans="1:50" x14ac:dyDescent="0.4">
      <c r="A123" s="442" t="str">
        <f t="shared" si="23"/>
        <v>111935</v>
      </c>
      <c r="B123" s="442">
        <v>13089</v>
      </c>
      <c r="C123" s="455">
        <v>4.7399999999999998E-2</v>
      </c>
      <c r="D123" s="438">
        <v>1.0800000000000001E-2</v>
      </c>
      <c r="E123" s="438">
        <v>2.3999999999999998E-3</v>
      </c>
      <c r="F123" s="438">
        <v>2.891666666666667E-3</v>
      </c>
      <c r="G123" s="438">
        <v>3.1083333333333336E-3</v>
      </c>
      <c r="H123" s="438">
        <v>3.0000000000000005E-3</v>
      </c>
      <c r="I123" s="438">
        <v>3.6249999999999998E-3</v>
      </c>
      <c r="J123" s="438">
        <f t="shared" si="12"/>
        <v>4.4999999999999998E-2</v>
      </c>
      <c r="K123" s="438">
        <f t="shared" si="16"/>
        <v>4.4399999999999995E-2</v>
      </c>
      <c r="L123" s="438">
        <f t="shared" si="17"/>
        <v>7.1750000000000008E-3</v>
      </c>
      <c r="M123" s="446">
        <f t="shared" si="13"/>
        <v>0.41917164592461442</v>
      </c>
      <c r="N123" s="446">
        <f t="shared" si="14"/>
        <v>2.8799999999999999E-2</v>
      </c>
      <c r="O123" s="446">
        <f t="shared" si="18"/>
        <v>3.6000000000000004E-2</v>
      </c>
      <c r="P123" s="447">
        <f t="shared" si="15"/>
        <v>0.39037164592461443</v>
      </c>
      <c r="Q123" s="446">
        <f t="shared" si="19"/>
        <v>0.38317164592461439</v>
      </c>
      <c r="R123" s="446">
        <f t="shared" si="20"/>
        <v>0.56760045210459809</v>
      </c>
      <c r="S123" s="446">
        <f t="shared" si="21"/>
        <v>4.3499999999999997E-2</v>
      </c>
      <c r="T123" s="447">
        <f t="shared" si="22"/>
        <v>0.5241004521045981</v>
      </c>
      <c r="V123" s="448"/>
      <c r="W123" s="448"/>
      <c r="X123" s="448"/>
      <c r="Y123" s="448"/>
      <c r="Z123" s="448"/>
      <c r="AA123" s="448"/>
      <c r="AB123" s="448"/>
      <c r="AC123" s="448"/>
      <c r="AD123" s="448"/>
      <c r="AF123" s="448"/>
      <c r="AG123" s="448"/>
      <c r="AH123" s="448"/>
      <c r="AI123" s="448"/>
      <c r="AJ123" s="448"/>
      <c r="AK123" s="448"/>
      <c r="AL123" s="448"/>
      <c r="AM123" s="448"/>
      <c r="AN123" s="448"/>
      <c r="AP123" s="448"/>
      <c r="AQ123" s="448"/>
      <c r="AR123" s="448"/>
      <c r="AS123" s="448"/>
      <c r="AT123" s="448"/>
      <c r="AU123" s="448"/>
      <c r="AV123" s="448"/>
      <c r="AW123" s="448"/>
      <c r="AX123" s="448"/>
    </row>
    <row r="124" spans="1:50" x14ac:dyDescent="0.4">
      <c r="A124" s="442" t="str">
        <f t="shared" si="23"/>
        <v>121935</v>
      </c>
      <c r="B124" s="442">
        <v>13119</v>
      </c>
      <c r="C124" s="455">
        <v>3.9399999999999998E-2</v>
      </c>
      <c r="D124" s="438">
        <v>4.7900000000000012E-2</v>
      </c>
      <c r="E124" s="438">
        <v>2.3999999999999998E-3</v>
      </c>
      <c r="F124" s="438">
        <v>2.8666666666666667E-3</v>
      </c>
      <c r="G124" s="438">
        <v>3.0416666666666665E-3</v>
      </c>
      <c r="H124" s="438">
        <v>2.9541666666666666E-3</v>
      </c>
      <c r="I124" s="438">
        <v>3.5750000000000001E-3</v>
      </c>
      <c r="J124" s="438">
        <f t="shared" si="12"/>
        <v>3.6999999999999998E-2</v>
      </c>
      <c r="K124" s="438">
        <f t="shared" si="16"/>
        <v>3.644583333333333E-2</v>
      </c>
      <c r="L124" s="438">
        <f t="shared" si="17"/>
        <v>4.432500000000001E-2</v>
      </c>
      <c r="M124" s="446">
        <f t="shared" si="13"/>
        <v>0.47656357234639102</v>
      </c>
      <c r="N124" s="446">
        <f t="shared" si="14"/>
        <v>2.8799999999999999E-2</v>
      </c>
      <c r="O124" s="446">
        <f t="shared" si="18"/>
        <v>3.5449999999999995E-2</v>
      </c>
      <c r="P124" s="447">
        <f t="shared" si="15"/>
        <v>0.44776357234639103</v>
      </c>
      <c r="Q124" s="446">
        <f t="shared" si="19"/>
        <v>0.44111357234639104</v>
      </c>
      <c r="R124" s="446">
        <f t="shared" si="20"/>
        <v>0.76652168379439511</v>
      </c>
      <c r="S124" s="446">
        <f t="shared" si="21"/>
        <v>4.2900000000000001E-2</v>
      </c>
      <c r="T124" s="447">
        <f t="shared" si="22"/>
        <v>0.72362168379439507</v>
      </c>
      <c r="V124" s="448"/>
      <c r="W124" s="448"/>
      <c r="X124" s="448"/>
      <c r="Y124" s="448"/>
      <c r="Z124" s="448"/>
      <c r="AA124" s="448"/>
      <c r="AB124" s="448"/>
      <c r="AC124" s="448"/>
      <c r="AD124" s="448"/>
      <c r="AF124" s="448"/>
      <c r="AG124" s="448"/>
      <c r="AH124" s="448"/>
      <c r="AI124" s="448"/>
      <c r="AJ124" s="448"/>
      <c r="AK124" s="448"/>
      <c r="AL124" s="448"/>
      <c r="AM124" s="448"/>
      <c r="AN124" s="448"/>
      <c r="AP124" s="448"/>
      <c r="AQ124" s="448"/>
      <c r="AR124" s="448"/>
      <c r="AS124" s="448"/>
      <c r="AT124" s="448"/>
      <c r="AU124" s="448"/>
      <c r="AV124" s="448"/>
      <c r="AW124" s="448"/>
      <c r="AX124" s="448"/>
    </row>
    <row r="125" spans="1:50" x14ac:dyDescent="0.4">
      <c r="A125" s="442" t="str">
        <f t="shared" si="23"/>
        <v>11936</v>
      </c>
      <c r="B125" s="442">
        <v>13150</v>
      </c>
      <c r="C125" s="455">
        <v>6.7000000000000004E-2</v>
      </c>
      <c r="D125" s="438">
        <v>0.11030000000000001</v>
      </c>
      <c r="E125" s="438">
        <v>2.3999999999999998E-3</v>
      </c>
      <c r="F125" s="438">
        <v>2.8083333333333333E-3</v>
      </c>
      <c r="G125" s="438">
        <v>2.9749999999999998E-3</v>
      </c>
      <c r="H125" s="438">
        <v>2.891666666666667E-3</v>
      </c>
      <c r="I125" s="438">
        <v>3.5083333333333334E-3</v>
      </c>
      <c r="J125" s="438">
        <f t="shared" si="12"/>
        <v>6.4600000000000005E-2</v>
      </c>
      <c r="K125" s="438">
        <f t="shared" si="16"/>
        <v>6.4108333333333337E-2</v>
      </c>
      <c r="L125" s="438">
        <f t="shared" si="17"/>
        <v>0.10679166666666667</v>
      </c>
      <c r="M125" s="446">
        <f t="shared" si="13"/>
        <v>0.64302151600125068</v>
      </c>
      <c r="N125" s="446">
        <f t="shared" si="14"/>
        <v>2.8799999999999999E-2</v>
      </c>
      <c r="O125" s="446">
        <f t="shared" si="18"/>
        <v>3.4700000000000002E-2</v>
      </c>
      <c r="P125" s="447">
        <f t="shared" si="15"/>
        <v>0.61422151600125063</v>
      </c>
      <c r="Q125" s="446">
        <f t="shared" si="19"/>
        <v>0.60832151600125073</v>
      </c>
      <c r="R125" s="446">
        <f t="shared" si="20"/>
        <v>1.0077480044189957</v>
      </c>
      <c r="S125" s="446">
        <f t="shared" si="21"/>
        <v>4.2099999999999999E-2</v>
      </c>
      <c r="T125" s="447">
        <f t="shared" si="22"/>
        <v>0.96564800441899568</v>
      </c>
      <c r="V125" s="448"/>
      <c r="W125" s="448"/>
      <c r="X125" s="448"/>
      <c r="Y125" s="448"/>
      <c r="Z125" s="448"/>
      <c r="AA125" s="448"/>
      <c r="AB125" s="448"/>
      <c r="AC125" s="448"/>
      <c r="AD125" s="448"/>
      <c r="AF125" s="448"/>
      <c r="AG125" s="448"/>
      <c r="AH125" s="448"/>
      <c r="AI125" s="448"/>
      <c r="AJ125" s="448"/>
      <c r="AK125" s="448"/>
      <c r="AL125" s="448"/>
      <c r="AM125" s="448"/>
      <c r="AN125" s="448"/>
      <c r="AP125" s="448"/>
      <c r="AQ125" s="448"/>
      <c r="AR125" s="448"/>
      <c r="AS125" s="448"/>
      <c r="AT125" s="448"/>
      <c r="AU125" s="448"/>
      <c r="AV125" s="448"/>
      <c r="AW125" s="448"/>
      <c r="AX125" s="448"/>
    </row>
    <row r="126" spans="1:50" x14ac:dyDescent="0.4">
      <c r="A126" s="442" t="str">
        <f t="shared" si="23"/>
        <v>21936</v>
      </c>
      <c r="B126" s="442">
        <v>13181</v>
      </c>
      <c r="C126" s="455">
        <v>2.24E-2</v>
      </c>
      <c r="D126" s="438">
        <v>-3.4200000000000001E-2</v>
      </c>
      <c r="E126" s="438">
        <v>2.3E-3</v>
      </c>
      <c r="F126" s="438">
        <v>2.7666666666666668E-3</v>
      </c>
      <c r="G126" s="438">
        <v>2.9583333333333332E-3</v>
      </c>
      <c r="H126" s="438">
        <v>2.8625E-3</v>
      </c>
      <c r="I126" s="438">
        <v>3.4749999999999998E-3</v>
      </c>
      <c r="J126" s="438">
        <f t="shared" si="12"/>
        <v>2.01E-2</v>
      </c>
      <c r="K126" s="438">
        <f t="shared" si="16"/>
        <v>1.9537499999999999E-2</v>
      </c>
      <c r="L126" s="438">
        <f t="shared" si="17"/>
        <v>-3.7675E-2</v>
      </c>
      <c r="M126" s="446">
        <f t="shared" si="13"/>
        <v>0.73912951440074348</v>
      </c>
      <c r="N126" s="446">
        <f t="shared" si="14"/>
        <v>2.76E-2</v>
      </c>
      <c r="O126" s="446">
        <f t="shared" si="18"/>
        <v>3.4349999999999999E-2</v>
      </c>
      <c r="P126" s="447">
        <f t="shared" si="15"/>
        <v>0.71152951440074352</v>
      </c>
      <c r="Q126" s="446">
        <f t="shared" si="19"/>
        <v>0.70477951440074349</v>
      </c>
      <c r="R126" s="446">
        <f t="shared" si="20"/>
        <v>1.1875936627570698</v>
      </c>
      <c r="S126" s="446">
        <f t="shared" si="21"/>
        <v>4.1700000000000001E-2</v>
      </c>
      <c r="T126" s="447">
        <f t="shared" si="22"/>
        <v>1.1458936627570697</v>
      </c>
      <c r="V126" s="448"/>
      <c r="W126" s="448"/>
      <c r="X126" s="448"/>
      <c r="Y126" s="448"/>
      <c r="Z126" s="448"/>
      <c r="AA126" s="448"/>
      <c r="AB126" s="448"/>
      <c r="AC126" s="448"/>
      <c r="AD126" s="448"/>
      <c r="AF126" s="448"/>
      <c r="AG126" s="448"/>
      <c r="AH126" s="448"/>
      <c r="AI126" s="448"/>
      <c r="AJ126" s="448"/>
      <c r="AK126" s="448"/>
      <c r="AL126" s="448"/>
      <c r="AM126" s="448"/>
      <c r="AN126" s="448"/>
      <c r="AP126" s="448"/>
      <c r="AQ126" s="448"/>
      <c r="AR126" s="448"/>
      <c r="AS126" s="448"/>
      <c r="AT126" s="448"/>
      <c r="AU126" s="448"/>
      <c r="AV126" s="448"/>
      <c r="AW126" s="448"/>
      <c r="AX126" s="448"/>
    </row>
    <row r="127" spans="1:50" x14ac:dyDescent="0.4">
      <c r="A127" s="442" t="str">
        <f t="shared" si="23"/>
        <v>31936</v>
      </c>
      <c r="B127" s="442">
        <v>13210</v>
      </c>
      <c r="C127" s="455">
        <v>2.6800000000000001E-2</v>
      </c>
      <c r="D127" s="438">
        <v>3.3E-3</v>
      </c>
      <c r="E127" s="438">
        <v>2.3999999999999998E-3</v>
      </c>
      <c r="F127" s="438">
        <v>2.7416666666666666E-3</v>
      </c>
      <c r="G127" s="438">
        <v>2.9583333333333332E-3</v>
      </c>
      <c r="H127" s="438">
        <v>2.8500000000000001E-3</v>
      </c>
      <c r="I127" s="438">
        <v>3.4749999999999998E-3</v>
      </c>
      <c r="J127" s="438">
        <f t="shared" si="12"/>
        <v>2.4400000000000002E-2</v>
      </c>
      <c r="K127" s="438">
        <f t="shared" si="16"/>
        <v>2.3949999999999999E-2</v>
      </c>
      <c r="L127" s="438">
        <f t="shared" si="17"/>
        <v>-1.7499999999999981E-4</v>
      </c>
      <c r="M127" s="446">
        <f t="shared" si="13"/>
        <v>0.83831396477937314</v>
      </c>
      <c r="N127" s="446">
        <f t="shared" si="14"/>
        <v>2.8799999999999999E-2</v>
      </c>
      <c r="O127" s="446">
        <f t="shared" si="18"/>
        <v>3.4200000000000001E-2</v>
      </c>
      <c r="P127" s="447">
        <f t="shared" si="15"/>
        <v>0.8095139647793731</v>
      </c>
      <c r="Q127" s="446">
        <f t="shared" si="19"/>
        <v>0.80411396477937314</v>
      </c>
      <c r="R127" s="446">
        <f t="shared" si="20"/>
        <v>0.98751491609541597</v>
      </c>
      <c r="S127" s="446">
        <f t="shared" si="21"/>
        <v>4.1700000000000001E-2</v>
      </c>
      <c r="T127" s="447">
        <f t="shared" si="22"/>
        <v>0.94581491609541601</v>
      </c>
      <c r="V127" s="448"/>
      <c r="W127" s="448"/>
      <c r="X127" s="448"/>
      <c r="Y127" s="448"/>
      <c r="Z127" s="448"/>
      <c r="AA127" s="448"/>
      <c r="AB127" s="448"/>
      <c r="AC127" s="448"/>
      <c r="AD127" s="448"/>
      <c r="AF127" s="448"/>
      <c r="AG127" s="448"/>
      <c r="AH127" s="448"/>
      <c r="AI127" s="448"/>
      <c r="AJ127" s="448"/>
      <c r="AK127" s="448"/>
      <c r="AL127" s="448"/>
      <c r="AM127" s="448"/>
      <c r="AN127" s="448"/>
      <c r="AP127" s="448"/>
      <c r="AQ127" s="448"/>
      <c r="AR127" s="448"/>
      <c r="AS127" s="448"/>
      <c r="AT127" s="448"/>
      <c r="AU127" s="448"/>
      <c r="AV127" s="448"/>
      <c r="AW127" s="448"/>
      <c r="AX127" s="448"/>
    </row>
    <row r="128" spans="1:50" x14ac:dyDescent="0.4">
      <c r="A128" s="442" t="str">
        <f t="shared" si="23"/>
        <v>41936</v>
      </c>
      <c r="B128" s="442">
        <v>13241</v>
      </c>
      <c r="C128" s="455">
        <v>-7.51E-2</v>
      </c>
      <c r="D128" s="438">
        <v>-8.14E-2</v>
      </c>
      <c r="E128" s="438">
        <v>2.2000000000000001E-3</v>
      </c>
      <c r="F128" s="438">
        <v>2.7416666666666666E-3</v>
      </c>
      <c r="G128" s="438">
        <v>2.9749999999999998E-3</v>
      </c>
      <c r="H128" s="438">
        <v>2.8583333333333334E-3</v>
      </c>
      <c r="I128" s="438">
        <v>3.4749999999999998E-3</v>
      </c>
      <c r="J128" s="438">
        <f t="shared" si="12"/>
        <v>-7.7299999999999994E-2</v>
      </c>
      <c r="K128" s="438">
        <f t="shared" si="16"/>
        <v>-7.7958333333333338E-2</v>
      </c>
      <c r="L128" s="438">
        <f t="shared" si="17"/>
        <v>-8.4875000000000006E-2</v>
      </c>
      <c r="M128" s="446">
        <f t="shared" si="13"/>
        <v>0.54850326596033061</v>
      </c>
      <c r="N128" s="446">
        <f t="shared" si="14"/>
        <v>2.64E-2</v>
      </c>
      <c r="O128" s="446">
        <f t="shared" si="18"/>
        <v>3.4299999999999997E-2</v>
      </c>
      <c r="P128" s="447">
        <f t="shared" si="15"/>
        <v>0.52210326596033063</v>
      </c>
      <c r="Q128" s="446">
        <f t="shared" si="19"/>
        <v>0.51420326596033061</v>
      </c>
      <c r="R128" s="446">
        <f t="shared" si="20"/>
        <v>0.63332546244878252</v>
      </c>
      <c r="S128" s="446">
        <f t="shared" si="21"/>
        <v>4.1700000000000001E-2</v>
      </c>
      <c r="T128" s="447">
        <f t="shared" si="22"/>
        <v>0.59162546244878256</v>
      </c>
      <c r="V128" s="448"/>
      <c r="W128" s="448"/>
      <c r="X128" s="448"/>
      <c r="Y128" s="448"/>
      <c r="Z128" s="448"/>
      <c r="AA128" s="448"/>
      <c r="AB128" s="448"/>
      <c r="AC128" s="448"/>
      <c r="AD128" s="448"/>
      <c r="AF128" s="448"/>
      <c r="AG128" s="448"/>
      <c r="AH128" s="448"/>
      <c r="AI128" s="448"/>
      <c r="AJ128" s="448"/>
      <c r="AK128" s="448"/>
      <c r="AL128" s="448"/>
      <c r="AM128" s="448"/>
      <c r="AN128" s="448"/>
      <c r="AP128" s="448"/>
      <c r="AQ128" s="448"/>
      <c r="AR128" s="448"/>
      <c r="AS128" s="448"/>
      <c r="AT128" s="448"/>
      <c r="AU128" s="448"/>
      <c r="AV128" s="448"/>
      <c r="AW128" s="448"/>
      <c r="AX128" s="448"/>
    </row>
    <row r="129" spans="1:50" x14ac:dyDescent="0.4">
      <c r="A129" s="442" t="str">
        <f t="shared" si="23"/>
        <v>51936</v>
      </c>
      <c r="B129" s="442">
        <v>13271</v>
      </c>
      <c r="C129" s="455">
        <v>5.45E-2</v>
      </c>
      <c r="D129" s="438">
        <v>7.6100000000000001E-2</v>
      </c>
      <c r="E129" s="438">
        <v>2.2000000000000001E-3</v>
      </c>
      <c r="F129" s="438">
        <v>2.725E-3</v>
      </c>
      <c r="G129" s="438">
        <v>2.9416666666666662E-3</v>
      </c>
      <c r="H129" s="438">
        <v>2.8333333333333331E-3</v>
      </c>
      <c r="I129" s="438">
        <v>3.4499999999999999E-3</v>
      </c>
      <c r="J129" s="438">
        <f t="shared" si="12"/>
        <v>5.2299999999999999E-2</v>
      </c>
      <c r="K129" s="438">
        <f t="shared" si="16"/>
        <v>5.1666666666666666E-2</v>
      </c>
      <c r="L129" s="438">
        <f t="shared" si="17"/>
        <v>7.2650000000000006E-2</v>
      </c>
      <c r="M129" s="446">
        <f t="shared" si="13"/>
        <v>0.56873541546274198</v>
      </c>
      <c r="N129" s="446">
        <f t="shared" si="14"/>
        <v>2.64E-2</v>
      </c>
      <c r="O129" s="446">
        <f t="shared" si="18"/>
        <v>3.3999999999999996E-2</v>
      </c>
      <c r="P129" s="447">
        <f t="shared" si="15"/>
        <v>0.542335415462742</v>
      </c>
      <c r="Q129" s="446">
        <f t="shared" si="19"/>
        <v>0.53473541546274195</v>
      </c>
      <c r="R129" s="446">
        <f t="shared" si="20"/>
        <v>0.58258736731598693</v>
      </c>
      <c r="S129" s="446">
        <f t="shared" si="21"/>
        <v>4.1399999999999999E-2</v>
      </c>
      <c r="T129" s="447">
        <f t="shared" si="22"/>
        <v>0.54118736731598693</v>
      </c>
      <c r="V129" s="448"/>
      <c r="W129" s="448"/>
      <c r="X129" s="448"/>
      <c r="Y129" s="448"/>
      <c r="Z129" s="448"/>
      <c r="AA129" s="448"/>
      <c r="AB129" s="448"/>
      <c r="AC129" s="448"/>
      <c r="AD129" s="448"/>
      <c r="AF129" s="448"/>
      <c r="AG129" s="448"/>
      <c r="AH129" s="448"/>
      <c r="AI129" s="448"/>
      <c r="AJ129" s="448"/>
      <c r="AK129" s="448"/>
      <c r="AL129" s="448"/>
      <c r="AM129" s="448"/>
      <c r="AN129" s="448"/>
      <c r="AP129" s="448"/>
      <c r="AQ129" s="448"/>
      <c r="AR129" s="448"/>
      <c r="AS129" s="448"/>
      <c r="AT129" s="448"/>
      <c r="AU129" s="448"/>
      <c r="AV129" s="448"/>
      <c r="AW129" s="448"/>
      <c r="AX129" s="448"/>
    </row>
    <row r="130" spans="1:50" x14ac:dyDescent="0.4">
      <c r="A130" s="442" t="str">
        <f t="shared" si="23"/>
        <v>61936</v>
      </c>
      <c r="B130" s="442">
        <v>13302</v>
      </c>
      <c r="C130" s="455">
        <v>3.3300000000000003E-2</v>
      </c>
      <c r="D130" s="438">
        <v>3.5000000000000003E-2</v>
      </c>
      <c r="E130" s="438">
        <v>2.3999999999999998E-3</v>
      </c>
      <c r="F130" s="438">
        <v>2.7000000000000001E-3</v>
      </c>
      <c r="G130" s="438">
        <v>2.9249999999999996E-3</v>
      </c>
      <c r="H130" s="438">
        <v>2.8124999999999999E-3</v>
      </c>
      <c r="I130" s="438">
        <v>3.4333333333333334E-3</v>
      </c>
      <c r="J130" s="438">
        <f t="shared" si="12"/>
        <v>3.0900000000000004E-2</v>
      </c>
      <c r="K130" s="438">
        <f t="shared" si="16"/>
        <v>3.0487500000000004E-2</v>
      </c>
      <c r="L130" s="438">
        <f t="shared" si="17"/>
        <v>3.1566666666666673E-2</v>
      </c>
      <c r="M130" s="446">
        <f t="shared" si="13"/>
        <v>0.51507085222698512</v>
      </c>
      <c r="N130" s="446">
        <f t="shared" si="14"/>
        <v>2.8799999999999999E-2</v>
      </c>
      <c r="O130" s="446">
        <f t="shared" si="18"/>
        <v>3.3750000000000002E-2</v>
      </c>
      <c r="P130" s="447">
        <f t="shared" si="15"/>
        <v>0.48627085222698513</v>
      </c>
      <c r="Q130" s="446">
        <f t="shared" si="19"/>
        <v>0.48132085222698512</v>
      </c>
      <c r="R130" s="446">
        <f t="shared" si="20"/>
        <v>0.48421341534255746</v>
      </c>
      <c r="S130" s="446">
        <f t="shared" si="21"/>
        <v>4.1200000000000001E-2</v>
      </c>
      <c r="T130" s="447">
        <f t="shared" si="22"/>
        <v>0.44301341534255745</v>
      </c>
      <c r="V130" s="448"/>
      <c r="W130" s="448"/>
      <c r="X130" s="448"/>
      <c r="Y130" s="448"/>
      <c r="Z130" s="448"/>
      <c r="AA130" s="448"/>
      <c r="AB130" s="448"/>
      <c r="AC130" s="448"/>
      <c r="AD130" s="448"/>
      <c r="AF130" s="448"/>
      <c r="AG130" s="448"/>
      <c r="AH130" s="448"/>
      <c r="AI130" s="448"/>
      <c r="AJ130" s="448"/>
      <c r="AK130" s="448"/>
      <c r="AL130" s="448"/>
      <c r="AM130" s="448"/>
      <c r="AN130" s="448"/>
      <c r="AP130" s="448"/>
      <c r="AQ130" s="448"/>
      <c r="AR130" s="448"/>
      <c r="AS130" s="448"/>
      <c r="AT130" s="448"/>
      <c r="AU130" s="448"/>
      <c r="AV130" s="448"/>
      <c r="AW130" s="448"/>
      <c r="AX130" s="448"/>
    </row>
    <row r="131" spans="1:50" x14ac:dyDescent="0.4">
      <c r="A131" s="442" t="str">
        <f t="shared" si="23"/>
        <v>71936</v>
      </c>
      <c r="B131" s="442">
        <v>13332</v>
      </c>
      <c r="C131" s="455">
        <v>7.0099999999999996E-2</v>
      </c>
      <c r="D131" s="438">
        <v>0.1009</v>
      </c>
      <c r="E131" s="438">
        <v>2.3E-3</v>
      </c>
      <c r="F131" s="438">
        <v>2.6916666666666669E-3</v>
      </c>
      <c r="G131" s="438">
        <v>2.8999999999999998E-3</v>
      </c>
      <c r="H131" s="438">
        <v>2.7958333333333329E-3</v>
      </c>
      <c r="I131" s="438">
        <v>3.3916666666666665E-3</v>
      </c>
      <c r="J131" s="438">
        <f t="shared" si="12"/>
        <v>6.7799999999999999E-2</v>
      </c>
      <c r="K131" s="438">
        <f t="shared" si="16"/>
        <v>6.7304166666666665E-2</v>
      </c>
      <c r="L131" s="438">
        <f t="shared" si="17"/>
        <v>9.7508333333333336E-2</v>
      </c>
      <c r="M131" s="446">
        <f t="shared" si="13"/>
        <v>0.49426481010884515</v>
      </c>
      <c r="N131" s="446">
        <f t="shared" si="14"/>
        <v>2.76E-2</v>
      </c>
      <c r="O131" s="446">
        <f t="shared" si="18"/>
        <v>3.3549999999999996E-2</v>
      </c>
      <c r="P131" s="447">
        <f t="shared" si="15"/>
        <v>0.46666481010884514</v>
      </c>
      <c r="Q131" s="446">
        <f t="shared" si="19"/>
        <v>0.46071481010884519</v>
      </c>
      <c r="R131" s="446">
        <f t="shared" si="20"/>
        <v>0.50319277732347878</v>
      </c>
      <c r="S131" s="446">
        <f t="shared" si="21"/>
        <v>4.07E-2</v>
      </c>
      <c r="T131" s="447">
        <f t="shared" si="22"/>
        <v>0.46249277732347877</v>
      </c>
      <c r="V131" s="448"/>
      <c r="W131" s="448"/>
      <c r="X131" s="448"/>
      <c r="Y131" s="448"/>
      <c r="Z131" s="448"/>
      <c r="AA131" s="448"/>
      <c r="AB131" s="448"/>
      <c r="AC131" s="448"/>
      <c r="AD131" s="448"/>
      <c r="AF131" s="448"/>
      <c r="AG131" s="448"/>
      <c r="AH131" s="448"/>
      <c r="AI131" s="448"/>
      <c r="AJ131" s="448"/>
      <c r="AK131" s="448"/>
      <c r="AL131" s="448"/>
      <c r="AM131" s="448"/>
      <c r="AN131" s="448"/>
      <c r="AP131" s="448"/>
      <c r="AQ131" s="448"/>
      <c r="AR131" s="448"/>
      <c r="AS131" s="448"/>
      <c r="AT131" s="448"/>
      <c r="AU131" s="448"/>
      <c r="AV131" s="448"/>
      <c r="AW131" s="448"/>
      <c r="AX131" s="448"/>
    </row>
    <row r="132" spans="1:50" x14ac:dyDescent="0.4">
      <c r="A132" s="442" t="str">
        <f t="shared" si="23"/>
        <v>81936</v>
      </c>
      <c r="B132" s="442">
        <v>13363</v>
      </c>
      <c r="C132" s="455">
        <v>1.5100000000000001E-2</v>
      </c>
      <c r="D132" s="438">
        <v>-1.8E-3</v>
      </c>
      <c r="E132" s="438">
        <v>2.3E-3</v>
      </c>
      <c r="F132" s="438">
        <v>2.6750000000000003E-3</v>
      </c>
      <c r="G132" s="438">
        <v>2.8666666666666667E-3</v>
      </c>
      <c r="H132" s="438">
        <v>2.7708333333333335E-3</v>
      </c>
      <c r="I132" s="438">
        <v>3.3833333333333332E-3</v>
      </c>
      <c r="J132" s="438">
        <f t="shared" si="12"/>
        <v>1.2800000000000001E-2</v>
      </c>
      <c r="K132" s="438">
        <f t="shared" si="16"/>
        <v>1.2329166666666667E-2</v>
      </c>
      <c r="L132" s="438">
        <f t="shared" si="17"/>
        <v>-5.1833333333333332E-3</v>
      </c>
      <c r="M132" s="446">
        <f t="shared" si="13"/>
        <v>0.4755138217329653</v>
      </c>
      <c r="N132" s="446">
        <f t="shared" si="14"/>
        <v>2.76E-2</v>
      </c>
      <c r="O132" s="446">
        <f t="shared" si="18"/>
        <v>3.3250000000000002E-2</v>
      </c>
      <c r="P132" s="447">
        <f t="shared" si="15"/>
        <v>0.44791382173296529</v>
      </c>
      <c r="Q132" s="446">
        <f t="shared" si="19"/>
        <v>0.4422638217329653</v>
      </c>
      <c r="R132" s="446">
        <f t="shared" si="20"/>
        <v>0.42051219381264482</v>
      </c>
      <c r="S132" s="446">
        <f t="shared" si="21"/>
        <v>4.0599999999999997E-2</v>
      </c>
      <c r="T132" s="447">
        <f t="shared" si="22"/>
        <v>0.37991219381264485</v>
      </c>
      <c r="V132" s="448"/>
      <c r="W132" s="448"/>
      <c r="X132" s="448"/>
      <c r="Y132" s="448"/>
      <c r="Z132" s="448"/>
      <c r="AA132" s="448"/>
      <c r="AB132" s="448"/>
      <c r="AC132" s="448"/>
      <c r="AD132" s="448"/>
      <c r="AF132" s="448"/>
      <c r="AG132" s="448"/>
      <c r="AH132" s="448"/>
      <c r="AI132" s="448"/>
      <c r="AJ132" s="448"/>
      <c r="AK132" s="448"/>
      <c r="AL132" s="448"/>
      <c r="AM132" s="448"/>
      <c r="AN132" s="448"/>
      <c r="AP132" s="448"/>
      <c r="AQ132" s="448"/>
      <c r="AR132" s="448"/>
      <c r="AS132" s="448"/>
      <c r="AT132" s="448"/>
      <c r="AU132" s="448"/>
      <c r="AV132" s="448"/>
      <c r="AW132" s="448"/>
      <c r="AX132" s="448"/>
    </row>
    <row r="133" spans="1:50" x14ac:dyDescent="0.4">
      <c r="A133" s="442" t="str">
        <f t="shared" si="23"/>
        <v>91936</v>
      </c>
      <c r="B133" s="442">
        <v>13394</v>
      </c>
      <c r="C133" s="455">
        <v>3.0999999999999999E-3</v>
      </c>
      <c r="D133" s="438">
        <v>-2.2499999999999999E-2</v>
      </c>
      <c r="E133" s="438">
        <v>2.0999999999999999E-3</v>
      </c>
      <c r="F133" s="438">
        <v>2.65E-3</v>
      </c>
      <c r="G133" s="438">
        <v>2.8416666666666668E-3</v>
      </c>
      <c r="H133" s="438">
        <v>2.7458333333333336E-3</v>
      </c>
      <c r="I133" s="438">
        <v>3.3749999999999995E-3</v>
      </c>
      <c r="J133" s="438">
        <f t="shared" si="12"/>
        <v>1E-3</v>
      </c>
      <c r="K133" s="438">
        <f t="shared" si="16"/>
        <v>3.5416666666666626E-4</v>
      </c>
      <c r="L133" s="438">
        <f t="shared" si="17"/>
        <v>-2.5874999999999999E-2</v>
      </c>
      <c r="M133" s="446">
        <f t="shared" si="13"/>
        <v>0.44314344245352744</v>
      </c>
      <c r="N133" s="446">
        <f t="shared" si="14"/>
        <v>2.52E-2</v>
      </c>
      <c r="O133" s="446">
        <f t="shared" si="18"/>
        <v>3.2950000000000007E-2</v>
      </c>
      <c r="P133" s="447">
        <f t="shared" si="15"/>
        <v>0.41794344245352744</v>
      </c>
      <c r="Q133" s="446">
        <f t="shared" si="19"/>
        <v>0.4101934424535274</v>
      </c>
      <c r="R133" s="446">
        <f t="shared" si="20"/>
        <v>0.40570021203873274</v>
      </c>
      <c r="S133" s="446">
        <f t="shared" si="21"/>
        <v>4.0499999999999994E-2</v>
      </c>
      <c r="T133" s="447">
        <f t="shared" si="22"/>
        <v>0.36520021203873276</v>
      </c>
      <c r="V133" s="448"/>
      <c r="W133" s="448"/>
      <c r="X133" s="448"/>
      <c r="Y133" s="448"/>
      <c r="Z133" s="448"/>
      <c r="AA133" s="448"/>
      <c r="AB133" s="448"/>
      <c r="AC133" s="448"/>
      <c r="AD133" s="448"/>
      <c r="AF133" s="448"/>
      <c r="AG133" s="448"/>
      <c r="AH133" s="448"/>
      <c r="AI133" s="448"/>
      <c r="AJ133" s="448"/>
      <c r="AK133" s="448"/>
      <c r="AL133" s="448"/>
      <c r="AM133" s="448"/>
      <c r="AN133" s="448"/>
      <c r="AP133" s="448"/>
      <c r="AQ133" s="448"/>
      <c r="AR133" s="448"/>
      <c r="AS133" s="448"/>
      <c r="AT133" s="448"/>
      <c r="AU133" s="448"/>
      <c r="AV133" s="448"/>
      <c r="AW133" s="448"/>
      <c r="AX133" s="448"/>
    </row>
    <row r="134" spans="1:50" x14ac:dyDescent="0.4">
      <c r="A134" s="442" t="str">
        <f t="shared" si="23"/>
        <v>101936</v>
      </c>
      <c r="B134" s="442">
        <v>13424</v>
      </c>
      <c r="C134" s="455">
        <v>7.7499999999999999E-2</v>
      </c>
      <c r="D134" s="438">
        <v>5.6600000000000004E-2</v>
      </c>
      <c r="E134" s="438">
        <v>2.3E-3</v>
      </c>
      <c r="F134" s="438">
        <v>2.65E-3</v>
      </c>
      <c r="G134" s="438">
        <v>2.8083333333333333E-3</v>
      </c>
      <c r="H134" s="438">
        <v>2.7291666666666671E-3</v>
      </c>
      <c r="I134" s="438">
        <v>3.3666666666666667E-3</v>
      </c>
      <c r="J134" s="438">
        <f t="shared" ref="J134:J197" si="24">C134-E134</f>
        <v>7.5200000000000003E-2</v>
      </c>
      <c r="K134" s="438">
        <f t="shared" si="16"/>
        <v>7.4770833333333328E-2</v>
      </c>
      <c r="L134" s="438">
        <f t="shared" si="17"/>
        <v>5.3233333333333341E-2</v>
      </c>
      <c r="M134" s="446">
        <f t="shared" si="13"/>
        <v>0.44287562331230923</v>
      </c>
      <c r="N134" s="446">
        <f t="shared" si="14"/>
        <v>2.76E-2</v>
      </c>
      <c r="O134" s="446">
        <f t="shared" si="18"/>
        <v>3.2750000000000001E-2</v>
      </c>
      <c r="P134" s="447">
        <f t="shared" si="15"/>
        <v>0.41527562331230922</v>
      </c>
      <c r="Q134" s="446">
        <f t="shared" si="19"/>
        <v>0.41012562331230923</v>
      </c>
      <c r="R134" s="446">
        <f t="shared" si="20"/>
        <v>0.32329191379198585</v>
      </c>
      <c r="S134" s="446">
        <f t="shared" si="21"/>
        <v>4.0399999999999998E-2</v>
      </c>
      <c r="T134" s="447">
        <f t="shared" si="22"/>
        <v>0.28289191379198586</v>
      </c>
      <c r="V134" s="448"/>
      <c r="W134" s="448"/>
      <c r="X134" s="448"/>
      <c r="Y134" s="448"/>
      <c r="Z134" s="448"/>
      <c r="AA134" s="448"/>
      <c r="AB134" s="448"/>
      <c r="AC134" s="448"/>
      <c r="AD134" s="448"/>
      <c r="AF134" s="448"/>
      <c r="AG134" s="448"/>
      <c r="AH134" s="448"/>
      <c r="AI134" s="448"/>
      <c r="AJ134" s="448"/>
      <c r="AK134" s="448"/>
      <c r="AL134" s="448"/>
      <c r="AM134" s="448"/>
      <c r="AN134" s="448"/>
      <c r="AP134" s="448"/>
      <c r="AQ134" s="448"/>
      <c r="AR134" s="448"/>
      <c r="AS134" s="448"/>
      <c r="AT134" s="448"/>
      <c r="AU134" s="448"/>
      <c r="AV134" s="448"/>
      <c r="AW134" s="448"/>
      <c r="AX134" s="448"/>
    </row>
    <row r="135" spans="1:50" x14ac:dyDescent="0.4">
      <c r="A135" s="442" t="str">
        <f t="shared" si="23"/>
        <v>111936</v>
      </c>
      <c r="B135" s="442">
        <v>13455</v>
      </c>
      <c r="C135" s="455">
        <v>1.34E-2</v>
      </c>
      <c r="D135" s="438">
        <v>-1.6900000000000002E-2</v>
      </c>
      <c r="E135" s="438">
        <v>2.2000000000000001E-3</v>
      </c>
      <c r="F135" s="438">
        <v>2.6250000000000002E-3</v>
      </c>
      <c r="G135" s="438">
        <v>2.7583333333333331E-3</v>
      </c>
      <c r="H135" s="438">
        <v>2.6916666666666669E-3</v>
      </c>
      <c r="I135" s="438">
        <v>3.2916666666666667E-3</v>
      </c>
      <c r="J135" s="438">
        <f t="shared" si="24"/>
        <v>1.12E-2</v>
      </c>
      <c r="K135" s="438">
        <f t="shared" si="16"/>
        <v>1.0708333333333334E-2</v>
      </c>
      <c r="L135" s="438">
        <f t="shared" si="17"/>
        <v>-2.019166666666667E-2</v>
      </c>
      <c r="M135" s="446">
        <f t="shared" si="13"/>
        <v>0.39603795748013604</v>
      </c>
      <c r="N135" s="446">
        <f t="shared" si="14"/>
        <v>2.64E-2</v>
      </c>
      <c r="O135" s="446">
        <f t="shared" si="18"/>
        <v>3.2300000000000002E-2</v>
      </c>
      <c r="P135" s="447">
        <f t="shared" si="15"/>
        <v>0.36963795748013606</v>
      </c>
      <c r="Q135" s="446">
        <f t="shared" si="19"/>
        <v>0.36373795748013604</v>
      </c>
      <c r="R135" s="446">
        <f t="shared" si="20"/>
        <v>0.2870283740095978</v>
      </c>
      <c r="S135" s="446">
        <f t="shared" si="21"/>
        <v>3.95E-2</v>
      </c>
      <c r="T135" s="447">
        <f t="shared" si="22"/>
        <v>0.24752837400959779</v>
      </c>
      <c r="V135" s="448"/>
      <c r="W135" s="448"/>
      <c r="X135" s="448"/>
      <c r="Y135" s="448"/>
      <c r="Z135" s="448"/>
      <c r="AA135" s="448"/>
      <c r="AB135" s="448"/>
      <c r="AC135" s="448"/>
      <c r="AD135" s="448"/>
      <c r="AF135" s="448"/>
      <c r="AG135" s="448"/>
      <c r="AH135" s="448"/>
      <c r="AI135" s="448"/>
      <c r="AJ135" s="448"/>
      <c r="AK135" s="448"/>
      <c r="AL135" s="448"/>
      <c r="AM135" s="448"/>
      <c r="AN135" s="448"/>
      <c r="AP135" s="448"/>
      <c r="AQ135" s="448"/>
      <c r="AR135" s="448"/>
      <c r="AS135" s="448"/>
      <c r="AT135" s="448"/>
      <c r="AU135" s="448"/>
      <c r="AV135" s="448"/>
      <c r="AW135" s="448"/>
      <c r="AX135" s="448"/>
    </row>
    <row r="136" spans="1:50" x14ac:dyDescent="0.4">
      <c r="A136" s="442" t="str">
        <f t="shared" si="23"/>
        <v>121936</v>
      </c>
      <c r="B136" s="442">
        <v>13485</v>
      </c>
      <c r="C136" s="455">
        <v>-2.8999999999999998E-3</v>
      </c>
      <c r="D136" s="438">
        <v>-1.7399999999999999E-2</v>
      </c>
      <c r="E136" s="438">
        <v>2.2000000000000001E-3</v>
      </c>
      <c r="F136" s="438">
        <v>2.5833333333333337E-3</v>
      </c>
      <c r="G136" s="438">
        <v>2.7333333333333333E-3</v>
      </c>
      <c r="H136" s="438">
        <v>2.6583333333333337E-3</v>
      </c>
      <c r="I136" s="438">
        <v>3.1916666666666664E-3</v>
      </c>
      <c r="J136" s="438">
        <f t="shared" si="24"/>
        <v>-5.1000000000000004E-3</v>
      </c>
      <c r="K136" s="438">
        <f t="shared" si="16"/>
        <v>-5.5583333333333335E-3</v>
      </c>
      <c r="L136" s="438">
        <f t="shared" si="17"/>
        <v>-2.0591666666666664E-2</v>
      </c>
      <c r="M136" s="446">
        <f t="shared" si="13"/>
        <v>0.3392240209769517</v>
      </c>
      <c r="N136" s="446">
        <f t="shared" si="14"/>
        <v>2.64E-2</v>
      </c>
      <c r="O136" s="446">
        <f t="shared" si="18"/>
        <v>3.1900000000000005E-2</v>
      </c>
      <c r="P136" s="447">
        <f t="shared" si="15"/>
        <v>0.31282402097695172</v>
      </c>
      <c r="Q136" s="446">
        <f t="shared" si="19"/>
        <v>0.30732402097695172</v>
      </c>
      <c r="R136" s="446">
        <f t="shared" si="20"/>
        <v>0.20682706393914541</v>
      </c>
      <c r="S136" s="446">
        <f t="shared" si="21"/>
        <v>3.8300000000000001E-2</v>
      </c>
      <c r="T136" s="447">
        <f t="shared" si="22"/>
        <v>0.16852706393914541</v>
      </c>
      <c r="V136" s="448"/>
      <c r="W136" s="448"/>
      <c r="X136" s="448"/>
      <c r="Y136" s="448"/>
      <c r="Z136" s="448"/>
      <c r="AA136" s="448"/>
      <c r="AB136" s="448"/>
      <c r="AC136" s="448"/>
      <c r="AD136" s="448"/>
      <c r="AF136" s="448"/>
      <c r="AG136" s="448"/>
      <c r="AH136" s="448"/>
      <c r="AI136" s="448"/>
      <c r="AJ136" s="448"/>
      <c r="AK136" s="448"/>
      <c r="AL136" s="448"/>
      <c r="AM136" s="448"/>
      <c r="AN136" s="448"/>
      <c r="AP136" s="448"/>
      <c r="AQ136" s="448"/>
      <c r="AR136" s="448"/>
      <c r="AS136" s="448"/>
      <c r="AT136" s="448"/>
      <c r="AU136" s="448"/>
      <c r="AV136" s="448"/>
      <c r="AW136" s="448"/>
      <c r="AX136" s="448"/>
    </row>
    <row r="137" spans="1:50" x14ac:dyDescent="0.4">
      <c r="A137" s="442" t="str">
        <f t="shared" si="23"/>
        <v>11937</v>
      </c>
      <c r="B137" s="442">
        <v>13516</v>
      </c>
      <c r="C137" s="455">
        <v>3.9E-2</v>
      </c>
      <c r="D137" s="438">
        <v>1.9500000000000003E-2</v>
      </c>
      <c r="E137" s="438">
        <v>2.0999999999999999E-3</v>
      </c>
      <c r="F137" s="438">
        <v>2.5833333333333337E-3</v>
      </c>
      <c r="G137" s="438">
        <v>2.7499999999999998E-3</v>
      </c>
      <c r="H137" s="438">
        <v>2.6666666666666666E-3</v>
      </c>
      <c r="I137" s="438">
        <v>3.1833333333333336E-3</v>
      </c>
      <c r="J137" s="438">
        <f t="shared" si="24"/>
        <v>3.6900000000000002E-2</v>
      </c>
      <c r="K137" s="438">
        <f t="shared" si="16"/>
        <v>3.6333333333333336E-2</v>
      </c>
      <c r="L137" s="438">
        <f t="shared" si="17"/>
        <v>1.631666666666667E-2</v>
      </c>
      <c r="M137" s="446">
        <f t="shared" si="13"/>
        <v>0.30408037281635614</v>
      </c>
      <c r="N137" s="446">
        <f t="shared" si="14"/>
        <v>2.52E-2</v>
      </c>
      <c r="O137" s="446">
        <f t="shared" si="18"/>
        <v>3.2000000000000001E-2</v>
      </c>
      <c r="P137" s="447">
        <f t="shared" si="15"/>
        <v>0.27888037281635614</v>
      </c>
      <c r="Q137" s="446">
        <f t="shared" si="19"/>
        <v>0.27208037281635611</v>
      </c>
      <c r="R137" s="446">
        <f t="shared" si="20"/>
        <v>0.10813310968743495</v>
      </c>
      <c r="S137" s="446">
        <f t="shared" si="21"/>
        <v>3.8200000000000005E-2</v>
      </c>
      <c r="T137" s="447">
        <f t="shared" si="22"/>
        <v>6.9933109687434936E-2</v>
      </c>
      <c r="V137" s="448"/>
      <c r="W137" s="448"/>
      <c r="X137" s="448"/>
      <c r="Y137" s="448"/>
      <c r="Z137" s="448"/>
      <c r="AA137" s="448"/>
      <c r="AB137" s="448"/>
      <c r="AC137" s="448"/>
      <c r="AD137" s="448"/>
      <c r="AF137" s="448"/>
      <c r="AG137" s="448"/>
      <c r="AH137" s="448"/>
      <c r="AI137" s="448"/>
      <c r="AJ137" s="448"/>
      <c r="AK137" s="448"/>
      <c r="AL137" s="448"/>
      <c r="AM137" s="448"/>
      <c r="AN137" s="448"/>
      <c r="AP137" s="448"/>
      <c r="AQ137" s="448"/>
      <c r="AR137" s="448"/>
      <c r="AS137" s="448"/>
      <c r="AT137" s="448"/>
      <c r="AU137" s="448"/>
      <c r="AV137" s="448"/>
      <c r="AW137" s="448"/>
      <c r="AX137" s="448"/>
    </row>
    <row r="138" spans="1:50" x14ac:dyDescent="0.4">
      <c r="A138" s="442" t="str">
        <f t="shared" si="23"/>
        <v>21937</v>
      </c>
      <c r="B138" s="442">
        <v>13547</v>
      </c>
      <c r="C138" s="455">
        <v>1.9099999999999999E-2</v>
      </c>
      <c r="D138" s="438">
        <v>-3.5299999999999998E-2</v>
      </c>
      <c r="E138" s="438">
        <v>2E-3</v>
      </c>
      <c r="F138" s="438">
        <v>2.6833333333333336E-3</v>
      </c>
      <c r="G138" s="438">
        <v>2.8333333333333331E-3</v>
      </c>
      <c r="H138" s="438">
        <v>2.7583333333333336E-3</v>
      </c>
      <c r="I138" s="438">
        <v>3.2416666666666666E-3</v>
      </c>
      <c r="J138" s="438">
        <f t="shared" si="24"/>
        <v>1.7099999999999997E-2</v>
      </c>
      <c r="K138" s="438">
        <f t="shared" si="16"/>
        <v>1.6341666666666664E-2</v>
      </c>
      <c r="L138" s="438">
        <f t="shared" si="17"/>
        <v>-3.8541666666666662E-2</v>
      </c>
      <c r="M138" s="446">
        <f t="shared" si="13"/>
        <v>0.29987119320926081</v>
      </c>
      <c r="N138" s="446">
        <f t="shared" si="14"/>
        <v>2.4E-2</v>
      </c>
      <c r="O138" s="446">
        <f t="shared" si="18"/>
        <v>3.3100000000000004E-2</v>
      </c>
      <c r="P138" s="447">
        <f t="shared" si="15"/>
        <v>0.27587119320926079</v>
      </c>
      <c r="Q138" s="446">
        <f t="shared" si="19"/>
        <v>0.26677119320926079</v>
      </c>
      <c r="R138" s="446">
        <f t="shared" si="20"/>
        <v>0.10687099908414588</v>
      </c>
      <c r="S138" s="446">
        <f t="shared" si="21"/>
        <v>3.8899999999999997E-2</v>
      </c>
      <c r="T138" s="447">
        <f t="shared" si="22"/>
        <v>6.7970999084145889E-2</v>
      </c>
      <c r="V138" s="448"/>
      <c r="W138" s="448"/>
      <c r="X138" s="448"/>
      <c r="Y138" s="448"/>
      <c r="Z138" s="448"/>
      <c r="AA138" s="448"/>
      <c r="AB138" s="448"/>
      <c r="AC138" s="448"/>
      <c r="AD138" s="448"/>
      <c r="AF138" s="448"/>
      <c r="AG138" s="448"/>
      <c r="AH138" s="448"/>
      <c r="AI138" s="448"/>
      <c r="AJ138" s="448"/>
      <c r="AK138" s="448"/>
      <c r="AL138" s="448"/>
      <c r="AM138" s="448"/>
      <c r="AN138" s="448"/>
      <c r="AP138" s="448"/>
      <c r="AQ138" s="448"/>
      <c r="AR138" s="448"/>
      <c r="AS138" s="448"/>
      <c r="AT138" s="448"/>
      <c r="AU138" s="448"/>
      <c r="AV138" s="448"/>
      <c r="AW138" s="448"/>
      <c r="AX138" s="448"/>
    </row>
    <row r="139" spans="1:50" x14ac:dyDescent="0.4">
      <c r="A139" s="442" t="str">
        <f t="shared" si="23"/>
        <v>31937</v>
      </c>
      <c r="B139" s="442">
        <v>13575</v>
      </c>
      <c r="C139" s="455">
        <v>-7.7000000000000002E-3</v>
      </c>
      <c r="D139" s="438">
        <v>-5.7300000000000004E-2</v>
      </c>
      <c r="E139" s="438">
        <v>2.2000000000000001E-3</v>
      </c>
      <c r="F139" s="438">
        <v>2.7666666666666668E-3</v>
      </c>
      <c r="G139" s="438">
        <v>2.9166666666666668E-3</v>
      </c>
      <c r="H139" s="438">
        <v>2.8416666666666668E-3</v>
      </c>
      <c r="I139" s="438">
        <v>3.3333333333333331E-3</v>
      </c>
      <c r="J139" s="438">
        <f t="shared" si="24"/>
        <v>-9.9000000000000008E-3</v>
      </c>
      <c r="K139" s="438">
        <f t="shared" si="16"/>
        <v>-1.0541666666666668E-2</v>
      </c>
      <c r="L139" s="438">
        <f t="shared" si="17"/>
        <v>-6.0633333333333338E-2</v>
      </c>
      <c r="M139" s="446">
        <f t="shared" si="13"/>
        <v>0.25619612877050035</v>
      </c>
      <c r="N139" s="446">
        <f t="shared" si="14"/>
        <v>2.64E-2</v>
      </c>
      <c r="O139" s="446">
        <f t="shared" si="18"/>
        <v>3.4100000000000005E-2</v>
      </c>
      <c r="P139" s="447">
        <f t="shared" si="15"/>
        <v>0.22979612877050035</v>
      </c>
      <c r="Q139" s="446">
        <f t="shared" si="19"/>
        <v>0.22209612877050033</v>
      </c>
      <c r="R139" s="446">
        <f t="shared" si="20"/>
        <v>4.0015240542833119E-2</v>
      </c>
      <c r="S139" s="446">
        <f t="shared" si="21"/>
        <v>3.9999999999999994E-2</v>
      </c>
      <c r="T139" s="447">
        <f t="shared" si="22"/>
        <v>1.524054283312537E-5</v>
      </c>
      <c r="V139" s="448"/>
      <c r="W139" s="448"/>
      <c r="X139" s="448"/>
      <c r="Y139" s="448"/>
      <c r="Z139" s="448"/>
      <c r="AA139" s="448"/>
      <c r="AB139" s="448"/>
      <c r="AC139" s="448"/>
      <c r="AD139" s="448"/>
      <c r="AF139" s="448"/>
      <c r="AG139" s="448"/>
      <c r="AH139" s="448"/>
      <c r="AI139" s="448"/>
      <c r="AJ139" s="448"/>
      <c r="AK139" s="448"/>
      <c r="AL139" s="448"/>
      <c r="AM139" s="448"/>
      <c r="AN139" s="448"/>
      <c r="AP139" s="448"/>
      <c r="AQ139" s="448"/>
      <c r="AR139" s="448"/>
      <c r="AS139" s="448"/>
      <c r="AT139" s="448"/>
      <c r="AU139" s="448"/>
      <c r="AV139" s="448"/>
      <c r="AW139" s="448"/>
      <c r="AX139" s="448"/>
    </row>
    <row r="140" spans="1:50" x14ac:dyDescent="0.4">
      <c r="A140" s="442" t="str">
        <f t="shared" si="23"/>
        <v>41937</v>
      </c>
      <c r="B140" s="442">
        <v>13606</v>
      </c>
      <c r="C140" s="455">
        <v>-8.09E-2</v>
      </c>
      <c r="D140" s="438">
        <v>-7.3599999999999999E-2</v>
      </c>
      <c r="E140" s="438">
        <v>2.3E-3</v>
      </c>
      <c r="F140" s="438">
        <v>2.8499999999999997E-3</v>
      </c>
      <c r="G140" s="438">
        <v>2.9749999999999998E-3</v>
      </c>
      <c r="H140" s="438">
        <v>2.9125000000000002E-3</v>
      </c>
      <c r="I140" s="438">
        <v>3.3916666666666665E-3</v>
      </c>
      <c r="J140" s="438">
        <f t="shared" si="24"/>
        <v>-8.3199999999999996E-2</v>
      </c>
      <c r="K140" s="438">
        <f t="shared" si="16"/>
        <v>-8.3812499999999998E-2</v>
      </c>
      <c r="L140" s="438">
        <f t="shared" si="17"/>
        <v>-7.6991666666666667E-2</v>
      </c>
      <c r="M140" s="446">
        <f t="shared" si="13"/>
        <v>0.24831858790460259</v>
      </c>
      <c r="N140" s="446">
        <f t="shared" si="14"/>
        <v>2.76E-2</v>
      </c>
      <c r="O140" s="446">
        <f t="shared" si="18"/>
        <v>3.4950000000000002E-2</v>
      </c>
      <c r="P140" s="447">
        <f t="shared" si="15"/>
        <v>0.22071858790460258</v>
      </c>
      <c r="Q140" s="446">
        <f t="shared" si="19"/>
        <v>0.21336858790460259</v>
      </c>
      <c r="R140" s="446">
        <f t="shared" si="20"/>
        <v>4.8846199476247021E-2</v>
      </c>
      <c r="S140" s="446">
        <f t="shared" si="21"/>
        <v>4.07E-2</v>
      </c>
      <c r="T140" s="447">
        <f t="shared" si="22"/>
        <v>8.1461994762470208E-3</v>
      </c>
      <c r="V140" s="448"/>
      <c r="W140" s="448"/>
      <c r="X140" s="448"/>
      <c r="Y140" s="448"/>
      <c r="Z140" s="448"/>
      <c r="AA140" s="448"/>
      <c r="AB140" s="448"/>
      <c r="AC140" s="448"/>
      <c r="AD140" s="448"/>
      <c r="AF140" s="448"/>
      <c r="AG140" s="448"/>
      <c r="AH140" s="448"/>
      <c r="AI140" s="448"/>
      <c r="AJ140" s="448"/>
      <c r="AK140" s="448"/>
      <c r="AL140" s="448"/>
      <c r="AM140" s="448"/>
      <c r="AN140" s="448"/>
      <c r="AP140" s="448"/>
      <c r="AQ140" s="448"/>
      <c r="AR140" s="448"/>
      <c r="AS140" s="448"/>
      <c r="AT140" s="448"/>
      <c r="AU140" s="448"/>
      <c r="AV140" s="448"/>
      <c r="AW140" s="448"/>
      <c r="AX140" s="448"/>
    </row>
    <row r="141" spans="1:50" x14ac:dyDescent="0.4">
      <c r="A141" s="442" t="str">
        <f t="shared" si="23"/>
        <v>51937</v>
      </c>
      <c r="B141" s="442">
        <v>13636</v>
      </c>
      <c r="C141" s="455">
        <v>-2.3999999999999998E-3</v>
      </c>
      <c r="D141" s="438">
        <v>-5.16E-2</v>
      </c>
      <c r="E141" s="438">
        <v>2.2000000000000001E-3</v>
      </c>
      <c r="F141" s="438">
        <v>2.7750000000000001E-3</v>
      </c>
      <c r="G141" s="438">
        <v>2.8999999999999998E-3</v>
      </c>
      <c r="H141" s="438">
        <v>2.8375000000000002E-3</v>
      </c>
      <c r="I141" s="438">
        <v>3.3333333333333331E-3</v>
      </c>
      <c r="J141" s="438">
        <f t="shared" si="24"/>
        <v>-4.5999999999999999E-3</v>
      </c>
      <c r="K141" s="438">
        <f t="shared" si="16"/>
        <v>-5.2375E-3</v>
      </c>
      <c r="L141" s="438">
        <f t="shared" si="17"/>
        <v>-5.4933333333333334E-2</v>
      </c>
      <c r="M141" s="446">
        <f t="shared" si="13"/>
        <v>0.18096028761842731</v>
      </c>
      <c r="N141" s="446">
        <f t="shared" si="14"/>
        <v>2.64E-2</v>
      </c>
      <c r="O141" s="446">
        <f t="shared" si="18"/>
        <v>3.4050000000000004E-2</v>
      </c>
      <c r="P141" s="447">
        <f t="shared" si="15"/>
        <v>0.1545602876184273</v>
      </c>
      <c r="Q141" s="446">
        <f t="shared" si="19"/>
        <v>0.14691028761842731</v>
      </c>
      <c r="R141" s="446">
        <f t="shared" si="20"/>
        <v>-7.5619611947520649E-2</v>
      </c>
      <c r="S141" s="446">
        <f t="shared" si="21"/>
        <v>3.9999999999999994E-2</v>
      </c>
      <c r="T141" s="447">
        <f t="shared" si="22"/>
        <v>-0.11561961194752064</v>
      </c>
      <c r="V141" s="448"/>
      <c r="W141" s="448"/>
      <c r="X141" s="448"/>
      <c r="Y141" s="448"/>
      <c r="Z141" s="448"/>
      <c r="AA141" s="448"/>
      <c r="AB141" s="448"/>
      <c r="AC141" s="448"/>
      <c r="AD141" s="448"/>
      <c r="AF141" s="448"/>
      <c r="AG141" s="448"/>
      <c r="AH141" s="448"/>
      <c r="AI141" s="448"/>
      <c r="AJ141" s="448"/>
      <c r="AK141" s="448"/>
      <c r="AL141" s="448"/>
      <c r="AM141" s="448"/>
      <c r="AN141" s="448"/>
      <c r="AP141" s="448"/>
      <c r="AQ141" s="448"/>
      <c r="AR141" s="448"/>
      <c r="AS141" s="448"/>
      <c r="AT141" s="448"/>
      <c r="AU141" s="448"/>
      <c r="AV141" s="448"/>
      <c r="AW141" s="448"/>
      <c r="AX141" s="448"/>
    </row>
    <row r="142" spans="1:50" x14ac:dyDescent="0.4">
      <c r="A142" s="442" t="str">
        <f t="shared" si="23"/>
        <v>61937</v>
      </c>
      <c r="B142" s="442">
        <v>13667</v>
      </c>
      <c r="C142" s="455">
        <v>-5.04E-2</v>
      </c>
      <c r="D142" s="438">
        <v>-4.6699999999999998E-2</v>
      </c>
      <c r="E142" s="438">
        <v>2.5000000000000001E-3</v>
      </c>
      <c r="F142" s="438">
        <v>2.7333333333333333E-3</v>
      </c>
      <c r="G142" s="438">
        <v>2.8583333333333334E-3</v>
      </c>
      <c r="H142" s="438">
        <v>2.7958333333333329E-3</v>
      </c>
      <c r="I142" s="438">
        <v>3.3250000000000003E-3</v>
      </c>
      <c r="J142" s="438">
        <f t="shared" si="24"/>
        <v>-5.2900000000000003E-2</v>
      </c>
      <c r="K142" s="438">
        <f t="shared" si="16"/>
        <v>-5.3195833333333331E-2</v>
      </c>
      <c r="L142" s="438">
        <f t="shared" si="17"/>
        <v>-5.0025E-2</v>
      </c>
      <c r="M142" s="446">
        <f t="shared" si="13"/>
        <v>8.5299418486846523E-2</v>
      </c>
      <c r="N142" s="446">
        <f t="shared" si="14"/>
        <v>0.03</v>
      </c>
      <c r="O142" s="446">
        <f t="shared" si="18"/>
        <v>3.3549999999999996E-2</v>
      </c>
      <c r="P142" s="447">
        <f t="shared" si="15"/>
        <v>5.5299418486846524E-2</v>
      </c>
      <c r="Q142" s="446">
        <f t="shared" si="19"/>
        <v>5.1749418486846527E-2</v>
      </c>
      <c r="R142" s="446">
        <f t="shared" si="20"/>
        <v>-0.14858760972905438</v>
      </c>
      <c r="S142" s="446">
        <f t="shared" si="21"/>
        <v>3.9900000000000005E-2</v>
      </c>
      <c r="T142" s="447">
        <f t="shared" si="22"/>
        <v>-0.18848760972905437</v>
      </c>
      <c r="V142" s="448"/>
      <c r="W142" s="448"/>
      <c r="X142" s="448"/>
      <c r="Y142" s="448"/>
      <c r="Z142" s="448"/>
      <c r="AA142" s="448"/>
      <c r="AB142" s="448"/>
      <c r="AC142" s="448"/>
      <c r="AD142" s="448"/>
      <c r="AF142" s="448"/>
      <c r="AG142" s="448"/>
      <c r="AH142" s="448"/>
      <c r="AI142" s="448"/>
      <c r="AJ142" s="448"/>
      <c r="AK142" s="448"/>
      <c r="AL142" s="448"/>
      <c r="AM142" s="448"/>
      <c r="AN142" s="448"/>
      <c r="AP142" s="448"/>
      <c r="AQ142" s="448"/>
      <c r="AR142" s="448"/>
      <c r="AS142" s="448"/>
      <c r="AT142" s="448"/>
      <c r="AU142" s="448"/>
      <c r="AV142" s="448"/>
      <c r="AW142" s="448"/>
      <c r="AX142" s="448"/>
    </row>
    <row r="143" spans="1:50" x14ac:dyDescent="0.4">
      <c r="A143" s="442" t="str">
        <f t="shared" si="23"/>
        <v>71937</v>
      </c>
      <c r="B143" s="442">
        <v>13697</v>
      </c>
      <c r="C143" s="455">
        <v>0.1045</v>
      </c>
      <c r="D143" s="438">
        <v>0.1671</v>
      </c>
      <c r="E143" s="438">
        <v>2.3999999999999998E-3</v>
      </c>
      <c r="F143" s="438">
        <v>2.708333333333333E-3</v>
      </c>
      <c r="G143" s="438">
        <v>2.8416666666666668E-3</v>
      </c>
      <c r="H143" s="438">
        <v>2.7749999999999997E-3</v>
      </c>
      <c r="I143" s="438">
        <v>3.283333333333333E-3</v>
      </c>
      <c r="J143" s="438">
        <f t="shared" si="24"/>
        <v>0.1021</v>
      </c>
      <c r="K143" s="438">
        <f t="shared" si="16"/>
        <v>0.101725</v>
      </c>
      <c r="L143" s="438">
        <f t="shared" si="17"/>
        <v>0.16381666666666667</v>
      </c>
      <c r="M143" s="446">
        <f t="shared" si="13"/>
        <v>0.12018802702431697</v>
      </c>
      <c r="N143" s="446">
        <f t="shared" si="14"/>
        <v>2.8799999999999999E-2</v>
      </c>
      <c r="O143" s="446">
        <f t="shared" si="18"/>
        <v>3.3299999999999996E-2</v>
      </c>
      <c r="P143" s="447">
        <f t="shared" si="15"/>
        <v>9.1388027024316976E-2</v>
      </c>
      <c r="Q143" s="446">
        <f t="shared" si="19"/>
        <v>8.6888027024316972E-2</v>
      </c>
      <c r="R143" s="446">
        <f t="shared" si="20"/>
        <v>-9.7389953051848166E-2</v>
      </c>
      <c r="S143" s="446">
        <f t="shared" si="21"/>
        <v>3.9399999999999998E-2</v>
      </c>
      <c r="T143" s="447">
        <f t="shared" si="22"/>
        <v>-0.13678995305184816</v>
      </c>
      <c r="V143" s="448"/>
      <c r="W143" s="448"/>
      <c r="X143" s="448"/>
      <c r="Y143" s="448"/>
      <c r="Z143" s="448"/>
      <c r="AA143" s="448"/>
      <c r="AB143" s="448"/>
      <c r="AC143" s="448"/>
      <c r="AD143" s="448"/>
      <c r="AF143" s="448"/>
      <c r="AG143" s="448"/>
      <c r="AH143" s="448"/>
      <c r="AI143" s="448"/>
      <c r="AJ143" s="448"/>
      <c r="AK143" s="448"/>
      <c r="AL143" s="448"/>
      <c r="AM143" s="448"/>
      <c r="AN143" s="448"/>
      <c r="AP143" s="448"/>
      <c r="AQ143" s="448"/>
      <c r="AR143" s="448"/>
      <c r="AS143" s="448"/>
      <c r="AT143" s="448"/>
      <c r="AU143" s="448"/>
      <c r="AV143" s="448"/>
      <c r="AW143" s="448"/>
      <c r="AX143" s="448"/>
    </row>
    <row r="144" spans="1:50" x14ac:dyDescent="0.4">
      <c r="A144" s="442" t="str">
        <f t="shared" si="23"/>
        <v>81937</v>
      </c>
      <c r="B144" s="442">
        <v>13728</v>
      </c>
      <c r="C144" s="455">
        <v>-4.8300000000000003E-2</v>
      </c>
      <c r="D144" s="438">
        <v>-9.0300000000000005E-2</v>
      </c>
      <c r="E144" s="438">
        <v>2.3E-3</v>
      </c>
      <c r="F144" s="438">
        <v>2.7000000000000001E-3</v>
      </c>
      <c r="G144" s="438">
        <v>2.8416666666666668E-3</v>
      </c>
      <c r="H144" s="438">
        <v>2.7708333333333335E-3</v>
      </c>
      <c r="I144" s="438">
        <v>3.2416666666666666E-3</v>
      </c>
      <c r="J144" s="438">
        <f t="shared" si="24"/>
        <v>-5.0600000000000006E-2</v>
      </c>
      <c r="K144" s="438">
        <f t="shared" si="16"/>
        <v>-5.1070833333333336E-2</v>
      </c>
      <c r="L144" s="438">
        <f t="shared" si="17"/>
        <v>-9.3541666666666676E-2</v>
      </c>
      <c r="M144" s="446">
        <f t="shared" ref="M144:M207" si="25">((1+C133)*(1+C134)*(1+C135)*(1+C136)*(1+C137)*(1+C138)*(1+C139)*(1+C140)*(1+C141)*(1+C142)*(1+C143)*(1+C144))-1</f>
        <v>5.0224554545407196E-2</v>
      </c>
      <c r="N144" s="446">
        <f t="shared" ref="N144:N207" si="26">E144*12</f>
        <v>2.76E-2</v>
      </c>
      <c r="O144" s="446">
        <f t="shared" si="18"/>
        <v>3.3250000000000002E-2</v>
      </c>
      <c r="P144" s="447">
        <f t="shared" ref="P144:P207" si="27">M144-N144</f>
        <v>2.2624554545407197E-2</v>
      </c>
      <c r="Q144" s="446">
        <f t="shared" si="19"/>
        <v>1.6974554545407194E-2</v>
      </c>
      <c r="R144" s="446">
        <f t="shared" si="20"/>
        <v>-0.17741498726834937</v>
      </c>
      <c r="S144" s="446">
        <f t="shared" si="21"/>
        <v>3.8899999999999997E-2</v>
      </c>
      <c r="T144" s="447">
        <f t="shared" si="22"/>
        <v>-0.21631498726834936</v>
      </c>
      <c r="V144" s="448"/>
      <c r="W144" s="448"/>
      <c r="X144" s="448"/>
      <c r="Y144" s="448"/>
      <c r="Z144" s="448"/>
      <c r="AA144" s="448"/>
      <c r="AB144" s="448"/>
      <c r="AC144" s="448"/>
      <c r="AD144" s="448"/>
      <c r="AF144" s="448"/>
      <c r="AG144" s="448"/>
      <c r="AH144" s="448"/>
      <c r="AI144" s="448"/>
      <c r="AJ144" s="448"/>
      <c r="AK144" s="448"/>
      <c r="AL144" s="448"/>
      <c r="AM144" s="448"/>
      <c r="AN144" s="448"/>
      <c r="AP144" s="448"/>
      <c r="AQ144" s="448"/>
      <c r="AR144" s="448"/>
      <c r="AS144" s="448"/>
      <c r="AT144" s="448"/>
      <c r="AU144" s="448"/>
      <c r="AV144" s="448"/>
      <c r="AW144" s="448"/>
      <c r="AX144" s="448"/>
    </row>
    <row r="145" spans="1:50" x14ac:dyDescent="0.4">
      <c r="A145" s="442" t="str">
        <f t="shared" si="23"/>
        <v>91937</v>
      </c>
      <c r="B145" s="442">
        <v>13759</v>
      </c>
      <c r="C145" s="455">
        <v>-0.14030000000000001</v>
      </c>
      <c r="D145" s="438">
        <v>-0.1174</v>
      </c>
      <c r="E145" s="438">
        <v>2.3E-3</v>
      </c>
      <c r="F145" s="438">
        <v>2.7333333333333333E-3</v>
      </c>
      <c r="G145" s="438">
        <v>2.8833333333333332E-3</v>
      </c>
      <c r="H145" s="438">
        <v>2.8083333333333333E-3</v>
      </c>
      <c r="I145" s="438">
        <v>3.3E-3</v>
      </c>
      <c r="J145" s="438">
        <f t="shared" si="24"/>
        <v>-0.1426</v>
      </c>
      <c r="K145" s="438">
        <f t="shared" si="16"/>
        <v>-0.14310833333333334</v>
      </c>
      <c r="L145" s="438">
        <f t="shared" si="17"/>
        <v>-0.1207</v>
      </c>
      <c r="M145" s="446">
        <f t="shared" si="25"/>
        <v>-9.9912222567354769E-2</v>
      </c>
      <c r="N145" s="446">
        <f t="shared" si="26"/>
        <v>2.76E-2</v>
      </c>
      <c r="O145" s="446">
        <f t="shared" si="18"/>
        <v>3.3700000000000001E-2</v>
      </c>
      <c r="P145" s="447">
        <f t="shared" si="27"/>
        <v>-0.12751222256735478</v>
      </c>
      <c r="Q145" s="446">
        <f t="shared" si="19"/>
        <v>-0.13361222256735478</v>
      </c>
      <c r="R145" s="446">
        <f t="shared" si="20"/>
        <v>-0.25727515883687468</v>
      </c>
      <c r="S145" s="446">
        <f t="shared" si="21"/>
        <v>3.9599999999999996E-2</v>
      </c>
      <c r="T145" s="447">
        <f t="shared" si="22"/>
        <v>-0.29687515883687465</v>
      </c>
      <c r="V145" s="448"/>
      <c r="W145" s="448"/>
      <c r="X145" s="448"/>
      <c r="Y145" s="448"/>
      <c r="Z145" s="448"/>
      <c r="AA145" s="448"/>
      <c r="AB145" s="448"/>
      <c r="AC145" s="448"/>
      <c r="AD145" s="448"/>
      <c r="AF145" s="448"/>
      <c r="AG145" s="448"/>
      <c r="AH145" s="448"/>
      <c r="AI145" s="448"/>
      <c r="AJ145" s="448"/>
      <c r="AK145" s="448"/>
      <c r="AL145" s="448"/>
      <c r="AM145" s="448"/>
      <c r="AN145" s="448"/>
      <c r="AP145" s="448"/>
      <c r="AQ145" s="448"/>
      <c r="AR145" s="448"/>
      <c r="AS145" s="448"/>
      <c r="AT145" s="448"/>
      <c r="AU145" s="448"/>
      <c r="AV145" s="448"/>
      <c r="AW145" s="448"/>
      <c r="AX145" s="448"/>
    </row>
    <row r="146" spans="1:50" x14ac:dyDescent="0.4">
      <c r="A146" s="442" t="str">
        <f t="shared" si="23"/>
        <v>101937</v>
      </c>
      <c r="B146" s="442">
        <v>13789</v>
      </c>
      <c r="C146" s="455">
        <v>-9.8100000000000007E-2</v>
      </c>
      <c r="D146" s="438">
        <v>-5.16E-2</v>
      </c>
      <c r="E146" s="438">
        <v>2.3E-3</v>
      </c>
      <c r="F146" s="438">
        <v>2.725E-3</v>
      </c>
      <c r="G146" s="438">
        <v>2.9416666666666662E-3</v>
      </c>
      <c r="H146" s="438">
        <v>2.8333333333333331E-3</v>
      </c>
      <c r="I146" s="438">
        <v>3.4083333333333331E-3</v>
      </c>
      <c r="J146" s="438">
        <f t="shared" si="24"/>
        <v>-0.1004</v>
      </c>
      <c r="K146" s="438">
        <f t="shared" si="16"/>
        <v>-0.10093333333333333</v>
      </c>
      <c r="L146" s="438">
        <f t="shared" si="17"/>
        <v>-5.5008333333333333E-2</v>
      </c>
      <c r="M146" s="446">
        <f t="shared" si="25"/>
        <v>-0.24659938146960281</v>
      </c>
      <c r="N146" s="446">
        <f t="shared" si="26"/>
        <v>2.76E-2</v>
      </c>
      <c r="O146" s="446">
        <f t="shared" si="18"/>
        <v>3.3999999999999996E-2</v>
      </c>
      <c r="P146" s="447">
        <f t="shared" si="27"/>
        <v>-0.27419938146960282</v>
      </c>
      <c r="Q146" s="446">
        <f t="shared" si="19"/>
        <v>-0.28059938146960278</v>
      </c>
      <c r="R146" s="446">
        <f t="shared" si="20"/>
        <v>-0.33333310679622552</v>
      </c>
      <c r="S146" s="446">
        <f t="shared" si="21"/>
        <v>4.0899999999999999E-2</v>
      </c>
      <c r="T146" s="447">
        <f t="shared" si="22"/>
        <v>-0.37423310679622551</v>
      </c>
      <c r="V146" s="448"/>
      <c r="W146" s="448"/>
      <c r="X146" s="448"/>
      <c r="Y146" s="448"/>
      <c r="Z146" s="448"/>
      <c r="AA146" s="448"/>
      <c r="AB146" s="448"/>
      <c r="AC146" s="448"/>
      <c r="AD146" s="448"/>
      <c r="AF146" s="448"/>
      <c r="AG146" s="448"/>
      <c r="AH146" s="448"/>
      <c r="AI146" s="448"/>
      <c r="AJ146" s="448"/>
      <c r="AK146" s="448"/>
      <c r="AL146" s="448"/>
      <c r="AM146" s="448"/>
      <c r="AN146" s="448"/>
      <c r="AP146" s="448"/>
      <c r="AQ146" s="448"/>
      <c r="AR146" s="448"/>
      <c r="AS146" s="448"/>
      <c r="AT146" s="448"/>
      <c r="AU146" s="448"/>
      <c r="AV146" s="448"/>
      <c r="AW146" s="448"/>
      <c r="AX146" s="448"/>
    </row>
    <row r="147" spans="1:50" x14ac:dyDescent="0.4">
      <c r="A147" s="442" t="str">
        <f t="shared" si="23"/>
        <v>111937</v>
      </c>
      <c r="B147" s="442">
        <v>13820</v>
      </c>
      <c r="C147" s="455">
        <v>-8.6599999999999996E-2</v>
      </c>
      <c r="D147" s="438">
        <v>8.0000000000000002E-3</v>
      </c>
      <c r="E147" s="438">
        <v>2.3999999999999998E-3</v>
      </c>
      <c r="F147" s="438">
        <v>2.7000000000000001E-3</v>
      </c>
      <c r="G147" s="438">
        <v>2.9499999999999999E-3</v>
      </c>
      <c r="H147" s="438">
        <v>2.8249999999999998E-3</v>
      </c>
      <c r="I147" s="438">
        <v>3.4000000000000002E-3</v>
      </c>
      <c r="J147" s="438">
        <f t="shared" si="24"/>
        <v>-8.8999999999999996E-2</v>
      </c>
      <c r="K147" s="438">
        <f t="shared" si="16"/>
        <v>-8.9424999999999991E-2</v>
      </c>
      <c r="L147" s="438">
        <f t="shared" si="17"/>
        <v>4.5999999999999999E-3</v>
      </c>
      <c r="M147" s="446">
        <f t="shared" si="25"/>
        <v>-0.32094323567627325</v>
      </c>
      <c r="N147" s="446">
        <f t="shared" si="26"/>
        <v>2.8799999999999999E-2</v>
      </c>
      <c r="O147" s="446">
        <f t="shared" si="18"/>
        <v>3.39E-2</v>
      </c>
      <c r="P147" s="447">
        <f t="shared" si="27"/>
        <v>-0.34974323567627325</v>
      </c>
      <c r="Q147" s="446">
        <f t="shared" si="19"/>
        <v>-0.35484323567627324</v>
      </c>
      <c r="R147" s="446">
        <f t="shared" si="20"/>
        <v>-0.31644773843006335</v>
      </c>
      <c r="S147" s="446">
        <f t="shared" si="21"/>
        <v>4.0800000000000003E-2</v>
      </c>
      <c r="T147" s="447">
        <f t="shared" si="22"/>
        <v>-0.35724773843006336</v>
      </c>
      <c r="V147" s="448"/>
      <c r="W147" s="448"/>
      <c r="X147" s="448"/>
      <c r="Y147" s="448"/>
      <c r="Z147" s="448"/>
      <c r="AA147" s="448"/>
      <c r="AB147" s="448"/>
      <c r="AC147" s="448"/>
      <c r="AD147" s="448"/>
      <c r="AF147" s="448"/>
      <c r="AG147" s="448"/>
      <c r="AH147" s="448"/>
      <c r="AI147" s="448"/>
      <c r="AJ147" s="448"/>
      <c r="AK147" s="448"/>
      <c r="AL147" s="448"/>
      <c r="AM147" s="448"/>
      <c r="AN147" s="448"/>
      <c r="AP147" s="448"/>
      <c r="AQ147" s="448"/>
      <c r="AR147" s="448"/>
      <c r="AS147" s="448"/>
      <c r="AT147" s="448"/>
      <c r="AU147" s="448"/>
      <c r="AV147" s="448"/>
      <c r="AW147" s="448"/>
      <c r="AX147" s="448"/>
    </row>
    <row r="148" spans="1:50" x14ac:dyDescent="0.4">
      <c r="A148" s="442" t="str">
        <f t="shared" si="23"/>
        <v>121937</v>
      </c>
      <c r="B148" s="442">
        <v>13850</v>
      </c>
      <c r="C148" s="455">
        <v>-4.5900000000000003E-2</v>
      </c>
      <c r="D148" s="438">
        <v>-9.5100000000000004E-2</v>
      </c>
      <c r="E148" s="438">
        <v>2.3E-3</v>
      </c>
      <c r="F148" s="438">
        <v>2.6750000000000003E-3</v>
      </c>
      <c r="G148" s="438">
        <v>2.9166666666666668E-3</v>
      </c>
      <c r="H148" s="438">
        <v>2.7958333333333333E-3</v>
      </c>
      <c r="I148" s="438">
        <v>3.3583333333333338E-3</v>
      </c>
      <c r="J148" s="438">
        <f t="shared" si="24"/>
        <v>-4.8200000000000007E-2</v>
      </c>
      <c r="K148" s="438">
        <f t="shared" si="16"/>
        <v>-4.8695833333333334E-2</v>
      </c>
      <c r="L148" s="438">
        <f t="shared" si="17"/>
        <v>-9.8458333333333342E-2</v>
      </c>
      <c r="M148" s="446">
        <f t="shared" si="25"/>
        <v>-0.35022760120221885</v>
      </c>
      <c r="N148" s="446">
        <f t="shared" si="26"/>
        <v>2.76E-2</v>
      </c>
      <c r="O148" s="446">
        <f t="shared" si="18"/>
        <v>3.3549999999999996E-2</v>
      </c>
      <c r="P148" s="447">
        <f t="shared" si="27"/>
        <v>-0.37782760120221887</v>
      </c>
      <c r="Q148" s="446">
        <f t="shared" si="19"/>
        <v>-0.38377760120221882</v>
      </c>
      <c r="R148" s="446">
        <f t="shared" si="20"/>
        <v>-0.37050026308300876</v>
      </c>
      <c r="S148" s="446">
        <f t="shared" si="21"/>
        <v>4.0300000000000002E-2</v>
      </c>
      <c r="T148" s="447">
        <f t="shared" si="22"/>
        <v>-0.41080026308300877</v>
      </c>
      <c r="V148" s="448"/>
      <c r="W148" s="448"/>
      <c r="X148" s="448"/>
      <c r="Y148" s="448"/>
      <c r="Z148" s="448"/>
      <c r="AA148" s="448"/>
      <c r="AB148" s="448"/>
      <c r="AC148" s="448"/>
      <c r="AD148" s="448"/>
      <c r="AF148" s="448"/>
      <c r="AG148" s="448"/>
      <c r="AH148" s="448"/>
      <c r="AI148" s="448"/>
      <c r="AJ148" s="448"/>
      <c r="AK148" s="448"/>
      <c r="AL148" s="448"/>
      <c r="AM148" s="448"/>
      <c r="AN148" s="448"/>
      <c r="AP148" s="448"/>
      <c r="AQ148" s="448"/>
      <c r="AR148" s="448"/>
      <c r="AS148" s="448"/>
      <c r="AT148" s="448"/>
      <c r="AU148" s="448"/>
      <c r="AV148" s="448"/>
      <c r="AW148" s="448"/>
      <c r="AX148" s="448"/>
    </row>
    <row r="149" spans="1:50" x14ac:dyDescent="0.4">
      <c r="A149" s="442" t="str">
        <f t="shared" si="23"/>
        <v>11938</v>
      </c>
      <c r="B149" s="442">
        <v>13881</v>
      </c>
      <c r="C149" s="455">
        <v>1.52E-2</v>
      </c>
      <c r="D149" s="438">
        <v>-3.6799999999999999E-2</v>
      </c>
      <c r="E149" s="438">
        <v>2.3E-3</v>
      </c>
      <c r="F149" s="438">
        <v>2.6416666666666667E-3</v>
      </c>
      <c r="G149" s="438">
        <v>2.9166666666666668E-3</v>
      </c>
      <c r="H149" s="438">
        <v>2.7791666666666672E-3</v>
      </c>
      <c r="I149" s="438">
        <v>3.3416666666666668E-3</v>
      </c>
      <c r="J149" s="438">
        <f t="shared" si="24"/>
        <v>1.29E-2</v>
      </c>
      <c r="K149" s="438">
        <f t="shared" si="16"/>
        <v>1.2420833333333332E-2</v>
      </c>
      <c r="L149" s="438">
        <f t="shared" si="17"/>
        <v>-4.0141666666666666E-2</v>
      </c>
      <c r="M149" s="446">
        <f t="shared" si="25"/>
        <v>-0.36511170427381356</v>
      </c>
      <c r="N149" s="446">
        <f t="shared" si="26"/>
        <v>2.76E-2</v>
      </c>
      <c r="O149" s="446">
        <f t="shared" si="18"/>
        <v>3.3350000000000005E-2</v>
      </c>
      <c r="P149" s="447">
        <f t="shared" si="27"/>
        <v>-0.39271170427381358</v>
      </c>
      <c r="Q149" s="446">
        <f t="shared" si="19"/>
        <v>-0.39846170427381356</v>
      </c>
      <c r="R149" s="446">
        <f t="shared" si="20"/>
        <v>-0.40526322059985675</v>
      </c>
      <c r="S149" s="446">
        <f t="shared" si="21"/>
        <v>4.0100000000000004E-2</v>
      </c>
      <c r="T149" s="447">
        <f t="shared" si="22"/>
        <v>-0.44536322059985678</v>
      </c>
      <c r="V149" s="448"/>
      <c r="W149" s="448"/>
      <c r="X149" s="448"/>
      <c r="Y149" s="448"/>
      <c r="Z149" s="448"/>
      <c r="AA149" s="448"/>
      <c r="AB149" s="448"/>
      <c r="AC149" s="448"/>
      <c r="AD149" s="448"/>
      <c r="AF149" s="448"/>
      <c r="AG149" s="448"/>
      <c r="AH149" s="448"/>
      <c r="AI149" s="448"/>
      <c r="AJ149" s="448"/>
      <c r="AK149" s="448"/>
      <c r="AL149" s="448"/>
      <c r="AM149" s="448"/>
      <c r="AN149" s="448"/>
      <c r="AP149" s="448"/>
      <c r="AQ149" s="448"/>
      <c r="AR149" s="448"/>
      <c r="AS149" s="448"/>
      <c r="AT149" s="448"/>
      <c r="AU149" s="448"/>
      <c r="AV149" s="448"/>
      <c r="AW149" s="448"/>
      <c r="AX149" s="448"/>
    </row>
    <row r="150" spans="1:50" x14ac:dyDescent="0.4">
      <c r="A150" s="442" t="str">
        <f t="shared" si="23"/>
        <v>21938</v>
      </c>
      <c r="B150" s="442">
        <v>13912</v>
      </c>
      <c r="C150" s="455">
        <v>6.7400000000000002E-2</v>
      </c>
      <c r="D150" s="438">
        <v>3.4099999999999998E-2</v>
      </c>
      <c r="E150" s="438">
        <v>2.0999999999999999E-3</v>
      </c>
      <c r="F150" s="438">
        <v>2.6666666666666666E-3</v>
      </c>
      <c r="G150" s="438">
        <v>2.9249999999999996E-3</v>
      </c>
      <c r="H150" s="438">
        <v>2.7958333333333329E-3</v>
      </c>
      <c r="I150" s="438">
        <v>3.3583333333333338E-3</v>
      </c>
      <c r="J150" s="438">
        <f t="shared" si="24"/>
        <v>6.5299999999999997E-2</v>
      </c>
      <c r="K150" s="438">
        <f t="shared" si="16"/>
        <v>6.4604166666666671E-2</v>
      </c>
      <c r="L150" s="438">
        <f t="shared" si="17"/>
        <v>3.0741666666666664E-2</v>
      </c>
      <c r="M150" s="446">
        <f t="shared" si="25"/>
        <v>-0.33502132581873079</v>
      </c>
      <c r="N150" s="446">
        <f t="shared" si="26"/>
        <v>2.52E-2</v>
      </c>
      <c r="O150" s="446">
        <f t="shared" si="18"/>
        <v>3.3549999999999996E-2</v>
      </c>
      <c r="P150" s="447">
        <f t="shared" si="27"/>
        <v>-0.36022132581873079</v>
      </c>
      <c r="Q150" s="446">
        <f t="shared" si="19"/>
        <v>-0.36857132581873076</v>
      </c>
      <c r="R150" s="446">
        <f t="shared" si="20"/>
        <v>-0.36247817603639676</v>
      </c>
      <c r="S150" s="446">
        <f t="shared" si="21"/>
        <v>4.0300000000000002E-2</v>
      </c>
      <c r="T150" s="447">
        <f t="shared" si="22"/>
        <v>-0.40277817603639676</v>
      </c>
      <c r="V150" s="448"/>
      <c r="W150" s="448"/>
      <c r="X150" s="448"/>
      <c r="Y150" s="448"/>
      <c r="Z150" s="448"/>
      <c r="AA150" s="448"/>
      <c r="AB150" s="448"/>
      <c r="AC150" s="448"/>
      <c r="AD150" s="448"/>
      <c r="AF150" s="448"/>
      <c r="AG150" s="448"/>
      <c r="AH150" s="448"/>
      <c r="AI150" s="448"/>
      <c r="AJ150" s="448"/>
      <c r="AK150" s="448"/>
      <c r="AL150" s="448"/>
      <c r="AM150" s="448"/>
      <c r="AN150" s="448"/>
      <c r="AP150" s="448"/>
      <c r="AQ150" s="448"/>
      <c r="AR150" s="448"/>
      <c r="AS150" s="448"/>
      <c r="AT150" s="448"/>
      <c r="AU150" s="448"/>
      <c r="AV150" s="448"/>
      <c r="AW150" s="448"/>
      <c r="AX150" s="448"/>
    </row>
    <row r="151" spans="1:50" x14ac:dyDescent="0.4">
      <c r="A151" s="442" t="str">
        <f t="shared" si="23"/>
        <v>31938</v>
      </c>
      <c r="B151" s="442">
        <v>13940</v>
      </c>
      <c r="C151" s="455">
        <v>-0.2487</v>
      </c>
      <c r="D151" s="438">
        <v>-0.19839999999999999</v>
      </c>
      <c r="E151" s="438">
        <v>2.3E-3</v>
      </c>
      <c r="F151" s="438">
        <v>2.6833333333333336E-3</v>
      </c>
      <c r="G151" s="438">
        <v>2.9666666666666669E-3</v>
      </c>
      <c r="H151" s="438">
        <v>2.8250000000000003E-3</v>
      </c>
      <c r="I151" s="438">
        <v>3.3250000000000003E-3</v>
      </c>
      <c r="J151" s="438">
        <f t="shared" si="24"/>
        <v>-0.251</v>
      </c>
      <c r="K151" s="438">
        <f t="shared" si="16"/>
        <v>-0.251525</v>
      </c>
      <c r="L151" s="438">
        <f t="shared" si="17"/>
        <v>-0.20172499999999999</v>
      </c>
      <c r="M151" s="446">
        <f t="shared" si="25"/>
        <v>-0.49652476276087132</v>
      </c>
      <c r="N151" s="446">
        <f t="shared" si="26"/>
        <v>2.76E-2</v>
      </c>
      <c r="O151" s="446">
        <f t="shared" si="18"/>
        <v>3.39E-2</v>
      </c>
      <c r="P151" s="447">
        <f t="shared" si="27"/>
        <v>-0.52412476276087128</v>
      </c>
      <c r="Q151" s="446">
        <f t="shared" si="19"/>
        <v>-0.53042476276087136</v>
      </c>
      <c r="R151" s="446">
        <f t="shared" si="20"/>
        <v>-0.45790018660313525</v>
      </c>
      <c r="S151" s="446">
        <f t="shared" si="21"/>
        <v>3.9900000000000005E-2</v>
      </c>
      <c r="T151" s="447">
        <f t="shared" si="22"/>
        <v>-0.49780018660313524</v>
      </c>
      <c r="V151" s="448"/>
      <c r="W151" s="448"/>
      <c r="X151" s="448"/>
      <c r="Y151" s="448"/>
      <c r="Z151" s="448"/>
      <c r="AA151" s="448"/>
      <c r="AB151" s="448"/>
      <c r="AC151" s="448"/>
      <c r="AD151" s="448"/>
      <c r="AF151" s="448"/>
      <c r="AG151" s="448"/>
      <c r="AH151" s="448"/>
      <c r="AI151" s="448"/>
      <c r="AJ151" s="448"/>
      <c r="AK151" s="448"/>
      <c r="AL151" s="448"/>
      <c r="AM151" s="448"/>
      <c r="AN151" s="448"/>
      <c r="AP151" s="448"/>
      <c r="AQ151" s="448"/>
      <c r="AR151" s="448"/>
      <c r="AS151" s="448"/>
      <c r="AT151" s="448"/>
      <c r="AU151" s="448"/>
      <c r="AV151" s="448"/>
      <c r="AW151" s="448"/>
      <c r="AX151" s="448"/>
    </row>
    <row r="152" spans="1:50" x14ac:dyDescent="0.4">
      <c r="A152" s="442" t="str">
        <f t="shared" si="23"/>
        <v>41938</v>
      </c>
      <c r="B152" s="442">
        <v>13971</v>
      </c>
      <c r="C152" s="455">
        <v>0.1447</v>
      </c>
      <c r="D152" s="438">
        <v>0.15379999999999999</v>
      </c>
      <c r="E152" s="438">
        <v>2.2000000000000001E-3</v>
      </c>
      <c r="F152" s="438">
        <v>2.7499999999999998E-3</v>
      </c>
      <c r="G152" s="438">
        <v>3.1083333333333336E-3</v>
      </c>
      <c r="H152" s="438">
        <v>2.9291666666666667E-3</v>
      </c>
      <c r="I152" s="438">
        <v>3.4000000000000002E-3</v>
      </c>
      <c r="J152" s="438">
        <f t="shared" si="24"/>
        <v>0.14249999999999999</v>
      </c>
      <c r="K152" s="438">
        <f t="shared" si="16"/>
        <v>0.14177083333333332</v>
      </c>
      <c r="L152" s="438">
        <f t="shared" si="17"/>
        <v>0.15039999999999998</v>
      </c>
      <c r="M152" s="446">
        <f t="shared" si="25"/>
        <v>-0.37294298327969677</v>
      </c>
      <c r="N152" s="446">
        <f t="shared" si="26"/>
        <v>2.64E-2</v>
      </c>
      <c r="O152" s="446">
        <f t="shared" si="18"/>
        <v>3.5150000000000001E-2</v>
      </c>
      <c r="P152" s="447">
        <f t="shared" si="27"/>
        <v>-0.39934298327969675</v>
      </c>
      <c r="Q152" s="446">
        <f t="shared" si="19"/>
        <v>-0.40809298327969679</v>
      </c>
      <c r="R152" s="446">
        <f t="shared" si="20"/>
        <v>-0.32483293966180649</v>
      </c>
      <c r="S152" s="446">
        <f t="shared" si="21"/>
        <v>4.0800000000000003E-2</v>
      </c>
      <c r="T152" s="447">
        <f t="shared" si="22"/>
        <v>-0.36563293966180649</v>
      </c>
      <c r="V152" s="448"/>
      <c r="W152" s="448"/>
      <c r="X152" s="448"/>
      <c r="Y152" s="448"/>
      <c r="Z152" s="448"/>
      <c r="AA152" s="448"/>
      <c r="AB152" s="448"/>
      <c r="AC152" s="448"/>
      <c r="AD152" s="448"/>
      <c r="AF152" s="448"/>
      <c r="AG152" s="448"/>
      <c r="AH152" s="448"/>
      <c r="AI152" s="448"/>
      <c r="AJ152" s="448"/>
      <c r="AK152" s="448"/>
      <c r="AL152" s="448"/>
      <c r="AM152" s="448"/>
      <c r="AN152" s="448"/>
      <c r="AP152" s="448"/>
      <c r="AQ152" s="448"/>
      <c r="AR152" s="448"/>
      <c r="AS152" s="448"/>
      <c r="AT152" s="448"/>
      <c r="AU152" s="448"/>
      <c r="AV152" s="448"/>
      <c r="AW152" s="448"/>
      <c r="AX152" s="448"/>
    </row>
    <row r="153" spans="1:50" x14ac:dyDescent="0.4">
      <c r="A153" s="442" t="str">
        <f t="shared" si="23"/>
        <v>51938</v>
      </c>
      <c r="B153" s="442">
        <v>14001</v>
      </c>
      <c r="C153" s="455">
        <v>-3.3000000000000002E-2</v>
      </c>
      <c r="D153" s="438">
        <v>1.8100000000000002E-2</v>
      </c>
      <c r="E153" s="438">
        <v>2.2000000000000001E-3</v>
      </c>
      <c r="F153" s="438">
        <v>2.6833333333333336E-3</v>
      </c>
      <c r="G153" s="438">
        <v>2.9666666666666669E-3</v>
      </c>
      <c r="H153" s="438">
        <v>2.8250000000000003E-3</v>
      </c>
      <c r="I153" s="438">
        <v>3.2916666666666667E-3</v>
      </c>
      <c r="J153" s="438">
        <f t="shared" si="24"/>
        <v>-3.5200000000000002E-2</v>
      </c>
      <c r="K153" s="438">
        <f t="shared" si="16"/>
        <v>-3.5825000000000003E-2</v>
      </c>
      <c r="L153" s="438">
        <f t="shared" si="17"/>
        <v>1.4808333333333335E-2</v>
      </c>
      <c r="M153" s="446">
        <f t="shared" si="25"/>
        <v>-0.39217708984709976</v>
      </c>
      <c r="N153" s="446">
        <f t="shared" si="26"/>
        <v>2.64E-2</v>
      </c>
      <c r="O153" s="446">
        <f t="shared" si="18"/>
        <v>3.39E-2</v>
      </c>
      <c r="P153" s="447">
        <f t="shared" si="27"/>
        <v>-0.41857708984709974</v>
      </c>
      <c r="Q153" s="446">
        <f t="shared" si="19"/>
        <v>-0.42607708984709974</v>
      </c>
      <c r="R153" s="446">
        <f t="shared" si="20"/>
        <v>-0.27521342879553501</v>
      </c>
      <c r="S153" s="446">
        <f t="shared" si="21"/>
        <v>3.95E-2</v>
      </c>
      <c r="T153" s="447">
        <f t="shared" si="22"/>
        <v>-0.31471342879553499</v>
      </c>
      <c r="V153" s="448"/>
      <c r="W153" s="448"/>
      <c r="X153" s="448"/>
      <c r="Y153" s="448"/>
      <c r="Z153" s="448"/>
      <c r="AA153" s="448"/>
      <c r="AB153" s="448"/>
      <c r="AC153" s="448"/>
      <c r="AD153" s="448"/>
      <c r="AF153" s="448"/>
      <c r="AG153" s="448"/>
      <c r="AH153" s="448"/>
      <c r="AI153" s="448"/>
      <c r="AJ153" s="448"/>
      <c r="AK153" s="448"/>
      <c r="AL153" s="448"/>
      <c r="AM153" s="448"/>
      <c r="AN153" s="448"/>
      <c r="AP153" s="448"/>
      <c r="AQ153" s="448"/>
      <c r="AR153" s="448"/>
      <c r="AS153" s="448"/>
      <c r="AT153" s="448"/>
      <c r="AU153" s="448"/>
      <c r="AV153" s="448"/>
      <c r="AW153" s="448"/>
      <c r="AX153" s="448"/>
    </row>
    <row r="154" spans="1:50" x14ac:dyDescent="0.4">
      <c r="A154" s="442" t="str">
        <f t="shared" si="23"/>
        <v>61938</v>
      </c>
      <c r="B154" s="442">
        <v>14032</v>
      </c>
      <c r="C154" s="455">
        <v>0.25030000000000002</v>
      </c>
      <c r="D154" s="438">
        <v>0.16219999999999998</v>
      </c>
      <c r="E154" s="438">
        <v>2.0999999999999999E-3</v>
      </c>
      <c r="F154" s="438">
        <v>2.7166666666666667E-3</v>
      </c>
      <c r="G154" s="438">
        <v>3.0666666666666672E-3</v>
      </c>
      <c r="H154" s="438">
        <v>2.891666666666667E-3</v>
      </c>
      <c r="I154" s="438">
        <v>3.2916666666666667E-3</v>
      </c>
      <c r="J154" s="438">
        <f t="shared" si="24"/>
        <v>0.24820000000000003</v>
      </c>
      <c r="K154" s="438">
        <f t="shared" si="16"/>
        <v>0.24740833333333337</v>
      </c>
      <c r="L154" s="438">
        <f t="shared" si="17"/>
        <v>0.15890833333333332</v>
      </c>
      <c r="M154" s="446">
        <f t="shared" si="25"/>
        <v>-0.19970410218600354</v>
      </c>
      <c r="N154" s="446">
        <f t="shared" si="26"/>
        <v>2.52E-2</v>
      </c>
      <c r="O154" s="446">
        <f t="shared" si="18"/>
        <v>3.4700000000000002E-2</v>
      </c>
      <c r="P154" s="447">
        <f t="shared" si="27"/>
        <v>-0.22490410218600354</v>
      </c>
      <c r="Q154" s="446">
        <f t="shared" si="19"/>
        <v>-0.23440410218600355</v>
      </c>
      <c r="R154" s="446">
        <f t="shared" si="20"/>
        <v>-0.11638838450243405</v>
      </c>
      <c r="S154" s="446">
        <f t="shared" si="21"/>
        <v>3.95E-2</v>
      </c>
      <c r="T154" s="447">
        <f t="shared" si="22"/>
        <v>-0.15588838450243406</v>
      </c>
      <c r="V154" s="448"/>
      <c r="W154" s="448"/>
      <c r="X154" s="448"/>
      <c r="Y154" s="448"/>
      <c r="Z154" s="448"/>
      <c r="AA154" s="448"/>
      <c r="AB154" s="448"/>
      <c r="AC154" s="448"/>
      <c r="AD154" s="448"/>
      <c r="AF154" s="448"/>
      <c r="AG154" s="448"/>
      <c r="AH154" s="448"/>
      <c r="AI154" s="448"/>
      <c r="AJ154" s="448"/>
      <c r="AK154" s="448"/>
      <c r="AL154" s="448"/>
      <c r="AM154" s="448"/>
      <c r="AN154" s="448"/>
      <c r="AP154" s="448"/>
      <c r="AQ154" s="448"/>
      <c r="AR154" s="448"/>
      <c r="AS154" s="448"/>
      <c r="AT154" s="448"/>
      <c r="AU154" s="448"/>
      <c r="AV154" s="448"/>
      <c r="AW154" s="448"/>
      <c r="AX154" s="448"/>
    </row>
    <row r="155" spans="1:50" x14ac:dyDescent="0.4">
      <c r="A155" s="442" t="str">
        <f t="shared" si="23"/>
        <v>71938</v>
      </c>
      <c r="B155" s="442">
        <v>14062</v>
      </c>
      <c r="C155" s="455">
        <v>7.4399999999999994E-2</v>
      </c>
      <c r="D155" s="438">
        <v>1.4800000000000001E-2</v>
      </c>
      <c r="E155" s="438">
        <v>2.0999999999999999E-3</v>
      </c>
      <c r="F155" s="438">
        <v>2.6833333333333336E-3</v>
      </c>
      <c r="G155" s="438">
        <v>3.0166666666666671E-3</v>
      </c>
      <c r="H155" s="438">
        <v>2.8500000000000001E-3</v>
      </c>
      <c r="I155" s="438">
        <v>3.2166666666666667E-3</v>
      </c>
      <c r="J155" s="438">
        <f t="shared" si="24"/>
        <v>7.2299999999999989E-2</v>
      </c>
      <c r="K155" s="438">
        <f t="shared" si="16"/>
        <v>7.1549999999999989E-2</v>
      </c>
      <c r="L155" s="438">
        <f t="shared" si="17"/>
        <v>1.1583333333333334E-2</v>
      </c>
      <c r="M155" s="446">
        <f t="shared" si="25"/>
        <v>-0.22151388627310309</v>
      </c>
      <c r="N155" s="446">
        <f t="shared" si="26"/>
        <v>2.52E-2</v>
      </c>
      <c r="O155" s="446">
        <f t="shared" si="18"/>
        <v>3.4200000000000001E-2</v>
      </c>
      <c r="P155" s="447">
        <f t="shared" si="27"/>
        <v>-0.24671388627310309</v>
      </c>
      <c r="Q155" s="446">
        <f t="shared" si="19"/>
        <v>-0.2557138862731031</v>
      </c>
      <c r="R155" s="446">
        <f t="shared" si="20"/>
        <v>-0.23169474131871337</v>
      </c>
      <c r="S155" s="446">
        <f t="shared" si="21"/>
        <v>3.8600000000000002E-2</v>
      </c>
      <c r="T155" s="447">
        <f t="shared" si="22"/>
        <v>-0.27029474131871339</v>
      </c>
      <c r="V155" s="448"/>
      <c r="W155" s="448"/>
      <c r="X155" s="448"/>
      <c r="Y155" s="448"/>
      <c r="Z155" s="448"/>
      <c r="AA155" s="448"/>
      <c r="AB155" s="448"/>
      <c r="AC155" s="448"/>
      <c r="AD155" s="448"/>
      <c r="AF155" s="448"/>
      <c r="AG155" s="448"/>
      <c r="AH155" s="448"/>
      <c r="AI155" s="448"/>
      <c r="AJ155" s="448"/>
      <c r="AK155" s="448"/>
      <c r="AL155" s="448"/>
      <c r="AM155" s="448"/>
      <c r="AN155" s="448"/>
      <c r="AP155" s="448"/>
      <c r="AQ155" s="448"/>
      <c r="AR155" s="448"/>
      <c r="AS155" s="448"/>
      <c r="AT155" s="448"/>
      <c r="AU155" s="448"/>
      <c r="AV155" s="448"/>
      <c r="AW155" s="448"/>
      <c r="AX155" s="448"/>
    </row>
    <row r="156" spans="1:50" x14ac:dyDescent="0.4">
      <c r="A156" s="442" t="str">
        <f t="shared" si="23"/>
        <v>81938</v>
      </c>
      <c r="B156" s="442">
        <v>14093</v>
      </c>
      <c r="C156" s="455">
        <v>-2.2599999999999999E-2</v>
      </c>
      <c r="D156" s="438">
        <v>-5.57E-2</v>
      </c>
      <c r="E156" s="438">
        <v>2.2000000000000001E-3</v>
      </c>
      <c r="F156" s="438">
        <v>2.65E-3</v>
      </c>
      <c r="G156" s="438">
        <v>2.9749999999999998E-3</v>
      </c>
      <c r="H156" s="438">
        <v>2.8124999999999999E-3</v>
      </c>
      <c r="I156" s="438">
        <v>3.2000000000000002E-3</v>
      </c>
      <c r="J156" s="438">
        <f t="shared" si="24"/>
        <v>-2.4799999999999999E-2</v>
      </c>
      <c r="K156" s="438">
        <f t="shared" si="16"/>
        <v>-2.5412499999999998E-2</v>
      </c>
      <c r="L156" s="438">
        <f t="shared" si="17"/>
        <v>-5.8900000000000001E-2</v>
      </c>
      <c r="M156" s="446">
        <f t="shared" si="25"/>
        <v>-0.20049140742180394</v>
      </c>
      <c r="N156" s="446">
        <f t="shared" si="26"/>
        <v>2.64E-2</v>
      </c>
      <c r="O156" s="446">
        <f t="shared" si="18"/>
        <v>3.3750000000000002E-2</v>
      </c>
      <c r="P156" s="447">
        <f t="shared" si="27"/>
        <v>-0.22689140742180394</v>
      </c>
      <c r="Q156" s="446">
        <f t="shared" si="19"/>
        <v>-0.23424140742180394</v>
      </c>
      <c r="R156" s="446">
        <f t="shared" si="20"/>
        <v>-0.20247262199325156</v>
      </c>
      <c r="S156" s="446">
        <f t="shared" si="21"/>
        <v>3.8400000000000004E-2</v>
      </c>
      <c r="T156" s="447">
        <f t="shared" si="22"/>
        <v>-0.24087262199325155</v>
      </c>
      <c r="V156" s="448"/>
      <c r="W156" s="448"/>
      <c r="X156" s="448"/>
      <c r="Y156" s="448"/>
      <c r="Z156" s="448"/>
      <c r="AA156" s="448"/>
      <c r="AB156" s="448"/>
      <c r="AC156" s="448"/>
      <c r="AD156" s="448"/>
      <c r="AF156" s="448"/>
      <c r="AG156" s="448"/>
      <c r="AH156" s="448"/>
      <c r="AI156" s="448"/>
      <c r="AJ156" s="448"/>
      <c r="AK156" s="448"/>
      <c r="AL156" s="448"/>
      <c r="AM156" s="448"/>
      <c r="AN156" s="448"/>
      <c r="AP156" s="448"/>
      <c r="AQ156" s="448"/>
      <c r="AR156" s="448"/>
      <c r="AS156" s="448"/>
      <c r="AT156" s="448"/>
      <c r="AU156" s="448"/>
      <c r="AV156" s="448"/>
      <c r="AW156" s="448"/>
      <c r="AX156" s="448"/>
    </row>
    <row r="157" spans="1:50" x14ac:dyDescent="0.4">
      <c r="A157" s="442" t="str">
        <f t="shared" si="23"/>
        <v>91938</v>
      </c>
      <c r="B157" s="442">
        <v>14124</v>
      </c>
      <c r="C157" s="455">
        <v>1.66E-2</v>
      </c>
      <c r="D157" s="438">
        <v>1.9099999999999999E-2</v>
      </c>
      <c r="E157" s="438">
        <v>2.0999999999999999E-3</v>
      </c>
      <c r="F157" s="438">
        <v>2.6750000000000003E-3</v>
      </c>
      <c r="G157" s="438">
        <v>3.0000000000000001E-3</v>
      </c>
      <c r="H157" s="438">
        <v>2.8375000000000002E-3</v>
      </c>
      <c r="I157" s="438">
        <v>3.2333333333333329E-3</v>
      </c>
      <c r="J157" s="438">
        <f t="shared" si="24"/>
        <v>1.4500000000000001E-2</v>
      </c>
      <c r="K157" s="438">
        <f t="shared" ref="K157:K220" si="28">C157-H157</f>
        <v>1.37625E-2</v>
      </c>
      <c r="L157" s="438">
        <f t="shared" ref="L157:L220" si="29">$D157-I157</f>
        <v>1.5866666666666668E-2</v>
      </c>
      <c r="M157" s="446">
        <f t="shared" si="25"/>
        <v>-5.45766718448365E-2</v>
      </c>
      <c r="N157" s="446">
        <f t="shared" si="26"/>
        <v>2.52E-2</v>
      </c>
      <c r="O157" s="446">
        <f t="shared" si="18"/>
        <v>3.4050000000000004E-2</v>
      </c>
      <c r="P157" s="447">
        <f t="shared" si="27"/>
        <v>-7.97766718448365E-2</v>
      </c>
      <c r="Q157" s="446">
        <f t="shared" si="19"/>
        <v>-8.8626671844836497E-2</v>
      </c>
      <c r="R157" s="446">
        <f t="shared" si="20"/>
        <v>-7.9129672641426341E-2</v>
      </c>
      <c r="S157" s="446">
        <f t="shared" si="21"/>
        <v>3.8799999999999994E-2</v>
      </c>
      <c r="T157" s="447">
        <f t="shared" si="22"/>
        <v>-0.11792967264142634</v>
      </c>
      <c r="V157" s="448"/>
      <c r="W157" s="448"/>
      <c r="X157" s="448"/>
      <c r="Y157" s="448"/>
      <c r="Z157" s="448"/>
      <c r="AA157" s="448"/>
      <c r="AB157" s="448"/>
      <c r="AC157" s="448"/>
      <c r="AD157" s="448"/>
      <c r="AF157" s="448"/>
      <c r="AG157" s="448"/>
      <c r="AH157" s="448"/>
      <c r="AI157" s="448"/>
      <c r="AJ157" s="448"/>
      <c r="AK157" s="448"/>
      <c r="AL157" s="448"/>
      <c r="AM157" s="448"/>
      <c r="AN157" s="448"/>
      <c r="AP157" s="448"/>
      <c r="AQ157" s="448"/>
      <c r="AR157" s="448"/>
      <c r="AS157" s="448"/>
      <c r="AT157" s="448"/>
      <c r="AU157" s="448"/>
      <c r="AV157" s="448"/>
      <c r="AW157" s="448"/>
      <c r="AX157" s="448"/>
    </row>
    <row r="158" spans="1:50" x14ac:dyDescent="0.4">
      <c r="A158" s="442" t="str">
        <f t="shared" si="23"/>
        <v>101938</v>
      </c>
      <c r="B158" s="442">
        <v>14154</v>
      </c>
      <c r="C158" s="455">
        <v>7.7600000000000002E-2</v>
      </c>
      <c r="D158" s="438">
        <v>0.18009999999999998</v>
      </c>
      <c r="E158" s="438">
        <v>2.2000000000000001E-3</v>
      </c>
      <c r="F158" s="438">
        <v>2.6250000000000002E-3</v>
      </c>
      <c r="G158" s="438">
        <v>2.9416666666666662E-3</v>
      </c>
      <c r="H158" s="438">
        <v>2.7833333333333334E-3</v>
      </c>
      <c r="I158" s="438">
        <v>3.1583333333333337E-3</v>
      </c>
      <c r="J158" s="438">
        <f t="shared" si="24"/>
        <v>7.5400000000000009E-2</v>
      </c>
      <c r="K158" s="438">
        <f t="shared" si="28"/>
        <v>7.481666666666667E-2</v>
      </c>
      <c r="L158" s="438">
        <f t="shared" si="29"/>
        <v>0.17694166666666664</v>
      </c>
      <c r="M158" s="446">
        <f t="shared" si="25"/>
        <v>0.12960214926267244</v>
      </c>
      <c r="N158" s="446">
        <f t="shared" si="26"/>
        <v>2.64E-2</v>
      </c>
      <c r="O158" s="446">
        <f t="shared" si="18"/>
        <v>3.3399999999999999E-2</v>
      </c>
      <c r="P158" s="447">
        <f t="shared" si="27"/>
        <v>0.10320214926267243</v>
      </c>
      <c r="Q158" s="446">
        <f t="shared" si="19"/>
        <v>9.620214926267244E-2</v>
      </c>
      <c r="R158" s="446">
        <f t="shared" si="20"/>
        <v>0.14584465765062471</v>
      </c>
      <c r="S158" s="446">
        <f t="shared" si="21"/>
        <v>3.7900000000000003E-2</v>
      </c>
      <c r="T158" s="447">
        <f t="shared" si="22"/>
        <v>0.10794465765062471</v>
      </c>
      <c r="V158" s="448"/>
      <c r="W158" s="448"/>
      <c r="X158" s="448"/>
      <c r="Y158" s="448"/>
      <c r="Z158" s="448"/>
      <c r="AA158" s="448"/>
      <c r="AB158" s="448"/>
      <c r="AC158" s="448"/>
      <c r="AD158" s="448"/>
      <c r="AF158" s="448"/>
      <c r="AG158" s="448"/>
      <c r="AH158" s="448"/>
      <c r="AI158" s="448"/>
      <c r="AJ158" s="448"/>
      <c r="AK158" s="448"/>
      <c r="AL158" s="448"/>
      <c r="AM158" s="448"/>
      <c r="AN158" s="448"/>
      <c r="AP158" s="448"/>
      <c r="AQ158" s="448"/>
      <c r="AR158" s="448"/>
      <c r="AS158" s="448"/>
      <c r="AT158" s="448"/>
      <c r="AU158" s="448"/>
      <c r="AV158" s="448"/>
      <c r="AW158" s="448"/>
      <c r="AX158" s="448"/>
    </row>
    <row r="159" spans="1:50" x14ac:dyDescent="0.4">
      <c r="A159" s="442" t="str">
        <f t="shared" si="23"/>
        <v>111938</v>
      </c>
      <c r="B159" s="442">
        <v>14185</v>
      </c>
      <c r="C159" s="455">
        <v>-2.7300000000000001E-2</v>
      </c>
      <c r="D159" s="438">
        <v>-6.2000000000000013E-2</v>
      </c>
      <c r="E159" s="438">
        <v>2.0999999999999999E-3</v>
      </c>
      <c r="F159" s="438">
        <v>2.5833333333333337E-3</v>
      </c>
      <c r="G159" s="438">
        <v>2.8833333333333332E-3</v>
      </c>
      <c r="H159" s="438">
        <v>2.7333333333333333E-3</v>
      </c>
      <c r="I159" s="438">
        <v>3.1083333333333336E-3</v>
      </c>
      <c r="J159" s="438">
        <f t="shared" si="24"/>
        <v>-2.9400000000000003E-2</v>
      </c>
      <c r="K159" s="438">
        <f t="shared" si="28"/>
        <v>-3.0033333333333335E-2</v>
      </c>
      <c r="L159" s="438">
        <f t="shared" si="29"/>
        <v>-6.5108333333333351E-2</v>
      </c>
      <c r="M159" s="446">
        <f t="shared" si="25"/>
        <v>0.2029384832360428</v>
      </c>
      <c r="N159" s="446">
        <f t="shared" si="26"/>
        <v>2.52E-2</v>
      </c>
      <c r="O159" s="446">
        <f t="shared" si="18"/>
        <v>3.2799999999999996E-2</v>
      </c>
      <c r="P159" s="447">
        <f t="shared" si="27"/>
        <v>0.1777384832360428</v>
      </c>
      <c r="Q159" s="446">
        <f t="shared" si="19"/>
        <v>0.1701384832360428</v>
      </c>
      <c r="R159" s="446">
        <f t="shared" si="20"/>
        <v>6.6272111980442583E-2</v>
      </c>
      <c r="S159" s="446">
        <f t="shared" si="21"/>
        <v>3.73E-2</v>
      </c>
      <c r="T159" s="447">
        <f t="shared" si="22"/>
        <v>2.8972111980442583E-2</v>
      </c>
      <c r="V159" s="448"/>
      <c r="W159" s="448"/>
      <c r="X159" s="448"/>
      <c r="Y159" s="448"/>
      <c r="Z159" s="448"/>
      <c r="AA159" s="448"/>
      <c r="AB159" s="448"/>
      <c r="AC159" s="448"/>
      <c r="AD159" s="448"/>
      <c r="AF159" s="448"/>
      <c r="AG159" s="448"/>
      <c r="AH159" s="448"/>
      <c r="AI159" s="448"/>
      <c r="AJ159" s="448"/>
      <c r="AK159" s="448"/>
      <c r="AL159" s="448"/>
      <c r="AM159" s="448"/>
      <c r="AN159" s="448"/>
      <c r="AP159" s="448"/>
      <c r="AQ159" s="448"/>
      <c r="AR159" s="448"/>
      <c r="AS159" s="448"/>
      <c r="AT159" s="448"/>
      <c r="AU159" s="448"/>
      <c r="AV159" s="448"/>
      <c r="AW159" s="448"/>
      <c r="AX159" s="448"/>
    </row>
    <row r="160" spans="1:50" x14ac:dyDescent="0.4">
      <c r="A160" s="442" t="str">
        <f t="shared" si="23"/>
        <v>121938</v>
      </c>
      <c r="B160" s="442">
        <v>14215</v>
      </c>
      <c r="C160" s="455">
        <v>4.0099999999999997E-2</v>
      </c>
      <c r="D160" s="438">
        <v>3.9099999999999996E-2</v>
      </c>
      <c r="E160" s="438">
        <v>2.2000000000000001E-3</v>
      </c>
      <c r="F160" s="438">
        <v>2.5666666666666667E-3</v>
      </c>
      <c r="G160" s="438">
        <v>2.8499999999999997E-3</v>
      </c>
      <c r="H160" s="438">
        <v>2.708333333333333E-3</v>
      </c>
      <c r="I160" s="438">
        <v>3.1166666666666669E-3</v>
      </c>
      <c r="J160" s="438">
        <f t="shared" si="24"/>
        <v>3.7899999999999996E-2</v>
      </c>
      <c r="K160" s="438">
        <f t="shared" si="28"/>
        <v>3.7391666666666663E-2</v>
      </c>
      <c r="L160" s="438">
        <f t="shared" si="29"/>
        <v>3.5983333333333326E-2</v>
      </c>
      <c r="M160" s="446">
        <f t="shared" si="25"/>
        <v>0.3113681127909107</v>
      </c>
      <c r="N160" s="446">
        <f t="shared" si="26"/>
        <v>2.64E-2</v>
      </c>
      <c r="O160" s="446">
        <f t="shared" si="18"/>
        <v>3.2499999999999994E-2</v>
      </c>
      <c r="P160" s="447">
        <f t="shared" si="27"/>
        <v>0.28496811279091072</v>
      </c>
      <c r="Q160" s="446">
        <f t="shared" si="19"/>
        <v>0.27886811279091073</v>
      </c>
      <c r="R160" s="446">
        <f t="shared" si="20"/>
        <v>0.22440419003080758</v>
      </c>
      <c r="S160" s="446">
        <f t="shared" si="21"/>
        <v>3.7400000000000003E-2</v>
      </c>
      <c r="T160" s="447">
        <f t="shared" si="22"/>
        <v>0.18700419003080759</v>
      </c>
      <c r="V160" s="448"/>
      <c r="W160" s="448"/>
      <c r="X160" s="448"/>
      <c r="Y160" s="448"/>
      <c r="Z160" s="448"/>
      <c r="AA160" s="448"/>
      <c r="AB160" s="448"/>
      <c r="AC160" s="448"/>
      <c r="AD160" s="448"/>
      <c r="AF160" s="448"/>
      <c r="AG160" s="448"/>
      <c r="AH160" s="448"/>
      <c r="AI160" s="448"/>
      <c r="AJ160" s="448"/>
      <c r="AK160" s="448"/>
      <c r="AL160" s="448"/>
      <c r="AM160" s="448"/>
      <c r="AN160" s="448"/>
      <c r="AP160" s="448"/>
      <c r="AQ160" s="448"/>
      <c r="AR160" s="448"/>
      <c r="AS160" s="448"/>
      <c r="AT160" s="448"/>
      <c r="AU160" s="448"/>
      <c r="AV160" s="448"/>
      <c r="AW160" s="448"/>
      <c r="AX160" s="448"/>
    </row>
    <row r="161" spans="1:50" x14ac:dyDescent="0.4">
      <c r="A161" s="442" t="str">
        <f t="shared" si="23"/>
        <v>11939</v>
      </c>
      <c r="B161" s="442">
        <v>14246</v>
      </c>
      <c r="C161" s="455">
        <v>-6.7400000000000002E-2</v>
      </c>
      <c r="D161" s="438">
        <v>1.6500000000000001E-2</v>
      </c>
      <c r="E161" s="438">
        <v>2.0999999999999999E-3</v>
      </c>
      <c r="F161" s="438">
        <v>2.5083333333333329E-3</v>
      </c>
      <c r="G161" s="438">
        <v>2.7666666666666668E-3</v>
      </c>
      <c r="H161" s="438">
        <v>2.6374999999999997E-3</v>
      </c>
      <c r="I161" s="438">
        <v>3.0666666666666672E-3</v>
      </c>
      <c r="J161" s="438">
        <f t="shared" si="24"/>
        <v>-6.9500000000000006E-2</v>
      </c>
      <c r="K161" s="438">
        <f t="shared" si="28"/>
        <v>-7.0037500000000003E-2</v>
      </c>
      <c r="L161" s="438">
        <f t="shared" si="29"/>
        <v>1.3433333333333334E-2</v>
      </c>
      <c r="M161" s="446">
        <f t="shared" si="25"/>
        <v>0.2046709042442898</v>
      </c>
      <c r="N161" s="446">
        <f t="shared" si="26"/>
        <v>2.52E-2</v>
      </c>
      <c r="O161" s="446">
        <f t="shared" si="18"/>
        <v>3.1649999999999998E-2</v>
      </c>
      <c r="P161" s="447">
        <f t="shared" si="27"/>
        <v>0.1794709042442898</v>
      </c>
      <c r="Q161" s="446">
        <f t="shared" si="19"/>
        <v>0.17302090424428979</v>
      </c>
      <c r="R161" s="446">
        <f t="shared" si="20"/>
        <v>0.29215828401818511</v>
      </c>
      <c r="S161" s="446">
        <f t="shared" si="21"/>
        <v>3.6800000000000006E-2</v>
      </c>
      <c r="T161" s="447">
        <f t="shared" si="22"/>
        <v>0.25535828401818511</v>
      </c>
      <c r="V161" s="448"/>
      <c r="W161" s="448"/>
      <c r="X161" s="448"/>
      <c r="Y161" s="448"/>
      <c r="Z161" s="448"/>
      <c r="AA161" s="448"/>
      <c r="AB161" s="448"/>
      <c r="AC161" s="448"/>
      <c r="AD161" s="448"/>
      <c r="AF161" s="448"/>
      <c r="AG161" s="448"/>
      <c r="AH161" s="448"/>
      <c r="AI161" s="448"/>
      <c r="AJ161" s="448"/>
      <c r="AK161" s="448"/>
      <c r="AL161" s="448"/>
      <c r="AM161" s="448"/>
      <c r="AN161" s="448"/>
      <c r="AP161" s="448"/>
      <c r="AQ161" s="448"/>
      <c r="AR161" s="448"/>
      <c r="AS161" s="448"/>
      <c r="AT161" s="448"/>
      <c r="AU161" s="448"/>
      <c r="AV161" s="448"/>
      <c r="AW161" s="448"/>
      <c r="AX161" s="448"/>
    </row>
    <row r="162" spans="1:50" x14ac:dyDescent="0.4">
      <c r="A162" s="442" t="str">
        <f t="shared" si="23"/>
        <v>21939</v>
      </c>
      <c r="B162" s="442">
        <v>14277</v>
      </c>
      <c r="C162" s="455">
        <v>3.9E-2</v>
      </c>
      <c r="D162" s="438">
        <v>8.0100000000000005E-2</v>
      </c>
      <c r="E162" s="438">
        <v>1.9E-3</v>
      </c>
      <c r="F162" s="438">
        <v>2.5000000000000001E-3</v>
      </c>
      <c r="G162" s="438">
        <v>2.7166666666666667E-3</v>
      </c>
      <c r="H162" s="438">
        <v>2.6083333333333336E-3</v>
      </c>
      <c r="I162" s="438">
        <v>2.9916666666666663E-3</v>
      </c>
      <c r="J162" s="438">
        <f t="shared" si="24"/>
        <v>3.7100000000000001E-2</v>
      </c>
      <c r="K162" s="438">
        <f t="shared" si="28"/>
        <v>3.6391666666666669E-2</v>
      </c>
      <c r="L162" s="438">
        <f t="shared" si="29"/>
        <v>7.7108333333333334E-2</v>
      </c>
      <c r="M162" s="446">
        <f t="shared" si="25"/>
        <v>0.17261857739349606</v>
      </c>
      <c r="N162" s="446">
        <f t="shared" si="26"/>
        <v>2.2800000000000001E-2</v>
      </c>
      <c r="O162" s="446">
        <f t="shared" si="18"/>
        <v>3.1300000000000001E-2</v>
      </c>
      <c r="P162" s="447">
        <f t="shared" si="27"/>
        <v>0.14981857739349608</v>
      </c>
      <c r="Q162" s="446">
        <f t="shared" si="19"/>
        <v>0.14131857739349607</v>
      </c>
      <c r="R162" s="446">
        <f t="shared" si="20"/>
        <v>0.34963752303262896</v>
      </c>
      <c r="S162" s="446">
        <f t="shared" si="21"/>
        <v>3.5899999999999994E-2</v>
      </c>
      <c r="T162" s="447">
        <f t="shared" si="22"/>
        <v>0.31373752303262897</v>
      </c>
      <c r="V162" s="448"/>
      <c r="W162" s="448"/>
      <c r="X162" s="448"/>
      <c r="Y162" s="448"/>
      <c r="Z162" s="448"/>
      <c r="AA162" s="448"/>
      <c r="AB162" s="448"/>
      <c r="AC162" s="448"/>
      <c r="AD162" s="448"/>
      <c r="AF162" s="448"/>
      <c r="AG162" s="448"/>
      <c r="AH162" s="448"/>
      <c r="AI162" s="448"/>
      <c r="AJ162" s="448"/>
      <c r="AK162" s="448"/>
      <c r="AL162" s="448"/>
      <c r="AM162" s="448"/>
      <c r="AN162" s="448"/>
      <c r="AP162" s="448"/>
      <c r="AQ162" s="448"/>
      <c r="AR162" s="448"/>
      <c r="AS162" s="448"/>
      <c r="AT162" s="448"/>
      <c r="AU162" s="448"/>
      <c r="AV162" s="448"/>
      <c r="AW162" s="448"/>
      <c r="AX162" s="448"/>
    </row>
    <row r="163" spans="1:50" x14ac:dyDescent="0.4">
      <c r="A163" s="442" t="str">
        <f t="shared" si="23"/>
        <v>31939</v>
      </c>
      <c r="B163" s="442">
        <v>14305</v>
      </c>
      <c r="C163" s="455">
        <v>-0.13389999999999999</v>
      </c>
      <c r="D163" s="438">
        <v>-0.13780000000000001</v>
      </c>
      <c r="E163" s="438">
        <v>2.0999999999999999E-3</v>
      </c>
      <c r="F163" s="438">
        <v>2.4916666666666668E-3</v>
      </c>
      <c r="G163" s="438">
        <v>2.6833333333333336E-3</v>
      </c>
      <c r="H163" s="438">
        <v>2.5875000000000004E-3</v>
      </c>
      <c r="I163" s="438">
        <v>2.9499999999999999E-3</v>
      </c>
      <c r="J163" s="438">
        <f t="shared" si="24"/>
        <v>-0.13599999999999998</v>
      </c>
      <c r="K163" s="438">
        <f t="shared" si="28"/>
        <v>-0.13648749999999998</v>
      </c>
      <c r="L163" s="438">
        <f t="shared" si="29"/>
        <v>-0.14075000000000001</v>
      </c>
      <c r="M163" s="446">
        <f t="shared" si="25"/>
        <v>0.35179681868828294</v>
      </c>
      <c r="N163" s="446">
        <f t="shared" si="26"/>
        <v>2.52E-2</v>
      </c>
      <c r="O163" s="446">
        <f t="shared" si="18"/>
        <v>3.1050000000000005E-2</v>
      </c>
      <c r="P163" s="447">
        <f t="shared" si="27"/>
        <v>0.32659681868828294</v>
      </c>
      <c r="Q163" s="446">
        <f t="shared" si="19"/>
        <v>0.32074681868828292</v>
      </c>
      <c r="R163" s="446">
        <f t="shared" si="20"/>
        <v>0.45166850344153286</v>
      </c>
      <c r="S163" s="446">
        <f t="shared" si="21"/>
        <v>3.5400000000000001E-2</v>
      </c>
      <c r="T163" s="447">
        <f t="shared" si="22"/>
        <v>0.41626850344153288</v>
      </c>
      <c r="V163" s="448"/>
      <c r="W163" s="448"/>
      <c r="X163" s="448"/>
      <c r="Y163" s="448"/>
      <c r="Z163" s="448"/>
      <c r="AA163" s="448"/>
      <c r="AB163" s="448"/>
      <c r="AC163" s="448"/>
      <c r="AD163" s="448"/>
      <c r="AF163" s="448"/>
      <c r="AG163" s="448"/>
      <c r="AH163" s="448"/>
      <c r="AI163" s="448"/>
      <c r="AJ163" s="448"/>
      <c r="AK163" s="448"/>
      <c r="AL163" s="448"/>
      <c r="AM163" s="448"/>
      <c r="AN163" s="448"/>
      <c r="AP163" s="448"/>
      <c r="AQ163" s="448"/>
      <c r="AR163" s="448"/>
      <c r="AS163" s="448"/>
      <c r="AT163" s="448"/>
      <c r="AU163" s="448"/>
      <c r="AV163" s="448"/>
      <c r="AW163" s="448"/>
      <c r="AX163" s="448"/>
    </row>
    <row r="164" spans="1:50" x14ac:dyDescent="0.4">
      <c r="A164" s="442" t="str">
        <f t="shared" si="23"/>
        <v>41939</v>
      </c>
      <c r="B164" s="442">
        <v>14336</v>
      </c>
      <c r="C164" s="455">
        <v>-2.7000000000000001E-3</v>
      </c>
      <c r="D164" s="438">
        <v>2.8500000000000001E-2</v>
      </c>
      <c r="E164" s="438">
        <v>1.9E-3</v>
      </c>
      <c r="F164" s="438">
        <v>2.5166666666666666E-3</v>
      </c>
      <c r="G164" s="438">
        <v>2.6833333333333336E-3</v>
      </c>
      <c r="H164" s="438">
        <v>2.5999999999999999E-3</v>
      </c>
      <c r="I164" s="438">
        <v>2.9583333333333332E-3</v>
      </c>
      <c r="J164" s="438">
        <f t="shared" si="24"/>
        <v>-4.5999999999999999E-3</v>
      </c>
      <c r="K164" s="438">
        <f t="shared" si="28"/>
        <v>-5.3E-3</v>
      </c>
      <c r="L164" s="438">
        <f t="shared" si="29"/>
        <v>2.5541666666666667E-2</v>
      </c>
      <c r="M164" s="446">
        <f t="shared" si="25"/>
        <v>0.1777295075371923</v>
      </c>
      <c r="N164" s="446">
        <f t="shared" si="26"/>
        <v>2.2800000000000001E-2</v>
      </c>
      <c r="O164" s="446">
        <f t="shared" si="18"/>
        <v>3.1199999999999999E-2</v>
      </c>
      <c r="P164" s="447">
        <f t="shared" si="27"/>
        <v>0.15492950753719231</v>
      </c>
      <c r="Q164" s="446">
        <f t="shared" si="19"/>
        <v>0.14652950753719229</v>
      </c>
      <c r="R164" s="446">
        <f t="shared" si="20"/>
        <v>0.29402067584470148</v>
      </c>
      <c r="S164" s="446">
        <f t="shared" si="21"/>
        <v>3.5499999999999997E-2</v>
      </c>
      <c r="T164" s="447">
        <f t="shared" si="22"/>
        <v>0.25852067584470151</v>
      </c>
      <c r="V164" s="448"/>
      <c r="W164" s="448"/>
      <c r="X164" s="448"/>
      <c r="Y164" s="448"/>
      <c r="Z164" s="448"/>
      <c r="AA164" s="448"/>
      <c r="AB164" s="448"/>
      <c r="AC164" s="448"/>
      <c r="AD164" s="448"/>
      <c r="AF164" s="448"/>
      <c r="AG164" s="448"/>
      <c r="AH164" s="448"/>
      <c r="AI164" s="448"/>
      <c r="AJ164" s="448"/>
      <c r="AK164" s="448"/>
      <c r="AL164" s="448"/>
      <c r="AM164" s="448"/>
      <c r="AN164" s="448"/>
      <c r="AP164" s="448"/>
      <c r="AQ164" s="448"/>
      <c r="AR164" s="448"/>
      <c r="AS164" s="448"/>
      <c r="AT164" s="448"/>
      <c r="AU164" s="448"/>
      <c r="AV164" s="448"/>
      <c r="AW164" s="448"/>
      <c r="AX164" s="448"/>
    </row>
    <row r="165" spans="1:50" x14ac:dyDescent="0.4">
      <c r="A165" s="442" t="str">
        <f t="shared" si="23"/>
        <v>51939</v>
      </c>
      <c r="B165" s="442">
        <v>14366</v>
      </c>
      <c r="C165" s="455">
        <v>7.3300000000000004E-2</v>
      </c>
      <c r="D165" s="438">
        <v>6.6500000000000004E-2</v>
      </c>
      <c r="E165" s="438">
        <v>2E-3</v>
      </c>
      <c r="F165" s="438">
        <v>2.4750000000000002E-3</v>
      </c>
      <c r="G165" s="438">
        <v>2.6333333333333334E-3</v>
      </c>
      <c r="H165" s="438">
        <v>2.5541666666666668E-3</v>
      </c>
      <c r="I165" s="438">
        <v>2.9166666666666668E-3</v>
      </c>
      <c r="J165" s="438">
        <f t="shared" si="24"/>
        <v>7.1300000000000002E-2</v>
      </c>
      <c r="K165" s="438">
        <f t="shared" si="28"/>
        <v>7.0745833333333341E-2</v>
      </c>
      <c r="L165" s="438">
        <f t="shared" si="29"/>
        <v>6.3583333333333339E-2</v>
      </c>
      <c r="M165" s="446">
        <f t="shared" si="25"/>
        <v>0.30719449890348338</v>
      </c>
      <c r="N165" s="446">
        <f t="shared" si="26"/>
        <v>2.4E-2</v>
      </c>
      <c r="O165" s="446">
        <f t="shared" si="18"/>
        <v>3.0650000000000004E-2</v>
      </c>
      <c r="P165" s="447">
        <f t="shared" si="27"/>
        <v>0.28319449890348336</v>
      </c>
      <c r="Q165" s="446">
        <f t="shared" si="19"/>
        <v>0.27654449890348337</v>
      </c>
      <c r="R165" s="446">
        <f t="shared" si="20"/>
        <v>0.35553781631310688</v>
      </c>
      <c r="S165" s="446">
        <f t="shared" si="21"/>
        <v>3.5000000000000003E-2</v>
      </c>
      <c r="T165" s="447">
        <f t="shared" si="22"/>
        <v>0.32053781631310685</v>
      </c>
      <c r="V165" s="448"/>
      <c r="W165" s="448"/>
      <c r="X165" s="448"/>
      <c r="Y165" s="448"/>
      <c r="Z165" s="448"/>
      <c r="AA165" s="448"/>
      <c r="AB165" s="448"/>
      <c r="AC165" s="448"/>
      <c r="AD165" s="448"/>
      <c r="AF165" s="448"/>
      <c r="AG165" s="448"/>
      <c r="AH165" s="448"/>
      <c r="AI165" s="448"/>
      <c r="AJ165" s="448"/>
      <c r="AK165" s="448"/>
      <c r="AL165" s="448"/>
      <c r="AM165" s="448"/>
      <c r="AN165" s="448"/>
      <c r="AP165" s="448"/>
      <c r="AQ165" s="448"/>
      <c r="AR165" s="448"/>
      <c r="AS165" s="448"/>
      <c r="AT165" s="448"/>
      <c r="AU165" s="448"/>
      <c r="AV165" s="448"/>
      <c r="AW165" s="448"/>
      <c r="AX165" s="448"/>
    </row>
    <row r="166" spans="1:50" x14ac:dyDescent="0.4">
      <c r="A166" s="442" t="str">
        <f t="shared" si="23"/>
        <v>61939</v>
      </c>
      <c r="B166" s="442">
        <v>14397</v>
      </c>
      <c r="C166" s="455">
        <v>-6.1199999999999997E-2</v>
      </c>
      <c r="D166" s="438">
        <v>-4.2299999999999997E-2</v>
      </c>
      <c r="E166" s="438">
        <v>1.8E-3</v>
      </c>
      <c r="F166" s="438">
        <v>2.4333333333333334E-3</v>
      </c>
      <c r="G166" s="438">
        <v>2.6083333333333332E-3</v>
      </c>
      <c r="H166" s="438">
        <v>2.5208333333333333E-3</v>
      </c>
      <c r="I166" s="438">
        <v>2.891666666666667E-3</v>
      </c>
      <c r="J166" s="438">
        <f t="shared" si="24"/>
        <v>-6.3E-2</v>
      </c>
      <c r="K166" s="438">
        <f t="shared" si="28"/>
        <v>-6.3720833333333338E-2</v>
      </c>
      <c r="L166" s="438">
        <f t="shared" si="29"/>
        <v>-4.5191666666666665E-2</v>
      </c>
      <c r="M166" s="446">
        <f t="shared" si="25"/>
        <v>-1.8480208293537137E-2</v>
      </c>
      <c r="N166" s="446">
        <f t="shared" si="26"/>
        <v>2.1600000000000001E-2</v>
      </c>
      <c r="O166" s="446">
        <f t="shared" si="18"/>
        <v>3.0249999999999999E-2</v>
      </c>
      <c r="P166" s="447">
        <f t="shared" si="27"/>
        <v>-4.0080208293537138E-2</v>
      </c>
      <c r="Q166" s="446">
        <f t="shared" si="19"/>
        <v>-4.8730208293537136E-2</v>
      </c>
      <c r="R166" s="446">
        <f t="shared" si="20"/>
        <v>0.11701821259943457</v>
      </c>
      <c r="S166" s="446">
        <f t="shared" si="21"/>
        <v>3.4700000000000002E-2</v>
      </c>
      <c r="T166" s="447">
        <f t="shared" si="22"/>
        <v>8.2318212599434559E-2</v>
      </c>
      <c r="V166" s="448"/>
      <c r="W166" s="448"/>
      <c r="X166" s="448"/>
      <c r="Y166" s="448"/>
      <c r="Z166" s="448"/>
      <c r="AA166" s="448"/>
      <c r="AB166" s="448"/>
      <c r="AC166" s="448"/>
      <c r="AD166" s="448"/>
      <c r="AF166" s="448"/>
      <c r="AG166" s="448"/>
      <c r="AH166" s="448"/>
      <c r="AI166" s="448"/>
      <c r="AJ166" s="448"/>
      <c r="AK166" s="448"/>
      <c r="AL166" s="448"/>
      <c r="AM166" s="448"/>
      <c r="AN166" s="448"/>
      <c r="AP166" s="448"/>
      <c r="AQ166" s="448"/>
      <c r="AR166" s="448"/>
      <c r="AS166" s="448"/>
      <c r="AT166" s="448"/>
      <c r="AU166" s="448"/>
      <c r="AV166" s="448"/>
      <c r="AW166" s="448"/>
      <c r="AX166" s="448"/>
    </row>
    <row r="167" spans="1:50" x14ac:dyDescent="0.4">
      <c r="A167" s="442" t="str">
        <f t="shared" si="23"/>
        <v>71939</v>
      </c>
      <c r="B167" s="442">
        <v>14427</v>
      </c>
      <c r="C167" s="455">
        <v>0.1105</v>
      </c>
      <c r="D167" s="438">
        <v>0.1208</v>
      </c>
      <c r="E167" s="438">
        <v>1.9E-3</v>
      </c>
      <c r="F167" s="438">
        <v>2.4083333333333335E-3</v>
      </c>
      <c r="G167" s="438">
        <v>2.5666666666666667E-3</v>
      </c>
      <c r="H167" s="438">
        <v>2.4875000000000001E-3</v>
      </c>
      <c r="I167" s="438">
        <v>2.8583333333333334E-3</v>
      </c>
      <c r="J167" s="438">
        <f t="shared" si="24"/>
        <v>0.1086</v>
      </c>
      <c r="K167" s="438">
        <f t="shared" si="28"/>
        <v>0.1080125</v>
      </c>
      <c r="L167" s="438">
        <f t="shared" si="29"/>
        <v>0.11794166666666667</v>
      </c>
      <c r="M167" s="446">
        <f t="shared" si="25"/>
        <v>1.4499002876048994E-2</v>
      </c>
      <c r="N167" s="446">
        <f t="shared" si="26"/>
        <v>2.2800000000000001E-2</v>
      </c>
      <c r="O167" s="446">
        <f t="shared" si="18"/>
        <v>2.9850000000000002E-2</v>
      </c>
      <c r="P167" s="447">
        <f t="shared" si="27"/>
        <v>-8.3009971239510066E-3</v>
      </c>
      <c r="Q167" s="446">
        <f t="shared" si="19"/>
        <v>-1.5350997123951007E-2</v>
      </c>
      <c r="R167" s="446">
        <f t="shared" si="20"/>
        <v>0.23369532191707343</v>
      </c>
      <c r="S167" s="446">
        <f t="shared" si="21"/>
        <v>3.4299999999999997E-2</v>
      </c>
      <c r="T167" s="447">
        <f t="shared" si="22"/>
        <v>0.19939532191707343</v>
      </c>
      <c r="V167" s="448"/>
      <c r="W167" s="448"/>
      <c r="X167" s="448"/>
      <c r="Y167" s="448"/>
      <c r="Z167" s="448"/>
      <c r="AA167" s="448"/>
      <c r="AB167" s="448"/>
      <c r="AC167" s="448"/>
      <c r="AD167" s="448"/>
      <c r="AF167" s="448"/>
      <c r="AG167" s="448"/>
      <c r="AH167" s="448"/>
      <c r="AI167" s="448"/>
      <c r="AJ167" s="448"/>
      <c r="AK167" s="448"/>
      <c r="AL167" s="448"/>
      <c r="AM167" s="448"/>
      <c r="AN167" s="448"/>
      <c r="AP167" s="448"/>
      <c r="AQ167" s="448"/>
      <c r="AR167" s="448"/>
      <c r="AS167" s="448"/>
      <c r="AT167" s="448"/>
      <c r="AU167" s="448"/>
      <c r="AV167" s="448"/>
      <c r="AW167" s="448"/>
      <c r="AX167" s="448"/>
    </row>
    <row r="168" spans="1:50" x14ac:dyDescent="0.4">
      <c r="A168" s="442" t="str">
        <f t="shared" si="23"/>
        <v>81939</v>
      </c>
      <c r="B168" s="442">
        <v>14458</v>
      </c>
      <c r="C168" s="455">
        <v>-6.4799999999999996E-2</v>
      </c>
      <c r="D168" s="438">
        <v>-6.4699999999999994E-2</v>
      </c>
      <c r="E168" s="438">
        <v>1.8E-3</v>
      </c>
      <c r="F168" s="438">
        <v>2.4416666666666666E-3</v>
      </c>
      <c r="G168" s="438">
        <v>2.5916666666666666E-3</v>
      </c>
      <c r="H168" s="438">
        <v>2.5166666666666666E-3</v>
      </c>
      <c r="I168" s="438">
        <v>2.8416666666666668E-3</v>
      </c>
      <c r="J168" s="438">
        <f t="shared" si="24"/>
        <v>-6.6599999999999993E-2</v>
      </c>
      <c r="K168" s="438">
        <f t="shared" si="28"/>
        <v>-6.7316666666666664E-2</v>
      </c>
      <c r="L168" s="438">
        <f t="shared" si="29"/>
        <v>-6.7541666666666667E-2</v>
      </c>
      <c r="M168" s="446">
        <f t="shared" si="25"/>
        <v>-2.9302775230529265E-2</v>
      </c>
      <c r="N168" s="446">
        <f t="shared" si="26"/>
        <v>2.1600000000000001E-2</v>
      </c>
      <c r="O168" s="446">
        <f t="shared" ref="O168:O231" si="30">H168*12</f>
        <v>3.0199999999999998E-2</v>
      </c>
      <c r="P168" s="447">
        <f t="shared" si="27"/>
        <v>-5.0902775230529267E-2</v>
      </c>
      <c r="Q168" s="446">
        <f t="shared" ref="Q168:Q231" si="31">M168-O168</f>
        <v>-5.9502775230529263E-2</v>
      </c>
      <c r="R168" s="446">
        <f t="shared" ref="R168:R231" si="32">((1+D157)*(1+D158)*(1+D159)*(1+D160)*(1+D161)*(1+D162)*(1+D163)*(1+D164)*(1+D165)*(1+D166)*(1+D167)*(1+D168))-1</f>
        <v>0.22193713289107153</v>
      </c>
      <c r="S168" s="446">
        <f t="shared" ref="S168:S231" si="33">I168*12</f>
        <v>3.4100000000000005E-2</v>
      </c>
      <c r="T168" s="447">
        <f t="shared" ref="T168:T231" si="34">R168-S168</f>
        <v>0.18783713289107151</v>
      </c>
      <c r="V168" s="448"/>
      <c r="W168" s="448"/>
      <c r="X168" s="448"/>
      <c r="Y168" s="448"/>
      <c r="Z168" s="448"/>
      <c r="AA168" s="448"/>
      <c r="AB168" s="448"/>
      <c r="AC168" s="448"/>
      <c r="AD168" s="448"/>
      <c r="AF168" s="448"/>
      <c r="AG168" s="448"/>
      <c r="AH168" s="448"/>
      <c r="AI168" s="448"/>
      <c r="AJ168" s="448"/>
      <c r="AK168" s="448"/>
      <c r="AL168" s="448"/>
      <c r="AM168" s="448"/>
      <c r="AN168" s="448"/>
      <c r="AP168" s="448"/>
      <c r="AQ168" s="448"/>
      <c r="AR168" s="448"/>
      <c r="AS168" s="448"/>
      <c r="AT168" s="448"/>
      <c r="AU168" s="448"/>
      <c r="AV168" s="448"/>
      <c r="AW168" s="448"/>
      <c r="AX168" s="448"/>
    </row>
    <row r="169" spans="1:50" x14ac:dyDescent="0.4">
      <c r="A169" s="442" t="str">
        <f t="shared" ref="A169:A232" si="35">MONTH(B169)&amp;YEAR(B169)</f>
        <v>91939</v>
      </c>
      <c r="B169" s="442">
        <v>14489</v>
      </c>
      <c r="C169" s="455">
        <v>0.1673</v>
      </c>
      <c r="D169" s="438">
        <v>4.2100000000000005E-2</v>
      </c>
      <c r="E169" s="438">
        <v>1.9E-3</v>
      </c>
      <c r="F169" s="438">
        <v>2.708333333333333E-3</v>
      </c>
      <c r="G169" s="438">
        <v>2.9083333333333335E-3</v>
      </c>
      <c r="H169" s="438">
        <v>2.8083333333333333E-3</v>
      </c>
      <c r="I169" s="438">
        <v>3.0916666666666666E-3</v>
      </c>
      <c r="J169" s="438">
        <f t="shared" si="24"/>
        <v>0.16539999999999999</v>
      </c>
      <c r="K169" s="438">
        <f t="shared" si="28"/>
        <v>0.16449166666666667</v>
      </c>
      <c r="L169" s="438">
        <f t="shared" si="29"/>
        <v>3.9008333333333339E-2</v>
      </c>
      <c r="M169" s="446">
        <f t="shared" si="25"/>
        <v>0.11459263276943088</v>
      </c>
      <c r="N169" s="446">
        <f t="shared" si="26"/>
        <v>2.2800000000000001E-2</v>
      </c>
      <c r="O169" s="446">
        <f t="shared" si="30"/>
        <v>3.3700000000000001E-2</v>
      </c>
      <c r="P169" s="447">
        <f t="shared" si="27"/>
        <v>9.1792632769430879E-2</v>
      </c>
      <c r="Q169" s="446">
        <f t="shared" si="31"/>
        <v>8.0892632769430872E-2</v>
      </c>
      <c r="R169" s="446">
        <f t="shared" si="32"/>
        <v>0.24951495062877593</v>
      </c>
      <c r="S169" s="446">
        <f t="shared" si="33"/>
        <v>3.7100000000000001E-2</v>
      </c>
      <c r="T169" s="447">
        <f t="shared" si="34"/>
        <v>0.21241495062877594</v>
      </c>
      <c r="V169" s="448"/>
      <c r="W169" s="448"/>
      <c r="X169" s="448"/>
      <c r="Y169" s="448"/>
      <c r="Z169" s="448"/>
      <c r="AA169" s="448"/>
      <c r="AB169" s="448"/>
      <c r="AC169" s="448"/>
      <c r="AD169" s="448"/>
      <c r="AF169" s="448"/>
      <c r="AG169" s="448"/>
      <c r="AH169" s="448"/>
      <c r="AI169" s="448"/>
      <c r="AJ169" s="448"/>
      <c r="AK169" s="448"/>
      <c r="AL169" s="448"/>
      <c r="AM169" s="448"/>
      <c r="AN169" s="448"/>
      <c r="AP169" s="448"/>
      <c r="AQ169" s="448"/>
      <c r="AR169" s="448"/>
      <c r="AS169" s="448"/>
      <c r="AT169" s="448"/>
      <c r="AU169" s="448"/>
      <c r="AV169" s="448"/>
      <c r="AW169" s="448"/>
      <c r="AX169" s="448"/>
    </row>
    <row r="170" spans="1:50" x14ac:dyDescent="0.4">
      <c r="A170" s="442" t="str">
        <f t="shared" si="35"/>
        <v>101939</v>
      </c>
      <c r="B170" s="442">
        <v>14519</v>
      </c>
      <c r="C170" s="455">
        <v>-1.23E-2</v>
      </c>
      <c r="D170" s="438">
        <v>1.3000000000000001E-2</v>
      </c>
      <c r="E170" s="438">
        <v>2.3E-3</v>
      </c>
      <c r="F170" s="438">
        <v>2.6250000000000002E-3</v>
      </c>
      <c r="G170" s="438">
        <v>2.7916666666666667E-3</v>
      </c>
      <c r="H170" s="438">
        <v>2.7083333333333339E-3</v>
      </c>
      <c r="I170" s="438">
        <v>2.9833333333333335E-3</v>
      </c>
      <c r="J170" s="438">
        <f t="shared" si="24"/>
        <v>-1.46E-2</v>
      </c>
      <c r="K170" s="438">
        <f t="shared" si="28"/>
        <v>-1.5008333333333334E-2</v>
      </c>
      <c r="L170" s="438">
        <f t="shared" si="29"/>
        <v>1.0016666666666667E-2</v>
      </c>
      <c r="M170" s="446">
        <f t="shared" si="25"/>
        <v>2.1606480499597902E-2</v>
      </c>
      <c r="N170" s="446">
        <f t="shared" si="26"/>
        <v>2.76E-2</v>
      </c>
      <c r="O170" s="446">
        <f t="shared" si="30"/>
        <v>3.2500000000000008E-2</v>
      </c>
      <c r="P170" s="447">
        <f t="shared" si="27"/>
        <v>-5.9935195004020975E-3</v>
      </c>
      <c r="Q170" s="446">
        <f t="shared" si="31"/>
        <v>-1.0893519500402106E-2</v>
      </c>
      <c r="R170" s="446">
        <f t="shared" si="32"/>
        <v>7.2585920673629012E-2</v>
      </c>
      <c r="S170" s="446">
        <f t="shared" si="33"/>
        <v>3.5799999999999998E-2</v>
      </c>
      <c r="T170" s="447">
        <f t="shared" si="34"/>
        <v>3.6785920673629013E-2</v>
      </c>
      <c r="V170" s="448"/>
      <c r="W170" s="448"/>
      <c r="X170" s="448"/>
      <c r="Y170" s="448"/>
      <c r="Z170" s="448"/>
      <c r="AA170" s="448"/>
      <c r="AB170" s="448"/>
      <c r="AC170" s="448"/>
      <c r="AD170" s="448"/>
      <c r="AF170" s="448"/>
      <c r="AG170" s="448"/>
      <c r="AH170" s="448"/>
      <c r="AI170" s="448"/>
      <c r="AJ170" s="448"/>
      <c r="AK170" s="448"/>
      <c r="AL170" s="448"/>
      <c r="AM170" s="448"/>
      <c r="AN170" s="448"/>
      <c r="AP170" s="448"/>
      <c r="AQ170" s="448"/>
      <c r="AR170" s="448"/>
      <c r="AS170" s="448"/>
      <c r="AT170" s="448"/>
      <c r="AU170" s="448"/>
      <c r="AV170" s="448"/>
      <c r="AW170" s="448"/>
      <c r="AX170" s="448"/>
    </row>
    <row r="171" spans="1:50" x14ac:dyDescent="0.4">
      <c r="A171" s="442" t="str">
        <f t="shared" si="35"/>
        <v>111939</v>
      </c>
      <c r="B171" s="442">
        <v>14550</v>
      </c>
      <c r="C171" s="455">
        <v>-3.9800000000000002E-2</v>
      </c>
      <c r="D171" s="438">
        <v>-1.5699999999999999E-2</v>
      </c>
      <c r="E171" s="438">
        <v>2E-3</v>
      </c>
      <c r="F171" s="438">
        <v>2.5000000000000001E-3</v>
      </c>
      <c r="G171" s="438">
        <v>2.6333333333333334E-3</v>
      </c>
      <c r="H171" s="438">
        <v>2.5666666666666672E-3</v>
      </c>
      <c r="I171" s="438">
        <v>2.8416666666666668E-3</v>
      </c>
      <c r="J171" s="438">
        <f t="shared" si="24"/>
        <v>-4.1800000000000004E-2</v>
      </c>
      <c r="K171" s="438">
        <f t="shared" si="28"/>
        <v>-4.2366666666666671E-2</v>
      </c>
      <c r="L171" s="438">
        <f t="shared" si="29"/>
        <v>-1.8541666666666665E-2</v>
      </c>
      <c r="M171" s="446">
        <f t="shared" si="25"/>
        <v>8.4779917505029001E-3</v>
      </c>
      <c r="N171" s="446">
        <f t="shared" si="26"/>
        <v>2.4E-2</v>
      </c>
      <c r="O171" s="446">
        <f t="shared" si="30"/>
        <v>3.0800000000000008E-2</v>
      </c>
      <c r="P171" s="447">
        <f t="shared" si="27"/>
        <v>-1.55220082494971E-2</v>
      </c>
      <c r="Q171" s="446">
        <f t="shared" si="31"/>
        <v>-2.2322008249497108E-2</v>
      </c>
      <c r="R171" s="446">
        <f t="shared" si="32"/>
        <v>0.12552912763225321</v>
      </c>
      <c r="S171" s="446">
        <f t="shared" si="33"/>
        <v>3.4100000000000005E-2</v>
      </c>
      <c r="T171" s="447">
        <f t="shared" si="34"/>
        <v>9.1429127632253207E-2</v>
      </c>
      <c r="V171" s="448"/>
      <c r="W171" s="448"/>
      <c r="X171" s="448"/>
      <c r="Y171" s="448"/>
      <c r="Z171" s="448"/>
      <c r="AA171" s="448"/>
      <c r="AB171" s="448"/>
      <c r="AC171" s="448"/>
      <c r="AD171" s="448"/>
      <c r="AF171" s="448"/>
      <c r="AG171" s="448"/>
      <c r="AH171" s="448"/>
      <c r="AI171" s="448"/>
      <c r="AJ171" s="448"/>
      <c r="AK171" s="448"/>
      <c r="AL171" s="448"/>
      <c r="AM171" s="448"/>
      <c r="AN171" s="448"/>
      <c r="AP171" s="448"/>
      <c r="AQ171" s="448"/>
      <c r="AR171" s="448"/>
      <c r="AS171" s="448"/>
      <c r="AT171" s="448"/>
      <c r="AU171" s="448"/>
      <c r="AV171" s="448"/>
      <c r="AW171" s="448"/>
      <c r="AX171" s="448"/>
    </row>
    <row r="172" spans="1:50" x14ac:dyDescent="0.4">
      <c r="A172" s="442" t="str">
        <f t="shared" si="35"/>
        <v>121939</v>
      </c>
      <c r="B172" s="442">
        <v>14580</v>
      </c>
      <c r="C172" s="455">
        <v>2.7E-2</v>
      </c>
      <c r="D172" s="438">
        <v>2.7199999999999998E-2</v>
      </c>
      <c r="E172" s="438">
        <v>1.9E-3</v>
      </c>
      <c r="F172" s="438">
        <v>2.4499999999999999E-3</v>
      </c>
      <c r="G172" s="438">
        <v>2.6166666666666664E-3</v>
      </c>
      <c r="H172" s="438">
        <v>2.5333333333333332E-3</v>
      </c>
      <c r="I172" s="438">
        <v>2.816666666666667E-3</v>
      </c>
      <c r="J172" s="438">
        <f t="shared" si="24"/>
        <v>2.5100000000000001E-2</v>
      </c>
      <c r="K172" s="438">
        <f t="shared" si="28"/>
        <v>2.4466666666666668E-2</v>
      </c>
      <c r="L172" s="438">
        <f t="shared" si="29"/>
        <v>2.4383333333333333E-2</v>
      </c>
      <c r="M172" s="446">
        <f t="shared" si="25"/>
        <v>-4.2237308645646232E-3</v>
      </c>
      <c r="N172" s="446">
        <f t="shared" si="26"/>
        <v>2.2800000000000001E-2</v>
      </c>
      <c r="O172" s="446">
        <f t="shared" si="30"/>
        <v>3.0399999999999996E-2</v>
      </c>
      <c r="P172" s="447">
        <f t="shared" si="27"/>
        <v>-2.7023730864564624E-2</v>
      </c>
      <c r="Q172" s="446">
        <f t="shared" si="31"/>
        <v>-3.462373086456462E-2</v>
      </c>
      <c r="R172" s="446">
        <f t="shared" si="32"/>
        <v>0.11263932239808527</v>
      </c>
      <c r="S172" s="446">
        <f t="shared" si="33"/>
        <v>3.3800000000000004E-2</v>
      </c>
      <c r="T172" s="447">
        <f t="shared" si="34"/>
        <v>7.8839322398085276E-2</v>
      </c>
      <c r="V172" s="448"/>
      <c r="W172" s="448"/>
      <c r="X172" s="448"/>
      <c r="Y172" s="448"/>
      <c r="Z172" s="448"/>
      <c r="AA172" s="448"/>
      <c r="AB172" s="448"/>
      <c r="AC172" s="448"/>
      <c r="AD172" s="448"/>
      <c r="AF172" s="448"/>
      <c r="AG172" s="448"/>
      <c r="AH172" s="448"/>
      <c r="AI172" s="448"/>
      <c r="AJ172" s="448"/>
      <c r="AK172" s="448"/>
      <c r="AL172" s="448"/>
      <c r="AM172" s="448"/>
      <c r="AN172" s="448"/>
      <c r="AP172" s="448"/>
      <c r="AQ172" s="448"/>
      <c r="AR172" s="448"/>
      <c r="AS172" s="448"/>
      <c r="AT172" s="448"/>
      <c r="AU172" s="448"/>
      <c r="AV172" s="448"/>
      <c r="AW172" s="448"/>
      <c r="AX172" s="448"/>
    </row>
    <row r="173" spans="1:50" x14ac:dyDescent="0.4">
      <c r="A173" s="442" t="str">
        <f t="shared" si="35"/>
        <v>11940</v>
      </c>
      <c r="B173" s="442">
        <v>14611</v>
      </c>
      <c r="C173" s="455">
        <v>-3.3599999999999998E-2</v>
      </c>
      <c r="D173" s="438">
        <v>6.8999999999999999E-3</v>
      </c>
      <c r="E173" s="438">
        <v>2E-3</v>
      </c>
      <c r="F173" s="438">
        <v>2.3999999999999998E-3</v>
      </c>
      <c r="G173" s="438">
        <v>2.5666666666666667E-3</v>
      </c>
      <c r="H173" s="438">
        <v>2.4833333333333331E-3</v>
      </c>
      <c r="I173" s="438">
        <v>2.7833333333333334E-3</v>
      </c>
      <c r="J173" s="438">
        <f t="shared" si="24"/>
        <v>-3.56E-2</v>
      </c>
      <c r="K173" s="438">
        <f t="shared" si="28"/>
        <v>-3.6083333333333328E-2</v>
      </c>
      <c r="L173" s="438">
        <f t="shared" si="29"/>
        <v>4.116666666666666E-3</v>
      </c>
      <c r="M173" s="446">
        <f t="shared" si="25"/>
        <v>3.1865951632516376E-2</v>
      </c>
      <c r="N173" s="446">
        <f t="shared" si="26"/>
        <v>2.4E-2</v>
      </c>
      <c r="O173" s="446">
        <f t="shared" si="30"/>
        <v>2.9799999999999997E-2</v>
      </c>
      <c r="P173" s="447">
        <f t="shared" si="27"/>
        <v>7.8659516325163756E-3</v>
      </c>
      <c r="Q173" s="446">
        <f t="shared" si="31"/>
        <v>2.0659516325163794E-3</v>
      </c>
      <c r="R173" s="446">
        <f t="shared" si="32"/>
        <v>0.10213136618065133</v>
      </c>
      <c r="S173" s="446">
        <f t="shared" si="33"/>
        <v>3.3399999999999999E-2</v>
      </c>
      <c r="T173" s="447">
        <f t="shared" si="34"/>
        <v>6.8731366180651329E-2</v>
      </c>
      <c r="V173" s="448"/>
      <c r="W173" s="448"/>
      <c r="X173" s="448"/>
      <c r="Y173" s="448"/>
      <c r="Z173" s="448"/>
      <c r="AA173" s="448"/>
      <c r="AB173" s="448"/>
      <c r="AC173" s="448"/>
      <c r="AD173" s="448"/>
      <c r="AF173" s="448"/>
      <c r="AG173" s="448"/>
      <c r="AH173" s="448"/>
      <c r="AI173" s="448"/>
      <c r="AJ173" s="448"/>
      <c r="AK173" s="448"/>
      <c r="AL173" s="448"/>
      <c r="AM173" s="448"/>
      <c r="AN173" s="448"/>
      <c r="AP173" s="448"/>
      <c r="AQ173" s="448"/>
      <c r="AR173" s="448"/>
      <c r="AS173" s="448"/>
      <c r="AT173" s="448"/>
      <c r="AU173" s="448"/>
      <c r="AV173" s="448"/>
      <c r="AW173" s="448"/>
      <c r="AX173" s="448"/>
    </row>
    <row r="174" spans="1:50" x14ac:dyDescent="0.4">
      <c r="A174" s="442" t="str">
        <f t="shared" si="35"/>
        <v>21940</v>
      </c>
      <c r="B174" s="442">
        <v>14642</v>
      </c>
      <c r="C174" s="455">
        <v>1.3299999999999999E-2</v>
      </c>
      <c r="D174" s="438">
        <v>-1.0200000000000001E-2</v>
      </c>
      <c r="E174" s="438">
        <v>1.8E-3</v>
      </c>
      <c r="F174" s="438">
        <v>2.3833333333333332E-3</v>
      </c>
      <c r="G174" s="438">
        <v>2.5416666666666665E-3</v>
      </c>
      <c r="H174" s="438">
        <v>2.4624999999999998E-3</v>
      </c>
      <c r="I174" s="438">
        <v>2.7916666666666667E-3</v>
      </c>
      <c r="J174" s="438">
        <f t="shared" si="24"/>
        <v>1.15E-2</v>
      </c>
      <c r="K174" s="438">
        <f t="shared" si="28"/>
        <v>1.08375E-2</v>
      </c>
      <c r="L174" s="438">
        <f t="shared" si="29"/>
        <v>-1.2991666666666667E-2</v>
      </c>
      <c r="M174" s="446">
        <f t="shared" si="25"/>
        <v>6.3424146190846908E-3</v>
      </c>
      <c r="N174" s="446">
        <f t="shared" si="26"/>
        <v>2.1600000000000001E-2</v>
      </c>
      <c r="O174" s="446">
        <f t="shared" si="30"/>
        <v>2.955E-2</v>
      </c>
      <c r="P174" s="447">
        <f t="shared" si="27"/>
        <v>-1.525758538091531E-2</v>
      </c>
      <c r="Q174" s="446">
        <f t="shared" si="31"/>
        <v>-2.3207585380915309E-2</v>
      </c>
      <c r="R174" s="446">
        <f t="shared" si="32"/>
        <v>9.9894697209599315E-3</v>
      </c>
      <c r="S174" s="446">
        <f t="shared" si="33"/>
        <v>3.3500000000000002E-2</v>
      </c>
      <c r="T174" s="447">
        <f t="shared" si="34"/>
        <v>-2.3510530279040071E-2</v>
      </c>
      <c r="V174" s="448"/>
      <c r="W174" s="448"/>
      <c r="X174" s="448"/>
      <c r="Y174" s="448"/>
      <c r="Z174" s="448"/>
      <c r="AA174" s="448"/>
      <c r="AB174" s="448"/>
      <c r="AC174" s="448"/>
      <c r="AD174" s="448"/>
      <c r="AF174" s="448"/>
      <c r="AG174" s="448"/>
      <c r="AH174" s="448"/>
      <c r="AI174" s="448"/>
      <c r="AJ174" s="448"/>
      <c r="AK174" s="448"/>
      <c r="AL174" s="448"/>
      <c r="AM174" s="448"/>
      <c r="AN174" s="448"/>
      <c r="AP174" s="448"/>
      <c r="AQ174" s="448"/>
      <c r="AR174" s="448"/>
      <c r="AS174" s="448"/>
      <c r="AT174" s="448"/>
      <c r="AU174" s="448"/>
      <c r="AV174" s="448"/>
      <c r="AW174" s="448"/>
      <c r="AX174" s="448"/>
    </row>
    <row r="175" spans="1:50" x14ac:dyDescent="0.4">
      <c r="A175" s="442" t="str">
        <f t="shared" si="35"/>
        <v>31940</v>
      </c>
      <c r="B175" s="442">
        <v>14671</v>
      </c>
      <c r="C175" s="455">
        <v>1.24E-2</v>
      </c>
      <c r="D175" s="438">
        <v>9.3999999999999986E-3</v>
      </c>
      <c r="E175" s="438">
        <v>1.9E-3</v>
      </c>
      <c r="F175" s="438">
        <v>2.3666666666666667E-3</v>
      </c>
      <c r="G175" s="438">
        <v>2.5333333333333336E-3</v>
      </c>
      <c r="H175" s="438">
        <v>2.4499999999999999E-3</v>
      </c>
      <c r="I175" s="438">
        <v>2.7833333333333334E-3</v>
      </c>
      <c r="J175" s="438">
        <f t="shared" si="24"/>
        <v>1.0499999999999999E-2</v>
      </c>
      <c r="K175" s="438">
        <f t="shared" si="28"/>
        <v>9.9500000000000005E-3</v>
      </c>
      <c r="L175" s="438">
        <f t="shared" si="29"/>
        <v>6.6166666666666648E-3</v>
      </c>
      <c r="M175" s="446">
        <f t="shared" si="25"/>
        <v>0.17633190227498141</v>
      </c>
      <c r="N175" s="446">
        <f t="shared" si="26"/>
        <v>2.2800000000000001E-2</v>
      </c>
      <c r="O175" s="446">
        <f t="shared" si="30"/>
        <v>2.9399999999999999E-2</v>
      </c>
      <c r="P175" s="447">
        <f t="shared" si="27"/>
        <v>0.15353190227498142</v>
      </c>
      <c r="Q175" s="446">
        <f t="shared" si="31"/>
        <v>0.1469319022749814</v>
      </c>
      <c r="R175" s="446">
        <f t="shared" si="32"/>
        <v>0.18242098206487722</v>
      </c>
      <c r="S175" s="446">
        <f t="shared" si="33"/>
        <v>3.3399999999999999E-2</v>
      </c>
      <c r="T175" s="447">
        <f t="shared" si="34"/>
        <v>0.14902098206487724</v>
      </c>
      <c r="V175" s="448"/>
      <c r="W175" s="448"/>
      <c r="X175" s="448"/>
      <c r="Y175" s="448"/>
      <c r="Z175" s="448"/>
      <c r="AA175" s="448"/>
      <c r="AB175" s="448"/>
      <c r="AC175" s="448"/>
      <c r="AD175" s="448"/>
      <c r="AF175" s="448"/>
      <c r="AG175" s="448"/>
      <c r="AH175" s="448"/>
      <c r="AI175" s="448"/>
      <c r="AJ175" s="448"/>
      <c r="AK175" s="448"/>
      <c r="AL175" s="448"/>
      <c r="AM175" s="448"/>
      <c r="AN175" s="448"/>
      <c r="AP175" s="448"/>
      <c r="AQ175" s="448"/>
      <c r="AR175" s="448"/>
      <c r="AS175" s="448"/>
      <c r="AT175" s="448"/>
      <c r="AU175" s="448"/>
      <c r="AV175" s="448"/>
      <c r="AW175" s="448"/>
      <c r="AX175" s="448"/>
    </row>
    <row r="176" spans="1:50" x14ac:dyDescent="0.4">
      <c r="A176" s="442" t="str">
        <f t="shared" si="35"/>
        <v>41940</v>
      </c>
      <c r="B176" s="442">
        <v>14702</v>
      </c>
      <c r="C176" s="455">
        <v>-2.3999999999999998E-3</v>
      </c>
      <c r="D176" s="438">
        <v>-9.1999999999999998E-3</v>
      </c>
      <c r="E176" s="438">
        <v>1.8E-3</v>
      </c>
      <c r="F176" s="438">
        <v>2.3499999999999997E-3</v>
      </c>
      <c r="G176" s="438">
        <v>2.4916666666666668E-3</v>
      </c>
      <c r="H176" s="438">
        <v>2.420833333333333E-3</v>
      </c>
      <c r="I176" s="438">
        <v>2.708333333333333E-3</v>
      </c>
      <c r="J176" s="438">
        <f t="shared" si="24"/>
        <v>-4.1999999999999997E-3</v>
      </c>
      <c r="K176" s="438">
        <f t="shared" si="28"/>
        <v>-4.8208333333333332E-3</v>
      </c>
      <c r="L176" s="438">
        <f t="shared" si="29"/>
        <v>-1.1908333333333333E-2</v>
      </c>
      <c r="M176" s="446">
        <f t="shared" si="25"/>
        <v>0.17668575725410784</v>
      </c>
      <c r="N176" s="446">
        <f t="shared" si="26"/>
        <v>2.1600000000000001E-2</v>
      </c>
      <c r="O176" s="446">
        <f t="shared" si="30"/>
        <v>2.9049999999999996E-2</v>
      </c>
      <c r="P176" s="447">
        <f t="shared" si="27"/>
        <v>0.15508575725410784</v>
      </c>
      <c r="Q176" s="446">
        <f t="shared" si="31"/>
        <v>0.14763575725410785</v>
      </c>
      <c r="R176" s="446">
        <f t="shared" si="32"/>
        <v>0.13907895870673825</v>
      </c>
      <c r="S176" s="446">
        <f t="shared" si="33"/>
        <v>3.2499999999999994E-2</v>
      </c>
      <c r="T176" s="447">
        <f t="shared" si="34"/>
        <v>0.10657895870673825</v>
      </c>
      <c r="V176" s="448"/>
      <c r="W176" s="448"/>
      <c r="X176" s="448"/>
      <c r="Y176" s="448"/>
      <c r="Z176" s="448"/>
      <c r="AA176" s="448"/>
      <c r="AB176" s="448"/>
      <c r="AC176" s="448"/>
      <c r="AD176" s="448"/>
      <c r="AF176" s="448"/>
      <c r="AG176" s="448"/>
      <c r="AH176" s="448"/>
      <c r="AI176" s="448"/>
      <c r="AJ176" s="448"/>
      <c r="AK176" s="448"/>
      <c r="AL176" s="448"/>
      <c r="AM176" s="448"/>
      <c r="AN176" s="448"/>
      <c r="AP176" s="448"/>
      <c r="AQ176" s="448"/>
      <c r="AR176" s="448"/>
      <c r="AS176" s="448"/>
      <c r="AT176" s="448"/>
      <c r="AU176" s="448"/>
      <c r="AV176" s="448"/>
      <c r="AW176" s="448"/>
      <c r="AX176" s="448"/>
    </row>
    <row r="177" spans="1:50" x14ac:dyDescent="0.4">
      <c r="A177" s="442" t="str">
        <f t="shared" si="35"/>
        <v>51940</v>
      </c>
      <c r="B177" s="442">
        <v>14732</v>
      </c>
      <c r="C177" s="455">
        <v>-0.22889999999999999</v>
      </c>
      <c r="D177" s="438">
        <v>-0.19640000000000002</v>
      </c>
      <c r="E177" s="438">
        <v>1.9E-3</v>
      </c>
      <c r="F177" s="438">
        <v>2.4416666666666666E-3</v>
      </c>
      <c r="G177" s="438">
        <v>2.5666666666666667E-3</v>
      </c>
      <c r="H177" s="438">
        <v>2.5041666666666667E-3</v>
      </c>
      <c r="I177" s="438">
        <v>2.7500000000000003E-3</v>
      </c>
      <c r="J177" s="438">
        <f t="shared" si="24"/>
        <v>-0.23080000000000001</v>
      </c>
      <c r="K177" s="438">
        <f t="shared" si="28"/>
        <v>-0.23140416666666666</v>
      </c>
      <c r="L177" s="438">
        <f t="shared" si="29"/>
        <v>-0.19915000000000002</v>
      </c>
      <c r="M177" s="446">
        <f t="shared" si="25"/>
        <v>-0.15462369568746637</v>
      </c>
      <c r="N177" s="446">
        <f t="shared" si="26"/>
        <v>2.2800000000000001E-2</v>
      </c>
      <c r="O177" s="446">
        <f t="shared" si="30"/>
        <v>3.005E-2</v>
      </c>
      <c r="P177" s="447">
        <f t="shared" si="27"/>
        <v>-0.17742369568746635</v>
      </c>
      <c r="Q177" s="446">
        <f t="shared" si="31"/>
        <v>-0.18467369568746636</v>
      </c>
      <c r="R177" s="446">
        <f t="shared" si="32"/>
        <v>-0.14171228202837804</v>
      </c>
      <c r="S177" s="446">
        <f t="shared" si="33"/>
        <v>3.3000000000000002E-2</v>
      </c>
      <c r="T177" s="447">
        <f t="shared" si="34"/>
        <v>-0.17471228202837805</v>
      </c>
      <c r="V177" s="448"/>
      <c r="W177" s="448"/>
      <c r="X177" s="448"/>
      <c r="Y177" s="448"/>
      <c r="Z177" s="448"/>
      <c r="AA177" s="448"/>
      <c r="AB177" s="448"/>
      <c r="AC177" s="448"/>
      <c r="AD177" s="448"/>
      <c r="AF177" s="448"/>
      <c r="AG177" s="448"/>
      <c r="AH177" s="448"/>
      <c r="AI177" s="448"/>
      <c r="AJ177" s="448"/>
      <c r="AK177" s="448"/>
      <c r="AL177" s="448"/>
      <c r="AM177" s="448"/>
      <c r="AN177" s="448"/>
      <c r="AP177" s="448"/>
      <c r="AQ177" s="448"/>
      <c r="AR177" s="448"/>
      <c r="AS177" s="448"/>
      <c r="AT177" s="448"/>
      <c r="AU177" s="448"/>
      <c r="AV177" s="448"/>
      <c r="AW177" s="448"/>
      <c r="AX177" s="448"/>
    </row>
    <row r="178" spans="1:50" x14ac:dyDescent="0.4">
      <c r="A178" s="442" t="str">
        <f t="shared" si="35"/>
        <v>61940</v>
      </c>
      <c r="B178" s="442">
        <v>14763</v>
      </c>
      <c r="C178" s="455">
        <v>8.09E-2</v>
      </c>
      <c r="D178" s="438">
        <v>0.15060000000000001</v>
      </c>
      <c r="E178" s="438">
        <v>1.9E-3</v>
      </c>
      <c r="F178" s="438">
        <v>2.4666666666666669E-3</v>
      </c>
      <c r="G178" s="438">
        <v>2.5833333333333337E-3</v>
      </c>
      <c r="H178" s="438">
        <v>2.5249999999999999E-3</v>
      </c>
      <c r="I178" s="438">
        <v>2.7833333333333334E-3</v>
      </c>
      <c r="J178" s="438">
        <f t="shared" si="24"/>
        <v>7.9000000000000001E-2</v>
      </c>
      <c r="K178" s="438">
        <f t="shared" si="28"/>
        <v>7.8375E-2</v>
      </c>
      <c r="L178" s="438">
        <f t="shared" si="29"/>
        <v>0.14781666666666668</v>
      </c>
      <c r="M178" s="446">
        <f t="shared" si="25"/>
        <v>-2.6664627895805704E-2</v>
      </c>
      <c r="N178" s="446">
        <f t="shared" si="26"/>
        <v>2.2800000000000001E-2</v>
      </c>
      <c r="O178" s="446">
        <f t="shared" si="30"/>
        <v>3.0300000000000001E-2</v>
      </c>
      <c r="P178" s="447">
        <f t="shared" si="27"/>
        <v>-4.9464627895805705E-2</v>
      </c>
      <c r="Q178" s="446">
        <f t="shared" si="31"/>
        <v>-5.6964627895805704E-2</v>
      </c>
      <c r="R178" s="446">
        <f t="shared" si="32"/>
        <v>3.1164089274457796E-2</v>
      </c>
      <c r="S178" s="446">
        <f t="shared" si="33"/>
        <v>3.3399999999999999E-2</v>
      </c>
      <c r="T178" s="447">
        <f t="shared" si="34"/>
        <v>-2.2359107255422034E-3</v>
      </c>
      <c r="V178" s="448"/>
      <c r="W178" s="448"/>
      <c r="X178" s="448"/>
      <c r="Y178" s="448"/>
      <c r="Z178" s="448"/>
      <c r="AA178" s="448"/>
      <c r="AB178" s="448"/>
      <c r="AC178" s="448"/>
      <c r="AD178" s="448"/>
      <c r="AF178" s="448"/>
      <c r="AG178" s="448"/>
      <c r="AH178" s="448"/>
      <c r="AI178" s="448"/>
      <c r="AJ178" s="448"/>
      <c r="AK178" s="448"/>
      <c r="AL178" s="448"/>
      <c r="AM178" s="448"/>
      <c r="AN178" s="448"/>
      <c r="AP178" s="448"/>
      <c r="AQ178" s="448"/>
      <c r="AR178" s="448"/>
      <c r="AS178" s="448"/>
      <c r="AT178" s="448"/>
      <c r="AU178" s="448"/>
      <c r="AV178" s="448"/>
      <c r="AW178" s="448"/>
      <c r="AX178" s="448"/>
    </row>
    <row r="179" spans="1:50" x14ac:dyDescent="0.4">
      <c r="A179" s="442" t="str">
        <f t="shared" si="35"/>
        <v>71940</v>
      </c>
      <c r="B179" s="442">
        <v>14793</v>
      </c>
      <c r="C179" s="455">
        <v>3.4099999999999998E-2</v>
      </c>
      <c r="D179" s="438">
        <v>6.5000000000000006E-3</v>
      </c>
      <c r="E179" s="438">
        <v>2E-3</v>
      </c>
      <c r="F179" s="438">
        <v>2.3999999999999998E-3</v>
      </c>
      <c r="G179" s="438">
        <v>2.5083333333333329E-3</v>
      </c>
      <c r="H179" s="438">
        <v>2.4541666666666666E-3</v>
      </c>
      <c r="I179" s="438">
        <v>2.6916666666666669E-3</v>
      </c>
      <c r="J179" s="438">
        <f t="shared" si="24"/>
        <v>3.2099999999999997E-2</v>
      </c>
      <c r="K179" s="438">
        <f t="shared" si="28"/>
        <v>3.1645833333333331E-2</v>
      </c>
      <c r="L179" s="438">
        <f t="shared" si="29"/>
        <v>3.8083333333333337E-3</v>
      </c>
      <c r="M179" s="446">
        <f t="shared" si="25"/>
        <v>-9.3627997935211593E-2</v>
      </c>
      <c r="N179" s="446">
        <f t="shared" si="26"/>
        <v>2.4E-2</v>
      </c>
      <c r="O179" s="446">
        <f t="shared" si="30"/>
        <v>2.9449999999999997E-2</v>
      </c>
      <c r="P179" s="447">
        <f t="shared" si="27"/>
        <v>-0.11762799793521159</v>
      </c>
      <c r="Q179" s="446">
        <f t="shared" si="31"/>
        <v>-0.1230779979352116</v>
      </c>
      <c r="R179" s="446">
        <f t="shared" si="32"/>
        <v>-7.3994775290201931E-2</v>
      </c>
      <c r="S179" s="446">
        <f t="shared" si="33"/>
        <v>3.2300000000000002E-2</v>
      </c>
      <c r="T179" s="447">
        <f t="shared" si="34"/>
        <v>-0.10629477529020193</v>
      </c>
      <c r="V179" s="448"/>
      <c r="W179" s="448"/>
      <c r="X179" s="448"/>
      <c r="Y179" s="448"/>
      <c r="Z179" s="448"/>
      <c r="AA179" s="448"/>
      <c r="AB179" s="448"/>
      <c r="AC179" s="448"/>
      <c r="AD179" s="448"/>
      <c r="AF179" s="448"/>
      <c r="AG179" s="448"/>
      <c r="AH179" s="448"/>
      <c r="AI179" s="448"/>
      <c r="AJ179" s="448"/>
      <c r="AK179" s="448"/>
      <c r="AL179" s="448"/>
      <c r="AM179" s="448"/>
      <c r="AN179" s="448"/>
      <c r="AP179" s="448"/>
      <c r="AQ179" s="448"/>
      <c r="AR179" s="448"/>
      <c r="AS179" s="448"/>
      <c r="AT179" s="448"/>
      <c r="AU179" s="448"/>
      <c r="AV179" s="448"/>
      <c r="AW179" s="448"/>
      <c r="AX179" s="448"/>
    </row>
    <row r="180" spans="1:50" x14ac:dyDescent="0.4">
      <c r="A180" s="442" t="str">
        <f t="shared" si="35"/>
        <v>81940</v>
      </c>
      <c r="B180" s="442">
        <v>14824</v>
      </c>
      <c r="C180" s="455">
        <v>3.5000000000000003E-2</v>
      </c>
      <c r="D180" s="438">
        <v>-9.4000000000000004E-3</v>
      </c>
      <c r="E180" s="438">
        <v>1.9E-3</v>
      </c>
      <c r="F180" s="438">
        <v>2.3750000000000004E-3</v>
      </c>
      <c r="G180" s="438">
        <v>2.5249999999999999E-3</v>
      </c>
      <c r="H180" s="438">
        <v>2.4499999999999999E-3</v>
      </c>
      <c r="I180" s="438">
        <v>2.6750000000000003E-3</v>
      </c>
      <c r="J180" s="438">
        <f t="shared" si="24"/>
        <v>3.3100000000000004E-2</v>
      </c>
      <c r="K180" s="438">
        <f t="shared" si="28"/>
        <v>3.2550000000000003E-2</v>
      </c>
      <c r="L180" s="438">
        <f t="shared" si="29"/>
        <v>-1.2075000000000001E-2</v>
      </c>
      <c r="M180" s="446">
        <f t="shared" si="25"/>
        <v>3.0956181961674378E-3</v>
      </c>
      <c r="N180" s="446">
        <f t="shared" si="26"/>
        <v>2.2800000000000001E-2</v>
      </c>
      <c r="O180" s="446">
        <f t="shared" si="30"/>
        <v>2.9399999999999999E-2</v>
      </c>
      <c r="P180" s="447">
        <f t="shared" si="27"/>
        <v>-1.9704381803832563E-2</v>
      </c>
      <c r="Q180" s="446">
        <f t="shared" si="31"/>
        <v>-2.6304381803832561E-2</v>
      </c>
      <c r="R180" s="446">
        <f t="shared" si="32"/>
        <v>-1.9244332730112501E-2</v>
      </c>
      <c r="S180" s="446">
        <f t="shared" si="33"/>
        <v>3.2100000000000004E-2</v>
      </c>
      <c r="T180" s="447">
        <f t="shared" si="34"/>
        <v>-5.1344332730112505E-2</v>
      </c>
      <c r="V180" s="448"/>
      <c r="W180" s="448"/>
      <c r="X180" s="448"/>
      <c r="Y180" s="448"/>
      <c r="Z180" s="448"/>
      <c r="AA180" s="448"/>
      <c r="AB180" s="448"/>
      <c r="AC180" s="448"/>
      <c r="AD180" s="448"/>
      <c r="AF180" s="448"/>
      <c r="AG180" s="448"/>
      <c r="AH180" s="448"/>
      <c r="AI180" s="448"/>
      <c r="AJ180" s="448"/>
      <c r="AK180" s="448"/>
      <c r="AL180" s="448"/>
      <c r="AM180" s="448"/>
      <c r="AN180" s="448"/>
      <c r="AP180" s="448"/>
      <c r="AQ180" s="448"/>
      <c r="AR180" s="448"/>
      <c r="AS180" s="448"/>
      <c r="AT180" s="448"/>
      <c r="AU180" s="448"/>
      <c r="AV180" s="448"/>
      <c r="AW180" s="448"/>
      <c r="AX180" s="448"/>
    </row>
    <row r="181" spans="1:50" x14ac:dyDescent="0.4">
      <c r="A181" s="442" t="str">
        <f t="shared" si="35"/>
        <v>91940</v>
      </c>
      <c r="B181" s="442">
        <v>14855</v>
      </c>
      <c r="C181" s="455">
        <v>1.23E-2</v>
      </c>
      <c r="D181" s="438">
        <v>-2.1099999999999997E-2</v>
      </c>
      <c r="E181" s="438">
        <v>1.8E-3</v>
      </c>
      <c r="F181" s="438">
        <v>2.3499999999999997E-3</v>
      </c>
      <c r="G181" s="438">
        <v>2.5083333333333329E-3</v>
      </c>
      <c r="H181" s="438">
        <v>2.4291666666666663E-3</v>
      </c>
      <c r="I181" s="438">
        <v>2.65E-3</v>
      </c>
      <c r="J181" s="438">
        <f t="shared" si="24"/>
        <v>1.0500000000000001E-2</v>
      </c>
      <c r="K181" s="438">
        <f t="shared" si="28"/>
        <v>9.8708333333333339E-3</v>
      </c>
      <c r="L181" s="438">
        <f t="shared" si="29"/>
        <v>-2.3749999999999997E-2</v>
      </c>
      <c r="M181" s="446">
        <f t="shared" si="25"/>
        <v>-0.13010049318942862</v>
      </c>
      <c r="N181" s="446">
        <f t="shared" si="26"/>
        <v>2.1600000000000001E-2</v>
      </c>
      <c r="O181" s="446">
        <f t="shared" si="30"/>
        <v>2.9149999999999995E-2</v>
      </c>
      <c r="P181" s="447">
        <f t="shared" si="27"/>
        <v>-0.15170049318942863</v>
      </c>
      <c r="Q181" s="446">
        <f t="shared" si="31"/>
        <v>-0.15925049318942863</v>
      </c>
      <c r="R181" s="446">
        <f t="shared" si="32"/>
        <v>-7.8723997034360615E-2</v>
      </c>
      <c r="S181" s="446">
        <f t="shared" si="33"/>
        <v>3.1800000000000002E-2</v>
      </c>
      <c r="T181" s="447">
        <f t="shared" si="34"/>
        <v>-0.11052399703436061</v>
      </c>
      <c r="V181" s="448"/>
      <c r="W181" s="448"/>
      <c r="X181" s="448"/>
      <c r="Y181" s="448"/>
      <c r="Z181" s="448"/>
      <c r="AA181" s="448"/>
      <c r="AB181" s="448"/>
      <c r="AC181" s="448"/>
      <c r="AD181" s="448"/>
      <c r="AF181" s="448"/>
      <c r="AG181" s="448"/>
      <c r="AH181" s="448"/>
      <c r="AI181" s="448"/>
      <c r="AJ181" s="448"/>
      <c r="AK181" s="448"/>
      <c r="AL181" s="448"/>
      <c r="AM181" s="448"/>
      <c r="AN181" s="448"/>
      <c r="AP181" s="448"/>
      <c r="AQ181" s="448"/>
      <c r="AR181" s="448"/>
      <c r="AS181" s="448"/>
      <c r="AT181" s="448"/>
      <c r="AU181" s="448"/>
      <c r="AV181" s="448"/>
      <c r="AW181" s="448"/>
      <c r="AX181" s="448"/>
    </row>
    <row r="182" spans="1:50" x14ac:dyDescent="0.4">
      <c r="A182" s="442" t="str">
        <f t="shared" si="35"/>
        <v>101940</v>
      </c>
      <c r="B182" s="442">
        <v>14885</v>
      </c>
      <c r="C182" s="455">
        <v>4.2200000000000001E-2</v>
      </c>
      <c r="D182" s="438">
        <v>3.1699999999999999E-2</v>
      </c>
      <c r="E182" s="438">
        <v>1.8E-3</v>
      </c>
      <c r="F182" s="438">
        <v>2.3250000000000002E-3</v>
      </c>
      <c r="G182" s="438">
        <v>2.5083333333333329E-3</v>
      </c>
      <c r="H182" s="438">
        <v>2.4166666666666664E-3</v>
      </c>
      <c r="I182" s="438">
        <v>2.6250000000000002E-3</v>
      </c>
      <c r="J182" s="438">
        <f t="shared" si="24"/>
        <v>4.0399999999999998E-2</v>
      </c>
      <c r="K182" s="438">
        <f t="shared" si="28"/>
        <v>3.9783333333333337E-2</v>
      </c>
      <c r="L182" s="438">
        <f t="shared" si="29"/>
        <v>2.9075E-2</v>
      </c>
      <c r="M182" s="446">
        <f t="shared" si="25"/>
        <v>-8.2100571025637836E-2</v>
      </c>
      <c r="N182" s="446">
        <f t="shared" si="26"/>
        <v>2.1600000000000001E-2</v>
      </c>
      <c r="O182" s="446">
        <f t="shared" si="30"/>
        <v>2.8999999999999998E-2</v>
      </c>
      <c r="P182" s="447">
        <f t="shared" si="27"/>
        <v>-0.10370057102563784</v>
      </c>
      <c r="Q182" s="446">
        <f t="shared" si="31"/>
        <v>-0.11110057102563783</v>
      </c>
      <c r="R182" s="446">
        <f t="shared" si="32"/>
        <v>-6.1717223830552226E-2</v>
      </c>
      <c r="S182" s="446">
        <f t="shared" si="33"/>
        <v>3.15E-2</v>
      </c>
      <c r="T182" s="447">
        <f t="shared" si="34"/>
        <v>-9.3217223830552226E-2</v>
      </c>
      <c r="V182" s="448"/>
      <c r="W182" s="448"/>
      <c r="X182" s="448"/>
      <c r="Y182" s="448"/>
      <c r="Z182" s="448"/>
      <c r="AA182" s="448"/>
      <c r="AB182" s="448"/>
      <c r="AC182" s="448"/>
      <c r="AD182" s="448"/>
      <c r="AF182" s="448"/>
      <c r="AG182" s="448"/>
      <c r="AH182" s="448"/>
      <c r="AI182" s="448"/>
      <c r="AJ182" s="448"/>
      <c r="AK182" s="448"/>
      <c r="AL182" s="448"/>
      <c r="AM182" s="448"/>
      <c r="AN182" s="448"/>
      <c r="AP182" s="448"/>
      <c r="AQ182" s="448"/>
      <c r="AR182" s="448"/>
      <c r="AS182" s="448"/>
      <c r="AT182" s="448"/>
      <c r="AU182" s="448"/>
      <c r="AV182" s="448"/>
      <c r="AW182" s="448"/>
      <c r="AX182" s="448"/>
    </row>
    <row r="183" spans="1:50" x14ac:dyDescent="0.4">
      <c r="A183" s="442" t="str">
        <f t="shared" si="35"/>
        <v>111940</v>
      </c>
      <c r="B183" s="442">
        <v>14916</v>
      </c>
      <c r="C183" s="455">
        <v>-3.1600000000000003E-2</v>
      </c>
      <c r="D183" s="438">
        <v>-0.12069999999999999</v>
      </c>
      <c r="E183" s="438">
        <v>1.8E-3</v>
      </c>
      <c r="F183" s="438">
        <v>2.2916666666666667E-3</v>
      </c>
      <c r="G183" s="438">
        <v>2.4666666666666669E-3</v>
      </c>
      <c r="H183" s="438">
        <v>2.3791666666666666E-3</v>
      </c>
      <c r="I183" s="438">
        <v>2.5916666666666666E-3</v>
      </c>
      <c r="J183" s="438">
        <f t="shared" si="24"/>
        <v>-3.3400000000000006E-2</v>
      </c>
      <c r="K183" s="438">
        <f t="shared" si="28"/>
        <v>-3.3979166666666671E-2</v>
      </c>
      <c r="L183" s="438">
        <f t="shared" si="29"/>
        <v>-0.12329166666666666</v>
      </c>
      <c r="M183" s="446">
        <f t="shared" si="25"/>
        <v>-7.4261813144373634E-2</v>
      </c>
      <c r="N183" s="446">
        <f t="shared" si="26"/>
        <v>2.1600000000000001E-2</v>
      </c>
      <c r="O183" s="446">
        <f t="shared" si="30"/>
        <v>2.8549999999999999E-2</v>
      </c>
      <c r="P183" s="447">
        <f t="shared" si="27"/>
        <v>-9.5861813144373642E-2</v>
      </c>
      <c r="Q183" s="446">
        <f t="shared" si="31"/>
        <v>-0.10281181314437363</v>
      </c>
      <c r="R183" s="446">
        <f t="shared" si="32"/>
        <v>-0.16180834594554971</v>
      </c>
      <c r="S183" s="446">
        <f t="shared" si="33"/>
        <v>3.1099999999999999E-2</v>
      </c>
      <c r="T183" s="447">
        <f t="shared" si="34"/>
        <v>-0.1929083459455497</v>
      </c>
      <c r="V183" s="448"/>
      <c r="W183" s="448"/>
      <c r="X183" s="448"/>
      <c r="Y183" s="448"/>
      <c r="Z183" s="448"/>
      <c r="AA183" s="448"/>
      <c r="AB183" s="448"/>
      <c r="AC183" s="448"/>
      <c r="AD183" s="448"/>
      <c r="AF183" s="448"/>
      <c r="AG183" s="448"/>
      <c r="AH183" s="448"/>
      <c r="AI183" s="448"/>
      <c r="AJ183" s="448"/>
      <c r="AK183" s="448"/>
      <c r="AL183" s="448"/>
      <c r="AM183" s="448"/>
      <c r="AN183" s="448"/>
      <c r="AP183" s="448"/>
      <c r="AQ183" s="448"/>
      <c r="AR183" s="448"/>
      <c r="AS183" s="448"/>
      <c r="AT183" s="448"/>
      <c r="AU183" s="448"/>
      <c r="AV183" s="448"/>
      <c r="AW183" s="448"/>
      <c r="AX183" s="448"/>
    </row>
    <row r="184" spans="1:50" x14ac:dyDescent="0.4">
      <c r="A184" s="442" t="str">
        <f t="shared" si="35"/>
        <v>121940</v>
      </c>
      <c r="B184" s="442">
        <v>14946</v>
      </c>
      <c r="C184" s="455">
        <v>8.9999999999999998E-4</v>
      </c>
      <c r="D184" s="438">
        <v>1.54E-2</v>
      </c>
      <c r="E184" s="438">
        <v>1.6999999999999999E-3</v>
      </c>
      <c r="F184" s="438">
        <v>2.2583333333333331E-3</v>
      </c>
      <c r="G184" s="438">
        <v>2.4333333333333334E-3</v>
      </c>
      <c r="H184" s="438">
        <v>2.345833333333333E-3</v>
      </c>
      <c r="I184" s="438">
        <v>2.5833333333333337E-3</v>
      </c>
      <c r="J184" s="438">
        <f t="shared" si="24"/>
        <v>-7.9999999999999993E-4</v>
      </c>
      <c r="K184" s="438">
        <f t="shared" si="28"/>
        <v>-1.445833333333333E-3</v>
      </c>
      <c r="L184" s="438">
        <f t="shared" si="29"/>
        <v>1.2816666666666667E-2</v>
      </c>
      <c r="M184" s="446">
        <f t="shared" si="25"/>
        <v>-9.7788362975855359E-2</v>
      </c>
      <c r="N184" s="446">
        <f t="shared" si="26"/>
        <v>2.0399999999999998E-2</v>
      </c>
      <c r="O184" s="446">
        <f t="shared" si="30"/>
        <v>2.8149999999999994E-2</v>
      </c>
      <c r="P184" s="447">
        <f t="shared" si="27"/>
        <v>-0.11818836297585536</v>
      </c>
      <c r="Q184" s="446">
        <f t="shared" si="31"/>
        <v>-0.12593836297585537</v>
      </c>
      <c r="R184" s="446">
        <f t="shared" si="32"/>
        <v>-0.17143710521136224</v>
      </c>
      <c r="S184" s="446">
        <f t="shared" si="33"/>
        <v>3.1000000000000007E-2</v>
      </c>
      <c r="T184" s="447">
        <f t="shared" si="34"/>
        <v>-0.20243710521136224</v>
      </c>
      <c r="V184" s="448"/>
      <c r="W184" s="448"/>
      <c r="X184" s="448"/>
      <c r="Y184" s="448"/>
      <c r="Z184" s="448"/>
      <c r="AA184" s="448"/>
      <c r="AB184" s="448"/>
      <c r="AC184" s="448"/>
      <c r="AD184" s="448"/>
      <c r="AF184" s="448"/>
      <c r="AG184" s="448"/>
      <c r="AH184" s="448"/>
      <c r="AI184" s="448"/>
      <c r="AJ184" s="448"/>
      <c r="AK184" s="448"/>
      <c r="AL184" s="448"/>
      <c r="AM184" s="448"/>
      <c r="AN184" s="448"/>
      <c r="AP184" s="448"/>
      <c r="AQ184" s="448"/>
      <c r="AR184" s="448"/>
      <c r="AS184" s="448"/>
      <c r="AT184" s="448"/>
      <c r="AU184" s="448"/>
      <c r="AV184" s="448"/>
      <c r="AW184" s="448"/>
      <c r="AX184" s="448"/>
    </row>
    <row r="185" spans="1:50" x14ac:dyDescent="0.4">
      <c r="A185" s="442" t="str">
        <f t="shared" si="35"/>
        <v>11941</v>
      </c>
      <c r="B185" s="442">
        <v>14977</v>
      </c>
      <c r="C185" s="455">
        <v>-4.6300000000000001E-2</v>
      </c>
      <c r="D185" s="438">
        <v>-8.4000000000000012E-3</v>
      </c>
      <c r="E185" s="438">
        <v>1.6000000000000001E-3</v>
      </c>
      <c r="F185" s="438">
        <v>2.2916666666666667E-3</v>
      </c>
      <c r="G185" s="438">
        <v>2.4583333333333336E-3</v>
      </c>
      <c r="H185" s="438">
        <v>2.3749999999999999E-3</v>
      </c>
      <c r="I185" s="438">
        <v>2.6250000000000002E-3</v>
      </c>
      <c r="J185" s="438">
        <f t="shared" si="24"/>
        <v>-4.7899999999999998E-2</v>
      </c>
      <c r="K185" s="438">
        <f t="shared" si="28"/>
        <v>-4.8675000000000003E-2</v>
      </c>
      <c r="L185" s="438">
        <f t="shared" si="29"/>
        <v>-1.1025000000000002E-2</v>
      </c>
      <c r="M185" s="446">
        <f t="shared" si="25"/>
        <v>-0.10964482799055608</v>
      </c>
      <c r="N185" s="446">
        <f t="shared" si="26"/>
        <v>1.9200000000000002E-2</v>
      </c>
      <c r="O185" s="446">
        <f t="shared" si="30"/>
        <v>2.8499999999999998E-2</v>
      </c>
      <c r="P185" s="447">
        <f t="shared" si="27"/>
        <v>-0.12884482799055608</v>
      </c>
      <c r="Q185" s="446">
        <f t="shared" si="31"/>
        <v>-0.13814482799055608</v>
      </c>
      <c r="R185" s="446">
        <f t="shared" si="32"/>
        <v>-0.1840272455334061</v>
      </c>
      <c r="S185" s="446">
        <f t="shared" si="33"/>
        <v>3.15E-2</v>
      </c>
      <c r="T185" s="447">
        <f t="shared" si="34"/>
        <v>-0.2155272455334061</v>
      </c>
      <c r="V185" s="448"/>
      <c r="W185" s="448"/>
      <c r="X185" s="448"/>
      <c r="Y185" s="448"/>
      <c r="Z185" s="448"/>
      <c r="AA185" s="448"/>
      <c r="AB185" s="448"/>
      <c r="AC185" s="448"/>
      <c r="AD185" s="448"/>
      <c r="AF185" s="448"/>
      <c r="AG185" s="448"/>
      <c r="AH185" s="448"/>
      <c r="AI185" s="448"/>
      <c r="AJ185" s="448"/>
      <c r="AK185" s="448"/>
      <c r="AL185" s="448"/>
      <c r="AM185" s="448"/>
      <c r="AN185" s="448"/>
      <c r="AP185" s="448"/>
      <c r="AQ185" s="448"/>
      <c r="AR185" s="448"/>
      <c r="AS185" s="448"/>
      <c r="AT185" s="448"/>
      <c r="AU185" s="448"/>
      <c r="AV185" s="448"/>
      <c r="AW185" s="448"/>
      <c r="AX185" s="448"/>
    </row>
    <row r="186" spans="1:50" x14ac:dyDescent="0.4">
      <c r="A186" s="442" t="str">
        <f t="shared" si="35"/>
        <v>21941</v>
      </c>
      <c r="B186" s="442">
        <v>15008</v>
      </c>
      <c r="C186" s="455">
        <v>-6.0000000000000001E-3</v>
      </c>
      <c r="D186" s="438">
        <v>-2.3299999999999998E-2</v>
      </c>
      <c r="E186" s="438">
        <v>1.6000000000000001E-3</v>
      </c>
      <c r="F186" s="438">
        <v>2.3166666666666665E-3</v>
      </c>
      <c r="G186" s="438">
        <v>2.5000000000000001E-3</v>
      </c>
      <c r="H186" s="438">
        <v>2.4083333333333335E-3</v>
      </c>
      <c r="I186" s="438">
        <v>2.6666666666666666E-3</v>
      </c>
      <c r="J186" s="438">
        <f t="shared" si="24"/>
        <v>-7.6E-3</v>
      </c>
      <c r="K186" s="438">
        <f t="shared" si="28"/>
        <v>-8.4083333333333336E-3</v>
      </c>
      <c r="L186" s="438">
        <f t="shared" si="29"/>
        <v>-2.5966666666666666E-2</v>
      </c>
      <c r="M186" s="446">
        <f t="shared" si="25"/>
        <v>-0.12660313729656847</v>
      </c>
      <c r="N186" s="446">
        <f t="shared" si="26"/>
        <v>1.9200000000000002E-2</v>
      </c>
      <c r="O186" s="446">
        <f t="shared" si="30"/>
        <v>2.8900000000000002E-2</v>
      </c>
      <c r="P186" s="447">
        <f t="shared" si="27"/>
        <v>-0.14580313729656846</v>
      </c>
      <c r="Q186" s="446">
        <f t="shared" si="31"/>
        <v>-0.15550313729656848</v>
      </c>
      <c r="R186" s="446">
        <f t="shared" si="32"/>
        <v>-0.1948266424656272</v>
      </c>
      <c r="S186" s="446">
        <f t="shared" si="33"/>
        <v>3.2000000000000001E-2</v>
      </c>
      <c r="T186" s="447">
        <f t="shared" si="34"/>
        <v>-0.2268266424656272</v>
      </c>
      <c r="V186" s="448"/>
      <c r="W186" s="448"/>
      <c r="X186" s="448"/>
      <c r="Y186" s="448"/>
      <c r="Z186" s="448"/>
      <c r="AA186" s="448"/>
      <c r="AB186" s="448"/>
      <c r="AC186" s="448"/>
      <c r="AD186" s="448"/>
      <c r="AF186" s="448"/>
      <c r="AG186" s="448"/>
      <c r="AH186" s="448"/>
      <c r="AI186" s="448"/>
      <c r="AJ186" s="448"/>
      <c r="AK186" s="448"/>
      <c r="AL186" s="448"/>
      <c r="AM186" s="448"/>
      <c r="AN186" s="448"/>
      <c r="AP186" s="448"/>
      <c r="AQ186" s="448"/>
      <c r="AR186" s="448"/>
      <c r="AS186" s="448"/>
      <c r="AT186" s="448"/>
      <c r="AU186" s="448"/>
      <c r="AV186" s="448"/>
      <c r="AW186" s="448"/>
      <c r="AX186" s="448"/>
    </row>
    <row r="187" spans="1:50" x14ac:dyDescent="0.4">
      <c r="A187" s="442" t="str">
        <f t="shared" si="35"/>
        <v>31941</v>
      </c>
      <c r="B187" s="442">
        <v>15036</v>
      </c>
      <c r="C187" s="455">
        <v>7.1000000000000004E-3</v>
      </c>
      <c r="D187" s="438">
        <v>-2.8000000000000004E-2</v>
      </c>
      <c r="E187" s="438">
        <v>1.8E-3</v>
      </c>
      <c r="F187" s="438">
        <v>2.3333333333333331E-3</v>
      </c>
      <c r="G187" s="438">
        <v>2.5083333333333329E-3</v>
      </c>
      <c r="H187" s="438">
        <v>2.420833333333333E-3</v>
      </c>
      <c r="I187" s="438">
        <v>2.6333333333333334E-3</v>
      </c>
      <c r="J187" s="438">
        <f t="shared" si="24"/>
        <v>5.3000000000000009E-3</v>
      </c>
      <c r="K187" s="438">
        <f t="shared" si="28"/>
        <v>4.6791666666666674E-3</v>
      </c>
      <c r="L187" s="438">
        <f t="shared" si="29"/>
        <v>-3.0633333333333339E-2</v>
      </c>
      <c r="M187" s="446">
        <f t="shared" si="25"/>
        <v>-0.13117544406496828</v>
      </c>
      <c r="N187" s="446">
        <f t="shared" si="26"/>
        <v>2.1600000000000001E-2</v>
      </c>
      <c r="O187" s="446">
        <f t="shared" si="30"/>
        <v>2.9049999999999996E-2</v>
      </c>
      <c r="P187" s="447">
        <f t="shared" si="27"/>
        <v>-0.15277544406496829</v>
      </c>
      <c r="Q187" s="446">
        <f t="shared" si="31"/>
        <v>-0.16022544406496828</v>
      </c>
      <c r="R187" s="446">
        <f t="shared" si="32"/>
        <v>-0.2246596953403901</v>
      </c>
      <c r="S187" s="446">
        <f t="shared" si="33"/>
        <v>3.1600000000000003E-2</v>
      </c>
      <c r="T187" s="447">
        <f t="shared" si="34"/>
        <v>-0.25625969534039011</v>
      </c>
      <c r="V187" s="448"/>
      <c r="W187" s="448"/>
      <c r="X187" s="448"/>
      <c r="Y187" s="448"/>
      <c r="Z187" s="448"/>
      <c r="AA187" s="448"/>
      <c r="AB187" s="448"/>
      <c r="AC187" s="448"/>
      <c r="AD187" s="448"/>
      <c r="AF187" s="448"/>
      <c r="AG187" s="448"/>
      <c r="AH187" s="448"/>
      <c r="AI187" s="448"/>
      <c r="AJ187" s="448"/>
      <c r="AK187" s="448"/>
      <c r="AL187" s="448"/>
      <c r="AM187" s="448"/>
      <c r="AN187" s="448"/>
      <c r="AP187" s="448"/>
      <c r="AQ187" s="448"/>
      <c r="AR187" s="448"/>
      <c r="AS187" s="448"/>
      <c r="AT187" s="448"/>
      <c r="AU187" s="448"/>
      <c r="AV187" s="448"/>
      <c r="AW187" s="448"/>
      <c r="AX187" s="448"/>
    </row>
    <row r="188" spans="1:50" x14ac:dyDescent="0.4">
      <c r="A188" s="442" t="str">
        <f t="shared" si="35"/>
        <v>41941</v>
      </c>
      <c r="B188" s="442">
        <v>15067</v>
      </c>
      <c r="C188" s="455">
        <v>-6.1199999999999997E-2</v>
      </c>
      <c r="D188" s="438">
        <v>-8.4399999999999989E-2</v>
      </c>
      <c r="E188" s="438">
        <v>1.6999999999999999E-3</v>
      </c>
      <c r="F188" s="438">
        <v>2.3499999999999997E-3</v>
      </c>
      <c r="G188" s="438">
        <v>2.5333333333333336E-3</v>
      </c>
      <c r="H188" s="438">
        <v>2.4416666666666666E-3</v>
      </c>
      <c r="I188" s="438">
        <v>2.6166666666666664E-3</v>
      </c>
      <c r="J188" s="438">
        <f t="shared" si="24"/>
        <v>-6.2899999999999998E-2</v>
      </c>
      <c r="K188" s="438">
        <f t="shared" si="28"/>
        <v>-6.3641666666666666E-2</v>
      </c>
      <c r="L188" s="438">
        <f t="shared" si="29"/>
        <v>-8.7016666666666659E-2</v>
      </c>
      <c r="M188" s="446">
        <f t="shared" si="25"/>
        <v>-0.18238523144365693</v>
      </c>
      <c r="N188" s="446">
        <f t="shared" si="26"/>
        <v>2.0399999999999998E-2</v>
      </c>
      <c r="O188" s="446">
        <f t="shared" si="30"/>
        <v>2.93E-2</v>
      </c>
      <c r="P188" s="447">
        <f t="shared" si="27"/>
        <v>-0.20278523144365693</v>
      </c>
      <c r="Q188" s="446">
        <f t="shared" si="31"/>
        <v>-0.21168523144365692</v>
      </c>
      <c r="R188" s="446">
        <f t="shared" si="32"/>
        <v>-0.28350667849582267</v>
      </c>
      <c r="S188" s="446">
        <f t="shared" si="33"/>
        <v>3.1399999999999997E-2</v>
      </c>
      <c r="T188" s="447">
        <f t="shared" si="34"/>
        <v>-0.31490667849582266</v>
      </c>
      <c r="V188" s="448"/>
      <c r="W188" s="448"/>
      <c r="X188" s="448"/>
      <c r="Y188" s="448"/>
      <c r="Z188" s="448"/>
      <c r="AA188" s="448"/>
      <c r="AB188" s="448"/>
      <c r="AC188" s="448"/>
      <c r="AD188" s="448"/>
      <c r="AF188" s="448"/>
      <c r="AG188" s="448"/>
      <c r="AH188" s="448"/>
      <c r="AI188" s="448"/>
      <c r="AJ188" s="448"/>
      <c r="AK188" s="448"/>
      <c r="AL188" s="448"/>
      <c r="AM188" s="448"/>
      <c r="AN188" s="448"/>
      <c r="AP188" s="448"/>
      <c r="AQ188" s="448"/>
      <c r="AR188" s="448"/>
      <c r="AS188" s="448"/>
      <c r="AT188" s="448"/>
      <c r="AU188" s="448"/>
      <c r="AV188" s="448"/>
      <c r="AW188" s="448"/>
      <c r="AX188" s="448"/>
    </row>
    <row r="189" spans="1:50" x14ac:dyDescent="0.4">
      <c r="A189" s="442" t="str">
        <f t="shared" si="35"/>
        <v>51941</v>
      </c>
      <c r="B189" s="442">
        <v>15097</v>
      </c>
      <c r="C189" s="455">
        <v>1.83E-2</v>
      </c>
      <c r="D189" s="438">
        <v>-3.3700000000000001E-2</v>
      </c>
      <c r="E189" s="438">
        <v>1.6999999999999999E-3</v>
      </c>
      <c r="F189" s="438">
        <v>2.3416666666666668E-3</v>
      </c>
      <c r="G189" s="438">
        <v>2.4916666666666668E-3</v>
      </c>
      <c r="H189" s="438">
        <v>2.4166666666666668E-3</v>
      </c>
      <c r="I189" s="438">
        <v>2.5666666666666667E-3</v>
      </c>
      <c r="J189" s="438">
        <f t="shared" si="24"/>
        <v>1.66E-2</v>
      </c>
      <c r="K189" s="438">
        <f t="shared" si="28"/>
        <v>1.5883333333333333E-2</v>
      </c>
      <c r="L189" s="438">
        <f t="shared" si="29"/>
        <v>-3.6266666666666669E-2</v>
      </c>
      <c r="M189" s="446">
        <f t="shared" si="25"/>
        <v>7.9726519025967946E-2</v>
      </c>
      <c r="N189" s="446">
        <f t="shared" si="26"/>
        <v>2.0399999999999998E-2</v>
      </c>
      <c r="O189" s="446">
        <f t="shared" si="30"/>
        <v>2.9000000000000001E-2</v>
      </c>
      <c r="P189" s="447">
        <f t="shared" si="27"/>
        <v>5.9326519025967944E-2</v>
      </c>
      <c r="Q189" s="446">
        <f t="shared" si="31"/>
        <v>5.0726519025967948E-2</v>
      </c>
      <c r="R189" s="446">
        <f t="shared" si="32"/>
        <v>-0.13844263741975271</v>
      </c>
      <c r="S189" s="446">
        <f t="shared" si="33"/>
        <v>3.0800000000000001E-2</v>
      </c>
      <c r="T189" s="447">
        <f t="shared" si="34"/>
        <v>-0.16924263741975271</v>
      </c>
      <c r="V189" s="448"/>
      <c r="W189" s="448"/>
      <c r="X189" s="448"/>
      <c r="Y189" s="448"/>
      <c r="Z189" s="448"/>
      <c r="AA189" s="448"/>
      <c r="AB189" s="448"/>
      <c r="AC189" s="448"/>
      <c r="AD189" s="448"/>
      <c r="AF189" s="448"/>
      <c r="AG189" s="448"/>
      <c r="AH189" s="448"/>
      <c r="AI189" s="448"/>
      <c r="AJ189" s="448"/>
      <c r="AK189" s="448"/>
      <c r="AL189" s="448"/>
      <c r="AM189" s="448"/>
      <c r="AN189" s="448"/>
      <c r="AP189" s="448"/>
      <c r="AQ189" s="448"/>
      <c r="AR189" s="448"/>
      <c r="AS189" s="448"/>
      <c r="AT189" s="448"/>
      <c r="AU189" s="448"/>
      <c r="AV189" s="448"/>
      <c r="AW189" s="448"/>
      <c r="AX189" s="448"/>
    </row>
    <row r="190" spans="1:50" x14ac:dyDescent="0.4">
      <c r="A190" s="442" t="str">
        <f t="shared" si="35"/>
        <v>61941</v>
      </c>
      <c r="B190" s="442">
        <v>15128</v>
      </c>
      <c r="C190" s="455">
        <v>5.7799999999999997E-2</v>
      </c>
      <c r="D190" s="438">
        <v>2.5700000000000004E-2</v>
      </c>
      <c r="E190" s="438">
        <v>1.6000000000000001E-3</v>
      </c>
      <c r="F190" s="438">
        <v>2.3083333333333332E-3</v>
      </c>
      <c r="G190" s="438">
        <v>2.4583333333333336E-3</v>
      </c>
      <c r="H190" s="438">
        <v>2.3833333333333332E-3</v>
      </c>
      <c r="I190" s="438">
        <v>2.5249999999999999E-3</v>
      </c>
      <c r="J190" s="438">
        <f t="shared" si="24"/>
        <v>5.62E-2</v>
      </c>
      <c r="K190" s="438">
        <f t="shared" si="28"/>
        <v>5.5416666666666663E-2</v>
      </c>
      <c r="L190" s="438">
        <f t="shared" si="29"/>
        <v>2.3175000000000005E-2</v>
      </c>
      <c r="M190" s="446">
        <f t="shared" si="25"/>
        <v>5.6651597581339308E-2</v>
      </c>
      <c r="N190" s="446">
        <f t="shared" si="26"/>
        <v>1.9200000000000002E-2</v>
      </c>
      <c r="O190" s="446">
        <f t="shared" si="30"/>
        <v>2.86E-2</v>
      </c>
      <c r="P190" s="447">
        <f t="shared" si="27"/>
        <v>3.7451597581339306E-2</v>
      </c>
      <c r="Q190" s="446">
        <f t="shared" si="31"/>
        <v>2.8051597581339308E-2</v>
      </c>
      <c r="R190" s="446">
        <f t="shared" si="32"/>
        <v>-0.23196646375929109</v>
      </c>
      <c r="S190" s="446">
        <f t="shared" si="33"/>
        <v>3.0300000000000001E-2</v>
      </c>
      <c r="T190" s="447">
        <f t="shared" si="34"/>
        <v>-0.26226646375929108</v>
      </c>
      <c r="V190" s="448"/>
      <c r="W190" s="448"/>
      <c r="X190" s="448"/>
      <c r="Y190" s="448"/>
      <c r="Z190" s="448"/>
      <c r="AA190" s="448"/>
      <c r="AB190" s="448"/>
      <c r="AC190" s="448"/>
      <c r="AD190" s="448"/>
      <c r="AF190" s="448"/>
      <c r="AG190" s="448"/>
      <c r="AH190" s="448"/>
      <c r="AI190" s="448"/>
      <c r="AJ190" s="448"/>
      <c r="AK190" s="448"/>
      <c r="AL190" s="448"/>
      <c r="AM190" s="448"/>
      <c r="AN190" s="448"/>
      <c r="AP190" s="448"/>
      <c r="AQ190" s="448"/>
      <c r="AR190" s="448"/>
      <c r="AS190" s="448"/>
      <c r="AT190" s="448"/>
      <c r="AU190" s="448"/>
      <c r="AV190" s="448"/>
      <c r="AW190" s="448"/>
      <c r="AX190" s="448"/>
    </row>
    <row r="191" spans="1:50" x14ac:dyDescent="0.4">
      <c r="A191" s="442" t="str">
        <f t="shared" si="35"/>
        <v>71941</v>
      </c>
      <c r="B191" s="442">
        <v>15158</v>
      </c>
      <c r="C191" s="455">
        <v>5.79E-2</v>
      </c>
      <c r="D191" s="438">
        <v>5.3800000000000001E-2</v>
      </c>
      <c r="E191" s="438">
        <v>1.6000000000000001E-3</v>
      </c>
      <c r="F191" s="438">
        <v>2.2833333333333334E-3</v>
      </c>
      <c r="G191" s="438">
        <v>2.4166666666666668E-3</v>
      </c>
      <c r="H191" s="438">
        <v>2.3500000000000001E-3</v>
      </c>
      <c r="I191" s="438">
        <v>2.5000000000000001E-3</v>
      </c>
      <c r="J191" s="438">
        <f t="shared" si="24"/>
        <v>5.6300000000000003E-2</v>
      </c>
      <c r="K191" s="438">
        <f t="shared" si="28"/>
        <v>5.5550000000000002E-2</v>
      </c>
      <c r="L191" s="438">
        <f t="shared" si="29"/>
        <v>5.1299999999999998E-2</v>
      </c>
      <c r="M191" s="446">
        <f t="shared" si="25"/>
        <v>8.0970626710471061E-2</v>
      </c>
      <c r="N191" s="446">
        <f t="shared" si="26"/>
        <v>1.9200000000000002E-2</v>
      </c>
      <c r="O191" s="446">
        <f t="shared" si="30"/>
        <v>2.8200000000000003E-2</v>
      </c>
      <c r="P191" s="447">
        <f t="shared" si="27"/>
        <v>6.1770626710471059E-2</v>
      </c>
      <c r="Q191" s="446">
        <f t="shared" si="31"/>
        <v>5.2770626710471058E-2</v>
      </c>
      <c r="R191" s="446">
        <f t="shared" si="32"/>
        <v>-0.19587308446054752</v>
      </c>
      <c r="S191" s="446">
        <f t="shared" si="33"/>
        <v>0.03</v>
      </c>
      <c r="T191" s="447">
        <f t="shared" si="34"/>
        <v>-0.22587308446054752</v>
      </c>
      <c r="V191" s="448"/>
      <c r="W191" s="448"/>
      <c r="X191" s="448"/>
      <c r="Y191" s="448"/>
      <c r="Z191" s="448"/>
      <c r="AA191" s="448"/>
      <c r="AB191" s="448"/>
      <c r="AC191" s="448"/>
      <c r="AD191" s="448"/>
      <c r="AF191" s="448"/>
      <c r="AG191" s="448"/>
      <c r="AH191" s="448"/>
      <c r="AI191" s="448"/>
      <c r="AJ191" s="448"/>
      <c r="AK191" s="448"/>
      <c r="AL191" s="448"/>
      <c r="AM191" s="448"/>
      <c r="AN191" s="448"/>
      <c r="AP191" s="448"/>
      <c r="AQ191" s="448"/>
      <c r="AR191" s="448"/>
      <c r="AS191" s="448"/>
      <c r="AT191" s="448"/>
      <c r="AU191" s="448"/>
      <c r="AV191" s="448"/>
      <c r="AW191" s="448"/>
      <c r="AX191" s="448"/>
    </row>
    <row r="192" spans="1:50" x14ac:dyDescent="0.4">
      <c r="A192" s="442" t="str">
        <f t="shared" si="35"/>
        <v>81941</v>
      </c>
      <c r="B192" s="442">
        <v>15189</v>
      </c>
      <c r="C192" s="455">
        <v>1E-3</v>
      </c>
      <c r="D192" s="438">
        <v>-1.9200000000000002E-2</v>
      </c>
      <c r="E192" s="438">
        <v>1.6000000000000001E-3</v>
      </c>
      <c r="F192" s="438">
        <v>2.2833333333333334E-3</v>
      </c>
      <c r="G192" s="438">
        <v>2.4166666666666668E-3</v>
      </c>
      <c r="H192" s="438">
        <v>2.3500000000000001E-3</v>
      </c>
      <c r="I192" s="438">
        <v>2.4833333333333331E-3</v>
      </c>
      <c r="J192" s="438">
        <f t="shared" si="24"/>
        <v>-6.0000000000000006E-4</v>
      </c>
      <c r="K192" s="438">
        <f t="shared" si="28"/>
        <v>-1.3500000000000001E-3</v>
      </c>
      <c r="L192" s="438">
        <f t="shared" si="29"/>
        <v>-2.1683333333333336E-2</v>
      </c>
      <c r="M192" s="446">
        <f t="shared" si="25"/>
        <v>4.5460480519016189E-2</v>
      </c>
      <c r="N192" s="446">
        <f t="shared" si="26"/>
        <v>1.9200000000000002E-2</v>
      </c>
      <c r="O192" s="446">
        <f t="shared" si="30"/>
        <v>2.8200000000000003E-2</v>
      </c>
      <c r="P192" s="447">
        <f t="shared" si="27"/>
        <v>2.6260480519016187E-2</v>
      </c>
      <c r="Q192" s="446">
        <f t="shared" si="31"/>
        <v>1.7260480519016186E-2</v>
      </c>
      <c r="R192" s="446">
        <f t="shared" si="32"/>
        <v>-0.20382830732778623</v>
      </c>
      <c r="S192" s="446">
        <f t="shared" si="33"/>
        <v>2.9799999999999997E-2</v>
      </c>
      <c r="T192" s="447">
        <f t="shared" si="34"/>
        <v>-0.23362830732778622</v>
      </c>
      <c r="V192" s="448"/>
      <c r="W192" s="448"/>
      <c r="X192" s="448"/>
      <c r="Y192" s="448"/>
      <c r="Z192" s="448"/>
      <c r="AA192" s="448"/>
      <c r="AB192" s="448"/>
      <c r="AC192" s="448"/>
      <c r="AD192" s="448"/>
      <c r="AF192" s="448"/>
      <c r="AG192" s="448"/>
      <c r="AH192" s="448"/>
      <c r="AI192" s="448"/>
      <c r="AJ192" s="448"/>
      <c r="AK192" s="448"/>
      <c r="AL192" s="448"/>
      <c r="AM192" s="448"/>
      <c r="AN192" s="448"/>
      <c r="AP192" s="448"/>
      <c r="AQ192" s="448"/>
      <c r="AR192" s="448"/>
      <c r="AS192" s="448"/>
      <c r="AT192" s="448"/>
      <c r="AU192" s="448"/>
      <c r="AV192" s="448"/>
      <c r="AW192" s="448"/>
      <c r="AX192" s="448"/>
    </row>
    <row r="193" spans="1:50" x14ac:dyDescent="0.4">
      <c r="A193" s="442" t="str">
        <f t="shared" si="35"/>
        <v>91941</v>
      </c>
      <c r="B193" s="442">
        <v>15220</v>
      </c>
      <c r="C193" s="455">
        <v>-6.7999999999999996E-3</v>
      </c>
      <c r="D193" s="438">
        <v>-2.8199999999999992E-2</v>
      </c>
      <c r="E193" s="438">
        <v>1.6000000000000001E-3</v>
      </c>
      <c r="F193" s="438">
        <v>2.2916666666666667E-3</v>
      </c>
      <c r="G193" s="438">
        <v>2.4250000000000001E-3</v>
      </c>
      <c r="H193" s="438">
        <v>2.3583333333333334E-3</v>
      </c>
      <c r="I193" s="438">
        <v>2.5000000000000001E-3</v>
      </c>
      <c r="J193" s="438">
        <f t="shared" si="24"/>
        <v>-8.3999999999999995E-3</v>
      </c>
      <c r="K193" s="438">
        <f t="shared" si="28"/>
        <v>-9.1583333333333326E-3</v>
      </c>
      <c r="L193" s="438">
        <f t="shared" si="29"/>
        <v>-3.0699999999999991E-2</v>
      </c>
      <c r="M193" s="446">
        <f t="shared" si="25"/>
        <v>2.5734811075261321E-2</v>
      </c>
      <c r="N193" s="446">
        <f t="shared" si="26"/>
        <v>1.9200000000000002E-2</v>
      </c>
      <c r="O193" s="446">
        <f t="shared" si="30"/>
        <v>2.8299999999999999E-2</v>
      </c>
      <c r="P193" s="447">
        <f t="shared" si="27"/>
        <v>6.5348110752613195E-3</v>
      </c>
      <c r="Q193" s="446">
        <f t="shared" si="31"/>
        <v>-2.5651889247386775E-3</v>
      </c>
      <c r="R193" s="446">
        <f t="shared" si="32"/>
        <v>-0.20960297176539233</v>
      </c>
      <c r="S193" s="446">
        <f t="shared" si="33"/>
        <v>0.03</v>
      </c>
      <c r="T193" s="447">
        <f t="shared" si="34"/>
        <v>-0.23960297176539233</v>
      </c>
      <c r="V193" s="448"/>
      <c r="W193" s="448"/>
      <c r="X193" s="448"/>
      <c r="Y193" s="448"/>
      <c r="Z193" s="448"/>
      <c r="AA193" s="448"/>
      <c r="AB193" s="448"/>
      <c r="AC193" s="448"/>
      <c r="AD193" s="448"/>
      <c r="AF193" s="448"/>
      <c r="AG193" s="448"/>
      <c r="AH193" s="448"/>
      <c r="AI193" s="448"/>
      <c r="AJ193" s="448"/>
      <c r="AK193" s="448"/>
      <c r="AL193" s="448"/>
      <c r="AM193" s="448"/>
      <c r="AN193" s="448"/>
      <c r="AP193" s="448"/>
      <c r="AQ193" s="448"/>
      <c r="AR193" s="448"/>
      <c r="AS193" s="448"/>
      <c r="AT193" s="448"/>
      <c r="AU193" s="448"/>
      <c r="AV193" s="448"/>
      <c r="AW193" s="448"/>
      <c r="AX193" s="448"/>
    </row>
    <row r="194" spans="1:50" x14ac:dyDescent="0.4">
      <c r="A194" s="442" t="str">
        <f t="shared" si="35"/>
        <v>101941</v>
      </c>
      <c r="B194" s="442">
        <v>15250</v>
      </c>
      <c r="C194" s="455">
        <v>-6.5699999999999995E-2</v>
      </c>
      <c r="D194" s="438">
        <v>-8.48E-2</v>
      </c>
      <c r="E194" s="438">
        <v>1.6000000000000001E-3</v>
      </c>
      <c r="F194" s="438">
        <v>2.2750000000000001E-3</v>
      </c>
      <c r="G194" s="438">
        <v>2.3916666666666665E-3</v>
      </c>
      <c r="H194" s="438">
        <v>2.3333333333333335E-3</v>
      </c>
      <c r="I194" s="438">
        <v>2.5000000000000001E-3</v>
      </c>
      <c r="J194" s="438">
        <f t="shared" si="24"/>
        <v>-6.7299999999999999E-2</v>
      </c>
      <c r="K194" s="438">
        <f t="shared" si="28"/>
        <v>-6.8033333333333335E-2</v>
      </c>
      <c r="L194" s="438">
        <f t="shared" si="29"/>
        <v>-8.7300000000000003E-2</v>
      </c>
      <c r="M194" s="446">
        <f t="shared" si="25"/>
        <v>-8.0460531579719441E-2</v>
      </c>
      <c r="N194" s="446">
        <f t="shared" si="26"/>
        <v>1.9200000000000002E-2</v>
      </c>
      <c r="O194" s="446">
        <f t="shared" si="30"/>
        <v>2.8000000000000004E-2</v>
      </c>
      <c r="P194" s="447">
        <f t="shared" si="27"/>
        <v>-9.9660531579719436E-2</v>
      </c>
      <c r="Q194" s="446">
        <f t="shared" si="31"/>
        <v>-0.10846053157971944</v>
      </c>
      <c r="R194" s="446">
        <f t="shared" si="32"/>
        <v>-0.29885493821817111</v>
      </c>
      <c r="S194" s="446">
        <f t="shared" si="33"/>
        <v>0.03</v>
      </c>
      <c r="T194" s="447">
        <f t="shared" si="34"/>
        <v>-0.32885493821817113</v>
      </c>
      <c r="V194" s="448"/>
      <c r="W194" s="448"/>
      <c r="X194" s="448"/>
      <c r="Y194" s="448"/>
      <c r="Z194" s="448"/>
      <c r="AA194" s="448"/>
      <c r="AB194" s="448"/>
      <c r="AC194" s="448"/>
      <c r="AD194" s="448"/>
      <c r="AF194" s="448"/>
      <c r="AG194" s="448"/>
      <c r="AH194" s="448"/>
      <c r="AI194" s="448"/>
      <c r="AJ194" s="448"/>
      <c r="AK194" s="448"/>
      <c r="AL194" s="448"/>
      <c r="AM194" s="448"/>
      <c r="AN194" s="448"/>
      <c r="AP194" s="448"/>
      <c r="AQ194" s="448"/>
      <c r="AR194" s="448"/>
      <c r="AS194" s="448"/>
      <c r="AT194" s="448"/>
      <c r="AU194" s="448"/>
      <c r="AV194" s="448"/>
      <c r="AW194" s="448"/>
      <c r="AX194" s="448"/>
    </row>
    <row r="195" spans="1:50" x14ac:dyDescent="0.4">
      <c r="A195" s="442" t="str">
        <f t="shared" si="35"/>
        <v>111941</v>
      </c>
      <c r="B195" s="442">
        <v>15281</v>
      </c>
      <c r="C195" s="455">
        <v>-2.8400000000000002E-2</v>
      </c>
      <c r="D195" s="438">
        <v>-6.5199999999999994E-2</v>
      </c>
      <c r="E195" s="438">
        <v>1.3999999999999998E-3</v>
      </c>
      <c r="F195" s="438">
        <v>2.2666666666666668E-3</v>
      </c>
      <c r="G195" s="438">
        <v>2.3833333333333332E-3</v>
      </c>
      <c r="H195" s="438">
        <v>2.3249999999999998E-3</v>
      </c>
      <c r="I195" s="438">
        <v>2.4833333333333331E-3</v>
      </c>
      <c r="J195" s="438">
        <f t="shared" si="24"/>
        <v>-2.98E-2</v>
      </c>
      <c r="K195" s="438">
        <f t="shared" si="28"/>
        <v>-3.0725000000000002E-2</v>
      </c>
      <c r="L195" s="438">
        <f t="shared" si="29"/>
        <v>-6.7683333333333331E-2</v>
      </c>
      <c r="M195" s="446">
        <f t="shared" si="25"/>
        <v>-7.7421987280932858E-2</v>
      </c>
      <c r="N195" s="446">
        <f t="shared" si="26"/>
        <v>1.6799999999999995E-2</v>
      </c>
      <c r="O195" s="446">
        <f t="shared" si="30"/>
        <v>2.7899999999999998E-2</v>
      </c>
      <c r="P195" s="447">
        <f t="shared" si="27"/>
        <v>-9.4221987280932853E-2</v>
      </c>
      <c r="Q195" s="446">
        <f t="shared" si="31"/>
        <v>-0.10532198728093285</v>
      </c>
      <c r="R195" s="446">
        <f t="shared" si="32"/>
        <v>-0.25459979102279806</v>
      </c>
      <c r="S195" s="446">
        <f t="shared" si="33"/>
        <v>2.9799999999999997E-2</v>
      </c>
      <c r="T195" s="447">
        <f t="shared" si="34"/>
        <v>-0.28439979102279805</v>
      </c>
      <c r="V195" s="448"/>
      <c r="W195" s="448"/>
      <c r="X195" s="448"/>
      <c r="Y195" s="448"/>
      <c r="Z195" s="448"/>
      <c r="AA195" s="448"/>
      <c r="AB195" s="448"/>
      <c r="AC195" s="448"/>
      <c r="AD195" s="448"/>
      <c r="AF195" s="448"/>
      <c r="AG195" s="448"/>
      <c r="AH195" s="448"/>
      <c r="AI195" s="448"/>
      <c r="AJ195" s="448"/>
      <c r="AK195" s="448"/>
      <c r="AL195" s="448"/>
      <c r="AM195" s="448"/>
      <c r="AN195" s="448"/>
      <c r="AP195" s="448"/>
      <c r="AQ195" s="448"/>
      <c r="AR195" s="448"/>
      <c r="AS195" s="448"/>
      <c r="AT195" s="448"/>
      <c r="AU195" s="448"/>
      <c r="AV195" s="448"/>
      <c r="AW195" s="448"/>
      <c r="AX195" s="448"/>
    </row>
    <row r="196" spans="1:50" x14ac:dyDescent="0.4">
      <c r="A196" s="442" t="str">
        <f t="shared" si="35"/>
        <v>121941</v>
      </c>
      <c r="B196" s="442">
        <v>15311</v>
      </c>
      <c r="C196" s="455">
        <v>-4.07E-2</v>
      </c>
      <c r="D196" s="438">
        <v>-6.7799999999999999E-2</v>
      </c>
      <c r="E196" s="438">
        <v>1.6000000000000001E-3</v>
      </c>
      <c r="F196" s="438">
        <v>2.3333333333333331E-3</v>
      </c>
      <c r="G196" s="438">
        <v>2.4583333333333336E-3</v>
      </c>
      <c r="H196" s="438">
        <v>2.3958333333333331E-3</v>
      </c>
      <c r="I196" s="438">
        <v>2.5500000000000002E-3</v>
      </c>
      <c r="J196" s="438">
        <f t="shared" si="24"/>
        <v>-4.2299999999999997E-2</v>
      </c>
      <c r="K196" s="438">
        <f t="shared" si="28"/>
        <v>-4.3095833333333333E-2</v>
      </c>
      <c r="L196" s="438">
        <f t="shared" si="29"/>
        <v>-7.0349999999999996E-2</v>
      </c>
      <c r="M196" s="446">
        <f t="shared" si="25"/>
        <v>-0.11576672234848517</v>
      </c>
      <c r="N196" s="446">
        <f t="shared" si="26"/>
        <v>1.9200000000000002E-2</v>
      </c>
      <c r="O196" s="446">
        <f t="shared" si="30"/>
        <v>2.8749999999999998E-2</v>
      </c>
      <c r="P196" s="447">
        <f t="shared" si="27"/>
        <v>-0.13496672234848517</v>
      </c>
      <c r="Q196" s="446">
        <f t="shared" si="31"/>
        <v>-0.14451672234848517</v>
      </c>
      <c r="R196" s="446">
        <f t="shared" si="32"/>
        <v>-0.31567650698390026</v>
      </c>
      <c r="S196" s="446">
        <f t="shared" si="33"/>
        <v>3.0600000000000002E-2</v>
      </c>
      <c r="T196" s="447">
        <f t="shared" si="34"/>
        <v>-0.34627650698390028</v>
      </c>
      <c r="V196" s="448"/>
      <c r="W196" s="448"/>
      <c r="X196" s="448"/>
      <c r="Y196" s="448"/>
      <c r="Z196" s="448"/>
      <c r="AA196" s="448"/>
      <c r="AB196" s="448"/>
      <c r="AC196" s="448"/>
      <c r="AD196" s="448"/>
      <c r="AF196" s="448"/>
      <c r="AG196" s="448"/>
      <c r="AH196" s="448"/>
      <c r="AI196" s="448"/>
      <c r="AJ196" s="448"/>
      <c r="AK196" s="448"/>
      <c r="AL196" s="448"/>
      <c r="AM196" s="448"/>
      <c r="AN196" s="448"/>
      <c r="AP196" s="448"/>
      <c r="AQ196" s="448"/>
      <c r="AR196" s="448"/>
      <c r="AS196" s="448"/>
      <c r="AT196" s="448"/>
      <c r="AU196" s="448"/>
      <c r="AV196" s="448"/>
      <c r="AW196" s="448"/>
      <c r="AX196" s="448"/>
    </row>
    <row r="197" spans="1:50" x14ac:dyDescent="0.4">
      <c r="A197" s="442" t="str">
        <f t="shared" si="35"/>
        <v>11942</v>
      </c>
      <c r="B197" s="442">
        <v>15342</v>
      </c>
      <c r="C197" s="455">
        <v>1.61E-2</v>
      </c>
      <c r="D197" s="438">
        <v>2.52E-2</v>
      </c>
      <c r="E197" s="438">
        <v>2.0999999999999999E-3</v>
      </c>
      <c r="F197" s="438">
        <v>2.3583333333333334E-3</v>
      </c>
      <c r="G197" s="438">
        <v>2.4666666666666669E-3</v>
      </c>
      <c r="H197" s="438">
        <v>2.4125000000000001E-3</v>
      </c>
      <c r="I197" s="438">
        <v>2.575E-3</v>
      </c>
      <c r="J197" s="438">
        <f t="shared" si="24"/>
        <v>1.4E-2</v>
      </c>
      <c r="K197" s="438">
        <f t="shared" si="28"/>
        <v>1.36875E-2</v>
      </c>
      <c r="L197" s="438">
        <f t="shared" si="29"/>
        <v>2.2624999999999999E-2</v>
      </c>
      <c r="M197" s="446">
        <f t="shared" si="25"/>
        <v>-5.7911886943793012E-2</v>
      </c>
      <c r="N197" s="446">
        <f t="shared" si="26"/>
        <v>2.52E-2</v>
      </c>
      <c r="O197" s="446">
        <f t="shared" si="30"/>
        <v>2.8950000000000004E-2</v>
      </c>
      <c r="P197" s="447">
        <f t="shared" si="27"/>
        <v>-8.3111886943793012E-2</v>
      </c>
      <c r="Q197" s="446">
        <f t="shared" si="31"/>
        <v>-8.6861886943793015E-2</v>
      </c>
      <c r="R197" s="446">
        <f t="shared" si="32"/>
        <v>-0.29248845800715473</v>
      </c>
      <c r="S197" s="446">
        <f t="shared" si="33"/>
        <v>3.09E-2</v>
      </c>
      <c r="T197" s="447">
        <f t="shared" si="34"/>
        <v>-0.32338845800715471</v>
      </c>
      <c r="V197" s="448"/>
      <c r="W197" s="448"/>
      <c r="X197" s="448"/>
      <c r="Y197" s="448"/>
      <c r="Z197" s="448"/>
      <c r="AA197" s="448"/>
      <c r="AB197" s="448"/>
      <c r="AC197" s="448"/>
      <c r="AD197" s="448"/>
      <c r="AF197" s="448"/>
      <c r="AG197" s="448"/>
      <c r="AH197" s="448"/>
      <c r="AI197" s="448"/>
      <c r="AJ197" s="448"/>
      <c r="AK197" s="448"/>
      <c r="AL197" s="448"/>
      <c r="AM197" s="448"/>
      <c r="AN197" s="448"/>
      <c r="AP197" s="448"/>
      <c r="AQ197" s="448"/>
      <c r="AR197" s="448"/>
      <c r="AS197" s="448"/>
      <c r="AT197" s="448"/>
      <c r="AU197" s="448"/>
      <c r="AV197" s="448"/>
      <c r="AW197" s="448"/>
      <c r="AX197" s="448"/>
    </row>
    <row r="198" spans="1:50" x14ac:dyDescent="0.4">
      <c r="A198" s="442" t="str">
        <f t="shared" si="35"/>
        <v>21942</v>
      </c>
      <c r="B198" s="442">
        <v>15373</v>
      </c>
      <c r="C198" s="455">
        <v>-1.5900000000000001E-2</v>
      </c>
      <c r="D198" s="438">
        <v>-3.39E-2</v>
      </c>
      <c r="E198" s="438">
        <v>1.9E-3</v>
      </c>
      <c r="F198" s="438">
        <v>2.3750000000000004E-3</v>
      </c>
      <c r="G198" s="438">
        <v>2.4833333333333331E-3</v>
      </c>
      <c r="H198" s="438">
        <v>2.4291666666666667E-3</v>
      </c>
      <c r="I198" s="438">
        <v>2.575E-3</v>
      </c>
      <c r="J198" s="438">
        <f t="shared" ref="J198:J261" si="36">C198-E198</f>
        <v>-1.78E-2</v>
      </c>
      <c r="K198" s="438">
        <f t="shared" si="28"/>
        <v>-1.8329166666666667E-2</v>
      </c>
      <c r="L198" s="438">
        <f t="shared" si="29"/>
        <v>-3.6475E-2</v>
      </c>
      <c r="M198" s="446">
        <f t="shared" si="25"/>
        <v>-6.7294857083890047E-2</v>
      </c>
      <c r="N198" s="446">
        <f t="shared" si="26"/>
        <v>2.2800000000000001E-2</v>
      </c>
      <c r="O198" s="446">
        <f t="shared" si="30"/>
        <v>2.9150000000000002E-2</v>
      </c>
      <c r="P198" s="447">
        <f t="shared" si="27"/>
        <v>-9.0094857083890048E-2</v>
      </c>
      <c r="Q198" s="446">
        <f t="shared" si="31"/>
        <v>-9.6444857083890057E-2</v>
      </c>
      <c r="R198" s="446">
        <f t="shared" si="32"/>
        <v>-0.30016699015123582</v>
      </c>
      <c r="S198" s="446">
        <f t="shared" si="33"/>
        <v>3.09E-2</v>
      </c>
      <c r="T198" s="447">
        <f t="shared" si="34"/>
        <v>-0.33106699015123581</v>
      </c>
      <c r="V198" s="448"/>
      <c r="W198" s="448"/>
      <c r="X198" s="448"/>
      <c r="Y198" s="448"/>
      <c r="Z198" s="448"/>
      <c r="AA198" s="448"/>
      <c r="AB198" s="448"/>
      <c r="AC198" s="448"/>
      <c r="AD198" s="448"/>
      <c r="AF198" s="448"/>
      <c r="AG198" s="448"/>
      <c r="AH198" s="448"/>
      <c r="AI198" s="448"/>
      <c r="AJ198" s="448"/>
      <c r="AK198" s="448"/>
      <c r="AL198" s="448"/>
      <c r="AM198" s="448"/>
      <c r="AN198" s="448"/>
      <c r="AP198" s="448"/>
      <c r="AQ198" s="448"/>
      <c r="AR198" s="448"/>
      <c r="AS198" s="448"/>
      <c r="AT198" s="448"/>
      <c r="AU198" s="448"/>
      <c r="AV198" s="448"/>
      <c r="AW198" s="448"/>
      <c r="AX198" s="448"/>
    </row>
    <row r="199" spans="1:50" x14ac:dyDescent="0.4">
      <c r="A199" s="442" t="str">
        <f t="shared" si="35"/>
        <v>31942</v>
      </c>
      <c r="B199" s="442">
        <v>15401</v>
      </c>
      <c r="C199" s="455">
        <v>-6.5199999999999994E-2</v>
      </c>
      <c r="D199" s="438">
        <v>-0.10459999999999998</v>
      </c>
      <c r="E199" s="438">
        <v>2.0999999999999999E-3</v>
      </c>
      <c r="F199" s="438">
        <v>2.3833333333333332E-3</v>
      </c>
      <c r="G199" s="438">
        <v>2.5000000000000001E-3</v>
      </c>
      <c r="H199" s="438">
        <v>2.4416666666666666E-3</v>
      </c>
      <c r="I199" s="438">
        <v>2.5999999999999999E-3</v>
      </c>
      <c r="J199" s="438">
        <f t="shared" si="36"/>
        <v>-6.7299999999999999E-2</v>
      </c>
      <c r="K199" s="438">
        <f t="shared" si="28"/>
        <v>-6.7641666666666656E-2</v>
      </c>
      <c r="L199" s="438">
        <f t="shared" si="29"/>
        <v>-0.10719999999999999</v>
      </c>
      <c r="M199" s="446">
        <f t="shared" si="25"/>
        <v>-0.13425402879755821</v>
      </c>
      <c r="N199" s="446">
        <f t="shared" si="26"/>
        <v>2.52E-2</v>
      </c>
      <c r="O199" s="446">
        <f t="shared" si="30"/>
        <v>2.93E-2</v>
      </c>
      <c r="P199" s="447">
        <f t="shared" si="27"/>
        <v>-0.15945402879755821</v>
      </c>
      <c r="Q199" s="446">
        <f t="shared" si="31"/>
        <v>-0.1635540287975582</v>
      </c>
      <c r="R199" s="446">
        <f t="shared" si="32"/>
        <v>-0.35531843928129292</v>
      </c>
      <c r="S199" s="446">
        <f t="shared" si="33"/>
        <v>3.1199999999999999E-2</v>
      </c>
      <c r="T199" s="447">
        <f t="shared" si="34"/>
        <v>-0.38651843928129292</v>
      </c>
      <c r="V199" s="448"/>
      <c r="W199" s="448"/>
      <c r="X199" s="448"/>
      <c r="Y199" s="448"/>
      <c r="Z199" s="448"/>
      <c r="AA199" s="448"/>
      <c r="AB199" s="448"/>
      <c r="AC199" s="448"/>
      <c r="AD199" s="448"/>
      <c r="AF199" s="448"/>
      <c r="AG199" s="448"/>
      <c r="AH199" s="448"/>
      <c r="AI199" s="448"/>
      <c r="AJ199" s="448"/>
      <c r="AK199" s="448"/>
      <c r="AL199" s="448"/>
      <c r="AM199" s="448"/>
      <c r="AN199" s="448"/>
      <c r="AP199" s="448"/>
      <c r="AQ199" s="448"/>
      <c r="AR199" s="448"/>
      <c r="AS199" s="448"/>
      <c r="AT199" s="448"/>
      <c r="AU199" s="448"/>
      <c r="AV199" s="448"/>
      <c r="AW199" s="448"/>
      <c r="AX199" s="448"/>
    </row>
    <row r="200" spans="1:50" x14ac:dyDescent="0.4">
      <c r="A200" s="442" t="str">
        <f t="shared" si="35"/>
        <v>41942</v>
      </c>
      <c r="B200" s="442">
        <v>15432</v>
      </c>
      <c r="C200" s="455">
        <v>-0.04</v>
      </c>
      <c r="D200" s="438">
        <v>-4.3200000000000002E-2</v>
      </c>
      <c r="E200" s="438">
        <v>2E-3</v>
      </c>
      <c r="F200" s="438">
        <v>2.3583333333333334E-3</v>
      </c>
      <c r="G200" s="438">
        <v>2.4833333333333331E-3</v>
      </c>
      <c r="H200" s="438">
        <v>2.420833333333333E-3</v>
      </c>
      <c r="I200" s="438">
        <v>2.575E-3</v>
      </c>
      <c r="J200" s="438">
        <f t="shared" si="36"/>
        <v>-4.2000000000000003E-2</v>
      </c>
      <c r="K200" s="438">
        <f t="shared" si="28"/>
        <v>-4.2420833333333331E-2</v>
      </c>
      <c r="L200" s="438">
        <f t="shared" si="29"/>
        <v>-4.5775000000000003E-2</v>
      </c>
      <c r="M200" s="446">
        <f t="shared" si="25"/>
        <v>-0.11470373630768604</v>
      </c>
      <c r="N200" s="446">
        <f t="shared" si="26"/>
        <v>2.4E-2</v>
      </c>
      <c r="O200" s="446">
        <f t="shared" si="30"/>
        <v>2.9049999999999996E-2</v>
      </c>
      <c r="P200" s="447">
        <f t="shared" si="27"/>
        <v>-0.13870373630768604</v>
      </c>
      <c r="Q200" s="446">
        <f t="shared" si="31"/>
        <v>-0.14375373630768604</v>
      </c>
      <c r="R200" s="446">
        <f t="shared" si="32"/>
        <v>-0.32630917726555386</v>
      </c>
      <c r="S200" s="446">
        <f t="shared" si="33"/>
        <v>3.09E-2</v>
      </c>
      <c r="T200" s="447">
        <f t="shared" si="34"/>
        <v>-0.35720917726555385</v>
      </c>
      <c r="V200" s="448"/>
      <c r="W200" s="448"/>
      <c r="X200" s="448"/>
      <c r="Y200" s="448"/>
      <c r="Z200" s="448"/>
      <c r="AA200" s="448"/>
      <c r="AB200" s="448"/>
      <c r="AC200" s="448"/>
      <c r="AD200" s="448"/>
      <c r="AF200" s="448"/>
      <c r="AG200" s="448"/>
      <c r="AH200" s="448"/>
      <c r="AI200" s="448"/>
      <c r="AJ200" s="448"/>
      <c r="AK200" s="448"/>
      <c r="AL200" s="448"/>
      <c r="AM200" s="448"/>
      <c r="AN200" s="448"/>
      <c r="AP200" s="448"/>
      <c r="AQ200" s="448"/>
      <c r="AR200" s="448"/>
      <c r="AS200" s="448"/>
      <c r="AT200" s="448"/>
      <c r="AU200" s="448"/>
      <c r="AV200" s="448"/>
      <c r="AW200" s="448"/>
      <c r="AX200" s="448"/>
    </row>
    <row r="201" spans="1:50" x14ac:dyDescent="0.4">
      <c r="A201" s="442" t="str">
        <f t="shared" si="35"/>
        <v>51942</v>
      </c>
      <c r="B201" s="442">
        <v>15462</v>
      </c>
      <c r="C201" s="455">
        <v>7.9600000000000004E-2</v>
      </c>
      <c r="D201" s="438">
        <v>9.5600000000000004E-2</v>
      </c>
      <c r="E201" s="438">
        <v>1.9E-3</v>
      </c>
      <c r="F201" s="438">
        <v>2.3750000000000004E-3</v>
      </c>
      <c r="G201" s="438">
        <v>2.5000000000000001E-3</v>
      </c>
      <c r="H201" s="438">
        <v>2.4375000000000004E-3</v>
      </c>
      <c r="I201" s="438">
        <v>2.5833333333333337E-3</v>
      </c>
      <c r="J201" s="438">
        <f t="shared" si="36"/>
        <v>7.7700000000000005E-2</v>
      </c>
      <c r="K201" s="438">
        <f t="shared" si="28"/>
        <v>7.7162500000000009E-2</v>
      </c>
      <c r="L201" s="438">
        <f t="shared" si="29"/>
        <v>9.3016666666666664E-2</v>
      </c>
      <c r="M201" s="446">
        <f t="shared" si="25"/>
        <v>-6.1410344414983609E-2</v>
      </c>
      <c r="N201" s="446">
        <f t="shared" si="26"/>
        <v>2.2800000000000001E-2</v>
      </c>
      <c r="O201" s="446">
        <f t="shared" si="30"/>
        <v>2.9250000000000005E-2</v>
      </c>
      <c r="P201" s="447">
        <f t="shared" si="27"/>
        <v>-8.4210344414983609E-2</v>
      </c>
      <c r="Q201" s="446">
        <f t="shared" si="31"/>
        <v>-9.0660344414983607E-2</v>
      </c>
      <c r="R201" s="446">
        <f t="shared" si="32"/>
        <v>-0.23616302867860994</v>
      </c>
      <c r="S201" s="446">
        <f t="shared" si="33"/>
        <v>3.1000000000000007E-2</v>
      </c>
      <c r="T201" s="447">
        <f t="shared" si="34"/>
        <v>-0.26716302867860997</v>
      </c>
      <c r="V201" s="448"/>
      <c r="W201" s="448"/>
      <c r="X201" s="448"/>
      <c r="Y201" s="448"/>
      <c r="Z201" s="448"/>
      <c r="AA201" s="448"/>
      <c r="AB201" s="448"/>
      <c r="AC201" s="448"/>
      <c r="AD201" s="448"/>
      <c r="AF201" s="448"/>
      <c r="AG201" s="448"/>
      <c r="AH201" s="448"/>
      <c r="AI201" s="448"/>
      <c r="AJ201" s="448"/>
      <c r="AK201" s="448"/>
      <c r="AL201" s="448"/>
      <c r="AM201" s="448"/>
      <c r="AN201" s="448"/>
      <c r="AP201" s="448"/>
      <c r="AQ201" s="448"/>
      <c r="AR201" s="448"/>
      <c r="AS201" s="448"/>
      <c r="AT201" s="448"/>
      <c r="AU201" s="448"/>
      <c r="AV201" s="448"/>
      <c r="AW201" s="448"/>
      <c r="AX201" s="448"/>
    </row>
    <row r="202" spans="1:50" x14ac:dyDescent="0.4">
      <c r="A202" s="442" t="str">
        <f t="shared" si="35"/>
        <v>61942</v>
      </c>
      <c r="B202" s="442">
        <v>15493</v>
      </c>
      <c r="C202" s="455">
        <v>2.2100000000000002E-2</v>
      </c>
      <c r="D202" s="438">
        <v>5.7000000000000002E-3</v>
      </c>
      <c r="E202" s="438">
        <v>2.0999999999999999E-3</v>
      </c>
      <c r="F202" s="438">
        <v>2.3750000000000004E-3</v>
      </c>
      <c r="G202" s="438">
        <v>2.5083333333333329E-3</v>
      </c>
      <c r="H202" s="438">
        <v>2.4416666666666666E-3</v>
      </c>
      <c r="I202" s="438">
        <v>2.5999999999999999E-3</v>
      </c>
      <c r="J202" s="438">
        <f t="shared" si="36"/>
        <v>0.02</v>
      </c>
      <c r="K202" s="438">
        <f t="shared" si="28"/>
        <v>1.9658333333333333E-2</v>
      </c>
      <c r="L202" s="438">
        <f t="shared" si="29"/>
        <v>3.1000000000000003E-3</v>
      </c>
      <c r="M202" s="446">
        <f t="shared" si="25"/>
        <v>-9.3087079813343521E-2</v>
      </c>
      <c r="N202" s="446">
        <f t="shared" si="26"/>
        <v>2.52E-2</v>
      </c>
      <c r="O202" s="446">
        <f t="shared" si="30"/>
        <v>2.93E-2</v>
      </c>
      <c r="P202" s="447">
        <f t="shared" si="27"/>
        <v>-0.11828707981334352</v>
      </c>
      <c r="Q202" s="446">
        <f t="shared" si="31"/>
        <v>-0.12238707981334351</v>
      </c>
      <c r="R202" s="446">
        <f t="shared" si="32"/>
        <v>-0.25105699321641628</v>
      </c>
      <c r="S202" s="446">
        <f t="shared" si="33"/>
        <v>3.1199999999999999E-2</v>
      </c>
      <c r="T202" s="447">
        <f t="shared" si="34"/>
        <v>-0.28225699321641629</v>
      </c>
      <c r="V202" s="448"/>
      <c r="W202" s="448"/>
      <c r="X202" s="448"/>
      <c r="Y202" s="448"/>
      <c r="Z202" s="448"/>
      <c r="AA202" s="448"/>
      <c r="AB202" s="448"/>
      <c r="AC202" s="448"/>
      <c r="AD202" s="448"/>
      <c r="AF202" s="448"/>
      <c r="AG202" s="448"/>
      <c r="AH202" s="448"/>
      <c r="AI202" s="448"/>
      <c r="AJ202" s="448"/>
      <c r="AK202" s="448"/>
      <c r="AL202" s="448"/>
      <c r="AM202" s="448"/>
      <c r="AN202" s="448"/>
      <c r="AP202" s="448"/>
      <c r="AQ202" s="448"/>
      <c r="AR202" s="448"/>
      <c r="AS202" s="448"/>
      <c r="AT202" s="448"/>
      <c r="AU202" s="448"/>
      <c r="AV202" s="448"/>
      <c r="AW202" s="448"/>
      <c r="AX202" s="448"/>
    </row>
    <row r="203" spans="1:50" x14ac:dyDescent="0.4">
      <c r="A203" s="442" t="str">
        <f t="shared" si="35"/>
        <v>71942</v>
      </c>
      <c r="B203" s="442">
        <v>15523</v>
      </c>
      <c r="C203" s="455">
        <v>3.3700000000000001E-2</v>
      </c>
      <c r="D203" s="438">
        <v>4.0000000000000001E-3</v>
      </c>
      <c r="E203" s="438">
        <v>2.0999999999999999E-3</v>
      </c>
      <c r="F203" s="438">
        <v>2.3583333333333334E-3</v>
      </c>
      <c r="G203" s="438">
        <v>2.4916666666666668E-3</v>
      </c>
      <c r="H203" s="438">
        <v>2.4250000000000001E-3</v>
      </c>
      <c r="I203" s="438">
        <v>2.5833333333333337E-3</v>
      </c>
      <c r="J203" s="438">
        <f t="shared" si="36"/>
        <v>3.1600000000000003E-2</v>
      </c>
      <c r="K203" s="438">
        <f t="shared" si="28"/>
        <v>3.1274999999999997E-2</v>
      </c>
      <c r="L203" s="438">
        <f t="shared" si="29"/>
        <v>1.4166666666666663E-3</v>
      </c>
      <c r="M203" s="446">
        <f t="shared" si="25"/>
        <v>-0.11383317364878842</v>
      </c>
      <c r="N203" s="446">
        <f t="shared" si="26"/>
        <v>2.52E-2</v>
      </c>
      <c r="O203" s="446">
        <f t="shared" si="30"/>
        <v>2.9100000000000001E-2</v>
      </c>
      <c r="P203" s="447">
        <f t="shared" si="27"/>
        <v>-0.13903317364878842</v>
      </c>
      <c r="Q203" s="446">
        <f t="shared" si="31"/>
        <v>-0.14293317364878844</v>
      </c>
      <c r="R203" s="446">
        <f t="shared" si="32"/>
        <v>-0.28645020040736568</v>
      </c>
      <c r="S203" s="446">
        <f t="shared" si="33"/>
        <v>3.1000000000000007E-2</v>
      </c>
      <c r="T203" s="447">
        <f t="shared" si="34"/>
        <v>-0.31745020040736571</v>
      </c>
      <c r="V203" s="448"/>
      <c r="W203" s="448"/>
      <c r="X203" s="448"/>
      <c r="Y203" s="448"/>
      <c r="Z203" s="448"/>
      <c r="AA203" s="448"/>
      <c r="AB203" s="448"/>
      <c r="AC203" s="448"/>
      <c r="AD203" s="448"/>
      <c r="AF203" s="448"/>
      <c r="AG203" s="448"/>
      <c r="AH203" s="448"/>
      <c r="AI203" s="448"/>
      <c r="AJ203" s="448"/>
      <c r="AK203" s="448"/>
      <c r="AL203" s="448"/>
      <c r="AM203" s="448"/>
      <c r="AN203" s="448"/>
      <c r="AP203" s="448"/>
      <c r="AQ203" s="448"/>
      <c r="AR203" s="448"/>
      <c r="AS203" s="448"/>
      <c r="AT203" s="448"/>
      <c r="AU203" s="448"/>
      <c r="AV203" s="448"/>
      <c r="AW203" s="448"/>
      <c r="AX203" s="448"/>
    </row>
    <row r="204" spans="1:50" x14ac:dyDescent="0.4">
      <c r="A204" s="442" t="str">
        <f t="shared" si="35"/>
        <v>81942</v>
      </c>
      <c r="B204" s="442">
        <v>15554</v>
      </c>
      <c r="C204" s="455">
        <v>1.6400000000000001E-2</v>
      </c>
      <c r="D204" s="438">
        <v>2.5999999999999999E-3</v>
      </c>
      <c r="E204" s="438">
        <v>2.0999999999999999E-3</v>
      </c>
      <c r="F204" s="438">
        <v>2.3416666666666668E-3</v>
      </c>
      <c r="G204" s="438">
        <v>2.4916666666666668E-3</v>
      </c>
      <c r="H204" s="438">
        <v>2.4166666666666668E-3</v>
      </c>
      <c r="I204" s="438">
        <v>2.5833333333333337E-3</v>
      </c>
      <c r="J204" s="438">
        <f t="shared" si="36"/>
        <v>1.4300000000000002E-2</v>
      </c>
      <c r="K204" s="438">
        <f t="shared" si="28"/>
        <v>1.3983333333333334E-2</v>
      </c>
      <c r="L204" s="438">
        <f t="shared" si="29"/>
        <v>1.6666666666666132E-5</v>
      </c>
      <c r="M204" s="446">
        <f t="shared" si="25"/>
        <v>-0.1001998378587694</v>
      </c>
      <c r="N204" s="446">
        <f t="shared" si="26"/>
        <v>2.52E-2</v>
      </c>
      <c r="O204" s="446">
        <f t="shared" si="30"/>
        <v>2.9000000000000001E-2</v>
      </c>
      <c r="P204" s="447">
        <f t="shared" si="27"/>
        <v>-0.1253998378587694</v>
      </c>
      <c r="Q204" s="446">
        <f t="shared" si="31"/>
        <v>-0.1291998378587694</v>
      </c>
      <c r="R204" s="446">
        <f t="shared" si="32"/>
        <v>-0.27059030478020474</v>
      </c>
      <c r="S204" s="446">
        <f t="shared" si="33"/>
        <v>3.1000000000000007E-2</v>
      </c>
      <c r="T204" s="447">
        <f t="shared" si="34"/>
        <v>-0.30159030478020477</v>
      </c>
      <c r="V204" s="448"/>
      <c r="W204" s="448"/>
      <c r="X204" s="448"/>
      <c r="Y204" s="448"/>
      <c r="Z204" s="448"/>
      <c r="AA204" s="448"/>
      <c r="AB204" s="448"/>
      <c r="AC204" s="448"/>
      <c r="AD204" s="448"/>
      <c r="AF204" s="448"/>
      <c r="AG204" s="448"/>
      <c r="AH204" s="448"/>
      <c r="AI204" s="448"/>
      <c r="AJ204" s="448"/>
      <c r="AK204" s="448"/>
      <c r="AL204" s="448"/>
      <c r="AM204" s="448"/>
      <c r="AN204" s="448"/>
      <c r="AP204" s="448"/>
      <c r="AQ204" s="448"/>
      <c r="AR204" s="448"/>
      <c r="AS204" s="448"/>
      <c r="AT204" s="448"/>
      <c r="AU204" s="448"/>
      <c r="AV204" s="448"/>
      <c r="AW204" s="448"/>
      <c r="AX204" s="448"/>
    </row>
    <row r="205" spans="1:50" x14ac:dyDescent="0.4">
      <c r="A205" s="442" t="str">
        <f t="shared" si="35"/>
        <v>91942</v>
      </c>
      <c r="B205" s="442">
        <v>15585</v>
      </c>
      <c r="C205" s="455">
        <v>2.9000000000000001E-2</v>
      </c>
      <c r="D205" s="438">
        <v>4.6600000000000003E-2</v>
      </c>
      <c r="E205" s="438">
        <v>2E-3</v>
      </c>
      <c r="F205" s="438">
        <v>2.3333333333333331E-3</v>
      </c>
      <c r="G205" s="438">
        <v>2.4833333333333331E-3</v>
      </c>
      <c r="H205" s="438">
        <v>2.4083333333333331E-3</v>
      </c>
      <c r="I205" s="438">
        <v>2.5666666666666667E-3</v>
      </c>
      <c r="J205" s="438">
        <f t="shared" si="36"/>
        <v>2.7000000000000003E-2</v>
      </c>
      <c r="K205" s="438">
        <f t="shared" si="28"/>
        <v>2.659166666666667E-2</v>
      </c>
      <c r="L205" s="438">
        <f t="shared" si="29"/>
        <v>4.4033333333333334E-2</v>
      </c>
      <c r="M205" s="446">
        <f t="shared" si="25"/>
        <v>-6.7766444982555463E-2</v>
      </c>
      <c r="N205" s="446">
        <f t="shared" si="26"/>
        <v>2.4E-2</v>
      </c>
      <c r="O205" s="446">
        <f t="shared" si="30"/>
        <v>2.8899999999999995E-2</v>
      </c>
      <c r="P205" s="447">
        <f t="shared" si="27"/>
        <v>-9.1766444982555456E-2</v>
      </c>
      <c r="Q205" s="446">
        <f t="shared" si="31"/>
        <v>-9.6666444982555458E-2</v>
      </c>
      <c r="R205" s="446">
        <f t="shared" si="32"/>
        <v>-0.21444722472006839</v>
      </c>
      <c r="S205" s="446">
        <f t="shared" si="33"/>
        <v>3.0800000000000001E-2</v>
      </c>
      <c r="T205" s="447">
        <f t="shared" si="34"/>
        <v>-0.24524722472006838</v>
      </c>
      <c r="V205" s="448"/>
      <c r="W205" s="448"/>
      <c r="X205" s="448"/>
      <c r="Y205" s="448"/>
      <c r="Z205" s="448"/>
      <c r="AA205" s="448"/>
      <c r="AB205" s="448"/>
      <c r="AC205" s="448"/>
      <c r="AD205" s="448"/>
      <c r="AF205" s="448"/>
      <c r="AG205" s="448"/>
      <c r="AH205" s="448"/>
      <c r="AI205" s="448"/>
      <c r="AJ205" s="448"/>
      <c r="AK205" s="448"/>
      <c r="AL205" s="448"/>
      <c r="AM205" s="448"/>
      <c r="AN205" s="448"/>
      <c r="AP205" s="448"/>
      <c r="AQ205" s="448"/>
      <c r="AR205" s="448"/>
      <c r="AS205" s="448"/>
      <c r="AT205" s="448"/>
      <c r="AU205" s="448"/>
      <c r="AV205" s="448"/>
      <c r="AW205" s="448"/>
      <c r="AX205" s="448"/>
    </row>
    <row r="206" spans="1:50" x14ac:dyDescent="0.4">
      <c r="A206" s="442" t="str">
        <f t="shared" si="35"/>
        <v>101942</v>
      </c>
      <c r="B206" s="442">
        <v>15615</v>
      </c>
      <c r="C206" s="455">
        <v>6.7799999999999999E-2</v>
      </c>
      <c r="D206" s="438">
        <v>0.13620000000000002</v>
      </c>
      <c r="E206" s="438">
        <v>2.0999999999999999E-3</v>
      </c>
      <c r="F206" s="438">
        <v>2.3333333333333331E-3</v>
      </c>
      <c r="G206" s="438">
        <v>2.4583333333333336E-3</v>
      </c>
      <c r="H206" s="438">
        <v>2.3958333333333331E-3</v>
      </c>
      <c r="I206" s="438">
        <v>2.5666666666666667E-3</v>
      </c>
      <c r="J206" s="438">
        <f t="shared" si="36"/>
        <v>6.5699999999999995E-2</v>
      </c>
      <c r="K206" s="438">
        <f t="shared" si="28"/>
        <v>6.5404166666666666E-2</v>
      </c>
      <c r="L206" s="438">
        <f t="shared" si="29"/>
        <v>0.13363333333333335</v>
      </c>
      <c r="M206" s="446">
        <f t="shared" si="25"/>
        <v>6.5438285398295104E-2</v>
      </c>
      <c r="N206" s="446">
        <f t="shared" si="26"/>
        <v>2.52E-2</v>
      </c>
      <c r="O206" s="446">
        <f t="shared" si="30"/>
        <v>2.8749999999999998E-2</v>
      </c>
      <c r="P206" s="447">
        <f t="shared" si="27"/>
        <v>4.0238285398295104E-2</v>
      </c>
      <c r="Q206" s="446">
        <f t="shared" si="31"/>
        <v>3.6688285398295106E-2</v>
      </c>
      <c r="R206" s="446">
        <f t="shared" si="32"/>
        <v>-2.4754082962130219E-2</v>
      </c>
      <c r="S206" s="446">
        <f t="shared" si="33"/>
        <v>3.0800000000000001E-2</v>
      </c>
      <c r="T206" s="447">
        <f t="shared" si="34"/>
        <v>-5.555408296213022E-2</v>
      </c>
      <c r="V206" s="448"/>
      <c r="W206" s="448"/>
      <c r="X206" s="448"/>
      <c r="Y206" s="448"/>
      <c r="Z206" s="448"/>
      <c r="AA206" s="448"/>
      <c r="AB206" s="448"/>
      <c r="AC206" s="448"/>
      <c r="AD206" s="448"/>
      <c r="AF206" s="448"/>
      <c r="AG206" s="448"/>
      <c r="AH206" s="448"/>
      <c r="AI206" s="448"/>
      <c r="AJ206" s="448"/>
      <c r="AK206" s="448"/>
      <c r="AL206" s="448"/>
      <c r="AM206" s="448"/>
      <c r="AN206" s="448"/>
      <c r="AP206" s="448"/>
      <c r="AQ206" s="448"/>
      <c r="AR206" s="448"/>
      <c r="AS206" s="448"/>
      <c r="AT206" s="448"/>
      <c r="AU206" s="448"/>
      <c r="AV206" s="448"/>
      <c r="AW206" s="448"/>
      <c r="AX206" s="448"/>
    </row>
    <row r="207" spans="1:50" x14ac:dyDescent="0.4">
      <c r="A207" s="442" t="str">
        <f t="shared" si="35"/>
        <v>111942</v>
      </c>
      <c r="B207" s="442">
        <v>15646</v>
      </c>
      <c r="C207" s="455">
        <v>-2.0999999999999999E-3</v>
      </c>
      <c r="D207" s="438">
        <v>-1.5000000000000005E-3</v>
      </c>
      <c r="E207" s="438">
        <v>2E-3</v>
      </c>
      <c r="F207" s="438">
        <v>2.3250000000000002E-3</v>
      </c>
      <c r="G207" s="438">
        <v>2.4499999999999999E-3</v>
      </c>
      <c r="H207" s="438">
        <v>2.3875000000000003E-3</v>
      </c>
      <c r="I207" s="438">
        <v>2.5583333333333335E-3</v>
      </c>
      <c r="J207" s="438">
        <f t="shared" si="36"/>
        <v>-4.0999999999999995E-3</v>
      </c>
      <c r="K207" s="438">
        <f t="shared" si="28"/>
        <v>-4.4875000000000002E-3</v>
      </c>
      <c r="L207" s="438">
        <f t="shared" si="29"/>
        <v>-4.0583333333333339E-3</v>
      </c>
      <c r="M207" s="446">
        <f t="shared" si="25"/>
        <v>9.4278370727623129E-2</v>
      </c>
      <c r="N207" s="446">
        <f t="shared" si="26"/>
        <v>2.4E-2</v>
      </c>
      <c r="O207" s="446">
        <f t="shared" si="30"/>
        <v>2.8650000000000002E-2</v>
      </c>
      <c r="P207" s="447">
        <f t="shared" si="27"/>
        <v>7.0278370727623135E-2</v>
      </c>
      <c r="Q207" s="446">
        <f t="shared" si="31"/>
        <v>6.562837072762312E-2</v>
      </c>
      <c r="R207" s="446">
        <f t="shared" si="32"/>
        <v>4.1702019856988848E-2</v>
      </c>
      <c r="S207" s="446">
        <f t="shared" si="33"/>
        <v>3.0700000000000002E-2</v>
      </c>
      <c r="T207" s="447">
        <f t="shared" si="34"/>
        <v>1.1002019856988846E-2</v>
      </c>
      <c r="V207" s="448"/>
      <c r="W207" s="448"/>
      <c r="X207" s="448"/>
      <c r="Y207" s="448"/>
      <c r="Z207" s="448"/>
      <c r="AA207" s="448"/>
      <c r="AB207" s="448"/>
      <c r="AC207" s="448"/>
      <c r="AD207" s="448"/>
      <c r="AF207" s="448"/>
      <c r="AG207" s="448"/>
      <c r="AH207" s="448"/>
      <c r="AI207" s="448"/>
      <c r="AJ207" s="448"/>
      <c r="AK207" s="448"/>
      <c r="AL207" s="448"/>
      <c r="AM207" s="448"/>
      <c r="AN207" s="448"/>
      <c r="AP207" s="448"/>
      <c r="AQ207" s="448"/>
      <c r="AR207" s="448"/>
      <c r="AS207" s="448"/>
      <c r="AT207" s="448"/>
      <c r="AU207" s="448"/>
      <c r="AV207" s="448"/>
      <c r="AW207" s="448"/>
      <c r="AX207" s="448"/>
    </row>
    <row r="208" spans="1:50" x14ac:dyDescent="0.4">
      <c r="A208" s="442" t="str">
        <f t="shared" si="35"/>
        <v>121942</v>
      </c>
      <c r="B208" s="442">
        <v>15676</v>
      </c>
      <c r="C208" s="455">
        <v>5.4899999999999997E-2</v>
      </c>
      <c r="D208" s="438">
        <v>3.2799999999999996E-2</v>
      </c>
      <c r="E208" s="438">
        <v>2.0999999999999999E-3</v>
      </c>
      <c r="F208" s="438">
        <v>2.3416666666666668E-3</v>
      </c>
      <c r="G208" s="438">
        <v>2.4666666666666669E-3</v>
      </c>
      <c r="H208" s="438">
        <v>2.4041666666666669E-3</v>
      </c>
      <c r="I208" s="438">
        <v>2.5500000000000002E-3</v>
      </c>
      <c r="J208" s="438">
        <f t="shared" si="36"/>
        <v>5.28E-2</v>
      </c>
      <c r="K208" s="438">
        <f t="shared" si="28"/>
        <v>5.2495833333333332E-2</v>
      </c>
      <c r="L208" s="438">
        <f t="shared" si="29"/>
        <v>3.0249999999999996E-2</v>
      </c>
      <c r="M208" s="446">
        <f t="shared" ref="M208:M271" si="37">((1+C197)*(1+C198)*(1+C199)*(1+C200)*(1+C201)*(1+C202)*(1+C203)*(1+C204)*(1+C205)*(1+C206)*(1+C207)*(1+C208))-1</f>
        <v>0.20332977512829098</v>
      </c>
      <c r="N208" s="446">
        <f t="shared" ref="N208:N271" si="38">E208*12</f>
        <v>2.52E-2</v>
      </c>
      <c r="O208" s="446">
        <f t="shared" si="30"/>
        <v>2.8850000000000001E-2</v>
      </c>
      <c r="P208" s="447">
        <f t="shared" ref="P208:P271" si="39">M208-N208</f>
        <v>0.17812977512829098</v>
      </c>
      <c r="Q208" s="446">
        <f t="shared" si="31"/>
        <v>0.17447977512829099</v>
      </c>
      <c r="R208" s="446">
        <f t="shared" si="32"/>
        <v>0.15411912262207483</v>
      </c>
      <c r="S208" s="446">
        <f t="shared" si="33"/>
        <v>3.0600000000000002E-2</v>
      </c>
      <c r="T208" s="447">
        <f t="shared" si="34"/>
        <v>0.12351912262207483</v>
      </c>
      <c r="V208" s="448"/>
      <c r="W208" s="448"/>
      <c r="X208" s="448"/>
      <c r="Y208" s="448"/>
      <c r="Z208" s="448"/>
      <c r="AA208" s="448"/>
      <c r="AB208" s="448"/>
      <c r="AC208" s="448"/>
      <c r="AD208" s="448"/>
      <c r="AF208" s="448"/>
      <c r="AG208" s="448"/>
      <c r="AH208" s="448"/>
      <c r="AI208" s="448"/>
      <c r="AJ208" s="448"/>
      <c r="AK208" s="448"/>
      <c r="AL208" s="448"/>
      <c r="AM208" s="448"/>
      <c r="AN208" s="448"/>
      <c r="AP208" s="448"/>
      <c r="AQ208" s="448"/>
      <c r="AR208" s="448"/>
      <c r="AS208" s="448"/>
      <c r="AT208" s="448"/>
      <c r="AU208" s="448"/>
      <c r="AV208" s="448"/>
      <c r="AW208" s="448"/>
      <c r="AX208" s="448"/>
    </row>
    <row r="209" spans="1:50" x14ac:dyDescent="0.4">
      <c r="A209" s="442" t="str">
        <f t="shared" si="35"/>
        <v>11943</v>
      </c>
      <c r="B209" s="442">
        <v>15707</v>
      </c>
      <c r="C209" s="455">
        <v>7.3700000000000002E-2</v>
      </c>
      <c r="D209" s="438">
        <v>0.1217</v>
      </c>
      <c r="E209" s="438">
        <v>2E-3</v>
      </c>
      <c r="F209" s="438">
        <v>2.3250000000000002E-3</v>
      </c>
      <c r="G209" s="438">
        <v>2.4416666666666666E-3</v>
      </c>
      <c r="H209" s="438">
        <v>2.3833333333333332E-3</v>
      </c>
      <c r="I209" s="438">
        <v>2.5416666666666669E-3</v>
      </c>
      <c r="J209" s="438">
        <f t="shared" si="36"/>
        <v>7.17E-2</v>
      </c>
      <c r="K209" s="438">
        <f t="shared" si="28"/>
        <v>7.1316666666666667E-2</v>
      </c>
      <c r="L209" s="438">
        <f t="shared" si="29"/>
        <v>0.11915833333333334</v>
      </c>
      <c r="M209" s="446">
        <f t="shared" si="37"/>
        <v>0.27154333191147195</v>
      </c>
      <c r="N209" s="446">
        <f t="shared" si="38"/>
        <v>2.4E-2</v>
      </c>
      <c r="O209" s="446">
        <f t="shared" si="30"/>
        <v>2.86E-2</v>
      </c>
      <c r="P209" s="447">
        <f t="shared" si="39"/>
        <v>0.24754333191147196</v>
      </c>
      <c r="Q209" s="446">
        <f t="shared" si="31"/>
        <v>0.24294333191147194</v>
      </c>
      <c r="R209" s="446">
        <f t="shared" si="32"/>
        <v>0.26275401857703939</v>
      </c>
      <c r="S209" s="446">
        <f t="shared" si="33"/>
        <v>3.0500000000000003E-2</v>
      </c>
      <c r="T209" s="447">
        <f t="shared" si="34"/>
        <v>0.2322540185770394</v>
      </c>
      <c r="V209" s="448"/>
      <c r="W209" s="448"/>
      <c r="X209" s="448"/>
      <c r="Y209" s="448"/>
      <c r="Z209" s="448"/>
      <c r="AA209" s="448"/>
      <c r="AB209" s="448"/>
      <c r="AC209" s="448"/>
      <c r="AD209" s="448"/>
      <c r="AF209" s="448"/>
      <c r="AG209" s="448"/>
      <c r="AH209" s="448"/>
      <c r="AI209" s="448"/>
      <c r="AJ209" s="448"/>
      <c r="AK209" s="448"/>
      <c r="AL209" s="448"/>
      <c r="AM209" s="448"/>
      <c r="AN209" s="448"/>
      <c r="AP209" s="448"/>
      <c r="AQ209" s="448"/>
      <c r="AR209" s="448"/>
      <c r="AS209" s="448"/>
      <c r="AT209" s="448"/>
      <c r="AU209" s="448"/>
      <c r="AV209" s="448"/>
      <c r="AW209" s="448"/>
      <c r="AX209" s="448"/>
    </row>
    <row r="210" spans="1:50" x14ac:dyDescent="0.4">
      <c r="A210" s="442" t="str">
        <f t="shared" si="35"/>
        <v>21943</v>
      </c>
      <c r="B210" s="442">
        <v>15738</v>
      </c>
      <c r="C210" s="455">
        <v>5.8299999999999998E-2</v>
      </c>
      <c r="D210" s="438">
        <v>7.1900000000000006E-2</v>
      </c>
      <c r="E210" s="438">
        <v>1.9E-3</v>
      </c>
      <c r="F210" s="438">
        <v>2.3083333333333332E-3</v>
      </c>
      <c r="G210" s="438">
        <v>2.4083333333333335E-3</v>
      </c>
      <c r="H210" s="438">
        <v>2.3583333333333334E-3</v>
      </c>
      <c r="I210" s="438">
        <v>2.5166666666666666E-3</v>
      </c>
      <c r="J210" s="438">
        <f t="shared" si="36"/>
        <v>5.6399999999999999E-2</v>
      </c>
      <c r="K210" s="438">
        <f t="shared" si="28"/>
        <v>5.5941666666666667E-2</v>
      </c>
      <c r="L210" s="438">
        <f t="shared" si="29"/>
        <v>6.9383333333333339E-2</v>
      </c>
      <c r="M210" s="446">
        <f t="shared" si="37"/>
        <v>0.36741622615782044</v>
      </c>
      <c r="N210" s="446">
        <f t="shared" si="38"/>
        <v>2.2800000000000001E-2</v>
      </c>
      <c r="O210" s="446">
        <f t="shared" si="30"/>
        <v>2.8299999999999999E-2</v>
      </c>
      <c r="P210" s="447">
        <f t="shared" si="39"/>
        <v>0.34461622615782045</v>
      </c>
      <c r="Q210" s="446">
        <f t="shared" si="31"/>
        <v>0.33911622615782044</v>
      </c>
      <c r="R210" s="446">
        <f t="shared" si="32"/>
        <v>0.40104133372604189</v>
      </c>
      <c r="S210" s="446">
        <f t="shared" si="33"/>
        <v>3.0199999999999998E-2</v>
      </c>
      <c r="T210" s="447">
        <f t="shared" si="34"/>
        <v>0.37084133372604189</v>
      </c>
      <c r="V210" s="448"/>
      <c r="W210" s="448"/>
      <c r="X210" s="448"/>
      <c r="Y210" s="448"/>
      <c r="Z210" s="448"/>
      <c r="AA210" s="448"/>
      <c r="AB210" s="448"/>
      <c r="AC210" s="448"/>
      <c r="AD210" s="448"/>
      <c r="AF210" s="448"/>
      <c r="AG210" s="448"/>
      <c r="AH210" s="448"/>
      <c r="AI210" s="448"/>
      <c r="AJ210" s="448"/>
      <c r="AK210" s="448"/>
      <c r="AL210" s="448"/>
      <c r="AM210" s="448"/>
      <c r="AN210" s="448"/>
      <c r="AP210" s="448"/>
      <c r="AQ210" s="448"/>
      <c r="AR210" s="448"/>
      <c r="AS210" s="448"/>
      <c r="AT210" s="448"/>
      <c r="AU210" s="448"/>
      <c r="AV210" s="448"/>
      <c r="AW210" s="448"/>
      <c r="AX210" s="448"/>
    </row>
    <row r="211" spans="1:50" x14ac:dyDescent="0.4">
      <c r="A211" s="442" t="str">
        <f t="shared" si="35"/>
        <v>31943</v>
      </c>
      <c r="B211" s="442">
        <v>15766</v>
      </c>
      <c r="C211" s="455">
        <v>5.45E-2</v>
      </c>
      <c r="D211" s="438">
        <v>4.1200000000000001E-2</v>
      </c>
      <c r="E211" s="438">
        <v>2.0999999999999999E-3</v>
      </c>
      <c r="F211" s="438">
        <v>2.3E-3</v>
      </c>
      <c r="G211" s="438">
        <v>2.3999999999999998E-3</v>
      </c>
      <c r="H211" s="438">
        <v>2.3499999999999997E-3</v>
      </c>
      <c r="I211" s="438">
        <v>2.5083333333333333E-3</v>
      </c>
      <c r="J211" s="438">
        <f t="shared" si="36"/>
        <v>5.2400000000000002E-2</v>
      </c>
      <c r="K211" s="438">
        <f t="shared" si="28"/>
        <v>5.2150000000000002E-2</v>
      </c>
      <c r="L211" s="438">
        <f t="shared" si="29"/>
        <v>3.8691666666666666E-2</v>
      </c>
      <c r="M211" s="446">
        <f t="shared" si="37"/>
        <v>0.54251220633656549</v>
      </c>
      <c r="N211" s="446">
        <f t="shared" si="38"/>
        <v>2.52E-2</v>
      </c>
      <c r="O211" s="446">
        <f t="shared" si="30"/>
        <v>2.8199999999999996E-2</v>
      </c>
      <c r="P211" s="447">
        <f t="shared" si="39"/>
        <v>0.51731220633656549</v>
      </c>
      <c r="Q211" s="446">
        <f t="shared" si="31"/>
        <v>0.51431220633656549</v>
      </c>
      <c r="R211" s="446">
        <f t="shared" si="32"/>
        <v>0.62917605168143287</v>
      </c>
      <c r="S211" s="446">
        <f t="shared" si="33"/>
        <v>3.0100000000000002E-2</v>
      </c>
      <c r="T211" s="447">
        <f t="shared" si="34"/>
        <v>0.59907605168143285</v>
      </c>
      <c r="V211" s="448"/>
      <c r="W211" s="448"/>
      <c r="X211" s="448"/>
      <c r="Y211" s="448"/>
      <c r="Z211" s="448"/>
      <c r="AA211" s="448"/>
      <c r="AB211" s="448"/>
      <c r="AC211" s="448"/>
      <c r="AD211" s="448"/>
      <c r="AF211" s="448"/>
      <c r="AG211" s="448"/>
      <c r="AH211" s="448"/>
      <c r="AI211" s="448"/>
      <c r="AJ211" s="448"/>
      <c r="AK211" s="448"/>
      <c r="AL211" s="448"/>
      <c r="AM211" s="448"/>
      <c r="AN211" s="448"/>
      <c r="AP211" s="448"/>
      <c r="AQ211" s="448"/>
      <c r="AR211" s="448"/>
      <c r="AS211" s="448"/>
      <c r="AT211" s="448"/>
      <c r="AU211" s="448"/>
      <c r="AV211" s="448"/>
      <c r="AW211" s="448"/>
      <c r="AX211" s="448"/>
    </row>
    <row r="212" spans="1:50" x14ac:dyDescent="0.4">
      <c r="A212" s="442" t="str">
        <f t="shared" si="35"/>
        <v>41943</v>
      </c>
      <c r="B212" s="442">
        <v>15797</v>
      </c>
      <c r="C212" s="455">
        <v>3.5000000000000001E-3</v>
      </c>
      <c r="D212" s="438">
        <v>3.8700000000000005E-2</v>
      </c>
      <c r="E212" s="438">
        <v>2E-3</v>
      </c>
      <c r="F212" s="438">
        <v>2.3E-3</v>
      </c>
      <c r="G212" s="438">
        <v>2.3999999999999998E-3</v>
      </c>
      <c r="H212" s="438">
        <v>2.3499999999999997E-3</v>
      </c>
      <c r="I212" s="438">
        <v>2.5000000000000001E-3</v>
      </c>
      <c r="J212" s="438">
        <f t="shared" si="36"/>
        <v>1.5E-3</v>
      </c>
      <c r="K212" s="438">
        <f t="shared" si="28"/>
        <v>1.1500000000000004E-3</v>
      </c>
      <c r="L212" s="438">
        <f t="shared" si="29"/>
        <v>3.6200000000000003E-2</v>
      </c>
      <c r="M212" s="446">
        <f t="shared" si="37"/>
        <v>0.6124072906861906</v>
      </c>
      <c r="N212" s="446">
        <f t="shared" si="38"/>
        <v>2.4E-2</v>
      </c>
      <c r="O212" s="446">
        <f t="shared" si="30"/>
        <v>2.8199999999999996E-2</v>
      </c>
      <c r="P212" s="447">
        <f t="shared" si="39"/>
        <v>0.58840729068619058</v>
      </c>
      <c r="Q212" s="446">
        <f t="shared" si="31"/>
        <v>0.58420729068619059</v>
      </c>
      <c r="R212" s="446">
        <f t="shared" si="32"/>
        <v>0.76862998001829408</v>
      </c>
      <c r="S212" s="446">
        <f t="shared" si="33"/>
        <v>0.03</v>
      </c>
      <c r="T212" s="447">
        <f t="shared" si="34"/>
        <v>0.73862998001829405</v>
      </c>
      <c r="V212" s="448"/>
      <c r="W212" s="448"/>
      <c r="X212" s="448"/>
      <c r="Y212" s="448"/>
      <c r="Z212" s="448"/>
      <c r="AA212" s="448"/>
      <c r="AB212" s="448"/>
      <c r="AC212" s="448"/>
      <c r="AD212" s="448"/>
      <c r="AF212" s="448"/>
      <c r="AG212" s="448"/>
      <c r="AH212" s="448"/>
      <c r="AI212" s="448"/>
      <c r="AJ212" s="448"/>
      <c r="AK212" s="448"/>
      <c r="AL212" s="448"/>
      <c r="AM212" s="448"/>
      <c r="AN212" s="448"/>
      <c r="AP212" s="448"/>
      <c r="AQ212" s="448"/>
      <c r="AR212" s="448"/>
      <c r="AS212" s="448"/>
      <c r="AT212" s="448"/>
      <c r="AU212" s="448"/>
      <c r="AV212" s="448"/>
      <c r="AW212" s="448"/>
      <c r="AX212" s="448"/>
    </row>
    <row r="213" spans="1:50" x14ac:dyDescent="0.4">
      <c r="A213" s="442" t="str">
        <f t="shared" si="35"/>
        <v>51943</v>
      </c>
      <c r="B213" s="442">
        <v>15827</v>
      </c>
      <c r="C213" s="455">
        <v>5.5199999999999999E-2</v>
      </c>
      <c r="D213" s="438">
        <v>3.4700000000000002E-2</v>
      </c>
      <c r="E213" s="438">
        <v>1.9E-3</v>
      </c>
      <c r="F213" s="438">
        <v>2.2833333333333334E-3</v>
      </c>
      <c r="G213" s="438">
        <v>2.3916666666666665E-3</v>
      </c>
      <c r="H213" s="438">
        <v>2.3375000000000002E-3</v>
      </c>
      <c r="I213" s="438">
        <v>2.5000000000000001E-3</v>
      </c>
      <c r="J213" s="438">
        <f t="shared" si="36"/>
        <v>5.33E-2</v>
      </c>
      <c r="K213" s="438">
        <f t="shared" si="28"/>
        <v>5.28625E-2</v>
      </c>
      <c r="L213" s="438">
        <f t="shared" si="29"/>
        <v>3.2199999999999999E-2</v>
      </c>
      <c r="M213" s="446">
        <f t="shared" si="37"/>
        <v>0.57596533265289795</v>
      </c>
      <c r="N213" s="446">
        <f t="shared" si="38"/>
        <v>2.2800000000000001E-2</v>
      </c>
      <c r="O213" s="446">
        <f t="shared" si="30"/>
        <v>2.8050000000000002E-2</v>
      </c>
      <c r="P213" s="447">
        <f t="shared" si="39"/>
        <v>0.55316533265289791</v>
      </c>
      <c r="Q213" s="446">
        <f t="shared" si="31"/>
        <v>0.54791533265289794</v>
      </c>
      <c r="R213" s="446">
        <f t="shared" si="32"/>
        <v>0.67031894881793463</v>
      </c>
      <c r="S213" s="446">
        <f t="shared" si="33"/>
        <v>0.03</v>
      </c>
      <c r="T213" s="447">
        <f t="shared" si="34"/>
        <v>0.64031894881793461</v>
      </c>
      <c r="V213" s="448"/>
      <c r="W213" s="448"/>
      <c r="X213" s="448"/>
      <c r="Y213" s="448"/>
      <c r="Z213" s="448"/>
      <c r="AA213" s="448"/>
      <c r="AB213" s="448"/>
      <c r="AC213" s="448"/>
      <c r="AD213" s="448"/>
      <c r="AF213" s="448"/>
      <c r="AG213" s="448"/>
      <c r="AH213" s="448"/>
      <c r="AI213" s="448"/>
      <c r="AJ213" s="448"/>
      <c r="AK213" s="448"/>
      <c r="AL213" s="448"/>
      <c r="AM213" s="448"/>
      <c r="AN213" s="448"/>
      <c r="AP213" s="448"/>
      <c r="AQ213" s="448"/>
      <c r="AR213" s="448"/>
      <c r="AS213" s="448"/>
      <c r="AT213" s="448"/>
      <c r="AU213" s="448"/>
      <c r="AV213" s="448"/>
      <c r="AW213" s="448"/>
      <c r="AX213" s="448"/>
    </row>
    <row r="214" spans="1:50" x14ac:dyDescent="0.4">
      <c r="A214" s="442" t="str">
        <f t="shared" si="35"/>
        <v>61943</v>
      </c>
      <c r="B214" s="442">
        <v>15858</v>
      </c>
      <c r="C214" s="455">
        <v>2.23E-2</v>
      </c>
      <c r="D214" s="438">
        <v>5.3800000000000001E-2</v>
      </c>
      <c r="E214" s="438">
        <v>2.0999999999999999E-3</v>
      </c>
      <c r="F214" s="438">
        <v>2.2666666666666668E-3</v>
      </c>
      <c r="G214" s="438">
        <v>2.3750000000000004E-3</v>
      </c>
      <c r="H214" s="438">
        <v>2.3208333333333336E-3</v>
      </c>
      <c r="I214" s="438">
        <v>2.4833333333333331E-3</v>
      </c>
      <c r="J214" s="438">
        <f t="shared" si="36"/>
        <v>2.0199999999999999E-2</v>
      </c>
      <c r="K214" s="438">
        <f t="shared" si="28"/>
        <v>1.9979166666666666E-2</v>
      </c>
      <c r="L214" s="438">
        <f t="shared" si="29"/>
        <v>5.131666666666667E-2</v>
      </c>
      <c r="M214" s="446">
        <f t="shared" si="37"/>
        <v>0.57627371056751509</v>
      </c>
      <c r="N214" s="446">
        <f t="shared" si="38"/>
        <v>2.52E-2</v>
      </c>
      <c r="O214" s="446">
        <f t="shared" si="30"/>
        <v>2.7850000000000003E-2</v>
      </c>
      <c r="P214" s="447">
        <f t="shared" si="39"/>
        <v>0.55107371056751508</v>
      </c>
      <c r="Q214" s="446">
        <f t="shared" si="31"/>
        <v>0.54842371056751504</v>
      </c>
      <c r="R214" s="446">
        <f t="shared" si="32"/>
        <v>0.75020593443804207</v>
      </c>
      <c r="S214" s="446">
        <f t="shared" si="33"/>
        <v>2.9799999999999997E-2</v>
      </c>
      <c r="T214" s="447">
        <f t="shared" si="34"/>
        <v>0.72040593443804202</v>
      </c>
      <c r="V214" s="448"/>
      <c r="W214" s="448"/>
      <c r="X214" s="448"/>
      <c r="Y214" s="448"/>
      <c r="Z214" s="448"/>
      <c r="AA214" s="448"/>
      <c r="AB214" s="448"/>
      <c r="AC214" s="448"/>
      <c r="AD214" s="448"/>
      <c r="AF214" s="448"/>
      <c r="AG214" s="448"/>
      <c r="AH214" s="448"/>
      <c r="AI214" s="448"/>
      <c r="AJ214" s="448"/>
      <c r="AK214" s="448"/>
      <c r="AL214" s="448"/>
      <c r="AM214" s="448"/>
      <c r="AN214" s="448"/>
      <c r="AP214" s="448"/>
      <c r="AQ214" s="448"/>
      <c r="AR214" s="448"/>
      <c r="AS214" s="448"/>
      <c r="AT214" s="448"/>
      <c r="AU214" s="448"/>
      <c r="AV214" s="448"/>
      <c r="AW214" s="448"/>
      <c r="AX214" s="448"/>
    </row>
    <row r="215" spans="1:50" x14ac:dyDescent="0.4">
      <c r="A215" s="442" t="str">
        <f t="shared" si="35"/>
        <v>71943</v>
      </c>
      <c r="B215" s="442">
        <v>15888</v>
      </c>
      <c r="C215" s="455">
        <v>-5.2600000000000001E-2</v>
      </c>
      <c r="D215" s="438">
        <v>3.8E-3</v>
      </c>
      <c r="E215" s="438">
        <v>2.0999999999999999E-3</v>
      </c>
      <c r="F215" s="438">
        <v>2.2416666666666665E-3</v>
      </c>
      <c r="G215" s="438">
        <v>2.3499999999999997E-3</v>
      </c>
      <c r="H215" s="438">
        <v>2.2958333333333329E-3</v>
      </c>
      <c r="I215" s="438">
        <v>2.4666666666666669E-3</v>
      </c>
      <c r="J215" s="438">
        <f t="shared" si="36"/>
        <v>-5.4699999999999999E-2</v>
      </c>
      <c r="K215" s="438">
        <f t="shared" si="28"/>
        <v>-5.4895833333333331E-2</v>
      </c>
      <c r="L215" s="438">
        <f t="shared" si="29"/>
        <v>1.3333333333333331E-3</v>
      </c>
      <c r="M215" s="446">
        <f t="shared" si="37"/>
        <v>0.44467612788203881</v>
      </c>
      <c r="N215" s="446">
        <f t="shared" si="38"/>
        <v>2.52E-2</v>
      </c>
      <c r="O215" s="446">
        <f t="shared" si="30"/>
        <v>2.7549999999999995E-2</v>
      </c>
      <c r="P215" s="447">
        <f t="shared" si="39"/>
        <v>0.41947612788203881</v>
      </c>
      <c r="Q215" s="446">
        <f t="shared" si="31"/>
        <v>0.41712612788203879</v>
      </c>
      <c r="R215" s="446">
        <f t="shared" si="32"/>
        <v>0.74985728783755734</v>
      </c>
      <c r="S215" s="446">
        <f t="shared" si="33"/>
        <v>2.9600000000000001E-2</v>
      </c>
      <c r="T215" s="447">
        <f t="shared" si="34"/>
        <v>0.72025728783755738</v>
      </c>
      <c r="V215" s="448"/>
      <c r="W215" s="448"/>
      <c r="X215" s="448"/>
      <c r="Y215" s="448"/>
      <c r="Z215" s="448"/>
      <c r="AA215" s="448"/>
      <c r="AB215" s="448"/>
      <c r="AC215" s="448"/>
      <c r="AD215" s="448"/>
      <c r="AF215" s="448"/>
      <c r="AG215" s="448"/>
      <c r="AH215" s="448"/>
      <c r="AI215" s="448"/>
      <c r="AJ215" s="448"/>
      <c r="AK215" s="448"/>
      <c r="AL215" s="448"/>
      <c r="AM215" s="448"/>
      <c r="AN215" s="448"/>
      <c r="AP215" s="448"/>
      <c r="AQ215" s="448"/>
      <c r="AR215" s="448"/>
      <c r="AS215" s="448"/>
      <c r="AT215" s="448"/>
      <c r="AU215" s="448"/>
      <c r="AV215" s="448"/>
      <c r="AW215" s="448"/>
      <c r="AX215" s="448"/>
    </row>
    <row r="216" spans="1:50" x14ac:dyDescent="0.4">
      <c r="A216" s="442" t="str">
        <f t="shared" si="35"/>
        <v>81943</v>
      </c>
      <c r="B216" s="442">
        <v>15919</v>
      </c>
      <c r="C216" s="455">
        <v>1.7100000000000001E-2</v>
      </c>
      <c r="D216" s="438">
        <v>1.0500000000000001E-2</v>
      </c>
      <c r="E216" s="438">
        <v>2.0999999999999999E-3</v>
      </c>
      <c r="F216" s="438">
        <v>2.2416666666666665E-3</v>
      </c>
      <c r="G216" s="438">
        <v>2.3416666666666668E-3</v>
      </c>
      <c r="H216" s="438">
        <v>2.2916666666666667E-3</v>
      </c>
      <c r="I216" s="438">
        <v>2.4666666666666669E-3</v>
      </c>
      <c r="J216" s="438">
        <f t="shared" si="36"/>
        <v>1.5000000000000001E-2</v>
      </c>
      <c r="K216" s="438">
        <f t="shared" si="28"/>
        <v>1.4808333333333333E-2</v>
      </c>
      <c r="L216" s="438">
        <f t="shared" si="29"/>
        <v>8.0333333333333333E-3</v>
      </c>
      <c r="M216" s="446">
        <f t="shared" si="37"/>
        <v>0.44567108389297716</v>
      </c>
      <c r="N216" s="446">
        <f t="shared" si="38"/>
        <v>2.52E-2</v>
      </c>
      <c r="O216" s="446">
        <f t="shared" si="30"/>
        <v>2.75E-2</v>
      </c>
      <c r="P216" s="447">
        <f t="shared" si="39"/>
        <v>0.42047108389297716</v>
      </c>
      <c r="Q216" s="446">
        <f t="shared" si="31"/>
        <v>0.41817108389297714</v>
      </c>
      <c r="R216" s="446">
        <f t="shared" si="32"/>
        <v>0.76364531154982207</v>
      </c>
      <c r="S216" s="446">
        <f t="shared" si="33"/>
        <v>2.9600000000000001E-2</v>
      </c>
      <c r="T216" s="447">
        <f t="shared" si="34"/>
        <v>0.73404531154982211</v>
      </c>
      <c r="V216" s="448"/>
      <c r="W216" s="448"/>
      <c r="X216" s="448"/>
      <c r="Y216" s="448"/>
      <c r="Z216" s="448"/>
      <c r="AA216" s="448"/>
      <c r="AB216" s="448"/>
      <c r="AC216" s="448"/>
      <c r="AD216" s="448"/>
      <c r="AF216" s="448"/>
      <c r="AG216" s="448"/>
      <c r="AH216" s="448"/>
      <c r="AI216" s="448"/>
      <c r="AJ216" s="448"/>
      <c r="AK216" s="448"/>
      <c r="AL216" s="448"/>
      <c r="AM216" s="448"/>
      <c r="AN216" s="448"/>
      <c r="AP216" s="448"/>
      <c r="AQ216" s="448"/>
      <c r="AR216" s="448"/>
      <c r="AS216" s="448"/>
      <c r="AT216" s="448"/>
      <c r="AU216" s="448"/>
      <c r="AV216" s="448"/>
      <c r="AW216" s="448"/>
      <c r="AX216" s="448"/>
    </row>
    <row r="217" spans="1:50" x14ac:dyDescent="0.4">
      <c r="A217" s="442" t="str">
        <f t="shared" si="35"/>
        <v>91943</v>
      </c>
      <c r="B217" s="442">
        <v>15950</v>
      </c>
      <c r="C217" s="455">
        <v>2.63E-2</v>
      </c>
      <c r="D217" s="438">
        <v>3.2300000000000002E-2</v>
      </c>
      <c r="E217" s="438">
        <v>2E-3</v>
      </c>
      <c r="F217" s="438">
        <v>2.2416666666666665E-3</v>
      </c>
      <c r="G217" s="438">
        <v>2.3499999999999997E-3</v>
      </c>
      <c r="H217" s="438">
        <v>2.2958333333333329E-3</v>
      </c>
      <c r="I217" s="438">
        <v>2.4666666666666669E-3</v>
      </c>
      <c r="J217" s="438">
        <f t="shared" si="36"/>
        <v>2.4300000000000002E-2</v>
      </c>
      <c r="K217" s="438">
        <f t="shared" si="28"/>
        <v>2.4004166666666667E-2</v>
      </c>
      <c r="L217" s="438">
        <f t="shared" si="29"/>
        <v>2.9833333333333337E-2</v>
      </c>
      <c r="M217" s="446">
        <f t="shared" si="37"/>
        <v>0.44187777784194604</v>
      </c>
      <c r="N217" s="446">
        <f t="shared" si="38"/>
        <v>2.4E-2</v>
      </c>
      <c r="O217" s="446">
        <f t="shared" si="30"/>
        <v>2.7549999999999995E-2</v>
      </c>
      <c r="P217" s="447">
        <f t="shared" si="39"/>
        <v>0.41787777784194602</v>
      </c>
      <c r="Q217" s="446">
        <f t="shared" si="31"/>
        <v>0.41432777784194602</v>
      </c>
      <c r="R217" s="446">
        <f t="shared" si="32"/>
        <v>0.73954811304498524</v>
      </c>
      <c r="S217" s="446">
        <f t="shared" si="33"/>
        <v>2.9600000000000001E-2</v>
      </c>
      <c r="T217" s="447">
        <f t="shared" si="34"/>
        <v>0.70994811304498529</v>
      </c>
      <c r="V217" s="448"/>
      <c r="W217" s="448"/>
      <c r="X217" s="448"/>
      <c r="Y217" s="448"/>
      <c r="Z217" s="448"/>
      <c r="AA217" s="448"/>
      <c r="AB217" s="448"/>
      <c r="AC217" s="448"/>
      <c r="AD217" s="448"/>
      <c r="AF217" s="448"/>
      <c r="AG217" s="448"/>
      <c r="AH217" s="448"/>
      <c r="AI217" s="448"/>
      <c r="AJ217" s="448"/>
      <c r="AK217" s="448"/>
      <c r="AL217" s="448"/>
      <c r="AM217" s="448"/>
      <c r="AN217" s="448"/>
      <c r="AP217" s="448"/>
      <c r="AQ217" s="448"/>
      <c r="AR217" s="448"/>
      <c r="AS217" s="448"/>
      <c r="AT217" s="448"/>
      <c r="AU217" s="448"/>
      <c r="AV217" s="448"/>
      <c r="AW217" s="448"/>
      <c r="AX217" s="448"/>
    </row>
    <row r="218" spans="1:50" x14ac:dyDescent="0.4">
      <c r="A218" s="442" t="str">
        <f t="shared" si="35"/>
        <v>101943</v>
      </c>
      <c r="B218" s="442">
        <v>15980</v>
      </c>
      <c r="C218" s="455">
        <v>-1.0800000000000001E-2</v>
      </c>
      <c r="D218" s="438">
        <v>8.199999999999999E-3</v>
      </c>
      <c r="E218" s="438">
        <v>2E-3</v>
      </c>
      <c r="F218" s="438">
        <v>2.2500000000000003E-3</v>
      </c>
      <c r="G218" s="438">
        <v>2.3583333333333334E-3</v>
      </c>
      <c r="H218" s="438">
        <v>2.3041666666666666E-3</v>
      </c>
      <c r="I218" s="438">
        <v>2.4750000000000002E-3</v>
      </c>
      <c r="J218" s="438">
        <f t="shared" si="36"/>
        <v>-1.2800000000000001E-2</v>
      </c>
      <c r="K218" s="438">
        <f t="shared" si="28"/>
        <v>-1.3104166666666667E-2</v>
      </c>
      <c r="L218" s="438">
        <f t="shared" si="29"/>
        <v>5.7249999999999992E-3</v>
      </c>
      <c r="M218" s="446">
        <f t="shared" si="37"/>
        <v>0.33574217816187768</v>
      </c>
      <c r="N218" s="446">
        <f t="shared" si="38"/>
        <v>2.4E-2</v>
      </c>
      <c r="O218" s="446">
        <f t="shared" si="30"/>
        <v>2.7650000000000001E-2</v>
      </c>
      <c r="P218" s="447">
        <f t="shared" si="39"/>
        <v>0.31174217816187766</v>
      </c>
      <c r="Q218" s="446">
        <f t="shared" si="31"/>
        <v>0.30809217816187767</v>
      </c>
      <c r="R218" s="446">
        <f t="shared" si="32"/>
        <v>0.54357719377922309</v>
      </c>
      <c r="S218" s="446">
        <f t="shared" si="33"/>
        <v>2.9700000000000004E-2</v>
      </c>
      <c r="T218" s="447">
        <f t="shared" si="34"/>
        <v>0.51387719377922303</v>
      </c>
      <c r="V218" s="448"/>
      <c r="W218" s="448"/>
      <c r="X218" s="448"/>
      <c r="Y218" s="448"/>
      <c r="Z218" s="448"/>
      <c r="AA218" s="448"/>
      <c r="AB218" s="448"/>
      <c r="AC218" s="448"/>
      <c r="AD218" s="448"/>
      <c r="AF218" s="448"/>
      <c r="AG218" s="448"/>
      <c r="AH218" s="448"/>
      <c r="AI218" s="448"/>
      <c r="AJ218" s="448"/>
      <c r="AK218" s="448"/>
      <c r="AL218" s="448"/>
      <c r="AM218" s="448"/>
      <c r="AN218" s="448"/>
      <c r="AP218" s="448"/>
      <c r="AQ218" s="448"/>
      <c r="AR218" s="448"/>
      <c r="AS218" s="448"/>
      <c r="AT218" s="448"/>
      <c r="AU218" s="448"/>
      <c r="AV218" s="448"/>
      <c r="AW218" s="448"/>
      <c r="AX218" s="448"/>
    </row>
    <row r="219" spans="1:50" x14ac:dyDescent="0.4">
      <c r="A219" s="442" t="str">
        <f t="shared" si="35"/>
        <v>111943</v>
      </c>
      <c r="B219" s="442">
        <v>16011</v>
      </c>
      <c r="C219" s="455">
        <v>-6.54E-2</v>
      </c>
      <c r="D219" s="438">
        <v>-7.7499999999999999E-2</v>
      </c>
      <c r="E219" s="438">
        <v>2.0999999999999999E-3</v>
      </c>
      <c r="F219" s="438">
        <v>2.2583333333333331E-3</v>
      </c>
      <c r="G219" s="438">
        <v>2.3666666666666667E-3</v>
      </c>
      <c r="H219" s="438">
        <v>2.3125000000000003E-3</v>
      </c>
      <c r="I219" s="438">
        <v>2.4833333333333331E-3</v>
      </c>
      <c r="J219" s="438">
        <f t="shared" si="36"/>
        <v>-6.7500000000000004E-2</v>
      </c>
      <c r="K219" s="438">
        <f t="shared" si="28"/>
        <v>-6.7712499999999995E-2</v>
      </c>
      <c r="L219" s="438">
        <f t="shared" si="29"/>
        <v>-7.9983333333333337E-2</v>
      </c>
      <c r="M219" s="446">
        <f t="shared" si="37"/>
        <v>0.25101176441536333</v>
      </c>
      <c r="N219" s="446">
        <f t="shared" si="38"/>
        <v>2.52E-2</v>
      </c>
      <c r="O219" s="446">
        <f t="shared" si="30"/>
        <v>2.7750000000000004E-2</v>
      </c>
      <c r="P219" s="447">
        <f t="shared" si="39"/>
        <v>0.22581176441536333</v>
      </c>
      <c r="Q219" s="446">
        <f t="shared" si="31"/>
        <v>0.22326176441536333</v>
      </c>
      <c r="R219" s="446">
        <f t="shared" si="32"/>
        <v>0.42608909490368907</v>
      </c>
      <c r="S219" s="446">
        <f t="shared" si="33"/>
        <v>2.9799999999999997E-2</v>
      </c>
      <c r="T219" s="447">
        <f t="shared" si="34"/>
        <v>0.39628909490368908</v>
      </c>
      <c r="V219" s="448"/>
      <c r="W219" s="448"/>
      <c r="X219" s="448"/>
      <c r="Y219" s="448"/>
      <c r="Z219" s="448"/>
      <c r="AA219" s="448"/>
      <c r="AB219" s="448"/>
      <c r="AC219" s="448"/>
      <c r="AD219" s="448"/>
      <c r="AF219" s="448"/>
      <c r="AG219" s="448"/>
      <c r="AH219" s="448"/>
      <c r="AI219" s="448"/>
      <c r="AJ219" s="448"/>
      <c r="AK219" s="448"/>
      <c r="AL219" s="448"/>
      <c r="AM219" s="448"/>
      <c r="AN219" s="448"/>
      <c r="AP219" s="448"/>
      <c r="AQ219" s="448"/>
      <c r="AR219" s="448"/>
      <c r="AS219" s="448"/>
      <c r="AT219" s="448"/>
      <c r="AU219" s="448"/>
      <c r="AV219" s="448"/>
      <c r="AW219" s="448"/>
      <c r="AX219" s="448"/>
    </row>
    <row r="220" spans="1:50" x14ac:dyDescent="0.4">
      <c r="A220" s="442" t="str">
        <f t="shared" si="35"/>
        <v>121943</v>
      </c>
      <c r="B220" s="442">
        <v>16041</v>
      </c>
      <c r="C220" s="455">
        <v>6.1699999999999998E-2</v>
      </c>
      <c r="D220" s="438">
        <v>5.779999999999999E-2</v>
      </c>
      <c r="E220" s="438">
        <v>2.0999999999999999E-3</v>
      </c>
      <c r="F220" s="438">
        <v>2.2833333333333334E-3</v>
      </c>
      <c r="G220" s="438">
        <v>2.3916666666666665E-3</v>
      </c>
      <c r="H220" s="438">
        <v>2.3375000000000002E-3</v>
      </c>
      <c r="I220" s="438">
        <v>2.4916666666666668E-3</v>
      </c>
      <c r="J220" s="438">
        <f t="shared" si="36"/>
        <v>5.96E-2</v>
      </c>
      <c r="K220" s="438">
        <f t="shared" si="28"/>
        <v>5.9362499999999999E-2</v>
      </c>
      <c r="L220" s="438">
        <f t="shared" si="29"/>
        <v>5.530833333333332E-2</v>
      </c>
      <c r="M220" s="446">
        <f t="shared" si="37"/>
        <v>0.25907592215356079</v>
      </c>
      <c r="N220" s="446">
        <f t="shared" si="38"/>
        <v>2.52E-2</v>
      </c>
      <c r="O220" s="446">
        <f t="shared" si="30"/>
        <v>2.8050000000000002E-2</v>
      </c>
      <c r="P220" s="447">
        <f t="shared" si="39"/>
        <v>0.23387592215356079</v>
      </c>
      <c r="Q220" s="446">
        <f t="shared" si="31"/>
        <v>0.2310259221535608</v>
      </c>
      <c r="R220" s="446">
        <f t="shared" si="32"/>
        <v>0.46060906718543992</v>
      </c>
      <c r="S220" s="446">
        <f t="shared" si="33"/>
        <v>2.9900000000000003E-2</v>
      </c>
      <c r="T220" s="447">
        <f t="shared" si="34"/>
        <v>0.43070906718543994</v>
      </c>
      <c r="V220" s="448"/>
      <c r="W220" s="448"/>
      <c r="X220" s="448"/>
      <c r="Y220" s="448"/>
      <c r="Z220" s="448"/>
      <c r="AA220" s="448"/>
      <c r="AB220" s="448"/>
      <c r="AC220" s="448"/>
      <c r="AD220" s="448"/>
      <c r="AF220" s="448"/>
      <c r="AG220" s="448"/>
      <c r="AH220" s="448"/>
      <c r="AI220" s="448"/>
      <c r="AJ220" s="448"/>
      <c r="AK220" s="448"/>
      <c r="AL220" s="448"/>
      <c r="AM220" s="448"/>
      <c r="AN220" s="448"/>
      <c r="AP220" s="448"/>
      <c r="AQ220" s="448"/>
      <c r="AR220" s="448"/>
      <c r="AS220" s="448"/>
      <c r="AT220" s="448"/>
      <c r="AU220" s="448"/>
      <c r="AV220" s="448"/>
      <c r="AW220" s="448"/>
      <c r="AX220" s="448"/>
    </row>
    <row r="221" spans="1:50" x14ac:dyDescent="0.4">
      <c r="A221" s="442" t="str">
        <f t="shared" si="35"/>
        <v>11944</v>
      </c>
      <c r="B221" s="442">
        <v>16072</v>
      </c>
      <c r="C221" s="455">
        <v>1.7100000000000001E-2</v>
      </c>
      <c r="D221" s="438">
        <v>1.0599999999999998E-2</v>
      </c>
      <c r="E221" s="438">
        <v>2.0999999999999999E-3</v>
      </c>
      <c r="F221" s="438">
        <v>2.2666666666666668E-3</v>
      </c>
      <c r="G221" s="438">
        <v>2.3583333333333334E-3</v>
      </c>
      <c r="H221" s="438">
        <v>2.3125000000000003E-3</v>
      </c>
      <c r="I221" s="438">
        <v>2.4916666666666668E-3</v>
      </c>
      <c r="J221" s="438">
        <f t="shared" si="36"/>
        <v>1.5000000000000001E-2</v>
      </c>
      <c r="K221" s="438">
        <f t="shared" ref="K221:K284" si="40">C221-H221</f>
        <v>1.47875E-2</v>
      </c>
      <c r="L221" s="438">
        <f t="shared" ref="L221:L284" si="41">$D221-I221</f>
        <v>8.108333333333332E-3</v>
      </c>
      <c r="M221" s="446">
        <f t="shared" si="37"/>
        <v>0.1927038469054545</v>
      </c>
      <c r="N221" s="446">
        <f t="shared" si="38"/>
        <v>2.52E-2</v>
      </c>
      <c r="O221" s="446">
        <f t="shared" si="30"/>
        <v>2.7750000000000004E-2</v>
      </c>
      <c r="P221" s="447">
        <f t="shared" si="39"/>
        <v>0.1675038469054545</v>
      </c>
      <c r="Q221" s="446">
        <f t="shared" si="31"/>
        <v>0.1649538469054545</v>
      </c>
      <c r="R221" s="446">
        <f t="shared" si="32"/>
        <v>0.31594144895926357</v>
      </c>
      <c r="S221" s="446">
        <f t="shared" si="33"/>
        <v>2.9900000000000003E-2</v>
      </c>
      <c r="T221" s="447">
        <f t="shared" si="34"/>
        <v>0.28604144895926359</v>
      </c>
      <c r="V221" s="448"/>
      <c r="W221" s="448"/>
      <c r="X221" s="448"/>
      <c r="Y221" s="448"/>
      <c r="Z221" s="448"/>
      <c r="AA221" s="448"/>
      <c r="AB221" s="448"/>
      <c r="AC221" s="448"/>
      <c r="AD221" s="448"/>
      <c r="AF221" s="448"/>
      <c r="AG221" s="448"/>
      <c r="AH221" s="448"/>
      <c r="AI221" s="448"/>
      <c r="AJ221" s="448"/>
      <c r="AK221" s="448"/>
      <c r="AL221" s="448"/>
      <c r="AM221" s="448"/>
      <c r="AN221" s="448"/>
      <c r="AP221" s="448"/>
      <c r="AQ221" s="448"/>
      <c r="AR221" s="448"/>
      <c r="AS221" s="448"/>
      <c r="AT221" s="448"/>
      <c r="AU221" s="448"/>
      <c r="AV221" s="448"/>
      <c r="AW221" s="448"/>
      <c r="AX221" s="448"/>
    </row>
    <row r="222" spans="1:50" x14ac:dyDescent="0.4">
      <c r="A222" s="442" t="str">
        <f t="shared" si="35"/>
        <v>21944</v>
      </c>
      <c r="B222" s="442">
        <v>16103</v>
      </c>
      <c r="C222" s="455">
        <v>4.1999999999999997E-3</v>
      </c>
      <c r="D222" s="438">
        <v>1.7899999999999999E-2</v>
      </c>
      <c r="E222" s="438">
        <v>2E-3</v>
      </c>
      <c r="F222" s="438">
        <v>2.2833333333333334E-3</v>
      </c>
      <c r="G222" s="438">
        <v>2.3583333333333334E-3</v>
      </c>
      <c r="H222" s="438">
        <v>2.3208333333333336E-3</v>
      </c>
      <c r="I222" s="438">
        <v>2.4916666666666668E-3</v>
      </c>
      <c r="J222" s="438">
        <f t="shared" si="36"/>
        <v>2.1999999999999997E-3</v>
      </c>
      <c r="K222" s="438">
        <f t="shared" si="40"/>
        <v>1.8791666666666661E-3</v>
      </c>
      <c r="L222" s="438">
        <f t="shared" si="41"/>
        <v>1.5408333333333333E-2</v>
      </c>
      <c r="M222" s="446">
        <f t="shared" si="37"/>
        <v>0.13173315984357692</v>
      </c>
      <c r="N222" s="446">
        <f t="shared" si="38"/>
        <v>2.4E-2</v>
      </c>
      <c r="O222" s="446">
        <f t="shared" si="30"/>
        <v>2.7850000000000003E-2</v>
      </c>
      <c r="P222" s="447">
        <f t="shared" si="39"/>
        <v>0.10773315984357693</v>
      </c>
      <c r="Q222" s="446">
        <f t="shared" si="31"/>
        <v>0.10388315984357692</v>
      </c>
      <c r="R222" s="446">
        <f t="shared" si="32"/>
        <v>0.24964716941471599</v>
      </c>
      <c r="S222" s="446">
        <f t="shared" si="33"/>
        <v>2.9900000000000003E-2</v>
      </c>
      <c r="T222" s="447">
        <f t="shared" si="34"/>
        <v>0.21974716941471598</v>
      </c>
      <c r="V222" s="448"/>
      <c r="W222" s="448"/>
      <c r="X222" s="448"/>
      <c r="Y222" s="448"/>
      <c r="Z222" s="448"/>
      <c r="AA222" s="448"/>
      <c r="AB222" s="448"/>
      <c r="AC222" s="448"/>
      <c r="AD222" s="448"/>
      <c r="AF222" s="448"/>
      <c r="AG222" s="448"/>
      <c r="AH222" s="448"/>
      <c r="AI222" s="448"/>
      <c r="AJ222" s="448"/>
      <c r="AK222" s="448"/>
      <c r="AL222" s="448"/>
      <c r="AM222" s="448"/>
      <c r="AN222" s="448"/>
      <c r="AP222" s="448"/>
      <c r="AQ222" s="448"/>
      <c r="AR222" s="448"/>
      <c r="AS222" s="448"/>
      <c r="AT222" s="448"/>
      <c r="AU222" s="448"/>
      <c r="AV222" s="448"/>
      <c r="AW222" s="448"/>
      <c r="AX222" s="448"/>
    </row>
    <row r="223" spans="1:50" x14ac:dyDescent="0.4">
      <c r="A223" s="442" t="str">
        <f t="shared" si="35"/>
        <v>31944</v>
      </c>
      <c r="B223" s="442">
        <v>16132</v>
      </c>
      <c r="C223" s="455">
        <v>1.95E-2</v>
      </c>
      <c r="D223" s="438">
        <v>1.04E-2</v>
      </c>
      <c r="E223" s="438">
        <v>2.0999999999999999E-3</v>
      </c>
      <c r="F223" s="438">
        <v>2.2833333333333334E-3</v>
      </c>
      <c r="G223" s="438">
        <v>2.3499999999999997E-3</v>
      </c>
      <c r="H223" s="438">
        <v>2.316666666666667E-3</v>
      </c>
      <c r="I223" s="438">
        <v>2.4750000000000002E-3</v>
      </c>
      <c r="J223" s="438">
        <f t="shared" si="36"/>
        <v>1.7399999999999999E-2</v>
      </c>
      <c r="K223" s="438">
        <f t="shared" si="40"/>
        <v>1.7183333333333332E-2</v>
      </c>
      <c r="L223" s="438">
        <f t="shared" si="41"/>
        <v>7.9249999999999998E-3</v>
      </c>
      <c r="M223" s="446">
        <f t="shared" si="37"/>
        <v>9.4169707406853265E-2</v>
      </c>
      <c r="N223" s="446">
        <f t="shared" si="38"/>
        <v>2.52E-2</v>
      </c>
      <c r="O223" s="446">
        <f t="shared" si="30"/>
        <v>2.7800000000000005E-2</v>
      </c>
      <c r="P223" s="447">
        <f t="shared" si="39"/>
        <v>6.8969707406853265E-2</v>
      </c>
      <c r="Q223" s="446">
        <f t="shared" si="31"/>
        <v>6.6369707406853259E-2</v>
      </c>
      <c r="R223" s="446">
        <f t="shared" si="32"/>
        <v>0.2126810410839699</v>
      </c>
      <c r="S223" s="446">
        <f t="shared" si="33"/>
        <v>2.9700000000000004E-2</v>
      </c>
      <c r="T223" s="447">
        <f t="shared" si="34"/>
        <v>0.1829810410839699</v>
      </c>
      <c r="V223" s="448"/>
      <c r="W223" s="448"/>
      <c r="X223" s="448"/>
      <c r="Y223" s="448"/>
      <c r="Z223" s="448"/>
      <c r="AA223" s="448"/>
      <c r="AB223" s="448"/>
      <c r="AC223" s="448"/>
      <c r="AD223" s="448"/>
      <c r="AF223" s="448"/>
      <c r="AG223" s="448"/>
      <c r="AH223" s="448"/>
      <c r="AI223" s="448"/>
      <c r="AJ223" s="448"/>
      <c r="AK223" s="448"/>
      <c r="AL223" s="448"/>
      <c r="AM223" s="448"/>
      <c r="AN223" s="448"/>
      <c r="AP223" s="448"/>
      <c r="AQ223" s="448"/>
      <c r="AR223" s="448"/>
      <c r="AS223" s="448"/>
      <c r="AT223" s="448"/>
      <c r="AU223" s="448"/>
      <c r="AV223" s="448"/>
      <c r="AW223" s="448"/>
      <c r="AX223" s="448"/>
    </row>
    <row r="224" spans="1:50" x14ac:dyDescent="0.4">
      <c r="A224" s="442" t="str">
        <f t="shared" si="35"/>
        <v>41944</v>
      </c>
      <c r="B224" s="442">
        <v>16163</v>
      </c>
      <c r="C224" s="455">
        <v>-0.01</v>
      </c>
      <c r="D224" s="438">
        <v>-9.1000000000000004E-3</v>
      </c>
      <c r="E224" s="438">
        <v>2E-3</v>
      </c>
      <c r="F224" s="438">
        <v>2.2833333333333334E-3</v>
      </c>
      <c r="G224" s="438">
        <v>2.3499999999999997E-3</v>
      </c>
      <c r="H224" s="438">
        <v>2.316666666666667E-3</v>
      </c>
      <c r="I224" s="438">
        <v>2.4916666666666668E-3</v>
      </c>
      <c r="J224" s="438">
        <f t="shared" si="36"/>
        <v>-1.2E-2</v>
      </c>
      <c r="K224" s="438">
        <f t="shared" si="40"/>
        <v>-1.2316666666666667E-2</v>
      </c>
      <c r="L224" s="438">
        <f t="shared" si="41"/>
        <v>-1.1591666666666667E-2</v>
      </c>
      <c r="M224" s="446">
        <f t="shared" si="37"/>
        <v>7.944993555833002E-2</v>
      </c>
      <c r="N224" s="446">
        <f t="shared" si="38"/>
        <v>2.4E-2</v>
      </c>
      <c r="O224" s="446">
        <f t="shared" si="30"/>
        <v>2.7800000000000005E-2</v>
      </c>
      <c r="P224" s="447">
        <f t="shared" si="39"/>
        <v>5.544993555833002E-2</v>
      </c>
      <c r="Q224" s="446">
        <f t="shared" si="31"/>
        <v>5.1649935558330015E-2</v>
      </c>
      <c r="R224" s="446">
        <f t="shared" si="32"/>
        <v>0.15687459671715165</v>
      </c>
      <c r="S224" s="446">
        <f t="shared" si="33"/>
        <v>2.9900000000000003E-2</v>
      </c>
      <c r="T224" s="447">
        <f t="shared" si="34"/>
        <v>0.12697459671715164</v>
      </c>
      <c r="V224" s="448"/>
      <c r="W224" s="448"/>
      <c r="X224" s="448"/>
      <c r="Y224" s="448"/>
      <c r="Z224" s="448"/>
      <c r="AA224" s="448"/>
      <c r="AB224" s="448"/>
      <c r="AC224" s="448"/>
      <c r="AD224" s="448"/>
      <c r="AF224" s="448"/>
      <c r="AG224" s="448"/>
      <c r="AH224" s="448"/>
      <c r="AI224" s="448"/>
      <c r="AJ224" s="448"/>
      <c r="AK224" s="448"/>
      <c r="AL224" s="448"/>
      <c r="AM224" s="448"/>
      <c r="AN224" s="448"/>
      <c r="AP224" s="448"/>
      <c r="AQ224" s="448"/>
      <c r="AR224" s="448"/>
      <c r="AS224" s="448"/>
      <c r="AT224" s="448"/>
      <c r="AU224" s="448"/>
      <c r="AV224" s="448"/>
      <c r="AW224" s="448"/>
      <c r="AX224" s="448"/>
    </row>
    <row r="225" spans="1:50" x14ac:dyDescent="0.4">
      <c r="A225" s="442" t="str">
        <f t="shared" si="35"/>
        <v>51944</v>
      </c>
      <c r="B225" s="442">
        <v>16193</v>
      </c>
      <c r="C225" s="455">
        <v>5.0500000000000003E-2</v>
      </c>
      <c r="D225" s="438">
        <v>3.0099999999999998E-2</v>
      </c>
      <c r="E225" s="438">
        <v>2.2000000000000001E-3</v>
      </c>
      <c r="F225" s="438">
        <v>2.2750000000000001E-3</v>
      </c>
      <c r="G225" s="438">
        <v>2.3416666666666668E-3</v>
      </c>
      <c r="H225" s="438">
        <v>2.3083333333333332E-3</v>
      </c>
      <c r="I225" s="438">
        <v>2.4916666666666668E-3</v>
      </c>
      <c r="J225" s="438">
        <f t="shared" si="36"/>
        <v>4.8300000000000003E-2</v>
      </c>
      <c r="K225" s="438">
        <f t="shared" si="40"/>
        <v>4.8191666666666667E-2</v>
      </c>
      <c r="L225" s="438">
        <f t="shared" si="41"/>
        <v>2.7608333333333332E-2</v>
      </c>
      <c r="M225" s="446">
        <f t="shared" si="37"/>
        <v>7.4641923146347544E-2</v>
      </c>
      <c r="N225" s="446">
        <f t="shared" si="38"/>
        <v>2.64E-2</v>
      </c>
      <c r="O225" s="446">
        <f t="shared" si="30"/>
        <v>2.7699999999999999E-2</v>
      </c>
      <c r="P225" s="447">
        <f t="shared" si="39"/>
        <v>4.8241923146347544E-2</v>
      </c>
      <c r="Q225" s="446">
        <f t="shared" si="31"/>
        <v>4.6941923146347542E-2</v>
      </c>
      <c r="R225" s="446">
        <f t="shared" si="32"/>
        <v>0.15173144107310144</v>
      </c>
      <c r="S225" s="446">
        <f t="shared" si="33"/>
        <v>2.9900000000000003E-2</v>
      </c>
      <c r="T225" s="447">
        <f t="shared" si="34"/>
        <v>0.12183144107310143</v>
      </c>
      <c r="V225" s="448"/>
      <c r="W225" s="448"/>
      <c r="X225" s="448"/>
      <c r="Y225" s="448"/>
      <c r="Z225" s="448"/>
      <c r="AA225" s="448"/>
      <c r="AB225" s="448"/>
      <c r="AC225" s="448"/>
      <c r="AD225" s="448"/>
      <c r="AF225" s="448"/>
      <c r="AG225" s="448"/>
      <c r="AH225" s="448"/>
      <c r="AI225" s="448"/>
      <c r="AJ225" s="448"/>
      <c r="AK225" s="448"/>
      <c r="AL225" s="448"/>
      <c r="AM225" s="448"/>
      <c r="AN225" s="448"/>
      <c r="AP225" s="448"/>
      <c r="AQ225" s="448"/>
      <c r="AR225" s="448"/>
      <c r="AS225" s="448"/>
      <c r="AT225" s="448"/>
      <c r="AU225" s="448"/>
      <c r="AV225" s="448"/>
      <c r="AW225" s="448"/>
      <c r="AX225" s="448"/>
    </row>
    <row r="226" spans="1:50" x14ac:dyDescent="0.4">
      <c r="A226" s="442" t="str">
        <f t="shared" si="35"/>
        <v>61944</v>
      </c>
      <c r="B226" s="442">
        <v>16224</v>
      </c>
      <c r="C226" s="455">
        <v>5.4300000000000001E-2</v>
      </c>
      <c r="D226" s="438">
        <v>5.2600000000000001E-2</v>
      </c>
      <c r="E226" s="438">
        <v>2E-3</v>
      </c>
      <c r="F226" s="438">
        <v>2.2750000000000001E-3</v>
      </c>
      <c r="G226" s="438">
        <v>2.3416666666666668E-3</v>
      </c>
      <c r="H226" s="438">
        <v>2.3083333333333332E-3</v>
      </c>
      <c r="I226" s="438">
        <v>2.4916666666666668E-3</v>
      </c>
      <c r="J226" s="438">
        <f t="shared" si="36"/>
        <v>5.2299999999999999E-2</v>
      </c>
      <c r="K226" s="438">
        <f t="shared" si="40"/>
        <v>5.1991666666666665E-2</v>
      </c>
      <c r="L226" s="438">
        <f t="shared" si="41"/>
        <v>5.0108333333333331E-2</v>
      </c>
      <c r="M226" s="446">
        <f t="shared" si="37"/>
        <v>0.10828032825314926</v>
      </c>
      <c r="N226" s="446">
        <f t="shared" si="38"/>
        <v>2.4E-2</v>
      </c>
      <c r="O226" s="446">
        <f t="shared" si="30"/>
        <v>2.7699999999999999E-2</v>
      </c>
      <c r="P226" s="447">
        <f t="shared" si="39"/>
        <v>8.4280328253149267E-2</v>
      </c>
      <c r="Q226" s="446">
        <f t="shared" si="31"/>
        <v>8.0580328253149258E-2</v>
      </c>
      <c r="R226" s="446">
        <f t="shared" si="32"/>
        <v>0.15041992301532203</v>
      </c>
      <c r="S226" s="446">
        <f t="shared" si="33"/>
        <v>2.9900000000000003E-2</v>
      </c>
      <c r="T226" s="447">
        <f t="shared" si="34"/>
        <v>0.12051992301532202</v>
      </c>
      <c r="V226" s="448"/>
      <c r="W226" s="448"/>
      <c r="X226" s="448"/>
      <c r="Y226" s="448"/>
      <c r="Z226" s="448"/>
      <c r="AA226" s="448"/>
      <c r="AB226" s="448"/>
      <c r="AC226" s="448"/>
      <c r="AD226" s="448"/>
      <c r="AF226" s="448"/>
      <c r="AG226" s="448"/>
      <c r="AH226" s="448"/>
      <c r="AI226" s="448"/>
      <c r="AJ226" s="448"/>
      <c r="AK226" s="448"/>
      <c r="AL226" s="448"/>
      <c r="AM226" s="448"/>
      <c r="AN226" s="448"/>
      <c r="AP226" s="448"/>
      <c r="AQ226" s="448"/>
      <c r="AR226" s="448"/>
      <c r="AS226" s="448"/>
      <c r="AT226" s="448"/>
      <c r="AU226" s="448"/>
      <c r="AV226" s="448"/>
      <c r="AW226" s="448"/>
      <c r="AX226" s="448"/>
    </row>
    <row r="227" spans="1:50" x14ac:dyDescent="0.4">
      <c r="A227" s="442" t="str">
        <f t="shared" si="35"/>
        <v>71944</v>
      </c>
      <c r="B227" s="442">
        <v>16254</v>
      </c>
      <c r="C227" s="455">
        <v>-1.9300000000000001E-2</v>
      </c>
      <c r="D227" s="438">
        <v>2.9000000000000002E-3</v>
      </c>
      <c r="E227" s="438">
        <v>2.0999999999999999E-3</v>
      </c>
      <c r="F227" s="438">
        <v>2.2666666666666668E-3</v>
      </c>
      <c r="G227" s="438">
        <v>2.3333333333333331E-3</v>
      </c>
      <c r="H227" s="438">
        <v>2.3E-3</v>
      </c>
      <c r="I227" s="438">
        <v>2.4666666666666669E-3</v>
      </c>
      <c r="J227" s="438">
        <f t="shared" si="36"/>
        <v>-2.1400000000000002E-2</v>
      </c>
      <c r="K227" s="438">
        <f t="shared" si="40"/>
        <v>-2.1600000000000001E-2</v>
      </c>
      <c r="L227" s="438">
        <f t="shared" si="41"/>
        <v>4.3333333333333331E-4</v>
      </c>
      <c r="M227" s="446">
        <f t="shared" si="37"/>
        <v>0.14723508329941248</v>
      </c>
      <c r="N227" s="446">
        <f t="shared" si="38"/>
        <v>2.52E-2</v>
      </c>
      <c r="O227" s="446">
        <f t="shared" si="30"/>
        <v>2.76E-2</v>
      </c>
      <c r="P227" s="447">
        <f t="shared" si="39"/>
        <v>0.12203508329941248</v>
      </c>
      <c r="Q227" s="446">
        <f t="shared" si="31"/>
        <v>0.11963508329941248</v>
      </c>
      <c r="R227" s="446">
        <f t="shared" si="32"/>
        <v>0.14938846462648581</v>
      </c>
      <c r="S227" s="446">
        <f t="shared" si="33"/>
        <v>2.9600000000000001E-2</v>
      </c>
      <c r="T227" s="447">
        <f t="shared" si="34"/>
        <v>0.1197884646264858</v>
      </c>
      <c r="V227" s="448"/>
      <c r="W227" s="448"/>
      <c r="X227" s="448"/>
      <c r="Y227" s="448"/>
      <c r="Z227" s="448"/>
      <c r="AA227" s="448"/>
      <c r="AB227" s="448"/>
      <c r="AC227" s="448"/>
      <c r="AD227" s="448"/>
      <c r="AF227" s="448"/>
      <c r="AG227" s="448"/>
      <c r="AH227" s="448"/>
      <c r="AI227" s="448"/>
      <c r="AJ227" s="448"/>
      <c r="AK227" s="448"/>
      <c r="AL227" s="448"/>
      <c r="AM227" s="448"/>
      <c r="AN227" s="448"/>
      <c r="AP227" s="448"/>
      <c r="AQ227" s="448"/>
      <c r="AR227" s="448"/>
      <c r="AS227" s="448"/>
      <c r="AT227" s="448"/>
      <c r="AU227" s="448"/>
      <c r="AV227" s="448"/>
      <c r="AW227" s="448"/>
      <c r="AX227" s="448"/>
    </row>
    <row r="228" spans="1:50" x14ac:dyDescent="0.4">
      <c r="A228" s="442" t="str">
        <f t="shared" si="35"/>
        <v>81944</v>
      </c>
      <c r="B228" s="442">
        <v>16285</v>
      </c>
      <c r="C228" s="455">
        <v>1.5699999999999999E-2</v>
      </c>
      <c r="D228" s="438">
        <v>3.5700000000000003E-2</v>
      </c>
      <c r="E228" s="438">
        <v>2.0999999999999999E-3</v>
      </c>
      <c r="F228" s="438">
        <v>2.2583333333333331E-3</v>
      </c>
      <c r="G228" s="438">
        <v>2.3250000000000002E-3</v>
      </c>
      <c r="H228" s="438">
        <v>2.2916666666666667E-3</v>
      </c>
      <c r="I228" s="438">
        <v>2.4499999999999999E-3</v>
      </c>
      <c r="J228" s="438">
        <f t="shared" si="36"/>
        <v>1.3599999999999999E-2</v>
      </c>
      <c r="K228" s="438">
        <f t="shared" si="40"/>
        <v>1.3408333333333331E-2</v>
      </c>
      <c r="L228" s="438">
        <f t="shared" si="41"/>
        <v>3.3250000000000002E-2</v>
      </c>
      <c r="M228" s="446">
        <f t="shared" si="37"/>
        <v>0.14565595723843594</v>
      </c>
      <c r="N228" s="446">
        <f t="shared" si="38"/>
        <v>2.52E-2</v>
      </c>
      <c r="O228" s="446">
        <f t="shared" si="30"/>
        <v>2.75E-2</v>
      </c>
      <c r="P228" s="447">
        <f t="shared" si="39"/>
        <v>0.12045595723843594</v>
      </c>
      <c r="Q228" s="446">
        <f t="shared" si="31"/>
        <v>0.11815595723843594</v>
      </c>
      <c r="R228" s="446">
        <f t="shared" si="32"/>
        <v>0.17805208591157973</v>
      </c>
      <c r="S228" s="446">
        <f t="shared" si="33"/>
        <v>2.9399999999999999E-2</v>
      </c>
      <c r="T228" s="447">
        <f t="shared" si="34"/>
        <v>0.14865208591157972</v>
      </c>
      <c r="V228" s="448"/>
      <c r="W228" s="448"/>
      <c r="X228" s="448"/>
      <c r="Y228" s="448"/>
      <c r="Z228" s="448"/>
      <c r="AA228" s="448"/>
      <c r="AB228" s="448"/>
      <c r="AC228" s="448"/>
      <c r="AD228" s="448"/>
      <c r="AF228" s="448"/>
      <c r="AG228" s="448"/>
      <c r="AH228" s="448"/>
      <c r="AI228" s="448"/>
      <c r="AJ228" s="448"/>
      <c r="AK228" s="448"/>
      <c r="AL228" s="448"/>
      <c r="AM228" s="448"/>
      <c r="AN228" s="448"/>
      <c r="AP228" s="448"/>
      <c r="AQ228" s="448"/>
      <c r="AR228" s="448"/>
      <c r="AS228" s="448"/>
      <c r="AT228" s="448"/>
      <c r="AU228" s="448"/>
      <c r="AV228" s="448"/>
      <c r="AW228" s="448"/>
      <c r="AX228" s="448"/>
    </row>
    <row r="229" spans="1:50" x14ac:dyDescent="0.4">
      <c r="A229" s="442" t="str">
        <f t="shared" si="35"/>
        <v>91944</v>
      </c>
      <c r="B229" s="442">
        <v>16316</v>
      </c>
      <c r="C229" s="455">
        <v>-8.0000000000000004E-4</v>
      </c>
      <c r="D229" s="438">
        <v>-1.5000000000000003E-2</v>
      </c>
      <c r="E229" s="438">
        <v>2E-3</v>
      </c>
      <c r="F229" s="438">
        <v>2.2666666666666668E-3</v>
      </c>
      <c r="G229" s="438">
        <v>2.3250000000000002E-3</v>
      </c>
      <c r="H229" s="438">
        <v>2.2958333333333338E-3</v>
      </c>
      <c r="I229" s="438">
        <v>2.4416666666666666E-3</v>
      </c>
      <c r="J229" s="438">
        <f t="shared" si="36"/>
        <v>-2.8E-3</v>
      </c>
      <c r="K229" s="438">
        <f t="shared" si="40"/>
        <v>-3.0958333333333337E-3</v>
      </c>
      <c r="L229" s="438">
        <f t="shared" si="41"/>
        <v>-1.7441666666666668E-2</v>
      </c>
      <c r="M229" s="446">
        <f t="shared" si="37"/>
        <v>0.11540429939846564</v>
      </c>
      <c r="N229" s="446">
        <f t="shared" si="38"/>
        <v>2.4E-2</v>
      </c>
      <c r="O229" s="446">
        <f t="shared" si="30"/>
        <v>2.7550000000000005E-2</v>
      </c>
      <c r="P229" s="447">
        <f t="shared" si="39"/>
        <v>9.1404299398465644E-2</v>
      </c>
      <c r="Q229" s="446">
        <f t="shared" si="31"/>
        <v>8.7854299398465632E-2</v>
      </c>
      <c r="R229" s="446">
        <f t="shared" si="32"/>
        <v>0.12407372335842859</v>
      </c>
      <c r="S229" s="446">
        <f t="shared" si="33"/>
        <v>2.93E-2</v>
      </c>
      <c r="T229" s="447">
        <f t="shared" si="34"/>
        <v>9.4773723358428597E-2</v>
      </c>
      <c r="V229" s="448"/>
      <c r="W229" s="448"/>
      <c r="X229" s="448"/>
      <c r="Y229" s="448"/>
      <c r="Z229" s="448"/>
      <c r="AA229" s="448"/>
      <c r="AB229" s="448"/>
      <c r="AC229" s="448"/>
      <c r="AD229" s="448"/>
      <c r="AF229" s="448"/>
      <c r="AG229" s="448"/>
      <c r="AH229" s="448"/>
      <c r="AI229" s="448"/>
      <c r="AJ229" s="448"/>
      <c r="AK229" s="448"/>
      <c r="AL229" s="448"/>
      <c r="AM229" s="448"/>
      <c r="AN229" s="448"/>
      <c r="AP229" s="448"/>
      <c r="AQ229" s="448"/>
      <c r="AR229" s="448"/>
      <c r="AS229" s="448"/>
      <c r="AT229" s="448"/>
      <c r="AU229" s="448"/>
      <c r="AV229" s="448"/>
      <c r="AW229" s="448"/>
      <c r="AX229" s="448"/>
    </row>
    <row r="230" spans="1:50" x14ac:dyDescent="0.4">
      <c r="A230" s="442" t="str">
        <f t="shared" si="35"/>
        <v>101944</v>
      </c>
      <c r="B230" s="442">
        <v>16346</v>
      </c>
      <c r="C230" s="455">
        <v>2.3E-3</v>
      </c>
      <c r="D230" s="438">
        <v>1.3899999999999999E-2</v>
      </c>
      <c r="E230" s="438">
        <v>2.0999999999999999E-3</v>
      </c>
      <c r="F230" s="438">
        <v>2.2666666666666668E-3</v>
      </c>
      <c r="G230" s="438">
        <v>2.3416666666666668E-3</v>
      </c>
      <c r="H230" s="438">
        <v>2.3041666666666666E-3</v>
      </c>
      <c r="I230" s="438">
        <v>2.4499999999999999E-3</v>
      </c>
      <c r="J230" s="438">
        <f t="shared" si="36"/>
        <v>2.0000000000000009E-4</v>
      </c>
      <c r="K230" s="438">
        <f t="shared" si="40"/>
        <v>-4.1666666666666415E-6</v>
      </c>
      <c r="L230" s="438">
        <f t="shared" si="41"/>
        <v>1.1449999999999998E-2</v>
      </c>
      <c r="M230" s="446">
        <f t="shared" si="37"/>
        <v>0.13017562604840505</v>
      </c>
      <c r="N230" s="446">
        <f t="shared" si="38"/>
        <v>2.52E-2</v>
      </c>
      <c r="O230" s="446">
        <f t="shared" si="30"/>
        <v>2.7650000000000001E-2</v>
      </c>
      <c r="P230" s="447">
        <f t="shared" si="39"/>
        <v>0.10497562604840505</v>
      </c>
      <c r="Q230" s="446">
        <f t="shared" si="31"/>
        <v>0.10252562604840504</v>
      </c>
      <c r="R230" s="446">
        <f t="shared" si="32"/>
        <v>0.1304288316932265</v>
      </c>
      <c r="S230" s="446">
        <f t="shared" si="33"/>
        <v>2.9399999999999999E-2</v>
      </c>
      <c r="T230" s="447">
        <f t="shared" si="34"/>
        <v>0.1010288316932265</v>
      </c>
      <c r="V230" s="448"/>
      <c r="W230" s="448"/>
      <c r="X230" s="448"/>
      <c r="Y230" s="448"/>
      <c r="Z230" s="448"/>
      <c r="AA230" s="448"/>
      <c r="AB230" s="448"/>
      <c r="AC230" s="448"/>
      <c r="AD230" s="448"/>
      <c r="AF230" s="448"/>
      <c r="AG230" s="448"/>
      <c r="AH230" s="448"/>
      <c r="AI230" s="448"/>
      <c r="AJ230" s="448"/>
      <c r="AK230" s="448"/>
      <c r="AL230" s="448"/>
      <c r="AM230" s="448"/>
      <c r="AN230" s="448"/>
      <c r="AP230" s="448"/>
      <c r="AQ230" s="448"/>
      <c r="AR230" s="448"/>
      <c r="AS230" s="448"/>
      <c r="AT230" s="448"/>
      <c r="AU230" s="448"/>
      <c r="AV230" s="448"/>
      <c r="AW230" s="448"/>
      <c r="AX230" s="448"/>
    </row>
    <row r="231" spans="1:50" x14ac:dyDescent="0.4">
      <c r="A231" s="442" t="str">
        <f t="shared" si="35"/>
        <v>111944</v>
      </c>
      <c r="B231" s="442">
        <v>16377</v>
      </c>
      <c r="C231" s="455">
        <v>1.3299999999999999E-2</v>
      </c>
      <c r="D231" s="438">
        <v>-1.3000000000000001E-2</v>
      </c>
      <c r="E231" s="438">
        <v>2E-3</v>
      </c>
      <c r="F231" s="438">
        <v>2.2666666666666668E-3</v>
      </c>
      <c r="G231" s="438">
        <v>2.3333333333333331E-3</v>
      </c>
      <c r="H231" s="438">
        <v>2.3E-3</v>
      </c>
      <c r="I231" s="438">
        <v>2.4666666666666669E-3</v>
      </c>
      <c r="J231" s="438">
        <f t="shared" si="36"/>
        <v>1.1299999999999999E-2</v>
      </c>
      <c r="K231" s="438">
        <f t="shared" si="40"/>
        <v>1.0999999999999999E-2</v>
      </c>
      <c r="L231" s="438">
        <f t="shared" si="41"/>
        <v>-1.5466666666666668E-2</v>
      </c>
      <c r="M231" s="446">
        <f t="shared" si="37"/>
        <v>0.22534449162727266</v>
      </c>
      <c r="N231" s="446">
        <f t="shared" si="38"/>
        <v>2.4E-2</v>
      </c>
      <c r="O231" s="446">
        <f t="shared" si="30"/>
        <v>2.76E-2</v>
      </c>
      <c r="P231" s="447">
        <f t="shared" si="39"/>
        <v>0.20134449162727266</v>
      </c>
      <c r="Q231" s="446">
        <f t="shared" si="31"/>
        <v>0.19774449162727264</v>
      </c>
      <c r="R231" s="446">
        <f t="shared" si="32"/>
        <v>0.20946694512868791</v>
      </c>
      <c r="S231" s="446">
        <f t="shared" si="33"/>
        <v>2.9600000000000001E-2</v>
      </c>
      <c r="T231" s="447">
        <f t="shared" si="34"/>
        <v>0.17986694512868789</v>
      </c>
      <c r="V231" s="448"/>
      <c r="W231" s="448"/>
      <c r="X231" s="448"/>
      <c r="Y231" s="448"/>
      <c r="Z231" s="448"/>
      <c r="AA231" s="448"/>
      <c r="AB231" s="448"/>
      <c r="AC231" s="448"/>
      <c r="AD231" s="448"/>
      <c r="AF231" s="448"/>
      <c r="AG231" s="448"/>
      <c r="AH231" s="448"/>
      <c r="AI231" s="448"/>
      <c r="AJ231" s="448"/>
      <c r="AK231" s="448"/>
      <c r="AL231" s="448"/>
      <c r="AM231" s="448"/>
      <c r="AN231" s="448"/>
      <c r="AP231" s="448"/>
      <c r="AQ231" s="448"/>
      <c r="AR231" s="448"/>
      <c r="AS231" s="448"/>
      <c r="AT231" s="448"/>
      <c r="AU231" s="448"/>
      <c r="AV231" s="448"/>
      <c r="AW231" s="448"/>
      <c r="AX231" s="448"/>
    </row>
    <row r="232" spans="1:50" x14ac:dyDescent="0.4">
      <c r="A232" s="442" t="str">
        <f t="shared" si="35"/>
        <v>121944</v>
      </c>
      <c r="B232" s="442">
        <v>16407</v>
      </c>
      <c r="C232" s="455">
        <v>3.7400000000000003E-2</v>
      </c>
      <c r="D232" s="438">
        <v>3.2399999999999998E-2</v>
      </c>
      <c r="E232" s="438">
        <v>2E-3</v>
      </c>
      <c r="F232" s="438">
        <v>2.2500000000000003E-3</v>
      </c>
      <c r="G232" s="438">
        <v>2.3E-3</v>
      </c>
      <c r="H232" s="438">
        <v>2.2749999999999997E-3</v>
      </c>
      <c r="I232" s="438">
        <v>2.4750000000000002E-3</v>
      </c>
      <c r="J232" s="438">
        <f t="shared" si="36"/>
        <v>3.5400000000000001E-2</v>
      </c>
      <c r="K232" s="438">
        <f t="shared" si="40"/>
        <v>3.5125000000000003E-2</v>
      </c>
      <c r="L232" s="438">
        <f t="shared" si="41"/>
        <v>2.9924999999999997E-2</v>
      </c>
      <c r="M232" s="446">
        <f t="shared" si="37"/>
        <v>0.1972990257267897</v>
      </c>
      <c r="N232" s="446">
        <f t="shared" si="38"/>
        <v>2.4E-2</v>
      </c>
      <c r="O232" s="446">
        <f t="shared" ref="O232:O295" si="42">H232*12</f>
        <v>2.7299999999999998E-2</v>
      </c>
      <c r="P232" s="447">
        <f t="shared" si="39"/>
        <v>0.17329902572678971</v>
      </c>
      <c r="Q232" s="446">
        <f t="shared" ref="Q232:Q295" si="43">M232-O232</f>
        <v>0.16999902572678971</v>
      </c>
      <c r="R232" s="446">
        <f t="shared" ref="R232:R295" si="44">((1+D221)*(1+D222)*(1+D223)*(1+D224)*(1+D225)*(1+D226)*(1+D227)*(1+D228)*(1+D229)*(1+D230)*(1+D231)*(1+D232))-1</f>
        <v>0.18042510318666793</v>
      </c>
      <c r="S232" s="446">
        <f t="shared" ref="S232:S295" si="45">I232*12</f>
        <v>2.9700000000000004E-2</v>
      </c>
      <c r="T232" s="447">
        <f t="shared" ref="T232:T295" si="46">R232-S232</f>
        <v>0.15072510318666793</v>
      </c>
      <c r="V232" s="448"/>
      <c r="W232" s="448"/>
      <c r="X232" s="448"/>
      <c r="Y232" s="448"/>
      <c r="Z232" s="448"/>
      <c r="AA232" s="448"/>
      <c r="AB232" s="448"/>
      <c r="AC232" s="448"/>
      <c r="AD232" s="448"/>
      <c r="AF232" s="448"/>
      <c r="AG232" s="448"/>
      <c r="AH232" s="448"/>
      <c r="AI232" s="448"/>
      <c r="AJ232" s="448"/>
      <c r="AK232" s="448"/>
      <c r="AL232" s="448"/>
      <c r="AM232" s="448"/>
      <c r="AN232" s="448"/>
      <c r="AP232" s="448"/>
      <c r="AQ232" s="448"/>
      <c r="AR232" s="448"/>
      <c r="AS232" s="448"/>
      <c r="AT232" s="448"/>
      <c r="AU232" s="448"/>
      <c r="AV232" s="448"/>
      <c r="AW232" s="448"/>
      <c r="AX232" s="448"/>
    </row>
    <row r="233" spans="1:50" x14ac:dyDescent="0.4">
      <c r="A233" s="442" t="str">
        <f t="shared" ref="A233:A296" si="47">MONTH(B233)&amp;YEAR(B233)</f>
        <v>11945</v>
      </c>
      <c r="B233" s="442">
        <v>16438</v>
      </c>
      <c r="C233" s="455">
        <v>1.5800000000000002E-2</v>
      </c>
      <c r="D233" s="438">
        <v>4.9699999999999994E-2</v>
      </c>
      <c r="E233" s="438">
        <v>2.0999999999999999E-3</v>
      </c>
      <c r="F233" s="438">
        <v>2.2416666666666665E-3</v>
      </c>
      <c r="G233" s="438">
        <v>2.3E-3</v>
      </c>
      <c r="H233" s="438">
        <v>2.270833333333333E-3</v>
      </c>
      <c r="I233" s="438">
        <v>2.4916666666666668E-3</v>
      </c>
      <c r="J233" s="438">
        <f t="shared" si="36"/>
        <v>1.3700000000000002E-2</v>
      </c>
      <c r="K233" s="438">
        <f t="shared" si="40"/>
        <v>1.3529166666666669E-2</v>
      </c>
      <c r="L233" s="438">
        <f t="shared" si="41"/>
        <v>4.7208333333333324E-2</v>
      </c>
      <c r="M233" s="446">
        <f t="shared" si="37"/>
        <v>0.19576870546974035</v>
      </c>
      <c r="N233" s="446">
        <f t="shared" si="38"/>
        <v>2.52E-2</v>
      </c>
      <c r="O233" s="446">
        <f t="shared" si="42"/>
        <v>2.7249999999999996E-2</v>
      </c>
      <c r="P233" s="447">
        <f t="shared" si="39"/>
        <v>0.17056870546974034</v>
      </c>
      <c r="Q233" s="446">
        <f t="shared" si="43"/>
        <v>0.16851870546974035</v>
      </c>
      <c r="R233" s="446">
        <f t="shared" si="44"/>
        <v>0.22609561727196237</v>
      </c>
      <c r="S233" s="446">
        <f t="shared" si="45"/>
        <v>2.9900000000000003E-2</v>
      </c>
      <c r="T233" s="447">
        <f t="shared" si="46"/>
        <v>0.19619561727196236</v>
      </c>
      <c r="V233" s="448"/>
      <c r="W233" s="448"/>
      <c r="X233" s="448"/>
      <c r="Y233" s="448"/>
      <c r="Z233" s="448"/>
      <c r="AA233" s="448"/>
      <c r="AB233" s="448"/>
      <c r="AC233" s="448"/>
      <c r="AD233" s="448"/>
      <c r="AF233" s="448"/>
      <c r="AG233" s="448"/>
      <c r="AH233" s="448"/>
      <c r="AI233" s="448"/>
      <c r="AJ233" s="448"/>
      <c r="AK233" s="448"/>
      <c r="AL233" s="448"/>
      <c r="AM233" s="448"/>
      <c r="AN233" s="448"/>
      <c r="AP233" s="448"/>
      <c r="AQ233" s="448"/>
      <c r="AR233" s="448"/>
      <c r="AS233" s="448"/>
      <c r="AT233" s="448"/>
      <c r="AU233" s="448"/>
      <c r="AV233" s="448"/>
      <c r="AW233" s="448"/>
      <c r="AX233" s="448"/>
    </row>
    <row r="234" spans="1:50" x14ac:dyDescent="0.4">
      <c r="A234" s="442" t="str">
        <f t="shared" si="47"/>
        <v>21945</v>
      </c>
      <c r="B234" s="442">
        <v>16469</v>
      </c>
      <c r="C234" s="455">
        <v>6.83E-2</v>
      </c>
      <c r="D234" s="438">
        <v>6.9499999999999992E-2</v>
      </c>
      <c r="E234" s="438">
        <v>1.8E-3</v>
      </c>
      <c r="F234" s="438">
        <v>2.2083333333333334E-3</v>
      </c>
      <c r="G234" s="438">
        <v>2.2750000000000001E-3</v>
      </c>
      <c r="H234" s="438">
        <v>2.241666666666667E-3</v>
      </c>
      <c r="I234" s="438">
        <v>2.4833333333333331E-3</v>
      </c>
      <c r="J234" s="438">
        <f t="shared" si="36"/>
        <v>6.6500000000000004E-2</v>
      </c>
      <c r="K234" s="438">
        <f t="shared" si="40"/>
        <v>6.605833333333333E-2</v>
      </c>
      <c r="L234" s="438">
        <f t="shared" si="41"/>
        <v>6.7016666666666655E-2</v>
      </c>
      <c r="M234" s="446">
        <f t="shared" si="37"/>
        <v>0.27209690106883433</v>
      </c>
      <c r="N234" s="446">
        <f t="shared" si="38"/>
        <v>2.1600000000000001E-2</v>
      </c>
      <c r="O234" s="446">
        <f t="shared" si="42"/>
        <v>2.6900000000000004E-2</v>
      </c>
      <c r="P234" s="447">
        <f t="shared" si="39"/>
        <v>0.25049690106883432</v>
      </c>
      <c r="Q234" s="446">
        <f t="shared" si="43"/>
        <v>0.24519690106883432</v>
      </c>
      <c r="R234" s="446">
        <f t="shared" si="44"/>
        <v>0.28824959492323776</v>
      </c>
      <c r="S234" s="446">
        <f t="shared" si="45"/>
        <v>2.9799999999999997E-2</v>
      </c>
      <c r="T234" s="447">
        <f t="shared" si="46"/>
        <v>0.25844959492323777</v>
      </c>
      <c r="V234" s="448"/>
      <c r="W234" s="448"/>
      <c r="X234" s="448"/>
      <c r="Y234" s="448"/>
      <c r="Z234" s="448"/>
      <c r="AA234" s="448"/>
      <c r="AB234" s="448"/>
      <c r="AC234" s="448"/>
      <c r="AD234" s="448"/>
      <c r="AF234" s="448"/>
      <c r="AG234" s="448"/>
      <c r="AH234" s="448"/>
      <c r="AI234" s="448"/>
      <c r="AJ234" s="448"/>
      <c r="AK234" s="448"/>
      <c r="AL234" s="448"/>
      <c r="AM234" s="448"/>
      <c r="AN234" s="448"/>
      <c r="AP234" s="448"/>
      <c r="AQ234" s="448"/>
      <c r="AR234" s="448"/>
      <c r="AS234" s="448"/>
      <c r="AT234" s="448"/>
      <c r="AU234" s="448"/>
      <c r="AV234" s="448"/>
      <c r="AW234" s="448"/>
      <c r="AX234" s="448"/>
    </row>
    <row r="235" spans="1:50" x14ac:dyDescent="0.4">
      <c r="A235" s="442" t="str">
        <f t="shared" si="47"/>
        <v>31945</v>
      </c>
      <c r="B235" s="442">
        <v>16497</v>
      </c>
      <c r="C235" s="455">
        <v>-4.41E-2</v>
      </c>
      <c r="D235" s="438">
        <v>-3.5699999999999996E-2</v>
      </c>
      <c r="E235" s="438">
        <v>2E-3</v>
      </c>
      <c r="F235" s="438">
        <v>2.1833333333333336E-3</v>
      </c>
      <c r="G235" s="438">
        <v>2.2666666666666668E-3</v>
      </c>
      <c r="H235" s="438">
        <v>2.2250000000000004E-3</v>
      </c>
      <c r="I235" s="438">
        <v>2.4750000000000002E-3</v>
      </c>
      <c r="J235" s="438">
        <f t="shared" si="36"/>
        <v>-4.6100000000000002E-2</v>
      </c>
      <c r="K235" s="438">
        <f t="shared" si="40"/>
        <v>-4.6324999999999998E-2</v>
      </c>
      <c r="L235" s="438">
        <f t="shared" si="41"/>
        <v>-3.8174999999999994E-2</v>
      </c>
      <c r="M235" s="446">
        <f t="shared" si="37"/>
        <v>0.19273901690210793</v>
      </c>
      <c r="N235" s="446">
        <f t="shared" si="38"/>
        <v>2.4E-2</v>
      </c>
      <c r="O235" s="446">
        <f t="shared" si="42"/>
        <v>2.6700000000000005E-2</v>
      </c>
      <c r="P235" s="447">
        <f t="shared" si="39"/>
        <v>0.16873901690210794</v>
      </c>
      <c r="Q235" s="446">
        <f t="shared" si="43"/>
        <v>0.16603901690210793</v>
      </c>
      <c r="R235" s="446">
        <f t="shared" si="44"/>
        <v>0.22947256966001439</v>
      </c>
      <c r="S235" s="446">
        <f t="shared" si="45"/>
        <v>2.9700000000000004E-2</v>
      </c>
      <c r="T235" s="447">
        <f t="shared" si="46"/>
        <v>0.19977256966001439</v>
      </c>
      <c r="V235" s="448"/>
      <c r="W235" s="448"/>
      <c r="X235" s="448"/>
      <c r="Y235" s="448"/>
      <c r="Z235" s="448"/>
      <c r="AA235" s="448"/>
      <c r="AB235" s="448"/>
      <c r="AC235" s="448"/>
      <c r="AD235" s="448"/>
      <c r="AF235" s="448"/>
      <c r="AG235" s="448"/>
      <c r="AH235" s="448"/>
      <c r="AI235" s="448"/>
      <c r="AJ235" s="448"/>
      <c r="AK235" s="448"/>
      <c r="AL235" s="448"/>
      <c r="AM235" s="448"/>
      <c r="AN235" s="448"/>
      <c r="AP235" s="448"/>
      <c r="AQ235" s="448"/>
      <c r="AR235" s="448"/>
      <c r="AS235" s="448"/>
      <c r="AT235" s="448"/>
      <c r="AU235" s="448"/>
      <c r="AV235" s="448"/>
      <c r="AW235" s="448"/>
      <c r="AX235" s="448"/>
    </row>
    <row r="236" spans="1:50" x14ac:dyDescent="0.4">
      <c r="A236" s="442" t="str">
        <f t="shared" si="47"/>
        <v>41945</v>
      </c>
      <c r="B236" s="442">
        <v>16528</v>
      </c>
      <c r="C236" s="455">
        <v>9.0200000000000002E-2</v>
      </c>
      <c r="D236" s="438">
        <v>0.1066</v>
      </c>
      <c r="E236" s="438">
        <v>1.9E-3</v>
      </c>
      <c r="F236" s="438">
        <v>2.1749999999999999E-3</v>
      </c>
      <c r="G236" s="438">
        <v>2.2750000000000001E-3</v>
      </c>
      <c r="H236" s="438">
        <v>2.225E-3</v>
      </c>
      <c r="I236" s="438">
        <v>2.4583333333333336E-3</v>
      </c>
      <c r="J236" s="438">
        <f t="shared" si="36"/>
        <v>8.8300000000000003E-2</v>
      </c>
      <c r="K236" s="438">
        <f t="shared" si="40"/>
        <v>8.7974999999999998E-2</v>
      </c>
      <c r="L236" s="438">
        <f t="shared" si="41"/>
        <v>0.10414166666666666</v>
      </c>
      <c r="M236" s="446">
        <f t="shared" si="37"/>
        <v>0.3134586628552305</v>
      </c>
      <c r="N236" s="446">
        <f t="shared" si="38"/>
        <v>2.2800000000000001E-2</v>
      </c>
      <c r="O236" s="446">
        <f t="shared" si="42"/>
        <v>2.6700000000000002E-2</v>
      </c>
      <c r="P236" s="447">
        <f t="shared" si="39"/>
        <v>0.29065866285523051</v>
      </c>
      <c r="Q236" s="446">
        <f t="shared" si="43"/>
        <v>0.2867586628552305</v>
      </c>
      <c r="R236" s="446">
        <f t="shared" si="44"/>
        <v>0.37302890865452842</v>
      </c>
      <c r="S236" s="446">
        <f t="shared" si="45"/>
        <v>2.9500000000000005E-2</v>
      </c>
      <c r="T236" s="447">
        <f t="shared" si="46"/>
        <v>0.3435289086545284</v>
      </c>
      <c r="V236" s="448"/>
      <c r="W236" s="448"/>
      <c r="X236" s="448"/>
      <c r="Y236" s="448"/>
      <c r="Z236" s="448"/>
      <c r="AA236" s="448"/>
      <c r="AB236" s="448"/>
      <c r="AC236" s="448"/>
      <c r="AD236" s="448"/>
      <c r="AF236" s="448"/>
      <c r="AG236" s="448"/>
      <c r="AH236" s="448"/>
      <c r="AI236" s="448"/>
      <c r="AJ236" s="448"/>
      <c r="AK236" s="448"/>
      <c r="AL236" s="448"/>
      <c r="AM236" s="448"/>
      <c r="AN236" s="448"/>
      <c r="AP236" s="448"/>
      <c r="AQ236" s="448"/>
      <c r="AR236" s="448"/>
      <c r="AS236" s="448"/>
      <c r="AT236" s="448"/>
      <c r="AU236" s="448"/>
      <c r="AV236" s="448"/>
      <c r="AW236" s="448"/>
      <c r="AX236" s="448"/>
    </row>
    <row r="237" spans="1:50" x14ac:dyDescent="0.4">
      <c r="A237" s="442" t="str">
        <f t="shared" si="47"/>
        <v>51945</v>
      </c>
      <c r="B237" s="442">
        <v>16558</v>
      </c>
      <c r="C237" s="455">
        <v>1.95E-2</v>
      </c>
      <c r="D237" s="438">
        <v>1.7100000000000001E-2</v>
      </c>
      <c r="E237" s="438">
        <v>1.9E-3</v>
      </c>
      <c r="F237" s="438">
        <v>2.1833333333333336E-3</v>
      </c>
      <c r="G237" s="438">
        <v>2.2666666666666668E-3</v>
      </c>
      <c r="H237" s="438">
        <v>2.2250000000000004E-3</v>
      </c>
      <c r="I237" s="438">
        <v>2.4333333333333334E-3</v>
      </c>
      <c r="J237" s="438">
        <f t="shared" si="36"/>
        <v>1.7600000000000001E-2</v>
      </c>
      <c r="K237" s="438">
        <f t="shared" si="40"/>
        <v>1.7274999999999999E-2</v>
      </c>
      <c r="L237" s="438">
        <f t="shared" si="41"/>
        <v>1.4666666666666668E-2</v>
      </c>
      <c r="M237" s="446">
        <f t="shared" si="37"/>
        <v>0.2746988165453661</v>
      </c>
      <c r="N237" s="446">
        <f t="shared" si="38"/>
        <v>2.2800000000000001E-2</v>
      </c>
      <c r="O237" s="446">
        <f t="shared" si="42"/>
        <v>2.6700000000000005E-2</v>
      </c>
      <c r="P237" s="447">
        <f t="shared" si="39"/>
        <v>0.25189881654536611</v>
      </c>
      <c r="Q237" s="446">
        <f t="shared" si="43"/>
        <v>0.2479988165453661</v>
      </c>
      <c r="R237" s="446">
        <f t="shared" si="44"/>
        <v>0.35570109988595311</v>
      </c>
      <c r="S237" s="446">
        <f t="shared" si="45"/>
        <v>2.92E-2</v>
      </c>
      <c r="T237" s="447">
        <f t="shared" si="46"/>
        <v>0.32650109988595311</v>
      </c>
      <c r="V237" s="448"/>
      <c r="W237" s="448"/>
      <c r="X237" s="448"/>
      <c r="Y237" s="448"/>
      <c r="Z237" s="448"/>
      <c r="AA237" s="448"/>
      <c r="AB237" s="448"/>
      <c r="AC237" s="448"/>
      <c r="AD237" s="448"/>
      <c r="AF237" s="448"/>
      <c r="AG237" s="448"/>
      <c r="AH237" s="448"/>
      <c r="AI237" s="448"/>
      <c r="AJ237" s="448"/>
      <c r="AK237" s="448"/>
      <c r="AL237" s="448"/>
      <c r="AM237" s="448"/>
      <c r="AN237" s="448"/>
      <c r="AP237" s="448"/>
      <c r="AQ237" s="448"/>
      <c r="AR237" s="448"/>
      <c r="AS237" s="448"/>
      <c r="AT237" s="448"/>
      <c r="AU237" s="448"/>
      <c r="AV237" s="448"/>
      <c r="AW237" s="448"/>
      <c r="AX237" s="448"/>
    </row>
    <row r="238" spans="1:50" x14ac:dyDescent="0.4">
      <c r="A238" s="442" t="str">
        <f t="shared" si="47"/>
        <v>61945</v>
      </c>
      <c r="B238" s="442">
        <v>16589</v>
      </c>
      <c r="C238" s="455">
        <v>-6.9999999999999999E-4</v>
      </c>
      <c r="D238" s="438">
        <v>6.6199999999999995E-2</v>
      </c>
      <c r="E238" s="438">
        <v>1.9E-3</v>
      </c>
      <c r="F238" s="438">
        <v>2.1749999999999999E-3</v>
      </c>
      <c r="G238" s="438">
        <v>2.2416666666666665E-3</v>
      </c>
      <c r="H238" s="438">
        <v>2.2083333333333334E-3</v>
      </c>
      <c r="I238" s="438">
        <v>2.3916666666666665E-3</v>
      </c>
      <c r="J238" s="438">
        <f t="shared" si="36"/>
        <v>-2.5999999999999999E-3</v>
      </c>
      <c r="K238" s="438">
        <f t="shared" si="40"/>
        <v>-2.9083333333333335E-3</v>
      </c>
      <c r="L238" s="438">
        <f t="shared" si="41"/>
        <v>6.3808333333333328E-2</v>
      </c>
      <c r="M238" s="446">
        <f t="shared" si="37"/>
        <v>0.208201202099767</v>
      </c>
      <c r="N238" s="446">
        <f t="shared" si="38"/>
        <v>2.2800000000000001E-2</v>
      </c>
      <c r="O238" s="446">
        <f t="shared" si="42"/>
        <v>2.6500000000000003E-2</v>
      </c>
      <c r="P238" s="447">
        <f t="shared" si="39"/>
        <v>0.18540120209976702</v>
      </c>
      <c r="Q238" s="446">
        <f t="shared" si="43"/>
        <v>0.18170120209976701</v>
      </c>
      <c r="R238" s="446">
        <f t="shared" si="44"/>
        <v>0.37321728358199069</v>
      </c>
      <c r="S238" s="446">
        <f t="shared" si="45"/>
        <v>2.8699999999999996E-2</v>
      </c>
      <c r="T238" s="447">
        <f t="shared" si="46"/>
        <v>0.34451728358199069</v>
      </c>
      <c r="V238" s="448"/>
      <c r="W238" s="448"/>
      <c r="X238" s="448"/>
      <c r="Y238" s="448"/>
      <c r="Z238" s="448"/>
      <c r="AA238" s="448"/>
      <c r="AB238" s="448"/>
      <c r="AC238" s="448"/>
      <c r="AD238" s="448"/>
      <c r="AF238" s="448"/>
      <c r="AG238" s="448"/>
      <c r="AH238" s="448"/>
      <c r="AI238" s="448"/>
      <c r="AJ238" s="448"/>
      <c r="AK238" s="448"/>
      <c r="AL238" s="448"/>
      <c r="AM238" s="448"/>
      <c r="AN238" s="448"/>
      <c r="AP238" s="448"/>
      <c r="AQ238" s="448"/>
      <c r="AR238" s="448"/>
      <c r="AS238" s="448"/>
      <c r="AT238" s="448"/>
      <c r="AU238" s="448"/>
      <c r="AV238" s="448"/>
      <c r="AW238" s="448"/>
      <c r="AX238" s="448"/>
    </row>
    <row r="239" spans="1:50" x14ac:dyDescent="0.4">
      <c r="A239" s="442" t="str">
        <f t="shared" si="47"/>
        <v>71945</v>
      </c>
      <c r="B239" s="442">
        <v>16619</v>
      </c>
      <c r="C239" s="455">
        <v>-1.7999999999999999E-2</v>
      </c>
      <c r="D239" s="438">
        <v>-5.0999999999999986E-3</v>
      </c>
      <c r="E239" s="438">
        <v>1.8E-3</v>
      </c>
      <c r="F239" s="438">
        <v>2.1666666666666666E-3</v>
      </c>
      <c r="G239" s="438">
        <v>2.2333333333333337E-3</v>
      </c>
      <c r="H239" s="438">
        <v>2.2000000000000001E-3</v>
      </c>
      <c r="I239" s="438">
        <v>2.3583333333333334E-3</v>
      </c>
      <c r="J239" s="438">
        <f t="shared" si="36"/>
        <v>-1.9799999999999998E-2</v>
      </c>
      <c r="K239" s="438">
        <f t="shared" si="40"/>
        <v>-2.0199999999999999E-2</v>
      </c>
      <c r="L239" s="438">
        <f t="shared" si="41"/>
        <v>-7.4583333333333324E-3</v>
      </c>
      <c r="M239" s="446">
        <f t="shared" si="37"/>
        <v>0.20980277400017511</v>
      </c>
      <c r="N239" s="446">
        <f t="shared" si="38"/>
        <v>2.1600000000000001E-2</v>
      </c>
      <c r="O239" s="446">
        <f t="shared" si="42"/>
        <v>2.64E-2</v>
      </c>
      <c r="P239" s="447">
        <f t="shared" si="39"/>
        <v>0.1882027740001751</v>
      </c>
      <c r="Q239" s="446">
        <f t="shared" si="43"/>
        <v>0.1834027740001751</v>
      </c>
      <c r="R239" s="446">
        <f t="shared" si="44"/>
        <v>0.36226331183141158</v>
      </c>
      <c r="S239" s="446">
        <f t="shared" si="45"/>
        <v>2.8299999999999999E-2</v>
      </c>
      <c r="T239" s="447">
        <f t="shared" si="46"/>
        <v>0.33396331183141159</v>
      </c>
      <c r="V239" s="448"/>
      <c r="W239" s="448"/>
      <c r="X239" s="448"/>
      <c r="Y239" s="448"/>
      <c r="Z239" s="448"/>
      <c r="AA239" s="448"/>
      <c r="AB239" s="448"/>
      <c r="AC239" s="448"/>
      <c r="AD239" s="448"/>
      <c r="AF239" s="448"/>
      <c r="AG239" s="448"/>
      <c r="AH239" s="448"/>
      <c r="AI239" s="448"/>
      <c r="AJ239" s="448"/>
      <c r="AK239" s="448"/>
      <c r="AL239" s="448"/>
      <c r="AM239" s="448"/>
      <c r="AN239" s="448"/>
      <c r="AP239" s="448"/>
      <c r="AQ239" s="448"/>
      <c r="AR239" s="448"/>
      <c r="AS239" s="448"/>
      <c r="AT239" s="448"/>
      <c r="AU239" s="448"/>
      <c r="AV239" s="448"/>
      <c r="AW239" s="448"/>
      <c r="AX239" s="448"/>
    </row>
    <row r="240" spans="1:50" x14ac:dyDescent="0.4">
      <c r="A240" s="442" t="str">
        <f t="shared" si="47"/>
        <v>81945</v>
      </c>
      <c r="B240" s="442">
        <v>16650</v>
      </c>
      <c r="C240" s="455">
        <v>6.4100000000000004E-2</v>
      </c>
      <c r="D240" s="438">
        <v>3.0999999999999999E-3</v>
      </c>
      <c r="E240" s="438">
        <v>1.9E-3</v>
      </c>
      <c r="F240" s="438">
        <v>2.1749999999999999E-3</v>
      </c>
      <c r="G240" s="438">
        <v>2.2500000000000003E-3</v>
      </c>
      <c r="H240" s="438">
        <v>2.2125000000000001E-3</v>
      </c>
      <c r="I240" s="438">
        <v>2.3333333333333335E-3</v>
      </c>
      <c r="J240" s="438">
        <f t="shared" si="36"/>
        <v>6.2200000000000005E-2</v>
      </c>
      <c r="K240" s="438">
        <f t="shared" si="40"/>
        <v>6.1887500000000005E-2</v>
      </c>
      <c r="L240" s="438">
        <f t="shared" si="41"/>
        <v>7.6666666666666636E-4</v>
      </c>
      <c r="M240" s="446">
        <f t="shared" si="37"/>
        <v>0.26745213332045448</v>
      </c>
      <c r="N240" s="446">
        <f t="shared" si="38"/>
        <v>2.2800000000000001E-2</v>
      </c>
      <c r="O240" s="446">
        <f t="shared" si="42"/>
        <v>2.6550000000000001E-2</v>
      </c>
      <c r="P240" s="447">
        <f t="shared" si="39"/>
        <v>0.24465213332045449</v>
      </c>
      <c r="Q240" s="446">
        <f t="shared" si="43"/>
        <v>0.24090213332045449</v>
      </c>
      <c r="R240" s="446">
        <f t="shared" si="44"/>
        <v>0.31938430829206244</v>
      </c>
      <c r="S240" s="446">
        <f t="shared" si="45"/>
        <v>2.8000000000000004E-2</v>
      </c>
      <c r="T240" s="447">
        <f t="shared" si="46"/>
        <v>0.29138430829206241</v>
      </c>
      <c r="V240" s="448"/>
      <c r="W240" s="448"/>
      <c r="X240" s="448"/>
      <c r="Y240" s="448"/>
      <c r="Z240" s="448"/>
      <c r="AA240" s="448"/>
      <c r="AB240" s="448"/>
      <c r="AC240" s="448"/>
      <c r="AD240" s="448"/>
      <c r="AF240" s="448"/>
      <c r="AG240" s="448"/>
      <c r="AH240" s="448"/>
      <c r="AI240" s="448"/>
      <c r="AJ240" s="448"/>
      <c r="AK240" s="448"/>
      <c r="AL240" s="448"/>
      <c r="AM240" s="448"/>
      <c r="AN240" s="448"/>
      <c r="AP240" s="448"/>
      <c r="AQ240" s="448"/>
      <c r="AR240" s="448"/>
      <c r="AS240" s="448"/>
      <c r="AT240" s="448"/>
      <c r="AU240" s="448"/>
      <c r="AV240" s="448"/>
      <c r="AW240" s="448"/>
      <c r="AX240" s="448"/>
    </row>
    <row r="241" spans="1:50" x14ac:dyDescent="0.4">
      <c r="A241" s="442" t="str">
        <f t="shared" si="47"/>
        <v>91945</v>
      </c>
      <c r="B241" s="442">
        <v>16681</v>
      </c>
      <c r="C241" s="455">
        <v>4.3799999999999999E-2</v>
      </c>
      <c r="D241" s="438">
        <v>7.3900000000000007E-2</v>
      </c>
      <c r="E241" s="438">
        <v>1.8E-3</v>
      </c>
      <c r="F241" s="438">
        <v>2.1833333333333336E-3</v>
      </c>
      <c r="G241" s="438">
        <v>2.2500000000000003E-3</v>
      </c>
      <c r="H241" s="438">
        <v>2.2166666666666667E-3</v>
      </c>
      <c r="I241" s="438">
        <v>2.3250000000000002E-3</v>
      </c>
      <c r="J241" s="438">
        <f t="shared" si="36"/>
        <v>4.1999999999999996E-2</v>
      </c>
      <c r="K241" s="438">
        <f t="shared" si="40"/>
        <v>4.1583333333333333E-2</v>
      </c>
      <c r="L241" s="438">
        <f t="shared" si="41"/>
        <v>7.1575000000000014E-2</v>
      </c>
      <c r="M241" s="446">
        <f t="shared" si="37"/>
        <v>0.32402575736578365</v>
      </c>
      <c r="N241" s="446">
        <f t="shared" si="38"/>
        <v>2.1600000000000001E-2</v>
      </c>
      <c r="O241" s="446">
        <f t="shared" si="42"/>
        <v>2.6599999999999999E-2</v>
      </c>
      <c r="P241" s="447">
        <f t="shared" si="39"/>
        <v>0.30242575736578364</v>
      </c>
      <c r="Q241" s="446">
        <f t="shared" si="43"/>
        <v>0.29742575736578364</v>
      </c>
      <c r="R241" s="446">
        <f t="shared" si="44"/>
        <v>0.4384637651521277</v>
      </c>
      <c r="S241" s="446">
        <f t="shared" si="45"/>
        <v>2.7900000000000001E-2</v>
      </c>
      <c r="T241" s="447">
        <f t="shared" si="46"/>
        <v>0.41056376515212772</v>
      </c>
      <c r="V241" s="448"/>
      <c r="W241" s="448"/>
      <c r="X241" s="448"/>
      <c r="Y241" s="448"/>
      <c r="Z241" s="448"/>
      <c r="AA241" s="448"/>
      <c r="AB241" s="448"/>
      <c r="AC241" s="448"/>
      <c r="AD241" s="448"/>
      <c r="AF241" s="448"/>
      <c r="AG241" s="448"/>
      <c r="AH241" s="448"/>
      <c r="AI241" s="448"/>
      <c r="AJ241" s="448"/>
      <c r="AK241" s="448"/>
      <c r="AL241" s="448"/>
      <c r="AM241" s="448"/>
      <c r="AN241" s="448"/>
      <c r="AP241" s="448"/>
      <c r="AQ241" s="448"/>
      <c r="AR241" s="448"/>
      <c r="AS241" s="448"/>
      <c r="AT241" s="448"/>
      <c r="AU241" s="448"/>
      <c r="AV241" s="448"/>
      <c r="AW241" s="448"/>
      <c r="AX241" s="448"/>
    </row>
    <row r="242" spans="1:50" x14ac:dyDescent="0.4">
      <c r="A242" s="442" t="str">
        <f t="shared" si="47"/>
        <v>101945</v>
      </c>
      <c r="B242" s="442">
        <v>16711</v>
      </c>
      <c r="C242" s="455">
        <v>3.2199999999999999E-2</v>
      </c>
      <c r="D242" s="438">
        <v>6.4100000000000004E-2</v>
      </c>
      <c r="E242" s="438">
        <v>1.9E-3</v>
      </c>
      <c r="F242" s="438">
        <v>2.1833333333333336E-3</v>
      </c>
      <c r="G242" s="438">
        <v>2.2500000000000003E-3</v>
      </c>
      <c r="H242" s="438">
        <v>2.2166666666666667E-3</v>
      </c>
      <c r="I242" s="438">
        <v>2.3250000000000002E-3</v>
      </c>
      <c r="J242" s="438">
        <f t="shared" si="36"/>
        <v>3.0300000000000001E-2</v>
      </c>
      <c r="K242" s="438">
        <f t="shared" si="40"/>
        <v>2.9983333333333334E-2</v>
      </c>
      <c r="L242" s="438">
        <f t="shared" si="41"/>
        <v>6.1775000000000004E-2</v>
      </c>
      <c r="M242" s="446">
        <f t="shared" si="37"/>
        <v>0.36352328320159777</v>
      </c>
      <c r="N242" s="446">
        <f t="shared" si="38"/>
        <v>2.2800000000000001E-2</v>
      </c>
      <c r="O242" s="446">
        <f t="shared" si="42"/>
        <v>2.6599999999999999E-2</v>
      </c>
      <c r="P242" s="447">
        <f t="shared" si="39"/>
        <v>0.34072328320159778</v>
      </c>
      <c r="Q242" s="446">
        <f t="shared" si="43"/>
        <v>0.33692328320159776</v>
      </c>
      <c r="R242" s="446">
        <f t="shared" si="44"/>
        <v>0.50968467550880714</v>
      </c>
      <c r="S242" s="446">
        <f t="shared" si="45"/>
        <v>2.7900000000000001E-2</v>
      </c>
      <c r="T242" s="447">
        <f t="shared" si="46"/>
        <v>0.48178467550880716</v>
      </c>
      <c r="V242" s="448"/>
      <c r="W242" s="448"/>
      <c r="X242" s="448"/>
      <c r="Y242" s="448"/>
      <c r="Z242" s="448"/>
      <c r="AA242" s="448"/>
      <c r="AB242" s="448"/>
      <c r="AC242" s="448"/>
      <c r="AD242" s="448"/>
      <c r="AF242" s="448"/>
      <c r="AG242" s="448"/>
      <c r="AH242" s="448"/>
      <c r="AI242" s="448"/>
      <c r="AJ242" s="448"/>
      <c r="AK242" s="448"/>
      <c r="AL242" s="448"/>
      <c r="AM242" s="448"/>
      <c r="AN242" s="448"/>
      <c r="AP242" s="448"/>
      <c r="AQ242" s="448"/>
      <c r="AR242" s="448"/>
      <c r="AS242" s="448"/>
      <c r="AT242" s="448"/>
      <c r="AU242" s="448"/>
      <c r="AV242" s="448"/>
      <c r="AW242" s="448"/>
      <c r="AX242" s="448"/>
    </row>
    <row r="243" spans="1:50" x14ac:dyDescent="0.4">
      <c r="A243" s="442" t="str">
        <f t="shared" si="47"/>
        <v>111945</v>
      </c>
      <c r="B243" s="442">
        <v>16742</v>
      </c>
      <c r="C243" s="455">
        <v>3.9600000000000003E-2</v>
      </c>
      <c r="D243" s="438">
        <v>4.7100000000000003E-2</v>
      </c>
      <c r="E243" s="438">
        <v>1.8E-3</v>
      </c>
      <c r="F243" s="438">
        <v>2.1833333333333336E-3</v>
      </c>
      <c r="G243" s="438">
        <v>2.2333333333333337E-3</v>
      </c>
      <c r="H243" s="438">
        <v>2.2083333333333334E-3</v>
      </c>
      <c r="I243" s="438">
        <v>2.3083333333333332E-3</v>
      </c>
      <c r="J243" s="438">
        <f t="shared" si="36"/>
        <v>3.78E-2</v>
      </c>
      <c r="K243" s="438">
        <f t="shared" si="40"/>
        <v>3.739166666666667E-2</v>
      </c>
      <c r="L243" s="438">
        <f t="shared" si="41"/>
        <v>4.4791666666666667E-2</v>
      </c>
      <c r="M243" s="446">
        <f t="shared" si="37"/>
        <v>0.39891325887336615</v>
      </c>
      <c r="N243" s="446">
        <f t="shared" si="38"/>
        <v>2.1600000000000001E-2</v>
      </c>
      <c r="O243" s="446">
        <f t="shared" si="42"/>
        <v>2.6500000000000003E-2</v>
      </c>
      <c r="P243" s="447">
        <f t="shared" si="39"/>
        <v>0.37731325887336614</v>
      </c>
      <c r="Q243" s="446">
        <f t="shared" si="43"/>
        <v>0.37241325887336613</v>
      </c>
      <c r="R243" s="446">
        <f t="shared" si="44"/>
        <v>0.60161177682398304</v>
      </c>
      <c r="S243" s="446">
        <f t="shared" si="45"/>
        <v>2.7699999999999999E-2</v>
      </c>
      <c r="T243" s="447">
        <f t="shared" si="46"/>
        <v>0.57391177682398309</v>
      </c>
      <c r="V243" s="448"/>
      <c r="W243" s="448"/>
      <c r="X243" s="448"/>
      <c r="Y243" s="448"/>
      <c r="Z243" s="448"/>
      <c r="AA243" s="448"/>
      <c r="AB243" s="448"/>
      <c r="AC243" s="448"/>
      <c r="AD243" s="448"/>
      <c r="AF243" s="448"/>
      <c r="AG243" s="448"/>
      <c r="AH243" s="448"/>
      <c r="AI243" s="448"/>
      <c r="AJ243" s="448"/>
      <c r="AK243" s="448"/>
      <c r="AL243" s="448"/>
      <c r="AM243" s="448"/>
      <c r="AN243" s="448"/>
      <c r="AP243" s="448"/>
      <c r="AQ243" s="448"/>
      <c r="AR243" s="448"/>
      <c r="AS243" s="448"/>
      <c r="AT243" s="448"/>
      <c r="AU243" s="448"/>
      <c r="AV243" s="448"/>
      <c r="AW243" s="448"/>
      <c r="AX243" s="448"/>
    </row>
    <row r="244" spans="1:50" x14ac:dyDescent="0.4">
      <c r="A244" s="442" t="str">
        <f t="shared" si="47"/>
        <v>121945</v>
      </c>
      <c r="B244" s="442">
        <v>16772</v>
      </c>
      <c r="C244" s="455">
        <v>1.1599999999999999E-2</v>
      </c>
      <c r="D244" s="438">
        <v>-1.1699999999999999E-2</v>
      </c>
      <c r="E244" s="438">
        <v>1.8E-3</v>
      </c>
      <c r="F244" s="438">
        <v>2.1749999999999999E-3</v>
      </c>
      <c r="G244" s="438">
        <v>2.2333333333333337E-3</v>
      </c>
      <c r="H244" s="438">
        <v>2.2041666666666668E-3</v>
      </c>
      <c r="I244" s="438">
        <v>2.2916666666666667E-3</v>
      </c>
      <c r="J244" s="438">
        <f t="shared" si="36"/>
        <v>9.7999999999999997E-3</v>
      </c>
      <c r="K244" s="438">
        <f t="shared" si="40"/>
        <v>9.3958333333333324E-3</v>
      </c>
      <c r="L244" s="438">
        <f t="shared" si="41"/>
        <v>-1.3991666666666666E-2</v>
      </c>
      <c r="M244" s="446">
        <f t="shared" si="37"/>
        <v>0.36412247221543881</v>
      </c>
      <c r="N244" s="446">
        <f t="shared" si="38"/>
        <v>2.1600000000000001E-2</v>
      </c>
      <c r="O244" s="446">
        <f t="shared" si="42"/>
        <v>2.6450000000000001E-2</v>
      </c>
      <c r="P244" s="447">
        <f t="shared" si="39"/>
        <v>0.3425224722154388</v>
      </c>
      <c r="Q244" s="446">
        <f t="shared" si="43"/>
        <v>0.33767247221543883</v>
      </c>
      <c r="R244" s="446">
        <f t="shared" si="44"/>
        <v>0.53319732568301315</v>
      </c>
      <c r="S244" s="446">
        <f t="shared" si="45"/>
        <v>2.75E-2</v>
      </c>
      <c r="T244" s="447">
        <f t="shared" si="46"/>
        <v>0.50569732568301318</v>
      </c>
      <c r="V244" s="448"/>
      <c r="W244" s="448"/>
      <c r="X244" s="448"/>
      <c r="Y244" s="448"/>
      <c r="Z244" s="448"/>
      <c r="AA244" s="448"/>
      <c r="AB244" s="448"/>
      <c r="AC244" s="448"/>
      <c r="AD244" s="448"/>
      <c r="AF244" s="448"/>
      <c r="AG244" s="448"/>
      <c r="AH244" s="448"/>
      <c r="AI244" s="448"/>
      <c r="AJ244" s="448"/>
      <c r="AK244" s="448"/>
      <c r="AL244" s="448"/>
      <c r="AM244" s="448"/>
      <c r="AN244" s="448"/>
      <c r="AP244" s="448"/>
      <c r="AQ244" s="448"/>
      <c r="AR244" s="448"/>
      <c r="AS244" s="448"/>
      <c r="AT244" s="448"/>
      <c r="AU244" s="448"/>
      <c r="AV244" s="448"/>
      <c r="AW244" s="448"/>
      <c r="AX244" s="448"/>
    </row>
    <row r="245" spans="1:50" x14ac:dyDescent="0.4">
      <c r="A245" s="442" t="str">
        <f t="shared" si="47"/>
        <v>11946</v>
      </c>
      <c r="B245" s="442">
        <v>16803</v>
      </c>
      <c r="C245" s="455">
        <v>7.1400000000000005E-2</v>
      </c>
      <c r="D245" s="438">
        <v>0.11989999999999998</v>
      </c>
      <c r="E245" s="438">
        <v>1.6999999999999999E-3</v>
      </c>
      <c r="F245" s="438">
        <v>2.1166666666666669E-3</v>
      </c>
      <c r="G245" s="438">
        <v>2.1833333333333336E-3</v>
      </c>
      <c r="H245" s="438">
        <v>2.1500000000000004E-3</v>
      </c>
      <c r="I245" s="438">
        <v>2.2416666666666665E-3</v>
      </c>
      <c r="J245" s="438">
        <f t="shared" si="36"/>
        <v>6.9700000000000012E-2</v>
      </c>
      <c r="K245" s="438">
        <f t="shared" si="40"/>
        <v>6.9250000000000006E-2</v>
      </c>
      <c r="L245" s="438">
        <f t="shared" si="41"/>
        <v>0.11765833333333331</v>
      </c>
      <c r="M245" s="446">
        <f t="shared" si="37"/>
        <v>0.43878796685530763</v>
      </c>
      <c r="N245" s="446">
        <f t="shared" si="38"/>
        <v>2.0399999999999998E-2</v>
      </c>
      <c r="O245" s="446">
        <f t="shared" si="42"/>
        <v>2.5800000000000003E-2</v>
      </c>
      <c r="P245" s="447">
        <f t="shared" si="39"/>
        <v>0.41838796685530766</v>
      </c>
      <c r="Q245" s="446">
        <f t="shared" si="43"/>
        <v>0.41298796685530764</v>
      </c>
      <c r="R245" s="446">
        <f t="shared" si="44"/>
        <v>0.63573181388244837</v>
      </c>
      <c r="S245" s="446">
        <f t="shared" si="45"/>
        <v>2.69E-2</v>
      </c>
      <c r="T245" s="447">
        <f t="shared" si="46"/>
        <v>0.60883181388244834</v>
      </c>
      <c r="V245" s="448"/>
      <c r="W245" s="448"/>
      <c r="X245" s="448"/>
      <c r="Y245" s="448"/>
      <c r="Z245" s="448"/>
      <c r="AA245" s="448"/>
      <c r="AB245" s="448"/>
      <c r="AC245" s="448"/>
      <c r="AD245" s="448"/>
      <c r="AF245" s="448"/>
      <c r="AG245" s="448"/>
      <c r="AH245" s="448"/>
      <c r="AI245" s="448"/>
      <c r="AJ245" s="448"/>
      <c r="AK245" s="448"/>
      <c r="AL245" s="448"/>
      <c r="AM245" s="448"/>
      <c r="AN245" s="448"/>
      <c r="AP245" s="448"/>
      <c r="AQ245" s="448"/>
      <c r="AR245" s="448"/>
      <c r="AS245" s="448"/>
      <c r="AT245" s="448"/>
      <c r="AU245" s="448"/>
      <c r="AV245" s="448"/>
      <c r="AW245" s="448"/>
      <c r="AX245" s="448"/>
    </row>
    <row r="246" spans="1:50" x14ac:dyDescent="0.4">
      <c r="A246" s="442" t="str">
        <f t="shared" si="47"/>
        <v>21946</v>
      </c>
      <c r="B246" s="442">
        <v>16834</v>
      </c>
      <c r="C246" s="455">
        <v>-6.4100000000000004E-2</v>
      </c>
      <c r="D246" s="438">
        <v>-6.4000000000000001E-2</v>
      </c>
      <c r="E246" s="438">
        <v>1.5E-3</v>
      </c>
      <c r="F246" s="438">
        <v>2.0666666666666667E-3</v>
      </c>
      <c r="G246" s="438">
        <v>2.1333333333333334E-3</v>
      </c>
      <c r="H246" s="438">
        <v>2.1000000000000003E-3</v>
      </c>
      <c r="I246" s="438">
        <v>2.225E-3</v>
      </c>
      <c r="J246" s="438">
        <f t="shared" si="36"/>
        <v>-6.5600000000000006E-2</v>
      </c>
      <c r="K246" s="438">
        <f t="shared" si="40"/>
        <v>-6.6200000000000009E-2</v>
      </c>
      <c r="L246" s="438">
        <f t="shared" si="41"/>
        <v>-6.6225000000000006E-2</v>
      </c>
      <c r="M246" s="446">
        <f t="shared" si="37"/>
        <v>0.26047145762415269</v>
      </c>
      <c r="N246" s="446">
        <f t="shared" si="38"/>
        <v>1.8000000000000002E-2</v>
      </c>
      <c r="O246" s="446">
        <f t="shared" si="42"/>
        <v>2.5200000000000004E-2</v>
      </c>
      <c r="P246" s="447">
        <f t="shared" si="39"/>
        <v>0.24247145762415268</v>
      </c>
      <c r="Q246" s="446">
        <f t="shared" si="43"/>
        <v>0.23527145762415269</v>
      </c>
      <c r="R246" s="446">
        <f t="shared" si="44"/>
        <v>0.43155210639922537</v>
      </c>
      <c r="S246" s="446">
        <f t="shared" si="45"/>
        <v>2.6700000000000002E-2</v>
      </c>
      <c r="T246" s="447">
        <f t="shared" si="46"/>
        <v>0.40485210639922536</v>
      </c>
      <c r="V246" s="448"/>
      <c r="W246" s="448"/>
      <c r="X246" s="448"/>
      <c r="Y246" s="448"/>
      <c r="Z246" s="448"/>
      <c r="AA246" s="448"/>
      <c r="AB246" s="448"/>
      <c r="AC246" s="448"/>
      <c r="AD246" s="448"/>
      <c r="AF246" s="448"/>
      <c r="AG246" s="448"/>
      <c r="AH246" s="448"/>
      <c r="AI246" s="448"/>
      <c r="AJ246" s="448"/>
      <c r="AK246" s="448"/>
      <c r="AL246" s="448"/>
      <c r="AM246" s="448"/>
      <c r="AN246" s="448"/>
      <c r="AP246" s="448"/>
      <c r="AQ246" s="448"/>
      <c r="AR246" s="448"/>
      <c r="AS246" s="448"/>
      <c r="AT246" s="448"/>
      <c r="AU246" s="448"/>
      <c r="AV246" s="448"/>
      <c r="AW246" s="448"/>
      <c r="AX246" s="448"/>
    </row>
    <row r="247" spans="1:50" x14ac:dyDescent="0.4">
      <c r="A247" s="442" t="str">
        <f t="shared" si="47"/>
        <v>31946</v>
      </c>
      <c r="B247" s="442">
        <v>16862</v>
      </c>
      <c r="C247" s="455">
        <v>4.8000000000000001E-2</v>
      </c>
      <c r="D247" s="438">
        <v>6.3100000000000003E-2</v>
      </c>
      <c r="E247" s="438">
        <v>1.6000000000000001E-3</v>
      </c>
      <c r="F247" s="438">
        <v>2.0583333333333335E-3</v>
      </c>
      <c r="G247" s="438">
        <v>2.1166666666666669E-3</v>
      </c>
      <c r="H247" s="438">
        <v>2.0874999999999999E-3</v>
      </c>
      <c r="I247" s="438">
        <v>2.2166666666666667E-3</v>
      </c>
      <c r="J247" s="438">
        <f t="shared" si="36"/>
        <v>4.6400000000000004E-2</v>
      </c>
      <c r="K247" s="438">
        <f t="shared" si="40"/>
        <v>4.5912500000000002E-2</v>
      </c>
      <c r="L247" s="438">
        <f t="shared" si="41"/>
        <v>6.0883333333333338E-2</v>
      </c>
      <c r="M247" s="446">
        <f t="shared" si="37"/>
        <v>0.38191661009531486</v>
      </c>
      <c r="N247" s="446">
        <f t="shared" si="38"/>
        <v>1.9200000000000002E-2</v>
      </c>
      <c r="O247" s="446">
        <f t="shared" si="42"/>
        <v>2.5049999999999999E-2</v>
      </c>
      <c r="P247" s="447">
        <f t="shared" si="39"/>
        <v>0.36271661009531486</v>
      </c>
      <c r="Q247" s="446">
        <f t="shared" si="43"/>
        <v>0.35686661009531484</v>
      </c>
      <c r="R247" s="446">
        <f t="shared" si="44"/>
        <v>0.57822570186976718</v>
      </c>
      <c r="S247" s="446">
        <f t="shared" si="45"/>
        <v>2.6599999999999999E-2</v>
      </c>
      <c r="T247" s="447">
        <f t="shared" si="46"/>
        <v>0.55162570186976723</v>
      </c>
      <c r="V247" s="448"/>
      <c r="W247" s="448"/>
      <c r="X247" s="448"/>
      <c r="Y247" s="448"/>
      <c r="Z247" s="448"/>
      <c r="AA247" s="448"/>
      <c r="AB247" s="448"/>
      <c r="AC247" s="448"/>
      <c r="AD247" s="448"/>
      <c r="AF247" s="448"/>
      <c r="AG247" s="448"/>
      <c r="AH247" s="448"/>
      <c r="AI247" s="448"/>
      <c r="AJ247" s="448"/>
      <c r="AK247" s="448"/>
      <c r="AL247" s="448"/>
      <c r="AM247" s="448"/>
      <c r="AN247" s="448"/>
      <c r="AP247" s="448"/>
      <c r="AQ247" s="448"/>
      <c r="AR247" s="448"/>
      <c r="AS247" s="448"/>
      <c r="AT247" s="448"/>
      <c r="AU247" s="448"/>
      <c r="AV247" s="448"/>
      <c r="AW247" s="448"/>
      <c r="AX247" s="448"/>
    </row>
    <row r="248" spans="1:50" x14ac:dyDescent="0.4">
      <c r="A248" s="442" t="str">
        <f t="shared" si="47"/>
        <v>41946</v>
      </c>
      <c r="B248" s="442">
        <v>16893</v>
      </c>
      <c r="C248" s="455">
        <v>3.9300000000000002E-2</v>
      </c>
      <c r="D248" s="438">
        <v>3.3800000000000004E-2</v>
      </c>
      <c r="E248" s="438">
        <v>1.6999999999999999E-3</v>
      </c>
      <c r="F248" s="438">
        <v>2.0499999999999997E-3</v>
      </c>
      <c r="G248" s="438">
        <v>2.1333333333333334E-3</v>
      </c>
      <c r="H248" s="438">
        <v>2.0916666666666666E-3</v>
      </c>
      <c r="I248" s="438">
        <v>2.2083333333333334E-3</v>
      </c>
      <c r="J248" s="438">
        <f t="shared" si="36"/>
        <v>3.7600000000000001E-2</v>
      </c>
      <c r="K248" s="438">
        <f t="shared" si="40"/>
        <v>3.7208333333333336E-2</v>
      </c>
      <c r="L248" s="438">
        <f t="shared" si="41"/>
        <v>3.1591666666666671E-2</v>
      </c>
      <c r="M248" s="446">
        <f t="shared" si="37"/>
        <v>0.31739674635118398</v>
      </c>
      <c r="N248" s="446">
        <f t="shared" si="38"/>
        <v>2.0399999999999998E-2</v>
      </c>
      <c r="O248" s="446">
        <f t="shared" si="42"/>
        <v>2.5099999999999997E-2</v>
      </c>
      <c r="P248" s="447">
        <f t="shared" si="39"/>
        <v>0.296996746351184</v>
      </c>
      <c r="Q248" s="446">
        <f t="shared" si="43"/>
        <v>0.29229674635118397</v>
      </c>
      <c r="R248" s="446">
        <f t="shared" si="44"/>
        <v>0.47439881672959117</v>
      </c>
      <c r="S248" s="446">
        <f t="shared" si="45"/>
        <v>2.6500000000000003E-2</v>
      </c>
      <c r="T248" s="447">
        <f t="shared" si="46"/>
        <v>0.44789881672959114</v>
      </c>
      <c r="V248" s="448"/>
      <c r="W248" s="448"/>
      <c r="X248" s="448"/>
      <c r="Y248" s="448"/>
      <c r="Z248" s="448"/>
      <c r="AA248" s="448"/>
      <c r="AB248" s="448"/>
      <c r="AC248" s="448"/>
      <c r="AD248" s="448"/>
      <c r="AF248" s="448"/>
      <c r="AG248" s="448"/>
      <c r="AH248" s="448"/>
      <c r="AI248" s="448"/>
      <c r="AJ248" s="448"/>
      <c r="AK248" s="448"/>
      <c r="AL248" s="448"/>
      <c r="AM248" s="448"/>
      <c r="AN248" s="448"/>
      <c r="AP248" s="448"/>
      <c r="AQ248" s="448"/>
      <c r="AR248" s="448"/>
      <c r="AS248" s="448"/>
      <c r="AT248" s="448"/>
      <c r="AU248" s="448"/>
      <c r="AV248" s="448"/>
      <c r="AW248" s="448"/>
      <c r="AX248" s="448"/>
    </row>
    <row r="249" spans="1:50" x14ac:dyDescent="0.4">
      <c r="A249" s="442" t="str">
        <f t="shared" si="47"/>
        <v>51946</v>
      </c>
      <c r="B249" s="442">
        <v>16923</v>
      </c>
      <c r="C249" s="455">
        <v>2.8799999999999999E-2</v>
      </c>
      <c r="D249" s="438">
        <v>3.0099999999999998E-2</v>
      </c>
      <c r="E249" s="438">
        <v>1.8E-3</v>
      </c>
      <c r="F249" s="438">
        <v>2.0916666666666666E-3</v>
      </c>
      <c r="G249" s="438">
        <v>2.15E-3</v>
      </c>
      <c r="H249" s="438">
        <v>2.1208333333333331E-3</v>
      </c>
      <c r="I249" s="438">
        <v>2.2416666666666665E-3</v>
      </c>
      <c r="J249" s="438">
        <f t="shared" si="36"/>
        <v>2.7E-2</v>
      </c>
      <c r="K249" s="438">
        <f t="shared" si="40"/>
        <v>2.6679166666666667E-2</v>
      </c>
      <c r="L249" s="438">
        <f t="shared" si="41"/>
        <v>2.7858333333333332E-2</v>
      </c>
      <c r="M249" s="446">
        <f t="shared" si="37"/>
        <v>0.32941419582746256</v>
      </c>
      <c r="N249" s="446">
        <f t="shared" si="38"/>
        <v>2.1600000000000001E-2</v>
      </c>
      <c r="O249" s="446">
        <f t="shared" si="42"/>
        <v>2.5449999999999997E-2</v>
      </c>
      <c r="P249" s="447">
        <f t="shared" si="39"/>
        <v>0.30781419582746256</v>
      </c>
      <c r="Q249" s="446">
        <f t="shared" si="43"/>
        <v>0.30396419582746259</v>
      </c>
      <c r="R249" s="446">
        <f t="shared" si="44"/>
        <v>0.49324375293791389</v>
      </c>
      <c r="S249" s="446">
        <f t="shared" si="45"/>
        <v>2.69E-2</v>
      </c>
      <c r="T249" s="447">
        <f t="shared" si="46"/>
        <v>0.46634375293791391</v>
      </c>
      <c r="V249" s="448"/>
      <c r="W249" s="448"/>
      <c r="X249" s="448"/>
      <c r="Y249" s="448"/>
      <c r="Z249" s="448"/>
      <c r="AA249" s="448"/>
      <c r="AB249" s="448"/>
      <c r="AC249" s="448"/>
      <c r="AD249" s="448"/>
      <c r="AF249" s="448"/>
      <c r="AG249" s="448"/>
      <c r="AH249" s="448"/>
      <c r="AI249" s="448"/>
      <c r="AJ249" s="448"/>
      <c r="AK249" s="448"/>
      <c r="AL249" s="448"/>
      <c r="AM249" s="448"/>
      <c r="AN249" s="448"/>
      <c r="AP249" s="448"/>
      <c r="AQ249" s="448"/>
      <c r="AR249" s="448"/>
      <c r="AS249" s="448"/>
      <c r="AT249" s="448"/>
      <c r="AU249" s="448"/>
      <c r="AV249" s="448"/>
      <c r="AW249" s="448"/>
      <c r="AX249" s="448"/>
    </row>
    <row r="250" spans="1:50" x14ac:dyDescent="0.4">
      <c r="A250" s="442" t="str">
        <f t="shared" si="47"/>
        <v>61946</v>
      </c>
      <c r="B250" s="442">
        <v>16954</v>
      </c>
      <c r="C250" s="455">
        <v>-3.6999999999999998E-2</v>
      </c>
      <c r="D250" s="438">
        <v>-2.76E-2</v>
      </c>
      <c r="E250" s="438">
        <v>1.6000000000000001E-3</v>
      </c>
      <c r="F250" s="438">
        <v>2.075E-3</v>
      </c>
      <c r="G250" s="438">
        <v>2.1583333333333333E-3</v>
      </c>
      <c r="H250" s="438">
        <v>2.1166666666666669E-3</v>
      </c>
      <c r="I250" s="438">
        <v>2.2500000000000003E-3</v>
      </c>
      <c r="J250" s="438">
        <f t="shared" si="36"/>
        <v>-3.8599999999999995E-2</v>
      </c>
      <c r="K250" s="438">
        <f t="shared" si="40"/>
        <v>-3.9116666666666668E-2</v>
      </c>
      <c r="L250" s="438">
        <f t="shared" si="41"/>
        <v>-2.9850000000000002E-2</v>
      </c>
      <c r="M250" s="446">
        <f t="shared" si="37"/>
        <v>0.28112265644135559</v>
      </c>
      <c r="N250" s="446">
        <f t="shared" si="38"/>
        <v>1.9200000000000002E-2</v>
      </c>
      <c r="O250" s="446">
        <f t="shared" si="42"/>
        <v>2.5400000000000002E-2</v>
      </c>
      <c r="P250" s="447">
        <f t="shared" si="39"/>
        <v>0.26192265644135559</v>
      </c>
      <c r="Q250" s="446">
        <f t="shared" si="43"/>
        <v>0.25572265644135561</v>
      </c>
      <c r="R250" s="446">
        <f t="shared" si="44"/>
        <v>0.36187415621536978</v>
      </c>
      <c r="S250" s="446">
        <f t="shared" si="45"/>
        <v>2.7000000000000003E-2</v>
      </c>
      <c r="T250" s="447">
        <f t="shared" si="46"/>
        <v>0.33487415621536976</v>
      </c>
      <c r="V250" s="448"/>
      <c r="W250" s="448"/>
      <c r="X250" s="448"/>
      <c r="Y250" s="448"/>
      <c r="Z250" s="448"/>
      <c r="AA250" s="448"/>
      <c r="AB250" s="448"/>
      <c r="AC250" s="448"/>
      <c r="AD250" s="448"/>
      <c r="AF250" s="448"/>
      <c r="AG250" s="448"/>
      <c r="AH250" s="448"/>
      <c r="AI250" s="448"/>
      <c r="AJ250" s="448"/>
      <c r="AK250" s="448"/>
      <c r="AL250" s="448"/>
      <c r="AM250" s="448"/>
      <c r="AN250" s="448"/>
      <c r="AP250" s="448"/>
      <c r="AQ250" s="448"/>
      <c r="AR250" s="448"/>
      <c r="AS250" s="448"/>
      <c r="AT250" s="448"/>
      <c r="AU250" s="448"/>
      <c r="AV250" s="448"/>
      <c r="AW250" s="448"/>
      <c r="AX250" s="448"/>
    </row>
    <row r="251" spans="1:50" x14ac:dyDescent="0.4">
      <c r="A251" s="442" t="str">
        <f t="shared" si="47"/>
        <v>71946</v>
      </c>
      <c r="B251" s="442">
        <v>16984</v>
      </c>
      <c r="C251" s="455">
        <v>-2.3900000000000001E-2</v>
      </c>
      <c r="D251" s="438">
        <v>-3.95E-2</v>
      </c>
      <c r="E251" s="438">
        <v>1.9E-3</v>
      </c>
      <c r="F251" s="438">
        <v>2.0666666666666667E-3</v>
      </c>
      <c r="G251" s="438">
        <v>2.1583333333333333E-3</v>
      </c>
      <c r="H251" s="438">
        <v>2.1124999999999998E-3</v>
      </c>
      <c r="I251" s="438">
        <v>2.2416666666666665E-3</v>
      </c>
      <c r="J251" s="438">
        <f t="shared" si="36"/>
        <v>-2.58E-2</v>
      </c>
      <c r="K251" s="438">
        <f t="shared" si="40"/>
        <v>-2.6012500000000001E-2</v>
      </c>
      <c r="L251" s="438">
        <f t="shared" si="41"/>
        <v>-4.174166666666667E-2</v>
      </c>
      <c r="M251" s="446">
        <f t="shared" si="37"/>
        <v>0.2734254836582557</v>
      </c>
      <c r="N251" s="446">
        <f t="shared" si="38"/>
        <v>2.2800000000000001E-2</v>
      </c>
      <c r="O251" s="446">
        <f t="shared" si="42"/>
        <v>2.5349999999999998E-2</v>
      </c>
      <c r="P251" s="447">
        <f t="shared" si="39"/>
        <v>0.25062548365825571</v>
      </c>
      <c r="Q251" s="446">
        <f t="shared" si="43"/>
        <v>0.24807548365825571</v>
      </c>
      <c r="R251" s="446">
        <f t="shared" si="44"/>
        <v>0.31478553326451131</v>
      </c>
      <c r="S251" s="446">
        <f t="shared" si="45"/>
        <v>2.69E-2</v>
      </c>
      <c r="T251" s="447">
        <f t="shared" si="46"/>
        <v>0.28788553326451133</v>
      </c>
      <c r="V251" s="448"/>
      <c r="W251" s="448"/>
      <c r="X251" s="448"/>
      <c r="Y251" s="448"/>
      <c r="Z251" s="448"/>
      <c r="AA251" s="448"/>
      <c r="AB251" s="448"/>
      <c r="AC251" s="448"/>
      <c r="AD251" s="448"/>
      <c r="AF251" s="448"/>
      <c r="AG251" s="448"/>
      <c r="AH251" s="448"/>
      <c r="AI251" s="448"/>
      <c r="AJ251" s="448"/>
      <c r="AK251" s="448"/>
      <c r="AL251" s="448"/>
      <c r="AM251" s="448"/>
      <c r="AN251" s="448"/>
      <c r="AP251" s="448"/>
      <c r="AQ251" s="448"/>
      <c r="AR251" s="448"/>
      <c r="AS251" s="448"/>
      <c r="AT251" s="448"/>
      <c r="AU251" s="448"/>
      <c r="AV251" s="448"/>
      <c r="AW251" s="448"/>
      <c r="AX251" s="448"/>
    </row>
    <row r="252" spans="1:50" x14ac:dyDescent="0.4">
      <c r="A252" s="442" t="str">
        <f t="shared" si="47"/>
        <v>81946</v>
      </c>
      <c r="B252" s="442">
        <v>17015</v>
      </c>
      <c r="C252" s="455">
        <v>-6.7400000000000002E-2</v>
      </c>
      <c r="D252" s="438">
        <v>-7.2399999999999992E-2</v>
      </c>
      <c r="E252" s="438">
        <v>1.6999999999999999E-3</v>
      </c>
      <c r="F252" s="438">
        <v>2.0916666666666666E-3</v>
      </c>
      <c r="G252" s="438">
        <v>2.1833333333333336E-3</v>
      </c>
      <c r="H252" s="438">
        <v>2.1375000000000001E-3</v>
      </c>
      <c r="I252" s="438">
        <v>2.2583333333333331E-3</v>
      </c>
      <c r="J252" s="438">
        <f t="shared" si="36"/>
        <v>-6.9099999999999995E-2</v>
      </c>
      <c r="K252" s="438">
        <f t="shared" si="40"/>
        <v>-6.9537500000000002E-2</v>
      </c>
      <c r="L252" s="438">
        <f t="shared" si="41"/>
        <v>-7.4658333333333327E-2</v>
      </c>
      <c r="M252" s="446">
        <f t="shared" si="37"/>
        <v>0.11605733113399941</v>
      </c>
      <c r="N252" s="446">
        <f t="shared" si="38"/>
        <v>2.0399999999999998E-2</v>
      </c>
      <c r="O252" s="446">
        <f t="shared" si="42"/>
        <v>2.5649999999999999E-2</v>
      </c>
      <c r="P252" s="447">
        <f t="shared" si="39"/>
        <v>9.5657331133999407E-2</v>
      </c>
      <c r="Q252" s="446">
        <f t="shared" si="43"/>
        <v>9.0407331133999402E-2</v>
      </c>
      <c r="R252" s="446">
        <f t="shared" si="44"/>
        <v>0.21582600005598751</v>
      </c>
      <c r="S252" s="446">
        <f t="shared" si="45"/>
        <v>2.7099999999999999E-2</v>
      </c>
      <c r="T252" s="447">
        <f t="shared" si="46"/>
        <v>0.1887260000559875</v>
      </c>
      <c r="V252" s="448"/>
      <c r="W252" s="448"/>
      <c r="X252" s="448"/>
      <c r="Y252" s="448"/>
      <c r="Z252" s="448"/>
      <c r="AA252" s="448"/>
      <c r="AB252" s="448"/>
      <c r="AC252" s="448"/>
      <c r="AD252" s="448"/>
      <c r="AF252" s="448"/>
      <c r="AG252" s="448"/>
      <c r="AH252" s="448"/>
      <c r="AI252" s="448"/>
      <c r="AJ252" s="448"/>
      <c r="AK252" s="448"/>
      <c r="AL252" s="448"/>
      <c r="AM252" s="448"/>
      <c r="AN252" s="448"/>
      <c r="AP252" s="448"/>
      <c r="AQ252" s="448"/>
      <c r="AR252" s="448"/>
      <c r="AS252" s="448"/>
      <c r="AT252" s="448"/>
      <c r="AU252" s="448"/>
      <c r="AV252" s="448"/>
      <c r="AW252" s="448"/>
      <c r="AX252" s="448"/>
    </row>
    <row r="253" spans="1:50" x14ac:dyDescent="0.4">
      <c r="A253" s="442" t="str">
        <f t="shared" si="47"/>
        <v>91946</v>
      </c>
      <c r="B253" s="442">
        <v>17046</v>
      </c>
      <c r="C253" s="455">
        <v>-9.9699999999999997E-2</v>
      </c>
      <c r="D253" s="438">
        <v>-0.1051</v>
      </c>
      <c r="E253" s="438">
        <v>1.8E-3</v>
      </c>
      <c r="F253" s="438">
        <v>2.15E-3</v>
      </c>
      <c r="G253" s="438">
        <v>2.2333333333333337E-3</v>
      </c>
      <c r="H253" s="438">
        <v>2.1916666666666668E-3</v>
      </c>
      <c r="I253" s="438">
        <v>2.2916666666666667E-3</v>
      </c>
      <c r="J253" s="438">
        <f t="shared" si="36"/>
        <v>-0.10149999999999999</v>
      </c>
      <c r="K253" s="438">
        <f t="shared" si="40"/>
        <v>-0.10189166666666666</v>
      </c>
      <c r="L253" s="438">
        <f t="shared" si="41"/>
        <v>-0.10739166666666666</v>
      </c>
      <c r="M253" s="446">
        <f t="shared" si="37"/>
        <v>-3.7376494328472898E-2</v>
      </c>
      <c r="N253" s="446">
        <f t="shared" si="38"/>
        <v>2.1600000000000001E-2</v>
      </c>
      <c r="O253" s="446">
        <f t="shared" si="42"/>
        <v>2.6300000000000004E-2</v>
      </c>
      <c r="P253" s="447">
        <f t="shared" si="39"/>
        <v>-5.8976494328472899E-2</v>
      </c>
      <c r="Q253" s="446">
        <f t="shared" si="43"/>
        <v>-6.3676494328472902E-2</v>
      </c>
      <c r="R253" s="446">
        <f t="shared" si="44"/>
        <v>1.3169464056339342E-2</v>
      </c>
      <c r="S253" s="446">
        <f t="shared" si="45"/>
        <v>2.75E-2</v>
      </c>
      <c r="T253" s="447">
        <f t="shared" si="46"/>
        <v>-1.4330535943660658E-2</v>
      </c>
      <c r="V253" s="448"/>
      <c r="W253" s="448"/>
      <c r="X253" s="448"/>
      <c r="Y253" s="448"/>
      <c r="Z253" s="448"/>
      <c r="AA253" s="448"/>
      <c r="AB253" s="448"/>
      <c r="AC253" s="448"/>
      <c r="AD253" s="448"/>
      <c r="AF253" s="448"/>
      <c r="AG253" s="448"/>
      <c r="AH253" s="448"/>
      <c r="AI253" s="448"/>
      <c r="AJ253" s="448"/>
      <c r="AK253" s="448"/>
      <c r="AL253" s="448"/>
      <c r="AM253" s="448"/>
      <c r="AN253" s="448"/>
      <c r="AP253" s="448"/>
      <c r="AQ253" s="448"/>
      <c r="AR253" s="448"/>
      <c r="AS253" s="448"/>
      <c r="AT253" s="448"/>
      <c r="AU253" s="448"/>
      <c r="AV253" s="448"/>
      <c r="AW253" s="448"/>
      <c r="AX253" s="448"/>
    </row>
    <row r="254" spans="1:50" x14ac:dyDescent="0.4">
      <c r="A254" s="442" t="str">
        <f t="shared" si="47"/>
        <v>101946</v>
      </c>
      <c r="B254" s="442">
        <v>17076</v>
      </c>
      <c r="C254" s="455">
        <v>-6.0000000000000001E-3</v>
      </c>
      <c r="D254" s="438">
        <v>2.1999999999999999E-2</v>
      </c>
      <c r="E254" s="438">
        <v>1.9E-3</v>
      </c>
      <c r="F254" s="438">
        <v>2.1666666666666666E-3</v>
      </c>
      <c r="G254" s="438">
        <v>2.2500000000000003E-3</v>
      </c>
      <c r="H254" s="438">
        <v>2.2083333333333334E-3</v>
      </c>
      <c r="I254" s="438">
        <v>2.3E-3</v>
      </c>
      <c r="J254" s="438">
        <f t="shared" si="36"/>
        <v>-7.9000000000000008E-3</v>
      </c>
      <c r="K254" s="438">
        <f t="shared" si="40"/>
        <v>-8.2083333333333331E-3</v>
      </c>
      <c r="L254" s="438">
        <f t="shared" si="41"/>
        <v>1.9699999999999999E-2</v>
      </c>
      <c r="M254" s="446">
        <f t="shared" si="37"/>
        <v>-7.3001584346543247E-2</v>
      </c>
      <c r="N254" s="446">
        <f t="shared" si="38"/>
        <v>2.2800000000000001E-2</v>
      </c>
      <c r="O254" s="446">
        <f t="shared" si="42"/>
        <v>2.6500000000000003E-2</v>
      </c>
      <c r="P254" s="447">
        <f t="shared" si="39"/>
        <v>-9.5801584346543248E-2</v>
      </c>
      <c r="Q254" s="446">
        <f t="shared" si="43"/>
        <v>-9.9501584346543243E-2</v>
      </c>
      <c r="R254" s="446">
        <f t="shared" si="44"/>
        <v>-2.691552272758313E-2</v>
      </c>
      <c r="S254" s="446">
        <f t="shared" si="45"/>
        <v>2.76E-2</v>
      </c>
      <c r="T254" s="447">
        <f t="shared" si="46"/>
        <v>-5.4515522727583129E-2</v>
      </c>
      <c r="V254" s="448"/>
      <c r="W254" s="448"/>
      <c r="X254" s="448"/>
      <c r="Y254" s="448"/>
      <c r="Z254" s="448"/>
      <c r="AA254" s="448"/>
      <c r="AB254" s="448"/>
      <c r="AC254" s="448"/>
      <c r="AD254" s="448"/>
      <c r="AF254" s="448"/>
      <c r="AG254" s="448"/>
      <c r="AH254" s="448"/>
      <c r="AI254" s="448"/>
      <c r="AJ254" s="448"/>
      <c r="AK254" s="448"/>
      <c r="AL254" s="448"/>
      <c r="AM254" s="448"/>
      <c r="AN254" s="448"/>
      <c r="AP254" s="448"/>
      <c r="AQ254" s="448"/>
      <c r="AR254" s="448"/>
      <c r="AS254" s="448"/>
      <c r="AT254" s="448"/>
      <c r="AU254" s="448"/>
      <c r="AV254" s="448"/>
      <c r="AW254" s="448"/>
      <c r="AX254" s="448"/>
    </row>
    <row r="255" spans="1:50" x14ac:dyDescent="0.4">
      <c r="A255" s="442" t="str">
        <f t="shared" si="47"/>
        <v>111946</v>
      </c>
      <c r="B255" s="442">
        <v>17107</v>
      </c>
      <c r="C255" s="455">
        <v>-2.7000000000000001E-3</v>
      </c>
      <c r="D255" s="438">
        <v>5.7999999999999996E-3</v>
      </c>
      <c r="E255" s="438">
        <v>1.8E-3</v>
      </c>
      <c r="F255" s="438">
        <v>2.1583333333333333E-3</v>
      </c>
      <c r="G255" s="438">
        <v>2.2416666666666665E-3</v>
      </c>
      <c r="H255" s="438">
        <v>2.1999999999999997E-3</v>
      </c>
      <c r="I255" s="438">
        <v>2.3E-3</v>
      </c>
      <c r="J255" s="438">
        <f t="shared" si="36"/>
        <v>-4.5000000000000005E-3</v>
      </c>
      <c r="K255" s="438">
        <f t="shared" si="40"/>
        <v>-4.8999999999999998E-3</v>
      </c>
      <c r="L255" s="438">
        <f t="shared" si="41"/>
        <v>3.4999999999999996E-3</v>
      </c>
      <c r="M255" s="446">
        <f t="shared" si="37"/>
        <v>-0.11071996928511718</v>
      </c>
      <c r="N255" s="446">
        <f t="shared" si="38"/>
        <v>2.1600000000000001E-2</v>
      </c>
      <c r="O255" s="446">
        <f t="shared" si="42"/>
        <v>2.6399999999999996E-2</v>
      </c>
      <c r="P255" s="447">
        <f t="shared" si="39"/>
        <v>-0.13231996928511719</v>
      </c>
      <c r="Q255" s="446">
        <f t="shared" si="43"/>
        <v>-0.13711996928511719</v>
      </c>
      <c r="R255" s="446">
        <f t="shared" si="44"/>
        <v>-6.5296182560789617E-2</v>
      </c>
      <c r="S255" s="446">
        <f t="shared" si="45"/>
        <v>2.76E-2</v>
      </c>
      <c r="T255" s="447">
        <f t="shared" si="46"/>
        <v>-9.2896182560789617E-2</v>
      </c>
      <c r="V255" s="448"/>
      <c r="W255" s="448"/>
      <c r="X255" s="448"/>
      <c r="Y255" s="448"/>
      <c r="Z255" s="448"/>
      <c r="AA255" s="448"/>
      <c r="AB255" s="448"/>
      <c r="AC255" s="448"/>
      <c r="AD255" s="448"/>
      <c r="AF255" s="448"/>
      <c r="AG255" s="448"/>
      <c r="AH255" s="448"/>
      <c r="AI255" s="448"/>
      <c r="AJ255" s="448"/>
      <c r="AK255" s="448"/>
      <c r="AL255" s="448"/>
      <c r="AM255" s="448"/>
      <c r="AN255" s="448"/>
      <c r="AP255" s="448"/>
      <c r="AQ255" s="448"/>
      <c r="AR255" s="448"/>
      <c r="AS255" s="448"/>
      <c r="AT255" s="448"/>
      <c r="AU255" s="448"/>
      <c r="AV255" s="448"/>
      <c r="AW255" s="448"/>
      <c r="AX255" s="448"/>
    </row>
    <row r="256" spans="1:50" x14ac:dyDescent="0.4">
      <c r="A256" s="442" t="str">
        <f t="shared" si="47"/>
        <v>121946</v>
      </c>
      <c r="B256" s="442">
        <v>17137</v>
      </c>
      <c r="C256" s="455">
        <v>4.5699999999999998E-2</v>
      </c>
      <c r="D256" s="438">
        <v>7.0599999999999996E-2</v>
      </c>
      <c r="E256" s="438">
        <v>1.9E-3</v>
      </c>
      <c r="F256" s="438">
        <v>2.1749999999999999E-3</v>
      </c>
      <c r="G256" s="438">
        <v>2.2416666666666665E-3</v>
      </c>
      <c r="H256" s="438">
        <v>2.2083333333333334E-3</v>
      </c>
      <c r="I256" s="438">
        <v>2.3E-3</v>
      </c>
      <c r="J256" s="438">
        <f t="shared" si="36"/>
        <v>4.3799999999999999E-2</v>
      </c>
      <c r="K256" s="438">
        <f t="shared" si="40"/>
        <v>4.3491666666666665E-2</v>
      </c>
      <c r="L256" s="438">
        <f t="shared" si="41"/>
        <v>6.83E-2</v>
      </c>
      <c r="M256" s="446">
        <f t="shared" si="37"/>
        <v>-8.0743250179366566E-2</v>
      </c>
      <c r="N256" s="446">
        <f t="shared" si="38"/>
        <v>2.2800000000000001E-2</v>
      </c>
      <c r="O256" s="446">
        <f t="shared" si="42"/>
        <v>2.6500000000000003E-2</v>
      </c>
      <c r="P256" s="447">
        <f t="shared" si="39"/>
        <v>-0.10354325017936657</v>
      </c>
      <c r="Q256" s="446">
        <f t="shared" si="43"/>
        <v>-0.10724325017936656</v>
      </c>
      <c r="R256" s="446">
        <f t="shared" si="44"/>
        <v>1.2540632348900571E-2</v>
      </c>
      <c r="S256" s="446">
        <f t="shared" si="45"/>
        <v>2.76E-2</v>
      </c>
      <c r="T256" s="447">
        <f t="shared" si="46"/>
        <v>-1.5059367651099428E-2</v>
      </c>
      <c r="V256" s="448"/>
      <c r="W256" s="448"/>
      <c r="X256" s="448"/>
      <c r="Y256" s="448"/>
      <c r="Z256" s="448"/>
      <c r="AA256" s="448"/>
      <c r="AB256" s="448"/>
      <c r="AC256" s="448"/>
      <c r="AD256" s="448"/>
      <c r="AF256" s="448"/>
      <c r="AG256" s="448"/>
      <c r="AH256" s="448"/>
      <c r="AI256" s="448"/>
      <c r="AJ256" s="448"/>
      <c r="AK256" s="448"/>
      <c r="AL256" s="448"/>
      <c r="AM256" s="448"/>
      <c r="AN256" s="448"/>
      <c r="AP256" s="448"/>
      <c r="AQ256" s="448"/>
      <c r="AR256" s="448"/>
      <c r="AS256" s="448"/>
      <c r="AT256" s="448"/>
      <c r="AU256" s="448"/>
      <c r="AV256" s="448"/>
      <c r="AW256" s="448"/>
      <c r="AX256" s="448"/>
    </row>
    <row r="257" spans="1:50" x14ac:dyDescent="0.4">
      <c r="A257" s="442" t="str">
        <f t="shared" si="47"/>
        <v>11947</v>
      </c>
      <c r="B257" s="442">
        <v>17168</v>
      </c>
      <c r="C257" s="455">
        <v>2.5499999999999998E-2</v>
      </c>
      <c r="D257" s="438">
        <v>-2.0000000000000012E-4</v>
      </c>
      <c r="E257" s="438">
        <v>1.8E-3</v>
      </c>
      <c r="F257" s="438">
        <v>2.1416666666666663E-3</v>
      </c>
      <c r="G257" s="438">
        <v>2.2083333333333334E-3</v>
      </c>
      <c r="H257" s="438">
        <v>2.1749999999999999E-3</v>
      </c>
      <c r="I257" s="438">
        <v>2.2666666666666668E-3</v>
      </c>
      <c r="J257" s="438">
        <f t="shared" si="36"/>
        <v>2.3699999999999999E-2</v>
      </c>
      <c r="K257" s="438">
        <f t="shared" si="40"/>
        <v>2.3324999999999999E-2</v>
      </c>
      <c r="L257" s="438">
        <f t="shared" si="41"/>
        <v>-2.4666666666666669E-3</v>
      </c>
      <c r="M257" s="446">
        <f t="shared" si="37"/>
        <v>-0.12012525952859809</v>
      </c>
      <c r="N257" s="446">
        <f t="shared" si="38"/>
        <v>2.1600000000000001E-2</v>
      </c>
      <c r="O257" s="446">
        <f t="shared" si="42"/>
        <v>2.6099999999999998E-2</v>
      </c>
      <c r="P257" s="447">
        <f t="shared" si="39"/>
        <v>-0.1417252595285981</v>
      </c>
      <c r="Q257" s="446">
        <f t="shared" si="43"/>
        <v>-0.14622525952859811</v>
      </c>
      <c r="R257" s="446">
        <f t="shared" si="44"/>
        <v>-9.6045964619670521E-2</v>
      </c>
      <c r="S257" s="446">
        <f t="shared" si="45"/>
        <v>2.7200000000000002E-2</v>
      </c>
      <c r="T257" s="447">
        <f t="shared" si="46"/>
        <v>-0.12324596461967052</v>
      </c>
      <c r="V257" s="448"/>
      <c r="W257" s="448"/>
      <c r="X257" s="448"/>
      <c r="Y257" s="448"/>
      <c r="Z257" s="448"/>
      <c r="AA257" s="448"/>
      <c r="AB257" s="448"/>
      <c r="AC257" s="448"/>
      <c r="AD257" s="448"/>
      <c r="AF257" s="448"/>
      <c r="AG257" s="448"/>
      <c r="AH257" s="448"/>
      <c r="AI257" s="448"/>
      <c r="AJ257" s="448"/>
      <c r="AK257" s="448"/>
      <c r="AL257" s="448"/>
      <c r="AM257" s="448"/>
      <c r="AN257" s="448"/>
      <c r="AP257" s="448"/>
      <c r="AQ257" s="448"/>
      <c r="AR257" s="448"/>
      <c r="AS257" s="448"/>
      <c r="AT257" s="448"/>
      <c r="AU257" s="448"/>
      <c r="AV257" s="448"/>
      <c r="AW257" s="448"/>
      <c r="AX257" s="448"/>
    </row>
    <row r="258" spans="1:50" x14ac:dyDescent="0.4">
      <c r="A258" s="442" t="str">
        <f t="shared" si="47"/>
        <v>21947</v>
      </c>
      <c r="B258" s="442">
        <v>17199</v>
      </c>
      <c r="C258" s="455">
        <v>-7.7000000000000002E-3</v>
      </c>
      <c r="D258" s="438">
        <v>-8.8999999999999999E-3</v>
      </c>
      <c r="E258" s="438">
        <v>1.6000000000000001E-3</v>
      </c>
      <c r="F258" s="438">
        <v>2.1250000000000002E-3</v>
      </c>
      <c r="G258" s="438">
        <v>2.2000000000000001E-3</v>
      </c>
      <c r="H258" s="438">
        <v>2.1624999999999999E-3</v>
      </c>
      <c r="I258" s="438">
        <v>2.2666666666666668E-3</v>
      </c>
      <c r="J258" s="438">
        <f t="shared" si="36"/>
        <v>-9.300000000000001E-3</v>
      </c>
      <c r="K258" s="438">
        <f t="shared" si="40"/>
        <v>-9.8624999999999997E-3</v>
      </c>
      <c r="L258" s="438">
        <f t="shared" si="41"/>
        <v>-1.1166666666666667E-2</v>
      </c>
      <c r="M258" s="446">
        <f t="shared" si="37"/>
        <v>-6.7101501261061958E-2</v>
      </c>
      <c r="N258" s="446">
        <f t="shared" si="38"/>
        <v>1.9200000000000002E-2</v>
      </c>
      <c r="O258" s="446">
        <f t="shared" si="42"/>
        <v>2.5950000000000001E-2</v>
      </c>
      <c r="P258" s="447">
        <f t="shared" si="39"/>
        <v>-8.6301501261061953E-2</v>
      </c>
      <c r="Q258" s="446">
        <f t="shared" si="43"/>
        <v>-9.3051501261061959E-2</v>
      </c>
      <c r="R258" s="446">
        <f t="shared" si="44"/>
        <v>-4.2832431126661907E-2</v>
      </c>
      <c r="S258" s="446">
        <f t="shared" si="45"/>
        <v>2.7200000000000002E-2</v>
      </c>
      <c r="T258" s="447">
        <f t="shared" si="46"/>
        <v>-7.0032431126661909E-2</v>
      </c>
      <c r="V258" s="448"/>
      <c r="W258" s="448"/>
      <c r="X258" s="448"/>
      <c r="Y258" s="448"/>
      <c r="Z258" s="448"/>
      <c r="AA258" s="448"/>
      <c r="AB258" s="448"/>
      <c r="AC258" s="448"/>
      <c r="AD258" s="448"/>
      <c r="AF258" s="448"/>
      <c r="AG258" s="448"/>
      <c r="AH258" s="448"/>
      <c r="AI258" s="448"/>
      <c r="AJ258" s="448"/>
      <c r="AK258" s="448"/>
      <c r="AL258" s="448"/>
      <c r="AM258" s="448"/>
      <c r="AN258" s="448"/>
      <c r="AP258" s="448"/>
      <c r="AQ258" s="448"/>
      <c r="AR258" s="448"/>
      <c r="AS258" s="448"/>
      <c r="AT258" s="448"/>
      <c r="AU258" s="448"/>
      <c r="AV258" s="448"/>
      <c r="AW258" s="448"/>
      <c r="AX258" s="448"/>
    </row>
    <row r="259" spans="1:50" x14ac:dyDescent="0.4">
      <c r="A259" s="442" t="str">
        <f t="shared" si="47"/>
        <v>31947</v>
      </c>
      <c r="B259" s="442">
        <v>17227</v>
      </c>
      <c r="C259" s="455">
        <v>-1.49E-2</v>
      </c>
      <c r="D259" s="438">
        <v>-3.6399999999999995E-2</v>
      </c>
      <c r="E259" s="438">
        <v>1.8E-3</v>
      </c>
      <c r="F259" s="438">
        <v>2.1250000000000002E-3</v>
      </c>
      <c r="G259" s="438">
        <v>2.2000000000000001E-3</v>
      </c>
      <c r="H259" s="438">
        <v>2.1624999999999999E-3</v>
      </c>
      <c r="I259" s="438">
        <v>2.2666666666666668E-3</v>
      </c>
      <c r="J259" s="438">
        <f t="shared" si="36"/>
        <v>-1.67E-2</v>
      </c>
      <c r="K259" s="438">
        <f t="shared" si="40"/>
        <v>-1.7062500000000001E-2</v>
      </c>
      <c r="L259" s="438">
        <f t="shared" si="41"/>
        <v>-3.8666666666666662E-2</v>
      </c>
      <c r="M259" s="446">
        <f t="shared" si="37"/>
        <v>-0.12309321459186295</v>
      </c>
      <c r="N259" s="446">
        <f t="shared" si="38"/>
        <v>2.1600000000000001E-2</v>
      </c>
      <c r="O259" s="446">
        <f t="shared" si="42"/>
        <v>2.5950000000000001E-2</v>
      </c>
      <c r="P259" s="447">
        <f t="shared" si="39"/>
        <v>-0.14469321459186296</v>
      </c>
      <c r="Q259" s="446">
        <f t="shared" si="43"/>
        <v>-0.14904321459186295</v>
      </c>
      <c r="R259" s="446">
        <f t="shared" si="44"/>
        <v>-0.13241776938543071</v>
      </c>
      <c r="S259" s="446">
        <f t="shared" si="45"/>
        <v>2.7200000000000002E-2</v>
      </c>
      <c r="T259" s="447">
        <f t="shared" si="46"/>
        <v>-0.15961776938543071</v>
      </c>
      <c r="V259" s="448"/>
      <c r="W259" s="448"/>
      <c r="X259" s="448"/>
      <c r="Y259" s="448"/>
      <c r="Z259" s="448"/>
      <c r="AA259" s="448"/>
      <c r="AB259" s="448"/>
      <c r="AC259" s="448"/>
      <c r="AD259" s="448"/>
      <c r="AF259" s="448"/>
      <c r="AG259" s="448"/>
      <c r="AH259" s="448"/>
      <c r="AI259" s="448"/>
      <c r="AJ259" s="448"/>
      <c r="AK259" s="448"/>
      <c r="AL259" s="448"/>
      <c r="AM259" s="448"/>
      <c r="AN259" s="448"/>
      <c r="AP259" s="448"/>
      <c r="AQ259" s="448"/>
      <c r="AR259" s="448"/>
      <c r="AS259" s="448"/>
      <c r="AT259" s="448"/>
      <c r="AU259" s="448"/>
      <c r="AV259" s="448"/>
      <c r="AW259" s="448"/>
      <c r="AX259" s="448"/>
    </row>
    <row r="260" spans="1:50" x14ac:dyDescent="0.4">
      <c r="A260" s="442" t="str">
        <f t="shared" si="47"/>
        <v>41947</v>
      </c>
      <c r="B260" s="442">
        <v>17258</v>
      </c>
      <c r="C260" s="455">
        <v>-3.6299999999999999E-2</v>
      </c>
      <c r="D260" s="438">
        <v>-3.2000000000000001E-2</v>
      </c>
      <c r="E260" s="438">
        <v>1.6999999999999999E-3</v>
      </c>
      <c r="F260" s="438">
        <v>2.1083333333333332E-3</v>
      </c>
      <c r="G260" s="438">
        <v>2.1916666666666664E-3</v>
      </c>
      <c r="H260" s="438">
        <v>2.1499999999999996E-3</v>
      </c>
      <c r="I260" s="438">
        <v>2.2500000000000003E-3</v>
      </c>
      <c r="J260" s="438">
        <f t="shared" si="36"/>
        <v>-3.7999999999999999E-2</v>
      </c>
      <c r="K260" s="438">
        <f t="shared" si="40"/>
        <v>-3.8449999999999998E-2</v>
      </c>
      <c r="L260" s="438">
        <f t="shared" si="41"/>
        <v>-3.4250000000000003E-2</v>
      </c>
      <c r="M260" s="446">
        <f t="shared" si="37"/>
        <v>-0.18688052622166662</v>
      </c>
      <c r="N260" s="446">
        <f t="shared" si="38"/>
        <v>2.0399999999999998E-2</v>
      </c>
      <c r="O260" s="446">
        <f t="shared" si="42"/>
        <v>2.5799999999999997E-2</v>
      </c>
      <c r="P260" s="447">
        <f t="shared" si="39"/>
        <v>-0.20728052622166662</v>
      </c>
      <c r="Q260" s="446">
        <f t="shared" si="43"/>
        <v>-0.21268052622166661</v>
      </c>
      <c r="R260" s="446">
        <f t="shared" si="44"/>
        <v>-0.18763822863716073</v>
      </c>
      <c r="S260" s="446">
        <f t="shared" si="45"/>
        <v>2.7000000000000003E-2</v>
      </c>
      <c r="T260" s="447">
        <f t="shared" si="46"/>
        <v>-0.21463822863716073</v>
      </c>
      <c r="V260" s="448"/>
      <c r="W260" s="448"/>
      <c r="X260" s="448"/>
      <c r="Y260" s="448"/>
      <c r="Z260" s="448"/>
      <c r="AA260" s="448"/>
      <c r="AB260" s="448"/>
      <c r="AC260" s="448"/>
      <c r="AD260" s="448"/>
      <c r="AF260" s="448"/>
      <c r="AG260" s="448"/>
      <c r="AH260" s="448"/>
      <c r="AI260" s="448"/>
      <c r="AJ260" s="448"/>
      <c r="AK260" s="448"/>
      <c r="AL260" s="448"/>
      <c r="AM260" s="448"/>
      <c r="AN260" s="448"/>
      <c r="AP260" s="448"/>
      <c r="AQ260" s="448"/>
      <c r="AR260" s="448"/>
      <c r="AS260" s="448"/>
      <c r="AT260" s="448"/>
      <c r="AU260" s="448"/>
      <c r="AV260" s="448"/>
      <c r="AW260" s="448"/>
      <c r="AX260" s="448"/>
    </row>
    <row r="261" spans="1:50" x14ac:dyDescent="0.4">
      <c r="A261" s="442" t="str">
        <f t="shared" si="47"/>
        <v>51947</v>
      </c>
      <c r="B261" s="442">
        <v>17288</v>
      </c>
      <c r="C261" s="455">
        <v>1.4E-3</v>
      </c>
      <c r="D261" s="438">
        <v>-2.7900000000000001E-2</v>
      </c>
      <c r="E261" s="438">
        <v>1.6999999999999999E-3</v>
      </c>
      <c r="F261" s="438">
        <v>2.1083333333333332E-3</v>
      </c>
      <c r="G261" s="438">
        <v>2.1916666666666664E-3</v>
      </c>
      <c r="H261" s="438">
        <v>2.1499999999999996E-3</v>
      </c>
      <c r="I261" s="438">
        <v>2.2500000000000003E-3</v>
      </c>
      <c r="J261" s="438">
        <f t="shared" si="36"/>
        <v>-2.9999999999999992E-4</v>
      </c>
      <c r="K261" s="438">
        <f t="shared" si="40"/>
        <v>-7.4999999999999958E-4</v>
      </c>
      <c r="L261" s="438">
        <f t="shared" si="41"/>
        <v>-3.0150000000000003E-2</v>
      </c>
      <c r="M261" s="446">
        <f t="shared" si="37"/>
        <v>-0.20853631313994658</v>
      </c>
      <c r="N261" s="446">
        <f t="shared" si="38"/>
        <v>2.0399999999999998E-2</v>
      </c>
      <c r="O261" s="446">
        <f t="shared" si="42"/>
        <v>2.5799999999999997E-2</v>
      </c>
      <c r="P261" s="447">
        <f t="shared" si="39"/>
        <v>-0.22893631313994658</v>
      </c>
      <c r="Q261" s="446">
        <f t="shared" si="43"/>
        <v>-0.23433631313994657</v>
      </c>
      <c r="R261" s="446">
        <f t="shared" si="44"/>
        <v>-0.23337843127675362</v>
      </c>
      <c r="S261" s="446">
        <f t="shared" si="45"/>
        <v>2.7000000000000003E-2</v>
      </c>
      <c r="T261" s="447">
        <f t="shared" si="46"/>
        <v>-0.26037843127675364</v>
      </c>
      <c r="V261" s="448"/>
      <c r="W261" s="448"/>
      <c r="X261" s="448"/>
      <c r="Y261" s="448"/>
      <c r="Z261" s="448"/>
      <c r="AA261" s="448"/>
      <c r="AB261" s="448"/>
      <c r="AC261" s="448"/>
      <c r="AD261" s="448"/>
      <c r="AF261" s="448"/>
      <c r="AG261" s="448"/>
      <c r="AH261" s="448"/>
      <c r="AI261" s="448"/>
      <c r="AJ261" s="448"/>
      <c r="AK261" s="448"/>
      <c r="AL261" s="448"/>
      <c r="AM261" s="448"/>
      <c r="AN261" s="448"/>
      <c r="AP261" s="448"/>
      <c r="AQ261" s="448"/>
      <c r="AR261" s="448"/>
      <c r="AS261" s="448"/>
      <c r="AT261" s="448"/>
      <c r="AU261" s="448"/>
      <c r="AV261" s="448"/>
      <c r="AW261" s="448"/>
      <c r="AX261" s="448"/>
    </row>
    <row r="262" spans="1:50" x14ac:dyDescent="0.4">
      <c r="A262" s="442" t="str">
        <f t="shared" si="47"/>
        <v>61947</v>
      </c>
      <c r="B262" s="442">
        <v>17319</v>
      </c>
      <c r="C262" s="455">
        <v>5.5399999999999998E-2</v>
      </c>
      <c r="D262" s="438">
        <v>4.2800000000000005E-2</v>
      </c>
      <c r="E262" s="438">
        <v>1.9E-3</v>
      </c>
      <c r="F262" s="438">
        <v>2.1250000000000002E-3</v>
      </c>
      <c r="G262" s="438">
        <v>2.2000000000000001E-3</v>
      </c>
      <c r="H262" s="438">
        <v>2.1624999999999999E-3</v>
      </c>
      <c r="I262" s="438">
        <v>2.2583333333333331E-3</v>
      </c>
      <c r="J262" s="438">
        <f t="shared" ref="J262:J325" si="48">C262-E262</f>
        <v>5.3499999999999999E-2</v>
      </c>
      <c r="K262" s="438">
        <f t="shared" si="40"/>
        <v>5.32375E-2</v>
      </c>
      <c r="L262" s="438">
        <f t="shared" si="41"/>
        <v>4.054166666666667E-2</v>
      </c>
      <c r="M262" s="446">
        <f t="shared" si="37"/>
        <v>-0.13259524910477616</v>
      </c>
      <c r="N262" s="446">
        <f t="shared" si="38"/>
        <v>2.2800000000000001E-2</v>
      </c>
      <c r="O262" s="446">
        <f t="shared" si="42"/>
        <v>2.5950000000000001E-2</v>
      </c>
      <c r="P262" s="447">
        <f t="shared" si="39"/>
        <v>-0.15539524910477615</v>
      </c>
      <c r="Q262" s="446">
        <f t="shared" si="43"/>
        <v>-0.15854524910477616</v>
      </c>
      <c r="R262" s="446">
        <f t="shared" si="44"/>
        <v>-0.17787641725154157</v>
      </c>
      <c r="S262" s="446">
        <f t="shared" si="45"/>
        <v>2.7099999999999999E-2</v>
      </c>
      <c r="T262" s="447">
        <f t="shared" si="46"/>
        <v>-0.20497641725154159</v>
      </c>
      <c r="V262" s="448"/>
      <c r="W262" s="448"/>
      <c r="X262" s="448"/>
      <c r="Y262" s="448"/>
      <c r="Z262" s="448"/>
      <c r="AA262" s="448"/>
      <c r="AB262" s="448"/>
      <c r="AC262" s="448"/>
      <c r="AD262" s="448"/>
      <c r="AF262" s="448"/>
      <c r="AG262" s="448"/>
      <c r="AH262" s="448"/>
      <c r="AI262" s="448"/>
      <c r="AJ262" s="448"/>
      <c r="AK262" s="448"/>
      <c r="AL262" s="448"/>
      <c r="AM262" s="448"/>
      <c r="AN262" s="448"/>
      <c r="AP262" s="448"/>
      <c r="AQ262" s="448"/>
      <c r="AR262" s="448"/>
      <c r="AS262" s="448"/>
      <c r="AT262" s="448"/>
      <c r="AU262" s="448"/>
      <c r="AV262" s="448"/>
      <c r="AW262" s="448"/>
      <c r="AX262" s="448"/>
    </row>
    <row r="263" spans="1:50" x14ac:dyDescent="0.4">
      <c r="A263" s="442" t="str">
        <f t="shared" si="47"/>
        <v>71947</v>
      </c>
      <c r="B263" s="442">
        <v>17349</v>
      </c>
      <c r="C263" s="455">
        <v>3.8100000000000002E-2</v>
      </c>
      <c r="D263" s="438">
        <v>2.1399999999999995E-2</v>
      </c>
      <c r="E263" s="438">
        <v>1.8E-3</v>
      </c>
      <c r="F263" s="438">
        <v>2.1250000000000002E-3</v>
      </c>
      <c r="G263" s="438">
        <v>2.2000000000000001E-3</v>
      </c>
      <c r="H263" s="438">
        <v>2.1624999999999999E-3</v>
      </c>
      <c r="I263" s="438">
        <v>2.2750000000000001E-3</v>
      </c>
      <c r="J263" s="438">
        <f t="shared" si="48"/>
        <v>3.6299999999999999E-2</v>
      </c>
      <c r="K263" s="438">
        <f t="shared" si="40"/>
        <v>3.5937500000000004E-2</v>
      </c>
      <c r="L263" s="438">
        <f t="shared" si="41"/>
        <v>1.9124999999999996E-2</v>
      </c>
      <c r="M263" s="446">
        <f t="shared" si="37"/>
        <v>-7.7499362868218791E-2</v>
      </c>
      <c r="N263" s="446">
        <f t="shared" si="38"/>
        <v>2.1600000000000001E-2</v>
      </c>
      <c r="O263" s="446">
        <f t="shared" si="42"/>
        <v>2.5950000000000001E-2</v>
      </c>
      <c r="P263" s="447">
        <f t="shared" si="39"/>
        <v>-9.9099362868218799E-2</v>
      </c>
      <c r="Q263" s="446">
        <f t="shared" si="43"/>
        <v>-0.10344936286821879</v>
      </c>
      <c r="R263" s="446">
        <f t="shared" si="44"/>
        <v>-0.1257501015936745</v>
      </c>
      <c r="S263" s="446">
        <f t="shared" si="45"/>
        <v>2.7300000000000001E-2</v>
      </c>
      <c r="T263" s="447">
        <f t="shared" si="46"/>
        <v>-0.15305010159367449</v>
      </c>
      <c r="V263" s="448"/>
      <c r="W263" s="448"/>
      <c r="X263" s="448"/>
      <c r="Y263" s="448"/>
      <c r="Z263" s="448"/>
      <c r="AA263" s="448"/>
      <c r="AB263" s="448"/>
      <c r="AC263" s="448"/>
      <c r="AD263" s="448"/>
      <c r="AF263" s="448"/>
      <c r="AG263" s="448"/>
      <c r="AH263" s="448"/>
      <c r="AI263" s="448"/>
      <c r="AJ263" s="448"/>
      <c r="AK263" s="448"/>
      <c r="AL263" s="448"/>
      <c r="AM263" s="448"/>
      <c r="AN263" s="448"/>
      <c r="AP263" s="448"/>
      <c r="AQ263" s="448"/>
      <c r="AR263" s="448"/>
      <c r="AS263" s="448"/>
      <c r="AT263" s="448"/>
      <c r="AU263" s="448"/>
      <c r="AV263" s="448"/>
      <c r="AW263" s="448"/>
      <c r="AX263" s="448"/>
    </row>
    <row r="264" spans="1:50" x14ac:dyDescent="0.4">
      <c r="A264" s="442" t="str">
        <f t="shared" si="47"/>
        <v>81947</v>
      </c>
      <c r="B264" s="442">
        <v>17380</v>
      </c>
      <c r="C264" s="455">
        <v>-2.0299999999999999E-2</v>
      </c>
      <c r="D264" s="438">
        <v>-2.2000000000000001E-3</v>
      </c>
      <c r="E264" s="438">
        <v>1.6999999999999999E-3</v>
      </c>
      <c r="F264" s="438">
        <v>2.1333333333333334E-3</v>
      </c>
      <c r="G264" s="438">
        <v>2.2000000000000001E-3</v>
      </c>
      <c r="H264" s="438">
        <v>2.1666666666666666E-3</v>
      </c>
      <c r="I264" s="438">
        <v>2.2750000000000001E-3</v>
      </c>
      <c r="J264" s="438">
        <f t="shared" si="48"/>
        <v>-2.1999999999999999E-2</v>
      </c>
      <c r="K264" s="438">
        <f t="shared" si="40"/>
        <v>-2.2466666666666666E-2</v>
      </c>
      <c r="L264" s="438">
        <f t="shared" si="41"/>
        <v>-4.4749999999999998E-3</v>
      </c>
      <c r="M264" s="446">
        <f t="shared" si="37"/>
        <v>-3.0909420761305872E-2</v>
      </c>
      <c r="N264" s="446">
        <f t="shared" si="38"/>
        <v>2.0399999999999998E-2</v>
      </c>
      <c r="O264" s="446">
        <f t="shared" si="42"/>
        <v>2.5999999999999999E-2</v>
      </c>
      <c r="P264" s="447">
        <f t="shared" si="39"/>
        <v>-5.1309420761305874E-2</v>
      </c>
      <c r="Q264" s="446">
        <f t="shared" si="43"/>
        <v>-5.6909420761305868E-2</v>
      </c>
      <c r="R264" s="446">
        <f t="shared" si="44"/>
        <v>-5.9587593111436465E-2</v>
      </c>
      <c r="S264" s="446">
        <f t="shared" si="45"/>
        <v>2.7300000000000001E-2</v>
      </c>
      <c r="T264" s="447">
        <f t="shared" si="46"/>
        <v>-8.688759311143647E-2</v>
      </c>
      <c r="V264" s="448"/>
      <c r="W264" s="448"/>
      <c r="X264" s="448"/>
      <c r="Y264" s="448"/>
      <c r="Z264" s="448"/>
      <c r="AA264" s="448"/>
      <c r="AB264" s="448"/>
      <c r="AC264" s="448"/>
      <c r="AD264" s="448"/>
      <c r="AF264" s="448"/>
      <c r="AG264" s="448"/>
      <c r="AH264" s="448"/>
      <c r="AI264" s="448"/>
      <c r="AJ264" s="448"/>
      <c r="AK264" s="448"/>
      <c r="AL264" s="448"/>
      <c r="AM264" s="448"/>
      <c r="AN264" s="448"/>
      <c r="AP264" s="448"/>
      <c r="AQ264" s="448"/>
      <c r="AR264" s="448"/>
      <c r="AS264" s="448"/>
      <c r="AT264" s="448"/>
      <c r="AU264" s="448"/>
      <c r="AV264" s="448"/>
      <c r="AW264" s="448"/>
      <c r="AX264" s="448"/>
    </row>
    <row r="265" spans="1:50" x14ac:dyDescent="0.4">
      <c r="A265" s="442" t="str">
        <f t="shared" si="47"/>
        <v>91947</v>
      </c>
      <c r="B265" s="442">
        <v>17411</v>
      </c>
      <c r="C265" s="455">
        <v>-1.11E-2</v>
      </c>
      <c r="D265" s="438">
        <v>-1.4200000000000001E-2</v>
      </c>
      <c r="E265" s="438">
        <v>1.8E-3</v>
      </c>
      <c r="F265" s="438">
        <v>2.1749999999999999E-3</v>
      </c>
      <c r="G265" s="438">
        <v>2.2416666666666665E-3</v>
      </c>
      <c r="H265" s="438">
        <v>2.2083333333333334E-3</v>
      </c>
      <c r="I265" s="438">
        <v>2.3333333333333335E-3</v>
      </c>
      <c r="J265" s="438">
        <f t="shared" si="48"/>
        <v>-1.29E-2</v>
      </c>
      <c r="K265" s="438">
        <f t="shared" si="40"/>
        <v>-1.3308333333333333E-2</v>
      </c>
      <c r="L265" s="438">
        <f t="shared" si="41"/>
        <v>-1.6533333333333334E-2</v>
      </c>
      <c r="M265" s="446">
        <f t="shared" si="37"/>
        <v>6.4460372996939963E-2</v>
      </c>
      <c r="N265" s="446">
        <f t="shared" si="38"/>
        <v>2.1600000000000001E-2</v>
      </c>
      <c r="O265" s="446">
        <f t="shared" si="42"/>
        <v>2.6500000000000003E-2</v>
      </c>
      <c r="P265" s="447">
        <f t="shared" si="39"/>
        <v>4.2860372996939962E-2</v>
      </c>
      <c r="Q265" s="446">
        <f t="shared" si="43"/>
        <v>3.796037299693996E-2</v>
      </c>
      <c r="R265" s="446">
        <f t="shared" si="44"/>
        <v>3.5935356699906107E-2</v>
      </c>
      <c r="S265" s="446">
        <f t="shared" si="45"/>
        <v>2.8000000000000004E-2</v>
      </c>
      <c r="T265" s="447">
        <f t="shared" si="46"/>
        <v>7.9353566999061029E-3</v>
      </c>
      <c r="V265" s="448"/>
      <c r="W265" s="448"/>
      <c r="X265" s="448"/>
      <c r="Y265" s="448"/>
      <c r="Z265" s="448"/>
      <c r="AA265" s="448"/>
      <c r="AB265" s="448"/>
      <c r="AC265" s="448"/>
      <c r="AD265" s="448"/>
      <c r="AF265" s="448"/>
      <c r="AG265" s="448"/>
      <c r="AH265" s="448"/>
      <c r="AI265" s="448"/>
      <c r="AJ265" s="448"/>
      <c r="AK265" s="448"/>
      <c r="AL265" s="448"/>
      <c r="AM265" s="448"/>
      <c r="AN265" s="448"/>
      <c r="AP265" s="448"/>
      <c r="AQ265" s="448"/>
      <c r="AR265" s="448"/>
      <c r="AS265" s="448"/>
      <c r="AT265" s="448"/>
      <c r="AU265" s="448"/>
      <c r="AV265" s="448"/>
      <c r="AW265" s="448"/>
      <c r="AX265" s="448"/>
    </row>
    <row r="266" spans="1:50" x14ac:dyDescent="0.4">
      <c r="A266" s="442" t="str">
        <f t="shared" si="47"/>
        <v>101947</v>
      </c>
      <c r="B266" s="442">
        <v>17441</v>
      </c>
      <c r="C266" s="455">
        <v>2.3800000000000002E-2</v>
      </c>
      <c r="D266" s="438">
        <v>-1.3299999999999999E-2</v>
      </c>
      <c r="E266" s="438">
        <v>1.8E-3</v>
      </c>
      <c r="F266" s="438">
        <v>2.2500000000000003E-3</v>
      </c>
      <c r="G266" s="438">
        <v>2.3250000000000002E-3</v>
      </c>
      <c r="H266" s="438">
        <v>2.2875E-3</v>
      </c>
      <c r="I266" s="438">
        <v>2.3999999999999998E-3</v>
      </c>
      <c r="J266" s="438">
        <f t="shared" si="48"/>
        <v>2.2000000000000002E-2</v>
      </c>
      <c r="K266" s="438">
        <f t="shared" si="40"/>
        <v>2.15125E-2</v>
      </c>
      <c r="L266" s="438">
        <f t="shared" si="41"/>
        <v>-1.5699999999999999E-2</v>
      </c>
      <c r="M266" s="446">
        <f t="shared" si="37"/>
        <v>9.6372766473105553E-2</v>
      </c>
      <c r="N266" s="446">
        <f t="shared" si="38"/>
        <v>2.1600000000000001E-2</v>
      </c>
      <c r="O266" s="446">
        <f t="shared" si="42"/>
        <v>2.7450000000000002E-2</v>
      </c>
      <c r="P266" s="447">
        <f t="shared" si="39"/>
        <v>7.4772766473105545E-2</v>
      </c>
      <c r="Q266" s="446">
        <f t="shared" si="43"/>
        <v>6.8922766473105551E-2</v>
      </c>
      <c r="R266" s="446">
        <f t="shared" si="44"/>
        <v>1.5402784324591856E-4</v>
      </c>
      <c r="S266" s="446">
        <f t="shared" si="45"/>
        <v>2.8799999999999999E-2</v>
      </c>
      <c r="T266" s="447">
        <f t="shared" si="46"/>
        <v>-2.8645972156754081E-2</v>
      </c>
      <c r="V266" s="448"/>
      <c r="W266" s="448"/>
      <c r="X266" s="448"/>
      <c r="Y266" s="448"/>
      <c r="Z266" s="448"/>
      <c r="AA266" s="448"/>
      <c r="AB266" s="448"/>
      <c r="AC266" s="448"/>
      <c r="AD266" s="448"/>
      <c r="AF266" s="448"/>
      <c r="AG266" s="448"/>
      <c r="AH266" s="448"/>
      <c r="AI266" s="448"/>
      <c r="AJ266" s="448"/>
      <c r="AK266" s="448"/>
      <c r="AL266" s="448"/>
      <c r="AM266" s="448"/>
      <c r="AN266" s="448"/>
      <c r="AP266" s="448"/>
      <c r="AQ266" s="448"/>
      <c r="AR266" s="448"/>
      <c r="AS266" s="448"/>
      <c r="AT266" s="448"/>
      <c r="AU266" s="448"/>
      <c r="AV266" s="448"/>
      <c r="AW266" s="448"/>
      <c r="AX266" s="448"/>
    </row>
    <row r="267" spans="1:50" x14ac:dyDescent="0.4">
      <c r="A267" s="442" t="str">
        <f t="shared" si="47"/>
        <v>111947</v>
      </c>
      <c r="B267" s="442">
        <v>17472</v>
      </c>
      <c r="C267" s="455">
        <v>-1.7500000000000002E-2</v>
      </c>
      <c r="D267" s="438">
        <v>-8.2399999999999987E-2</v>
      </c>
      <c r="E267" s="438">
        <v>1.6999999999999999E-3</v>
      </c>
      <c r="F267" s="438">
        <v>2.3083333333333332E-3</v>
      </c>
      <c r="G267" s="438">
        <v>2.3750000000000004E-3</v>
      </c>
      <c r="H267" s="438">
        <v>2.3416666666666668E-3</v>
      </c>
      <c r="I267" s="438">
        <v>2.4416666666666666E-3</v>
      </c>
      <c r="J267" s="438">
        <f t="shared" si="48"/>
        <v>-1.9200000000000002E-2</v>
      </c>
      <c r="K267" s="438">
        <f t="shared" si="40"/>
        <v>-1.9841666666666667E-2</v>
      </c>
      <c r="L267" s="438">
        <f t="shared" si="41"/>
        <v>-8.4841666666666649E-2</v>
      </c>
      <c r="M267" s="446">
        <f t="shared" si="37"/>
        <v>8.0102519863457289E-2</v>
      </c>
      <c r="N267" s="446">
        <f t="shared" si="38"/>
        <v>2.0399999999999998E-2</v>
      </c>
      <c r="O267" s="446">
        <f t="shared" si="42"/>
        <v>2.81E-2</v>
      </c>
      <c r="P267" s="447">
        <f t="shared" si="39"/>
        <v>5.9702519863457287E-2</v>
      </c>
      <c r="Q267" s="446">
        <f t="shared" si="43"/>
        <v>5.2002519863457289E-2</v>
      </c>
      <c r="R267" s="446">
        <f t="shared" si="44"/>
        <v>-8.7550869010775134E-2</v>
      </c>
      <c r="S267" s="446">
        <f t="shared" si="45"/>
        <v>2.93E-2</v>
      </c>
      <c r="T267" s="447">
        <f t="shared" si="46"/>
        <v>-0.11685086901077513</v>
      </c>
      <c r="V267" s="448"/>
      <c r="W267" s="448"/>
      <c r="X267" s="448"/>
      <c r="Y267" s="448"/>
      <c r="Z267" s="448"/>
      <c r="AA267" s="448"/>
      <c r="AB267" s="448"/>
      <c r="AC267" s="448"/>
      <c r="AD267" s="448"/>
      <c r="AF267" s="448"/>
      <c r="AG267" s="448"/>
      <c r="AH267" s="448"/>
      <c r="AI267" s="448"/>
      <c r="AJ267" s="448"/>
      <c r="AK267" s="448"/>
      <c r="AL267" s="448"/>
      <c r="AM267" s="448"/>
      <c r="AN267" s="448"/>
      <c r="AP267" s="448"/>
      <c r="AQ267" s="448"/>
      <c r="AR267" s="448"/>
      <c r="AS267" s="448"/>
      <c r="AT267" s="448"/>
      <c r="AU267" s="448"/>
      <c r="AV267" s="448"/>
      <c r="AW267" s="448"/>
      <c r="AX267" s="448"/>
    </row>
    <row r="268" spans="1:50" x14ac:dyDescent="0.4">
      <c r="A268" s="442" t="str">
        <f t="shared" si="47"/>
        <v>121947</v>
      </c>
      <c r="B268" s="442">
        <v>17502</v>
      </c>
      <c r="C268" s="455">
        <v>2.3300000000000001E-2</v>
      </c>
      <c r="D268" s="438">
        <v>1.89E-2</v>
      </c>
      <c r="E268" s="438">
        <v>2.0999999999999999E-3</v>
      </c>
      <c r="F268" s="438">
        <v>2.3833333333333332E-3</v>
      </c>
      <c r="G268" s="438">
        <v>2.4499999999999999E-3</v>
      </c>
      <c r="H268" s="438">
        <v>2.4166666666666664E-3</v>
      </c>
      <c r="I268" s="438">
        <v>2.5416666666666669E-3</v>
      </c>
      <c r="J268" s="438">
        <f t="shared" si="48"/>
        <v>2.12E-2</v>
      </c>
      <c r="K268" s="438">
        <f t="shared" si="40"/>
        <v>2.0883333333333334E-2</v>
      </c>
      <c r="L268" s="438">
        <f t="shared" si="41"/>
        <v>1.6358333333333332E-2</v>
      </c>
      <c r="M268" s="446">
        <f t="shared" si="37"/>
        <v>5.6965581501650764E-2</v>
      </c>
      <c r="N268" s="446">
        <f t="shared" si="38"/>
        <v>2.52E-2</v>
      </c>
      <c r="O268" s="446">
        <f t="shared" si="42"/>
        <v>2.8999999999999998E-2</v>
      </c>
      <c r="P268" s="447">
        <f t="shared" si="39"/>
        <v>3.1765581501650764E-2</v>
      </c>
      <c r="Q268" s="446">
        <f t="shared" si="43"/>
        <v>2.7965581501650766E-2</v>
      </c>
      <c r="R268" s="446">
        <f t="shared" si="44"/>
        <v>-0.13161365630027921</v>
      </c>
      <c r="S268" s="446">
        <f t="shared" si="45"/>
        <v>3.0500000000000003E-2</v>
      </c>
      <c r="T268" s="447">
        <f t="shared" si="46"/>
        <v>-0.16211365630027921</v>
      </c>
      <c r="V268" s="448"/>
      <c r="W268" s="448"/>
      <c r="X268" s="448"/>
      <c r="Y268" s="448"/>
      <c r="Z268" s="448"/>
      <c r="AA268" s="448"/>
      <c r="AB268" s="448"/>
      <c r="AC268" s="448"/>
      <c r="AD268" s="448"/>
      <c r="AF268" s="448"/>
      <c r="AG268" s="448"/>
      <c r="AH268" s="448"/>
      <c r="AI268" s="448"/>
      <c r="AJ268" s="448"/>
      <c r="AK268" s="448"/>
      <c r="AL268" s="448"/>
      <c r="AM268" s="448"/>
      <c r="AN268" s="448"/>
      <c r="AP268" s="448"/>
      <c r="AQ268" s="448"/>
      <c r="AR268" s="448"/>
      <c r="AS268" s="448"/>
      <c r="AT268" s="448"/>
      <c r="AU268" s="448"/>
      <c r="AV268" s="448"/>
      <c r="AW268" s="448"/>
      <c r="AX268" s="448"/>
    </row>
    <row r="269" spans="1:50" x14ac:dyDescent="0.4">
      <c r="A269" s="442" t="str">
        <f t="shared" si="47"/>
        <v>11948</v>
      </c>
      <c r="B269" s="442">
        <v>17533</v>
      </c>
      <c r="C269" s="455">
        <v>-3.7900000000000003E-2</v>
      </c>
      <c r="D269" s="438">
        <v>6.9999999999999993E-3</v>
      </c>
      <c r="E269" s="438">
        <v>2E-3</v>
      </c>
      <c r="F269" s="438">
        <v>2.3833333333333332E-3</v>
      </c>
      <c r="G269" s="438">
        <v>2.4499999999999999E-3</v>
      </c>
      <c r="H269" s="438">
        <v>2.4166666666666664E-3</v>
      </c>
      <c r="I269" s="438">
        <v>2.5416666666666669E-3</v>
      </c>
      <c r="J269" s="438">
        <f t="shared" si="48"/>
        <v>-3.9900000000000005E-2</v>
      </c>
      <c r="K269" s="438">
        <f t="shared" si="40"/>
        <v>-4.0316666666666667E-2</v>
      </c>
      <c r="L269" s="438">
        <f t="shared" si="41"/>
        <v>4.4583333333333324E-3</v>
      </c>
      <c r="M269" s="446">
        <f t="shared" si="37"/>
        <v>-8.3797308993289743E-3</v>
      </c>
      <c r="N269" s="446">
        <f t="shared" si="38"/>
        <v>2.4E-2</v>
      </c>
      <c r="O269" s="446">
        <f t="shared" si="42"/>
        <v>2.8999999999999998E-2</v>
      </c>
      <c r="P269" s="447">
        <f t="shared" si="39"/>
        <v>-3.2379730899328975E-2</v>
      </c>
      <c r="Q269" s="446">
        <f t="shared" si="43"/>
        <v>-3.7379730899328972E-2</v>
      </c>
      <c r="R269" s="446">
        <f t="shared" si="44"/>
        <v>-0.1253600238991609</v>
      </c>
      <c r="S269" s="446">
        <f t="shared" si="45"/>
        <v>3.0500000000000003E-2</v>
      </c>
      <c r="T269" s="447">
        <f t="shared" si="46"/>
        <v>-0.1558600238991609</v>
      </c>
      <c r="V269" s="448"/>
      <c r="W269" s="448"/>
      <c r="X269" s="448"/>
      <c r="Y269" s="448"/>
      <c r="Z269" s="448"/>
      <c r="AA269" s="448"/>
      <c r="AB269" s="448"/>
      <c r="AC269" s="448"/>
      <c r="AD269" s="448"/>
      <c r="AF269" s="448"/>
      <c r="AG269" s="448"/>
      <c r="AH269" s="448"/>
      <c r="AI269" s="448"/>
      <c r="AJ269" s="448"/>
      <c r="AK269" s="448"/>
      <c r="AL269" s="448"/>
      <c r="AM269" s="448"/>
      <c r="AN269" s="448"/>
      <c r="AP269" s="448"/>
      <c r="AQ269" s="448"/>
      <c r="AR269" s="448"/>
      <c r="AS269" s="448"/>
      <c r="AT269" s="448"/>
      <c r="AU269" s="448"/>
      <c r="AV269" s="448"/>
      <c r="AW269" s="448"/>
      <c r="AX269" s="448"/>
    </row>
    <row r="270" spans="1:50" x14ac:dyDescent="0.4">
      <c r="A270" s="442" t="str">
        <f t="shared" si="47"/>
        <v>21948</v>
      </c>
      <c r="B270" s="442">
        <v>17564</v>
      </c>
      <c r="C270" s="455">
        <v>-3.8800000000000001E-2</v>
      </c>
      <c r="D270" s="438">
        <v>-3.7200000000000004E-2</v>
      </c>
      <c r="E270" s="438">
        <v>1.9E-3</v>
      </c>
      <c r="F270" s="438">
        <v>2.3750000000000004E-3</v>
      </c>
      <c r="G270" s="438">
        <v>2.4416666666666666E-3</v>
      </c>
      <c r="H270" s="438">
        <v>2.4083333333333335E-3</v>
      </c>
      <c r="I270" s="438">
        <v>2.5416666666666669E-3</v>
      </c>
      <c r="J270" s="438">
        <f t="shared" si="48"/>
        <v>-4.07E-2</v>
      </c>
      <c r="K270" s="438">
        <f t="shared" si="40"/>
        <v>-4.1208333333333333E-2</v>
      </c>
      <c r="L270" s="438">
        <f t="shared" si="41"/>
        <v>-3.9741666666666668E-2</v>
      </c>
      <c r="M270" s="446">
        <f t="shared" si="37"/>
        <v>-3.9458427230106508E-2</v>
      </c>
      <c r="N270" s="446">
        <f t="shared" si="38"/>
        <v>2.2800000000000001E-2</v>
      </c>
      <c r="O270" s="446">
        <f t="shared" si="42"/>
        <v>2.8900000000000002E-2</v>
      </c>
      <c r="P270" s="447">
        <f t="shared" si="39"/>
        <v>-6.2258427230106508E-2</v>
      </c>
      <c r="Q270" s="446">
        <f t="shared" si="43"/>
        <v>-6.8358427230106517E-2</v>
      </c>
      <c r="R270" s="446">
        <f t="shared" si="44"/>
        <v>-0.15033460903048357</v>
      </c>
      <c r="S270" s="446">
        <f t="shared" si="45"/>
        <v>3.0500000000000003E-2</v>
      </c>
      <c r="T270" s="447">
        <f t="shared" si="46"/>
        <v>-0.18083460903048357</v>
      </c>
      <c r="V270" s="448"/>
      <c r="W270" s="448"/>
      <c r="X270" s="448"/>
      <c r="Y270" s="448"/>
      <c r="Z270" s="448"/>
      <c r="AA270" s="448"/>
      <c r="AB270" s="448"/>
      <c r="AC270" s="448"/>
      <c r="AD270" s="448"/>
      <c r="AF270" s="448"/>
      <c r="AG270" s="448"/>
      <c r="AH270" s="448"/>
      <c r="AI270" s="448"/>
      <c r="AJ270" s="448"/>
      <c r="AK270" s="448"/>
      <c r="AL270" s="448"/>
      <c r="AM270" s="448"/>
      <c r="AN270" s="448"/>
      <c r="AP270" s="448"/>
      <c r="AQ270" s="448"/>
      <c r="AR270" s="448"/>
      <c r="AS270" s="448"/>
      <c r="AT270" s="448"/>
      <c r="AU270" s="448"/>
      <c r="AV270" s="448"/>
      <c r="AW270" s="448"/>
      <c r="AX270" s="448"/>
    </row>
    <row r="271" spans="1:50" x14ac:dyDescent="0.4">
      <c r="A271" s="442" t="str">
        <f t="shared" si="47"/>
        <v>31948</v>
      </c>
      <c r="B271" s="442">
        <v>17593</v>
      </c>
      <c r="C271" s="455">
        <v>7.9299999999999995E-2</v>
      </c>
      <c r="D271" s="438">
        <v>6.1699999999999998E-2</v>
      </c>
      <c r="E271" s="438">
        <v>2.2000000000000001E-3</v>
      </c>
      <c r="F271" s="438">
        <v>2.3583333333333334E-3</v>
      </c>
      <c r="G271" s="438">
        <v>2.4166666666666668E-3</v>
      </c>
      <c r="H271" s="438">
        <v>2.3875000000000003E-3</v>
      </c>
      <c r="I271" s="438">
        <v>2.5166666666666666E-3</v>
      </c>
      <c r="J271" s="438">
        <f t="shared" si="48"/>
        <v>7.7100000000000002E-2</v>
      </c>
      <c r="K271" s="438">
        <f t="shared" si="40"/>
        <v>7.6912499999999995E-2</v>
      </c>
      <c r="L271" s="438">
        <f t="shared" si="41"/>
        <v>5.9183333333333331E-2</v>
      </c>
      <c r="M271" s="446">
        <f t="shared" si="37"/>
        <v>5.2393177840367233E-2</v>
      </c>
      <c r="N271" s="446">
        <f t="shared" si="38"/>
        <v>2.64E-2</v>
      </c>
      <c r="O271" s="446">
        <f t="shared" si="42"/>
        <v>2.8650000000000002E-2</v>
      </c>
      <c r="P271" s="447">
        <f t="shared" si="39"/>
        <v>2.5993177840367233E-2</v>
      </c>
      <c r="Q271" s="446">
        <f t="shared" si="43"/>
        <v>2.3743177840367231E-2</v>
      </c>
      <c r="R271" s="446">
        <f t="shared" si="44"/>
        <v>-6.3833804906251457E-2</v>
      </c>
      <c r="S271" s="446">
        <f t="shared" si="45"/>
        <v>3.0199999999999998E-2</v>
      </c>
      <c r="T271" s="447">
        <f t="shared" si="46"/>
        <v>-9.4033804906251461E-2</v>
      </c>
      <c r="V271" s="448"/>
      <c r="W271" s="448"/>
      <c r="X271" s="448"/>
      <c r="Y271" s="448"/>
      <c r="Z271" s="448"/>
      <c r="AA271" s="448"/>
      <c r="AB271" s="448"/>
      <c r="AC271" s="448"/>
      <c r="AD271" s="448"/>
      <c r="AF271" s="448"/>
      <c r="AG271" s="448"/>
      <c r="AH271" s="448"/>
      <c r="AI271" s="448"/>
      <c r="AJ271" s="448"/>
      <c r="AK271" s="448"/>
      <c r="AL271" s="448"/>
      <c r="AM271" s="448"/>
      <c r="AN271" s="448"/>
      <c r="AP271" s="448"/>
      <c r="AQ271" s="448"/>
      <c r="AR271" s="448"/>
      <c r="AS271" s="448"/>
      <c r="AT271" s="448"/>
      <c r="AU271" s="448"/>
      <c r="AV271" s="448"/>
      <c r="AW271" s="448"/>
      <c r="AX271" s="448"/>
    </row>
    <row r="272" spans="1:50" x14ac:dyDescent="0.4">
      <c r="A272" s="442" t="str">
        <f t="shared" si="47"/>
        <v>41948</v>
      </c>
      <c r="B272" s="442">
        <v>17624</v>
      </c>
      <c r="C272" s="455">
        <v>2.92E-2</v>
      </c>
      <c r="D272" s="438">
        <v>1.6E-2</v>
      </c>
      <c r="E272" s="438">
        <v>2E-3</v>
      </c>
      <c r="F272" s="438">
        <v>2.3166666666666665E-3</v>
      </c>
      <c r="G272" s="438">
        <v>2.3916666666666665E-3</v>
      </c>
      <c r="H272" s="438">
        <v>2.3541666666666667E-3</v>
      </c>
      <c r="I272" s="438">
        <v>2.4750000000000002E-3</v>
      </c>
      <c r="J272" s="438">
        <f t="shared" si="48"/>
        <v>2.7200000000000002E-2</v>
      </c>
      <c r="K272" s="438">
        <f t="shared" si="40"/>
        <v>2.6845833333333333E-2</v>
      </c>
      <c r="L272" s="438">
        <f t="shared" si="41"/>
        <v>1.3525000000000001E-2</v>
      </c>
      <c r="M272" s="446">
        <f t="shared" ref="M272:M335" si="49">((1+C261)*(1+C262)*(1+C263)*(1+C264)*(1+C265)*(1+C266)*(1+C267)*(1+C268)*(1+C269)*(1+C270)*(1+C271)*(1+C272))-1</f>
        <v>0.12392140565871723</v>
      </c>
      <c r="N272" s="446">
        <f t="shared" ref="N272:N335" si="50">E272*12</f>
        <v>2.4E-2</v>
      </c>
      <c r="O272" s="446">
        <f t="shared" si="42"/>
        <v>2.8250000000000001E-2</v>
      </c>
      <c r="P272" s="447">
        <f t="shared" ref="P272:P335" si="51">M272-N272</f>
        <v>9.9921405658717238E-2</v>
      </c>
      <c r="Q272" s="446">
        <f t="shared" si="43"/>
        <v>9.5671405658717235E-2</v>
      </c>
      <c r="R272" s="446">
        <f t="shared" si="44"/>
        <v>-1.7412340686727146E-2</v>
      </c>
      <c r="S272" s="446">
        <f t="shared" si="45"/>
        <v>2.9700000000000004E-2</v>
      </c>
      <c r="T272" s="447">
        <f t="shared" si="46"/>
        <v>-4.711234068672715E-2</v>
      </c>
      <c r="V272" s="448"/>
      <c r="W272" s="448"/>
      <c r="X272" s="448"/>
      <c r="Y272" s="448"/>
      <c r="Z272" s="448"/>
      <c r="AA272" s="448"/>
      <c r="AB272" s="448"/>
      <c r="AC272" s="448"/>
      <c r="AD272" s="448"/>
      <c r="AF272" s="448"/>
      <c r="AG272" s="448"/>
      <c r="AH272" s="448"/>
      <c r="AI272" s="448"/>
      <c r="AJ272" s="448"/>
      <c r="AK272" s="448"/>
      <c r="AL272" s="448"/>
      <c r="AM272" s="448"/>
      <c r="AN272" s="448"/>
      <c r="AP272" s="448"/>
      <c r="AQ272" s="448"/>
      <c r="AR272" s="448"/>
      <c r="AS272" s="448"/>
      <c r="AT272" s="448"/>
      <c r="AU272" s="448"/>
      <c r="AV272" s="448"/>
      <c r="AW272" s="448"/>
      <c r="AX272" s="448"/>
    </row>
    <row r="273" spans="1:50" x14ac:dyDescent="0.4">
      <c r="A273" s="442" t="str">
        <f t="shared" si="47"/>
        <v>51948</v>
      </c>
      <c r="B273" s="442">
        <v>17654</v>
      </c>
      <c r="C273" s="455">
        <v>8.7900000000000006E-2</v>
      </c>
      <c r="D273" s="438">
        <v>5.8299999999999998E-2</v>
      </c>
      <c r="E273" s="438">
        <v>1.8E-3</v>
      </c>
      <c r="F273" s="438">
        <v>2.3E-3</v>
      </c>
      <c r="G273" s="438">
        <v>2.3833333333333332E-3</v>
      </c>
      <c r="H273" s="438">
        <v>2.3416666666666664E-3</v>
      </c>
      <c r="I273" s="438">
        <v>2.4499999999999999E-3</v>
      </c>
      <c r="J273" s="438">
        <f t="shared" si="48"/>
        <v>8.610000000000001E-2</v>
      </c>
      <c r="K273" s="438">
        <f t="shared" si="40"/>
        <v>8.5558333333333333E-2</v>
      </c>
      <c r="L273" s="438">
        <f t="shared" si="41"/>
        <v>5.5849999999999997E-2</v>
      </c>
      <c r="M273" s="446">
        <f t="shared" si="49"/>
        <v>0.2210046906492098</v>
      </c>
      <c r="N273" s="446">
        <f t="shared" si="50"/>
        <v>2.1600000000000001E-2</v>
      </c>
      <c r="O273" s="446">
        <f t="shared" si="42"/>
        <v>2.8099999999999997E-2</v>
      </c>
      <c r="P273" s="447">
        <f t="shared" si="51"/>
        <v>0.19940469064920979</v>
      </c>
      <c r="Q273" s="446">
        <f t="shared" si="43"/>
        <v>0.19290469064920981</v>
      </c>
      <c r="R273" s="446">
        <f t="shared" si="44"/>
        <v>6.9717642064845986E-2</v>
      </c>
      <c r="S273" s="446">
        <f t="shared" si="45"/>
        <v>2.9399999999999999E-2</v>
      </c>
      <c r="T273" s="447">
        <f t="shared" si="46"/>
        <v>4.031764206484599E-2</v>
      </c>
      <c r="V273" s="448"/>
      <c r="W273" s="448"/>
      <c r="X273" s="448"/>
      <c r="Y273" s="448"/>
      <c r="Z273" s="448"/>
      <c r="AA273" s="448"/>
      <c r="AB273" s="448"/>
      <c r="AC273" s="448"/>
      <c r="AD273" s="448"/>
      <c r="AF273" s="448"/>
      <c r="AG273" s="448"/>
      <c r="AH273" s="448"/>
      <c r="AI273" s="448"/>
      <c r="AJ273" s="448"/>
      <c r="AK273" s="448"/>
      <c r="AL273" s="448"/>
      <c r="AM273" s="448"/>
      <c r="AN273" s="448"/>
      <c r="AP273" s="448"/>
      <c r="AQ273" s="448"/>
      <c r="AR273" s="448"/>
      <c r="AS273" s="448"/>
      <c r="AT273" s="448"/>
      <c r="AU273" s="448"/>
      <c r="AV273" s="448"/>
      <c r="AW273" s="448"/>
      <c r="AX273" s="448"/>
    </row>
    <row r="274" spans="1:50" x14ac:dyDescent="0.4">
      <c r="A274" s="442" t="str">
        <f t="shared" si="47"/>
        <v>61948</v>
      </c>
      <c r="B274" s="442">
        <v>17685</v>
      </c>
      <c r="C274" s="455">
        <v>5.4000000000000003E-3</v>
      </c>
      <c r="D274" s="438">
        <v>2.12E-2</v>
      </c>
      <c r="E274" s="438">
        <v>2.0999999999999999E-3</v>
      </c>
      <c r="F274" s="438">
        <v>2.3E-3</v>
      </c>
      <c r="G274" s="438">
        <v>2.3750000000000004E-3</v>
      </c>
      <c r="H274" s="438">
        <v>2.3375000000000002E-3</v>
      </c>
      <c r="I274" s="438">
        <v>2.4499999999999999E-3</v>
      </c>
      <c r="J274" s="438">
        <f t="shared" si="48"/>
        <v>3.3000000000000004E-3</v>
      </c>
      <c r="K274" s="438">
        <f t="shared" si="40"/>
        <v>3.0625000000000001E-3</v>
      </c>
      <c r="L274" s="438">
        <f t="shared" si="41"/>
        <v>1.8749999999999999E-2</v>
      </c>
      <c r="M274" s="446">
        <f t="shared" si="49"/>
        <v>0.16315910174219739</v>
      </c>
      <c r="N274" s="446">
        <f t="shared" si="50"/>
        <v>2.52E-2</v>
      </c>
      <c r="O274" s="446">
        <f t="shared" si="42"/>
        <v>2.8050000000000002E-2</v>
      </c>
      <c r="P274" s="447">
        <f t="shared" si="51"/>
        <v>0.13795910174219739</v>
      </c>
      <c r="Q274" s="446">
        <f t="shared" si="43"/>
        <v>0.1351091017421974</v>
      </c>
      <c r="R274" s="446">
        <f t="shared" si="44"/>
        <v>4.7560084461661933E-2</v>
      </c>
      <c r="S274" s="446">
        <f t="shared" si="45"/>
        <v>2.9399999999999999E-2</v>
      </c>
      <c r="T274" s="447">
        <f t="shared" si="46"/>
        <v>1.8160084461661934E-2</v>
      </c>
      <c r="V274" s="448"/>
      <c r="W274" s="448"/>
      <c r="X274" s="448"/>
      <c r="Y274" s="448"/>
      <c r="Z274" s="448"/>
      <c r="AA274" s="448"/>
      <c r="AB274" s="448"/>
      <c r="AC274" s="448"/>
      <c r="AD274" s="448"/>
      <c r="AF274" s="448"/>
      <c r="AG274" s="448"/>
      <c r="AH274" s="448"/>
      <c r="AI274" s="448"/>
      <c r="AJ274" s="448"/>
      <c r="AK274" s="448"/>
      <c r="AL274" s="448"/>
      <c r="AM274" s="448"/>
      <c r="AN274" s="448"/>
      <c r="AP274" s="448"/>
      <c r="AQ274" s="448"/>
      <c r="AR274" s="448"/>
      <c r="AS274" s="448"/>
      <c r="AT274" s="448"/>
      <c r="AU274" s="448"/>
      <c r="AV274" s="448"/>
      <c r="AW274" s="448"/>
      <c r="AX274" s="448"/>
    </row>
    <row r="275" spans="1:50" x14ac:dyDescent="0.4">
      <c r="A275" s="442" t="str">
        <f t="shared" si="47"/>
        <v>71948</v>
      </c>
      <c r="B275" s="442">
        <v>17715</v>
      </c>
      <c r="C275" s="455">
        <v>-5.0799999999999998E-2</v>
      </c>
      <c r="D275" s="438">
        <v>-4.4299999999999999E-2</v>
      </c>
      <c r="E275" s="438">
        <v>1.9E-3</v>
      </c>
      <c r="F275" s="438">
        <v>2.3416666666666668E-3</v>
      </c>
      <c r="G275" s="438">
        <v>2.4083333333333335E-3</v>
      </c>
      <c r="H275" s="438">
        <v>2.3749999999999999E-3</v>
      </c>
      <c r="I275" s="438">
        <v>2.4916666666666668E-3</v>
      </c>
      <c r="J275" s="438">
        <f t="shared" si="48"/>
        <v>-5.2699999999999997E-2</v>
      </c>
      <c r="K275" s="438">
        <f t="shared" si="40"/>
        <v>-5.3175E-2</v>
      </c>
      <c r="L275" s="438">
        <f t="shared" si="41"/>
        <v>-4.6791666666666669E-2</v>
      </c>
      <c r="M275" s="446">
        <f t="shared" si="49"/>
        <v>6.3549387702238613E-2</v>
      </c>
      <c r="N275" s="446">
        <f t="shared" si="50"/>
        <v>2.2800000000000001E-2</v>
      </c>
      <c r="O275" s="446">
        <f t="shared" si="42"/>
        <v>2.8499999999999998E-2</v>
      </c>
      <c r="P275" s="447">
        <f t="shared" si="51"/>
        <v>4.0749387702238613E-2</v>
      </c>
      <c r="Q275" s="446">
        <f t="shared" si="43"/>
        <v>3.5049387702238616E-2</v>
      </c>
      <c r="R275" s="446">
        <f t="shared" si="44"/>
        <v>-1.9822623144693408E-2</v>
      </c>
      <c r="S275" s="446">
        <f t="shared" si="45"/>
        <v>2.9900000000000003E-2</v>
      </c>
      <c r="T275" s="447">
        <f t="shared" si="46"/>
        <v>-4.9722623144693411E-2</v>
      </c>
      <c r="V275" s="448"/>
      <c r="W275" s="448"/>
      <c r="X275" s="448"/>
      <c r="Y275" s="448"/>
      <c r="Z275" s="448"/>
      <c r="AA275" s="448"/>
      <c r="AB275" s="448"/>
      <c r="AC275" s="448"/>
      <c r="AD275" s="448"/>
      <c r="AF275" s="448"/>
      <c r="AG275" s="448"/>
      <c r="AH275" s="448"/>
      <c r="AI275" s="448"/>
      <c r="AJ275" s="448"/>
      <c r="AK275" s="448"/>
      <c r="AL275" s="448"/>
      <c r="AM275" s="448"/>
      <c r="AN275" s="448"/>
      <c r="AP275" s="448"/>
      <c r="AQ275" s="448"/>
      <c r="AR275" s="448"/>
      <c r="AS275" s="448"/>
      <c r="AT275" s="448"/>
      <c r="AU275" s="448"/>
      <c r="AV275" s="448"/>
      <c r="AW275" s="448"/>
      <c r="AX275" s="448"/>
    </row>
    <row r="276" spans="1:50" x14ac:dyDescent="0.4">
      <c r="A276" s="442" t="str">
        <f t="shared" si="47"/>
        <v>81948</v>
      </c>
      <c r="B276" s="442">
        <v>17746</v>
      </c>
      <c r="C276" s="455">
        <v>1.5800000000000002E-2</v>
      </c>
      <c r="D276" s="438">
        <v>3.5999999999999999E-3</v>
      </c>
      <c r="E276" s="438">
        <v>2.0999999999999999E-3</v>
      </c>
      <c r="F276" s="438">
        <v>2.3666666666666667E-3</v>
      </c>
      <c r="G276" s="438">
        <v>2.4499999999999999E-3</v>
      </c>
      <c r="H276" s="438">
        <v>2.4083333333333335E-3</v>
      </c>
      <c r="I276" s="438">
        <v>2.5249999999999999E-3</v>
      </c>
      <c r="J276" s="438">
        <f t="shared" si="48"/>
        <v>1.3700000000000002E-2</v>
      </c>
      <c r="K276" s="438">
        <f t="shared" si="40"/>
        <v>1.3391666666666668E-2</v>
      </c>
      <c r="L276" s="438">
        <f t="shared" si="41"/>
        <v>1.075E-3</v>
      </c>
      <c r="M276" s="446">
        <f t="shared" si="49"/>
        <v>0.10273907117274073</v>
      </c>
      <c r="N276" s="446">
        <f t="shared" si="50"/>
        <v>2.52E-2</v>
      </c>
      <c r="O276" s="446">
        <f t="shared" si="42"/>
        <v>2.8900000000000002E-2</v>
      </c>
      <c r="P276" s="447">
        <f t="shared" si="51"/>
        <v>7.7539071172740726E-2</v>
      </c>
      <c r="Q276" s="446">
        <f t="shared" si="43"/>
        <v>7.3839071172740717E-2</v>
      </c>
      <c r="R276" s="446">
        <f t="shared" si="44"/>
        <v>-1.4125059719397148E-2</v>
      </c>
      <c r="S276" s="446">
        <f t="shared" si="45"/>
        <v>3.0300000000000001E-2</v>
      </c>
      <c r="T276" s="447">
        <f t="shared" si="46"/>
        <v>-4.4425059719397149E-2</v>
      </c>
      <c r="V276" s="448"/>
      <c r="W276" s="448"/>
      <c r="X276" s="448"/>
      <c r="Y276" s="448"/>
      <c r="Z276" s="448"/>
      <c r="AA276" s="448"/>
      <c r="AB276" s="448"/>
      <c r="AC276" s="448"/>
      <c r="AD276" s="448"/>
      <c r="AF276" s="448"/>
      <c r="AG276" s="448"/>
      <c r="AH276" s="448"/>
      <c r="AI276" s="448"/>
      <c r="AJ276" s="448"/>
      <c r="AK276" s="448"/>
      <c r="AL276" s="448"/>
      <c r="AM276" s="448"/>
      <c r="AN276" s="448"/>
      <c r="AP276" s="448"/>
      <c r="AQ276" s="448"/>
      <c r="AR276" s="448"/>
      <c r="AS276" s="448"/>
      <c r="AT276" s="448"/>
      <c r="AU276" s="448"/>
      <c r="AV276" s="448"/>
      <c r="AW276" s="448"/>
      <c r="AX276" s="448"/>
    </row>
    <row r="277" spans="1:50" x14ac:dyDescent="0.4">
      <c r="A277" s="442" t="str">
        <f t="shared" si="47"/>
        <v>91948</v>
      </c>
      <c r="B277" s="442">
        <v>17777</v>
      </c>
      <c r="C277" s="455">
        <v>-2.76E-2</v>
      </c>
      <c r="D277" s="438">
        <v>-7.0999999999999995E-3</v>
      </c>
      <c r="E277" s="438">
        <v>2E-3</v>
      </c>
      <c r="F277" s="438">
        <v>2.3666666666666667E-3</v>
      </c>
      <c r="G277" s="438">
        <v>2.4416666666666666E-3</v>
      </c>
      <c r="H277" s="438">
        <v>2.4041666666666669E-3</v>
      </c>
      <c r="I277" s="438">
        <v>2.5416666666666669E-3</v>
      </c>
      <c r="J277" s="438">
        <f t="shared" si="48"/>
        <v>-2.9600000000000001E-2</v>
      </c>
      <c r="K277" s="438">
        <f t="shared" si="40"/>
        <v>-3.0004166666666665E-2</v>
      </c>
      <c r="L277" s="438">
        <f t="shared" si="41"/>
        <v>-9.6416666666666664E-3</v>
      </c>
      <c r="M277" s="446">
        <f t="shared" si="49"/>
        <v>8.433964284394091E-2</v>
      </c>
      <c r="N277" s="446">
        <f t="shared" si="50"/>
        <v>2.4E-2</v>
      </c>
      <c r="O277" s="446">
        <f t="shared" si="42"/>
        <v>2.8850000000000001E-2</v>
      </c>
      <c r="P277" s="447">
        <f t="shared" si="51"/>
        <v>6.0339642843940909E-2</v>
      </c>
      <c r="Q277" s="446">
        <f t="shared" si="43"/>
        <v>5.5489642843940909E-2</v>
      </c>
      <c r="R277" s="446">
        <f t="shared" si="44"/>
        <v>-7.0245199790925916E-3</v>
      </c>
      <c r="S277" s="446">
        <f t="shared" si="45"/>
        <v>3.0500000000000003E-2</v>
      </c>
      <c r="T277" s="447">
        <f t="shared" si="46"/>
        <v>-3.7524519979092591E-2</v>
      </c>
      <c r="V277" s="448"/>
      <c r="W277" s="448"/>
      <c r="X277" s="448"/>
      <c r="Y277" s="448"/>
      <c r="Z277" s="448"/>
      <c r="AA277" s="448"/>
      <c r="AB277" s="448"/>
      <c r="AC277" s="448"/>
      <c r="AD277" s="448"/>
      <c r="AF277" s="448"/>
      <c r="AG277" s="448"/>
      <c r="AH277" s="448"/>
      <c r="AI277" s="448"/>
      <c r="AJ277" s="448"/>
      <c r="AK277" s="448"/>
      <c r="AL277" s="448"/>
      <c r="AM277" s="448"/>
      <c r="AN277" s="448"/>
      <c r="AP277" s="448"/>
      <c r="AQ277" s="448"/>
      <c r="AR277" s="448"/>
      <c r="AS277" s="448"/>
      <c r="AT277" s="448"/>
      <c r="AU277" s="448"/>
      <c r="AV277" s="448"/>
      <c r="AW277" s="448"/>
      <c r="AX277" s="448"/>
    </row>
    <row r="278" spans="1:50" x14ac:dyDescent="0.4">
      <c r="A278" s="442" t="str">
        <f t="shared" si="47"/>
        <v>101948</v>
      </c>
      <c r="B278" s="442">
        <v>17807</v>
      </c>
      <c r="C278" s="455">
        <v>7.0999999999999994E-2</v>
      </c>
      <c r="D278" s="438">
        <v>4.0300000000000002E-2</v>
      </c>
      <c r="E278" s="438">
        <v>1.9E-3</v>
      </c>
      <c r="F278" s="438">
        <v>2.3666666666666667E-3</v>
      </c>
      <c r="G278" s="438">
        <v>2.4499999999999999E-3</v>
      </c>
      <c r="H278" s="438">
        <v>2.4083333333333335E-3</v>
      </c>
      <c r="I278" s="438">
        <v>2.5249999999999999E-3</v>
      </c>
      <c r="J278" s="438">
        <f t="shared" si="48"/>
        <v>6.9099999999999995E-2</v>
      </c>
      <c r="K278" s="438">
        <f t="shared" si="40"/>
        <v>6.8591666666666662E-2</v>
      </c>
      <c r="L278" s="438">
        <f t="shared" si="41"/>
        <v>3.7775000000000003E-2</v>
      </c>
      <c r="M278" s="446">
        <f t="shared" si="49"/>
        <v>0.13433068713211571</v>
      </c>
      <c r="N278" s="446">
        <f t="shared" si="50"/>
        <v>2.2800000000000001E-2</v>
      </c>
      <c r="O278" s="446">
        <f t="shared" si="42"/>
        <v>2.8900000000000002E-2</v>
      </c>
      <c r="P278" s="447">
        <f t="shared" si="51"/>
        <v>0.11153068713211571</v>
      </c>
      <c r="Q278" s="446">
        <f t="shared" si="43"/>
        <v>0.1054306871321157</v>
      </c>
      <c r="R278" s="446">
        <f t="shared" si="44"/>
        <v>4.6916379715972845E-2</v>
      </c>
      <c r="S278" s="446">
        <f t="shared" si="45"/>
        <v>3.0300000000000001E-2</v>
      </c>
      <c r="T278" s="447">
        <f t="shared" si="46"/>
        <v>1.6616379715972844E-2</v>
      </c>
      <c r="V278" s="448"/>
      <c r="W278" s="448"/>
      <c r="X278" s="448"/>
      <c r="Y278" s="448"/>
      <c r="Z278" s="448"/>
      <c r="AA278" s="448"/>
      <c r="AB278" s="448"/>
      <c r="AC278" s="448"/>
      <c r="AD278" s="448"/>
      <c r="AF278" s="448"/>
      <c r="AG278" s="448"/>
      <c r="AH278" s="448"/>
      <c r="AI278" s="448"/>
      <c r="AJ278" s="448"/>
      <c r="AK278" s="448"/>
      <c r="AL278" s="448"/>
      <c r="AM278" s="448"/>
      <c r="AN278" s="448"/>
      <c r="AP278" s="448"/>
      <c r="AQ278" s="448"/>
      <c r="AR278" s="448"/>
      <c r="AS278" s="448"/>
      <c r="AT278" s="448"/>
      <c r="AU278" s="448"/>
      <c r="AV278" s="448"/>
      <c r="AW278" s="448"/>
      <c r="AX278" s="448"/>
    </row>
    <row r="279" spans="1:50" x14ac:dyDescent="0.4">
      <c r="A279" s="442" t="str">
        <f t="shared" si="47"/>
        <v>111948</v>
      </c>
      <c r="B279" s="442">
        <v>17838</v>
      </c>
      <c r="C279" s="455">
        <v>-9.6100000000000005E-2</v>
      </c>
      <c r="D279" s="438">
        <v>-9.1299999999999992E-2</v>
      </c>
      <c r="E279" s="438">
        <v>2.0999999999999999E-3</v>
      </c>
      <c r="F279" s="438">
        <v>2.3666666666666667E-3</v>
      </c>
      <c r="G279" s="438">
        <v>2.4333333333333334E-3</v>
      </c>
      <c r="H279" s="438">
        <v>2.3999999999999998E-3</v>
      </c>
      <c r="I279" s="438">
        <v>2.5583333333333335E-3</v>
      </c>
      <c r="J279" s="438">
        <f t="shared" si="48"/>
        <v>-9.820000000000001E-2</v>
      </c>
      <c r="K279" s="438">
        <f t="shared" si="40"/>
        <v>-9.8500000000000004E-2</v>
      </c>
      <c r="L279" s="438">
        <f t="shared" si="41"/>
        <v>-9.3858333333333321E-2</v>
      </c>
      <c r="M279" s="446">
        <f t="shared" si="49"/>
        <v>4.3584232161547165E-2</v>
      </c>
      <c r="N279" s="446">
        <f t="shared" si="50"/>
        <v>2.52E-2</v>
      </c>
      <c r="O279" s="446">
        <f t="shared" si="42"/>
        <v>2.8799999999999999E-2</v>
      </c>
      <c r="P279" s="447">
        <f t="shared" si="51"/>
        <v>1.8384232161547165E-2</v>
      </c>
      <c r="Q279" s="446">
        <f t="shared" si="43"/>
        <v>1.4784232161547166E-2</v>
      </c>
      <c r="R279" s="446">
        <f t="shared" si="44"/>
        <v>3.6762112301552241E-2</v>
      </c>
      <c r="S279" s="446">
        <f t="shared" si="45"/>
        <v>3.0700000000000002E-2</v>
      </c>
      <c r="T279" s="447">
        <f t="shared" si="46"/>
        <v>6.0621123015522395E-3</v>
      </c>
      <c r="V279" s="448"/>
      <c r="W279" s="448"/>
      <c r="X279" s="448"/>
      <c r="Y279" s="448"/>
      <c r="Z279" s="448"/>
      <c r="AA279" s="448"/>
      <c r="AB279" s="448"/>
      <c r="AC279" s="448"/>
      <c r="AD279" s="448"/>
      <c r="AF279" s="448"/>
      <c r="AG279" s="448"/>
      <c r="AH279" s="448"/>
      <c r="AI279" s="448"/>
      <c r="AJ279" s="448"/>
      <c r="AK279" s="448"/>
      <c r="AL279" s="448"/>
      <c r="AM279" s="448"/>
      <c r="AN279" s="448"/>
      <c r="AP279" s="448"/>
      <c r="AQ279" s="448"/>
      <c r="AR279" s="448"/>
      <c r="AS279" s="448"/>
      <c r="AT279" s="448"/>
      <c r="AU279" s="448"/>
      <c r="AV279" s="448"/>
      <c r="AW279" s="448"/>
      <c r="AX279" s="448"/>
    </row>
    <row r="280" spans="1:50" x14ac:dyDescent="0.4">
      <c r="A280" s="442" t="str">
        <f t="shared" si="47"/>
        <v>121948</v>
      </c>
      <c r="B280" s="442">
        <v>17868</v>
      </c>
      <c r="C280" s="455">
        <v>3.4599999999999999E-2</v>
      </c>
      <c r="D280" s="438">
        <v>2.2099999999999998E-2</v>
      </c>
      <c r="E280" s="438">
        <v>2E-3</v>
      </c>
      <c r="F280" s="438">
        <v>2.3250000000000002E-3</v>
      </c>
      <c r="G280" s="438">
        <v>2.3999999999999998E-3</v>
      </c>
      <c r="H280" s="438">
        <v>2.3625E-3</v>
      </c>
      <c r="I280" s="438">
        <v>2.5500000000000002E-3</v>
      </c>
      <c r="J280" s="438">
        <f t="shared" si="48"/>
        <v>3.2599999999999997E-2</v>
      </c>
      <c r="K280" s="438">
        <f t="shared" si="40"/>
        <v>3.2237500000000002E-2</v>
      </c>
      <c r="L280" s="438">
        <f t="shared" si="41"/>
        <v>1.9549999999999998E-2</v>
      </c>
      <c r="M280" s="446">
        <f t="shared" si="49"/>
        <v>5.5108224952932883E-2</v>
      </c>
      <c r="N280" s="446">
        <f t="shared" si="50"/>
        <v>2.4E-2</v>
      </c>
      <c r="O280" s="446">
        <f t="shared" si="42"/>
        <v>2.835E-2</v>
      </c>
      <c r="P280" s="447">
        <f t="shared" si="51"/>
        <v>3.1108224952932882E-2</v>
      </c>
      <c r="Q280" s="446">
        <f t="shared" si="43"/>
        <v>2.6758224952932883E-2</v>
      </c>
      <c r="R280" s="446">
        <f t="shared" si="44"/>
        <v>4.0018210799309673E-2</v>
      </c>
      <c r="S280" s="446">
        <f t="shared" si="45"/>
        <v>3.0600000000000002E-2</v>
      </c>
      <c r="T280" s="447">
        <f t="shared" si="46"/>
        <v>9.4182107993096703E-3</v>
      </c>
      <c r="V280" s="448"/>
      <c r="W280" s="448"/>
      <c r="X280" s="448"/>
      <c r="Y280" s="448"/>
      <c r="Z280" s="448"/>
      <c r="AA280" s="448"/>
      <c r="AB280" s="448"/>
      <c r="AC280" s="448"/>
      <c r="AD280" s="448"/>
      <c r="AF280" s="448"/>
      <c r="AG280" s="448"/>
      <c r="AH280" s="448"/>
      <c r="AI280" s="448"/>
      <c r="AJ280" s="448"/>
      <c r="AK280" s="448"/>
      <c r="AL280" s="448"/>
      <c r="AM280" s="448"/>
      <c r="AN280" s="448"/>
      <c r="AP280" s="448"/>
      <c r="AQ280" s="448"/>
      <c r="AR280" s="448"/>
      <c r="AS280" s="448"/>
      <c r="AT280" s="448"/>
      <c r="AU280" s="448"/>
      <c r="AV280" s="448"/>
      <c r="AW280" s="448"/>
      <c r="AX280" s="448"/>
    </row>
    <row r="281" spans="1:50" x14ac:dyDescent="0.4">
      <c r="A281" s="442" t="str">
        <f t="shared" si="47"/>
        <v>11949</v>
      </c>
      <c r="B281" s="442">
        <v>17899</v>
      </c>
      <c r="C281" s="455">
        <v>3.8999999999999998E-3</v>
      </c>
      <c r="D281" s="438">
        <v>5.04E-2</v>
      </c>
      <c r="E281" s="438">
        <v>2E-3</v>
      </c>
      <c r="F281" s="438">
        <v>2.2583333333333331E-3</v>
      </c>
      <c r="G281" s="438">
        <v>2.3416666666666668E-3</v>
      </c>
      <c r="H281" s="438">
        <v>2.3E-3</v>
      </c>
      <c r="I281" s="438">
        <v>2.4916666666666668E-3</v>
      </c>
      <c r="J281" s="438">
        <f t="shared" si="48"/>
        <v>1.8999999999999998E-3</v>
      </c>
      <c r="K281" s="438">
        <f t="shared" si="40"/>
        <v>1.5999999999999999E-3</v>
      </c>
      <c r="L281" s="438">
        <f t="shared" si="41"/>
        <v>4.7908333333333331E-2</v>
      </c>
      <c r="M281" s="446">
        <f t="shared" si="49"/>
        <v>0.10094911862618194</v>
      </c>
      <c r="N281" s="446">
        <f t="shared" si="50"/>
        <v>2.4E-2</v>
      </c>
      <c r="O281" s="446">
        <f t="shared" si="42"/>
        <v>2.76E-2</v>
      </c>
      <c r="P281" s="447">
        <f t="shared" si="51"/>
        <v>7.694911862618195E-2</v>
      </c>
      <c r="Q281" s="446">
        <f t="shared" si="43"/>
        <v>7.3349118626181944E-2</v>
      </c>
      <c r="R281" s="446">
        <f t="shared" si="44"/>
        <v>8.484123994398729E-2</v>
      </c>
      <c r="S281" s="446">
        <f t="shared" si="45"/>
        <v>2.9900000000000003E-2</v>
      </c>
      <c r="T281" s="447">
        <f t="shared" si="46"/>
        <v>5.4941239943987287E-2</v>
      </c>
      <c r="V281" s="448"/>
      <c r="W281" s="448"/>
      <c r="X281" s="448"/>
      <c r="Y281" s="448"/>
      <c r="Z281" s="448"/>
      <c r="AA281" s="448"/>
      <c r="AB281" s="448"/>
      <c r="AC281" s="448"/>
      <c r="AD281" s="448"/>
      <c r="AF281" s="448"/>
      <c r="AG281" s="448"/>
      <c r="AH281" s="448"/>
      <c r="AI281" s="448"/>
      <c r="AJ281" s="448"/>
      <c r="AK281" s="448"/>
      <c r="AL281" s="448"/>
      <c r="AM281" s="448"/>
      <c r="AN281" s="448"/>
      <c r="AP281" s="448"/>
      <c r="AQ281" s="448"/>
      <c r="AR281" s="448"/>
      <c r="AS281" s="448"/>
      <c r="AT281" s="448"/>
      <c r="AU281" s="448"/>
      <c r="AV281" s="448"/>
      <c r="AW281" s="448"/>
      <c r="AX281" s="448"/>
    </row>
    <row r="282" spans="1:50" x14ac:dyDescent="0.4">
      <c r="A282" s="442" t="str">
        <f t="shared" si="47"/>
        <v>21949</v>
      </c>
      <c r="B282" s="442">
        <v>17930</v>
      </c>
      <c r="C282" s="455">
        <v>-2.9600000000000001E-2</v>
      </c>
      <c r="D282" s="438">
        <v>5.0000000000000044E-4</v>
      </c>
      <c r="E282" s="438">
        <v>1.8E-3</v>
      </c>
      <c r="F282" s="438">
        <v>2.2583333333333331E-3</v>
      </c>
      <c r="G282" s="438">
        <v>2.3333333333333331E-3</v>
      </c>
      <c r="H282" s="438">
        <v>2.2958333333333329E-3</v>
      </c>
      <c r="I282" s="438">
        <v>2.4916666666666668E-3</v>
      </c>
      <c r="J282" s="438">
        <f t="shared" si="48"/>
        <v>-3.1400000000000004E-2</v>
      </c>
      <c r="K282" s="438">
        <f t="shared" si="40"/>
        <v>-3.1895833333333332E-2</v>
      </c>
      <c r="L282" s="438">
        <f t="shared" si="41"/>
        <v>-1.9916666666666663E-3</v>
      </c>
      <c r="M282" s="446">
        <f t="shared" si="49"/>
        <v>0.11148670902501734</v>
      </c>
      <c r="N282" s="446">
        <f t="shared" si="50"/>
        <v>2.1600000000000001E-2</v>
      </c>
      <c r="O282" s="446">
        <f t="shared" si="42"/>
        <v>2.7549999999999995E-2</v>
      </c>
      <c r="P282" s="447">
        <f t="shared" si="51"/>
        <v>8.9886709025017331E-2</v>
      </c>
      <c r="Q282" s="446">
        <f t="shared" si="43"/>
        <v>8.3936709025017348E-2</v>
      </c>
      <c r="R282" s="446">
        <f t="shared" si="44"/>
        <v>0.12731996319480543</v>
      </c>
      <c r="S282" s="446">
        <f t="shared" si="45"/>
        <v>2.9900000000000003E-2</v>
      </c>
      <c r="T282" s="447">
        <f t="shared" si="46"/>
        <v>9.741996319480542E-2</v>
      </c>
      <c r="V282" s="448"/>
      <c r="W282" s="448"/>
      <c r="X282" s="448"/>
      <c r="Y282" s="448"/>
      <c r="Z282" s="448"/>
      <c r="AA282" s="448"/>
      <c r="AB282" s="448"/>
      <c r="AC282" s="448"/>
      <c r="AD282" s="448"/>
      <c r="AF282" s="448"/>
      <c r="AG282" s="448"/>
      <c r="AH282" s="448"/>
      <c r="AI282" s="448"/>
      <c r="AJ282" s="448"/>
      <c r="AK282" s="448"/>
      <c r="AL282" s="448"/>
      <c r="AM282" s="448"/>
      <c r="AN282" s="448"/>
      <c r="AP282" s="448"/>
      <c r="AQ282" s="448"/>
      <c r="AR282" s="448"/>
      <c r="AS282" s="448"/>
      <c r="AT282" s="448"/>
      <c r="AU282" s="448"/>
      <c r="AV282" s="448"/>
      <c r="AW282" s="448"/>
      <c r="AX282" s="448"/>
    </row>
    <row r="283" spans="1:50" x14ac:dyDescent="0.4">
      <c r="A283" s="442" t="str">
        <f t="shared" si="47"/>
        <v>31949</v>
      </c>
      <c r="B283" s="442">
        <v>17958</v>
      </c>
      <c r="C283" s="455">
        <v>3.2800000000000003E-2</v>
      </c>
      <c r="D283" s="438">
        <v>3.6400000000000002E-2</v>
      </c>
      <c r="E283" s="438">
        <v>1.9E-3</v>
      </c>
      <c r="F283" s="438">
        <v>2.2500000000000003E-3</v>
      </c>
      <c r="G283" s="438">
        <v>2.3250000000000002E-3</v>
      </c>
      <c r="H283" s="438">
        <v>2.2875E-3</v>
      </c>
      <c r="I283" s="438">
        <v>2.4750000000000002E-3</v>
      </c>
      <c r="J283" s="438">
        <f t="shared" si="48"/>
        <v>3.0900000000000004E-2</v>
      </c>
      <c r="K283" s="438">
        <f t="shared" si="40"/>
        <v>3.0512500000000001E-2</v>
      </c>
      <c r="L283" s="438">
        <f t="shared" si="41"/>
        <v>3.3925000000000004E-2</v>
      </c>
      <c r="M283" s="446">
        <f t="shared" si="49"/>
        <v>6.3599993589398496E-2</v>
      </c>
      <c r="N283" s="446">
        <f t="shared" si="50"/>
        <v>2.2800000000000001E-2</v>
      </c>
      <c r="O283" s="446">
        <f t="shared" si="42"/>
        <v>2.7450000000000002E-2</v>
      </c>
      <c r="P283" s="447">
        <f t="shared" si="51"/>
        <v>4.0799993589398495E-2</v>
      </c>
      <c r="Q283" s="446">
        <f t="shared" si="43"/>
        <v>3.6149993589398494E-2</v>
      </c>
      <c r="R283" s="446">
        <f t="shared" si="44"/>
        <v>0.10045625869369545</v>
      </c>
      <c r="S283" s="446">
        <f t="shared" si="45"/>
        <v>2.9700000000000004E-2</v>
      </c>
      <c r="T283" s="447">
        <f t="shared" si="46"/>
        <v>7.0756258693695451E-2</v>
      </c>
      <c r="V283" s="448"/>
      <c r="W283" s="448"/>
      <c r="X283" s="448"/>
      <c r="Y283" s="448"/>
      <c r="Z283" s="448"/>
      <c r="AA283" s="448"/>
      <c r="AB283" s="448"/>
      <c r="AC283" s="448"/>
      <c r="AD283" s="448"/>
      <c r="AF283" s="448"/>
      <c r="AG283" s="448"/>
      <c r="AH283" s="448"/>
      <c r="AI283" s="448"/>
      <c r="AJ283" s="448"/>
      <c r="AK283" s="448"/>
      <c r="AL283" s="448"/>
      <c r="AM283" s="448"/>
      <c r="AN283" s="448"/>
      <c r="AP283" s="448"/>
      <c r="AQ283" s="448"/>
      <c r="AR283" s="448"/>
      <c r="AS283" s="448"/>
      <c r="AT283" s="448"/>
      <c r="AU283" s="448"/>
      <c r="AV283" s="448"/>
      <c r="AW283" s="448"/>
      <c r="AX283" s="448"/>
    </row>
    <row r="284" spans="1:50" x14ac:dyDescent="0.4">
      <c r="A284" s="442" t="str">
        <f t="shared" si="47"/>
        <v>41949</v>
      </c>
      <c r="B284" s="442">
        <v>17989</v>
      </c>
      <c r="C284" s="455">
        <v>-1.7899999999999999E-2</v>
      </c>
      <c r="D284" s="438">
        <v>5.7999999999999996E-3</v>
      </c>
      <c r="E284" s="438">
        <v>1.8E-3</v>
      </c>
      <c r="F284" s="438">
        <v>2.2500000000000003E-3</v>
      </c>
      <c r="G284" s="438">
        <v>2.3250000000000002E-3</v>
      </c>
      <c r="H284" s="438">
        <v>2.2875E-3</v>
      </c>
      <c r="I284" s="438">
        <v>2.4666666666666669E-3</v>
      </c>
      <c r="J284" s="438">
        <f t="shared" si="48"/>
        <v>-1.9699999999999999E-2</v>
      </c>
      <c r="K284" s="438">
        <f t="shared" si="40"/>
        <v>-2.0187500000000001E-2</v>
      </c>
      <c r="L284" s="438">
        <f t="shared" si="41"/>
        <v>3.3333333333333327E-3</v>
      </c>
      <c r="M284" s="446">
        <f t="shared" si="49"/>
        <v>1.4925722604108849E-2</v>
      </c>
      <c r="N284" s="446">
        <f t="shared" si="50"/>
        <v>2.1600000000000001E-2</v>
      </c>
      <c r="O284" s="446">
        <f t="shared" si="42"/>
        <v>2.7450000000000002E-2</v>
      </c>
      <c r="P284" s="447">
        <f t="shared" si="51"/>
        <v>-6.6742773958911525E-3</v>
      </c>
      <c r="Q284" s="446">
        <f t="shared" si="43"/>
        <v>-1.2524277395891154E-2</v>
      </c>
      <c r="R284" s="446">
        <f t="shared" si="44"/>
        <v>8.9408371057204006E-2</v>
      </c>
      <c r="S284" s="446">
        <f t="shared" si="45"/>
        <v>2.9600000000000001E-2</v>
      </c>
      <c r="T284" s="447">
        <f t="shared" si="46"/>
        <v>5.9808371057204004E-2</v>
      </c>
      <c r="V284" s="448"/>
      <c r="W284" s="448"/>
      <c r="X284" s="448"/>
      <c r="Y284" s="448"/>
      <c r="Z284" s="448"/>
      <c r="AA284" s="448"/>
      <c r="AB284" s="448"/>
      <c r="AC284" s="448"/>
      <c r="AD284" s="448"/>
      <c r="AF284" s="448"/>
      <c r="AG284" s="448"/>
      <c r="AH284" s="448"/>
      <c r="AI284" s="448"/>
      <c r="AJ284" s="448"/>
      <c r="AK284" s="448"/>
      <c r="AL284" s="448"/>
      <c r="AM284" s="448"/>
      <c r="AN284" s="448"/>
      <c r="AP284" s="448"/>
      <c r="AQ284" s="448"/>
      <c r="AR284" s="448"/>
      <c r="AS284" s="448"/>
      <c r="AT284" s="448"/>
      <c r="AU284" s="448"/>
      <c r="AV284" s="448"/>
      <c r="AW284" s="448"/>
      <c r="AX284" s="448"/>
    </row>
    <row r="285" spans="1:50" x14ac:dyDescent="0.4">
      <c r="A285" s="442" t="str">
        <f t="shared" si="47"/>
        <v>51949</v>
      </c>
      <c r="B285" s="442">
        <v>18019</v>
      </c>
      <c r="C285" s="455">
        <v>-2.58E-2</v>
      </c>
      <c r="D285" s="438">
        <v>3.4000000000000002E-3</v>
      </c>
      <c r="E285" s="438">
        <v>2E-3</v>
      </c>
      <c r="F285" s="438">
        <v>2.2583333333333331E-3</v>
      </c>
      <c r="G285" s="438">
        <v>2.3166666666666665E-3</v>
      </c>
      <c r="H285" s="438">
        <v>2.2875E-3</v>
      </c>
      <c r="I285" s="438">
        <v>2.4583333333333336E-3</v>
      </c>
      <c r="J285" s="438">
        <f t="shared" si="48"/>
        <v>-2.7799999999999998E-2</v>
      </c>
      <c r="K285" s="438">
        <f t="shared" ref="K285:K348" si="52">C285-H285</f>
        <v>-2.8087500000000001E-2</v>
      </c>
      <c r="L285" s="438">
        <f t="shared" ref="L285:L348" si="53">$D285-I285</f>
        <v>9.4166666666666661E-4</v>
      </c>
      <c r="M285" s="446">
        <f t="shared" si="49"/>
        <v>-9.1147496129311056E-2</v>
      </c>
      <c r="N285" s="446">
        <f t="shared" si="50"/>
        <v>2.4E-2</v>
      </c>
      <c r="O285" s="446">
        <f t="shared" si="42"/>
        <v>2.7450000000000002E-2</v>
      </c>
      <c r="P285" s="447">
        <f t="shared" si="51"/>
        <v>-0.11514749612931105</v>
      </c>
      <c r="Q285" s="446">
        <f t="shared" si="43"/>
        <v>-0.11859749612931106</v>
      </c>
      <c r="R285" s="446">
        <f t="shared" si="44"/>
        <v>3.2894604099781066E-2</v>
      </c>
      <c r="S285" s="446">
        <f t="shared" si="45"/>
        <v>2.9500000000000005E-2</v>
      </c>
      <c r="T285" s="447">
        <f t="shared" si="46"/>
        <v>3.3946040997810609E-3</v>
      </c>
      <c r="V285" s="448"/>
      <c r="W285" s="448"/>
      <c r="X285" s="448"/>
      <c r="Y285" s="448"/>
      <c r="Z285" s="448"/>
      <c r="AA285" s="448"/>
      <c r="AB285" s="448"/>
      <c r="AC285" s="448"/>
      <c r="AD285" s="448"/>
      <c r="AF285" s="448"/>
      <c r="AG285" s="448"/>
      <c r="AH285" s="448"/>
      <c r="AI285" s="448"/>
      <c r="AJ285" s="448"/>
      <c r="AK285" s="448"/>
      <c r="AL285" s="448"/>
      <c r="AM285" s="448"/>
      <c r="AN285" s="448"/>
      <c r="AP285" s="448"/>
      <c r="AQ285" s="448"/>
      <c r="AR285" s="448"/>
      <c r="AS285" s="448"/>
      <c r="AT285" s="448"/>
      <c r="AU285" s="448"/>
      <c r="AV285" s="448"/>
      <c r="AW285" s="448"/>
      <c r="AX285" s="448"/>
    </row>
    <row r="286" spans="1:50" x14ac:dyDescent="0.4">
      <c r="A286" s="442" t="str">
        <f t="shared" si="47"/>
        <v>61949</v>
      </c>
      <c r="B286" s="442">
        <v>18050</v>
      </c>
      <c r="C286" s="455">
        <v>1.4E-3</v>
      </c>
      <c r="D286" s="438">
        <v>-1.3399999999999999E-2</v>
      </c>
      <c r="E286" s="438">
        <v>1.9E-3</v>
      </c>
      <c r="F286" s="438">
        <v>2.2583333333333331E-3</v>
      </c>
      <c r="G286" s="438">
        <v>2.3166666666666665E-3</v>
      </c>
      <c r="H286" s="438">
        <v>2.2875E-3</v>
      </c>
      <c r="I286" s="438">
        <v>2.4499999999999999E-3</v>
      </c>
      <c r="J286" s="438">
        <f t="shared" si="48"/>
        <v>-5.0000000000000001E-4</v>
      </c>
      <c r="K286" s="438">
        <f t="shared" si="52"/>
        <v>-8.8750000000000005E-4</v>
      </c>
      <c r="L286" s="438">
        <f t="shared" si="53"/>
        <v>-1.585E-2</v>
      </c>
      <c r="M286" s="446">
        <f t="shared" si="49"/>
        <v>-9.4763380369894512E-2</v>
      </c>
      <c r="N286" s="446">
        <f t="shared" si="50"/>
        <v>2.2800000000000001E-2</v>
      </c>
      <c r="O286" s="446">
        <f t="shared" si="42"/>
        <v>2.7450000000000002E-2</v>
      </c>
      <c r="P286" s="447">
        <f t="shared" si="51"/>
        <v>-0.11756338036989451</v>
      </c>
      <c r="Q286" s="446">
        <f t="shared" si="43"/>
        <v>-0.12221338036989451</v>
      </c>
      <c r="R286" s="446">
        <f t="shared" si="44"/>
        <v>-2.1016290591027165E-3</v>
      </c>
      <c r="S286" s="446">
        <f t="shared" si="45"/>
        <v>2.9399999999999999E-2</v>
      </c>
      <c r="T286" s="447">
        <f t="shared" si="46"/>
        <v>-3.1501629059102712E-2</v>
      </c>
      <c r="V286" s="448"/>
      <c r="W286" s="448"/>
      <c r="X286" s="448"/>
      <c r="Y286" s="448"/>
      <c r="Z286" s="448"/>
      <c r="AA286" s="448"/>
      <c r="AB286" s="448"/>
      <c r="AC286" s="448"/>
      <c r="AD286" s="448"/>
      <c r="AF286" s="448"/>
      <c r="AG286" s="448"/>
      <c r="AH286" s="448"/>
      <c r="AI286" s="448"/>
      <c r="AJ286" s="448"/>
      <c r="AK286" s="448"/>
      <c r="AL286" s="448"/>
      <c r="AM286" s="448"/>
      <c r="AN286" s="448"/>
      <c r="AP286" s="448"/>
      <c r="AQ286" s="448"/>
      <c r="AR286" s="448"/>
      <c r="AS286" s="448"/>
      <c r="AT286" s="448"/>
      <c r="AU286" s="448"/>
      <c r="AV286" s="448"/>
      <c r="AW286" s="448"/>
      <c r="AX286" s="448"/>
    </row>
    <row r="287" spans="1:50" x14ac:dyDescent="0.4">
      <c r="A287" s="442" t="str">
        <f t="shared" si="47"/>
        <v>71949</v>
      </c>
      <c r="B287" s="442">
        <v>18080</v>
      </c>
      <c r="C287" s="455">
        <v>6.5000000000000002E-2</v>
      </c>
      <c r="D287" s="438">
        <v>5.6899999999999992E-2</v>
      </c>
      <c r="E287" s="438">
        <v>1.6999999999999999E-3</v>
      </c>
      <c r="F287" s="438">
        <v>2.225E-3</v>
      </c>
      <c r="G287" s="438">
        <v>2.2916666666666667E-3</v>
      </c>
      <c r="H287" s="438">
        <v>2.2583333333333331E-3</v>
      </c>
      <c r="I287" s="438">
        <v>2.4166666666666668E-3</v>
      </c>
      <c r="J287" s="438">
        <f t="shared" si="48"/>
        <v>6.3300000000000009E-2</v>
      </c>
      <c r="K287" s="438">
        <f t="shared" si="52"/>
        <v>6.2741666666666668E-2</v>
      </c>
      <c r="L287" s="438">
        <f t="shared" si="53"/>
        <v>5.4483333333333328E-2</v>
      </c>
      <c r="M287" s="446">
        <f t="shared" si="49"/>
        <v>1.5673198383967746E-2</v>
      </c>
      <c r="N287" s="446">
        <f t="shared" si="50"/>
        <v>2.0399999999999998E-2</v>
      </c>
      <c r="O287" s="446">
        <f t="shared" si="42"/>
        <v>2.7099999999999999E-2</v>
      </c>
      <c r="P287" s="447">
        <f t="shared" si="51"/>
        <v>-4.7268016160322522E-3</v>
      </c>
      <c r="Q287" s="446">
        <f t="shared" si="43"/>
        <v>-1.1426801616032253E-2</v>
      </c>
      <c r="R287" s="446">
        <f t="shared" si="44"/>
        <v>0.10356679737096752</v>
      </c>
      <c r="S287" s="446">
        <f t="shared" si="45"/>
        <v>2.9000000000000001E-2</v>
      </c>
      <c r="T287" s="447">
        <f t="shared" si="46"/>
        <v>7.4566797370967525E-2</v>
      </c>
      <c r="V287" s="448"/>
      <c r="W287" s="448"/>
      <c r="X287" s="448"/>
      <c r="Y287" s="448"/>
      <c r="Z287" s="448"/>
      <c r="AA287" s="448"/>
      <c r="AB287" s="448"/>
      <c r="AC287" s="448"/>
      <c r="AD287" s="448"/>
      <c r="AF287" s="448"/>
      <c r="AG287" s="448"/>
      <c r="AH287" s="448"/>
      <c r="AI287" s="448"/>
      <c r="AJ287" s="448"/>
      <c r="AK287" s="448"/>
      <c r="AL287" s="448"/>
      <c r="AM287" s="448"/>
      <c r="AN287" s="448"/>
      <c r="AP287" s="448"/>
      <c r="AQ287" s="448"/>
      <c r="AR287" s="448"/>
      <c r="AS287" s="448"/>
      <c r="AT287" s="448"/>
      <c r="AU287" s="448"/>
      <c r="AV287" s="448"/>
      <c r="AW287" s="448"/>
      <c r="AX287" s="448"/>
    </row>
    <row r="288" spans="1:50" x14ac:dyDescent="0.4">
      <c r="A288" s="442" t="str">
        <f t="shared" si="47"/>
        <v>81949</v>
      </c>
      <c r="B288" s="442">
        <v>18111</v>
      </c>
      <c r="C288" s="455">
        <v>2.1899999999999999E-2</v>
      </c>
      <c r="D288" s="438">
        <v>3.4599999999999999E-2</v>
      </c>
      <c r="E288" s="438">
        <v>1.9E-3</v>
      </c>
      <c r="F288" s="438">
        <v>2.1833333333333336E-3</v>
      </c>
      <c r="G288" s="438">
        <v>2.2583333333333331E-3</v>
      </c>
      <c r="H288" s="438">
        <v>2.2208333333333333E-3</v>
      </c>
      <c r="I288" s="438">
        <v>2.3833333333333332E-3</v>
      </c>
      <c r="J288" s="438">
        <f t="shared" si="48"/>
        <v>0.02</v>
      </c>
      <c r="K288" s="438">
        <f t="shared" si="52"/>
        <v>1.9679166666666664E-2</v>
      </c>
      <c r="L288" s="438">
        <f t="shared" si="53"/>
        <v>3.2216666666666664E-2</v>
      </c>
      <c r="M288" s="446">
        <f t="shared" si="49"/>
        <v>2.1772436925158845E-2</v>
      </c>
      <c r="N288" s="446">
        <f t="shared" si="50"/>
        <v>2.2800000000000001E-2</v>
      </c>
      <c r="O288" s="446">
        <f t="shared" si="42"/>
        <v>2.665E-2</v>
      </c>
      <c r="P288" s="447">
        <f t="shared" si="51"/>
        <v>-1.0275630748411563E-3</v>
      </c>
      <c r="Q288" s="446">
        <f t="shared" si="43"/>
        <v>-4.8775630748411555E-3</v>
      </c>
      <c r="R288" s="446">
        <f t="shared" si="44"/>
        <v>0.13765465181347492</v>
      </c>
      <c r="S288" s="446">
        <f t="shared" si="45"/>
        <v>2.86E-2</v>
      </c>
      <c r="T288" s="447">
        <f t="shared" si="46"/>
        <v>0.10905465181347491</v>
      </c>
      <c r="V288" s="448"/>
      <c r="W288" s="448"/>
      <c r="X288" s="448"/>
      <c r="Y288" s="448"/>
      <c r="Z288" s="448"/>
      <c r="AA288" s="448"/>
      <c r="AB288" s="448"/>
      <c r="AC288" s="448"/>
      <c r="AD288" s="448"/>
      <c r="AF288" s="448"/>
      <c r="AG288" s="448"/>
      <c r="AH288" s="448"/>
      <c r="AI288" s="448"/>
      <c r="AJ288" s="448"/>
      <c r="AK288" s="448"/>
      <c r="AL288" s="448"/>
      <c r="AM288" s="448"/>
      <c r="AN288" s="448"/>
      <c r="AP288" s="448"/>
      <c r="AQ288" s="448"/>
      <c r="AR288" s="448"/>
      <c r="AS288" s="448"/>
      <c r="AT288" s="448"/>
      <c r="AU288" s="448"/>
      <c r="AV288" s="448"/>
      <c r="AW288" s="448"/>
      <c r="AX288" s="448"/>
    </row>
    <row r="289" spans="1:50" x14ac:dyDescent="0.4">
      <c r="A289" s="442" t="str">
        <f t="shared" si="47"/>
        <v>91949</v>
      </c>
      <c r="B289" s="442">
        <v>18142</v>
      </c>
      <c r="C289" s="455">
        <v>2.63E-2</v>
      </c>
      <c r="D289" s="438">
        <v>3.73E-2</v>
      </c>
      <c r="E289" s="438">
        <v>1.6999999999999999E-3</v>
      </c>
      <c r="F289" s="438">
        <v>2.1666666666666666E-3</v>
      </c>
      <c r="G289" s="438">
        <v>2.2416666666666665E-3</v>
      </c>
      <c r="H289" s="438">
        <v>2.2041666666666663E-3</v>
      </c>
      <c r="I289" s="438">
        <v>2.3750000000000004E-3</v>
      </c>
      <c r="J289" s="438">
        <f t="shared" si="48"/>
        <v>2.46E-2</v>
      </c>
      <c r="K289" s="438">
        <f t="shared" si="52"/>
        <v>2.4095833333333334E-2</v>
      </c>
      <c r="L289" s="438">
        <f t="shared" si="53"/>
        <v>3.4924999999999998E-2</v>
      </c>
      <c r="M289" s="446">
        <f t="shared" si="49"/>
        <v>7.8409144401779818E-2</v>
      </c>
      <c r="N289" s="446">
        <f t="shared" si="50"/>
        <v>2.0399999999999998E-2</v>
      </c>
      <c r="O289" s="446">
        <f t="shared" si="42"/>
        <v>2.6449999999999994E-2</v>
      </c>
      <c r="P289" s="447">
        <f t="shared" si="51"/>
        <v>5.8009144401779816E-2</v>
      </c>
      <c r="Q289" s="446">
        <f t="shared" si="43"/>
        <v>5.1959144401779823E-2</v>
      </c>
      <c r="R289" s="446">
        <f t="shared" si="44"/>
        <v>0.1885277171176527</v>
      </c>
      <c r="S289" s="446">
        <f t="shared" si="45"/>
        <v>2.8500000000000004E-2</v>
      </c>
      <c r="T289" s="447">
        <f t="shared" si="46"/>
        <v>0.16002771711765271</v>
      </c>
      <c r="V289" s="448"/>
      <c r="W289" s="448"/>
      <c r="X289" s="448"/>
      <c r="Y289" s="448"/>
      <c r="Z289" s="448"/>
      <c r="AA289" s="448"/>
      <c r="AB289" s="448"/>
      <c r="AC289" s="448"/>
      <c r="AD289" s="448"/>
      <c r="AF289" s="448"/>
      <c r="AG289" s="448"/>
      <c r="AH289" s="448"/>
      <c r="AI289" s="448"/>
      <c r="AJ289" s="448"/>
      <c r="AK289" s="448"/>
      <c r="AL289" s="448"/>
      <c r="AM289" s="448"/>
      <c r="AN289" s="448"/>
      <c r="AP289" s="448"/>
      <c r="AQ289" s="448"/>
      <c r="AR289" s="448"/>
      <c r="AS289" s="448"/>
      <c r="AT289" s="448"/>
      <c r="AU289" s="448"/>
      <c r="AV289" s="448"/>
      <c r="AW289" s="448"/>
      <c r="AX289" s="448"/>
    </row>
    <row r="290" spans="1:50" x14ac:dyDescent="0.4">
      <c r="A290" s="442" t="str">
        <f t="shared" si="47"/>
        <v>101949</v>
      </c>
      <c r="B290" s="442">
        <v>18172</v>
      </c>
      <c r="C290" s="455">
        <v>3.4000000000000002E-2</v>
      </c>
      <c r="D290" s="438">
        <v>1.1199999999999998E-2</v>
      </c>
      <c r="E290" s="438">
        <v>1.8E-3</v>
      </c>
      <c r="F290" s="438">
        <v>2.1749999999999999E-3</v>
      </c>
      <c r="G290" s="438">
        <v>2.2500000000000003E-3</v>
      </c>
      <c r="H290" s="438">
        <v>2.2125000000000001E-3</v>
      </c>
      <c r="I290" s="438">
        <v>2.3583333333333334E-3</v>
      </c>
      <c r="J290" s="438">
        <f t="shared" si="48"/>
        <v>3.2199999999999999E-2</v>
      </c>
      <c r="K290" s="438">
        <f t="shared" si="52"/>
        <v>3.1787500000000003E-2</v>
      </c>
      <c r="L290" s="438">
        <f t="shared" si="53"/>
        <v>8.8416666666666643E-3</v>
      </c>
      <c r="M290" s="446">
        <f t="shared" si="49"/>
        <v>4.1153179562502862E-2</v>
      </c>
      <c r="N290" s="446">
        <f t="shared" si="50"/>
        <v>2.1600000000000001E-2</v>
      </c>
      <c r="O290" s="446">
        <f t="shared" si="42"/>
        <v>2.6550000000000001E-2</v>
      </c>
      <c r="P290" s="447">
        <f t="shared" si="51"/>
        <v>1.9553179562502861E-2</v>
      </c>
      <c r="Q290" s="446">
        <f t="shared" si="43"/>
        <v>1.4603179562502861E-2</v>
      </c>
      <c r="R290" s="446">
        <f t="shared" si="44"/>
        <v>0.15528138762796395</v>
      </c>
      <c r="S290" s="446">
        <f t="shared" si="45"/>
        <v>2.8299999999999999E-2</v>
      </c>
      <c r="T290" s="447">
        <f t="shared" si="46"/>
        <v>0.12698138762796396</v>
      </c>
      <c r="V290" s="448"/>
      <c r="W290" s="448"/>
      <c r="X290" s="448"/>
      <c r="Y290" s="448"/>
      <c r="Z290" s="448"/>
      <c r="AA290" s="448"/>
      <c r="AB290" s="448"/>
      <c r="AC290" s="448"/>
      <c r="AD290" s="448"/>
      <c r="AF290" s="448"/>
      <c r="AG290" s="448"/>
      <c r="AH290" s="448"/>
      <c r="AI290" s="448"/>
      <c r="AJ290" s="448"/>
      <c r="AK290" s="448"/>
      <c r="AL290" s="448"/>
      <c r="AM290" s="448"/>
      <c r="AN290" s="448"/>
      <c r="AP290" s="448"/>
      <c r="AQ290" s="448"/>
      <c r="AR290" s="448"/>
      <c r="AS290" s="448"/>
      <c r="AT290" s="448"/>
      <c r="AU290" s="448"/>
      <c r="AV290" s="448"/>
      <c r="AW290" s="448"/>
      <c r="AX290" s="448"/>
    </row>
    <row r="291" spans="1:50" x14ac:dyDescent="0.4">
      <c r="A291" s="442" t="str">
        <f t="shared" si="47"/>
        <v>111949</v>
      </c>
      <c r="B291" s="442">
        <v>18203</v>
      </c>
      <c r="C291" s="455">
        <v>1.7500000000000002E-2</v>
      </c>
      <c r="D291" s="438">
        <v>1.5899999999999997E-2</v>
      </c>
      <c r="E291" s="438">
        <v>1.6999999999999999E-3</v>
      </c>
      <c r="F291" s="438">
        <v>2.1666666666666666E-3</v>
      </c>
      <c r="G291" s="438">
        <v>2.2333333333333337E-3</v>
      </c>
      <c r="H291" s="438">
        <v>2.2000000000000001E-3</v>
      </c>
      <c r="I291" s="438">
        <v>2.3416666666666668E-3</v>
      </c>
      <c r="J291" s="438">
        <f t="shared" si="48"/>
        <v>1.5800000000000002E-2</v>
      </c>
      <c r="K291" s="438">
        <f t="shared" si="52"/>
        <v>1.5300000000000001E-2</v>
      </c>
      <c r="L291" s="438">
        <f t="shared" si="53"/>
        <v>1.355833333333333E-2</v>
      </c>
      <c r="M291" s="446">
        <f t="shared" si="49"/>
        <v>0.17200283239832559</v>
      </c>
      <c r="N291" s="446">
        <f t="shared" si="50"/>
        <v>2.0399999999999998E-2</v>
      </c>
      <c r="O291" s="446">
        <f t="shared" si="42"/>
        <v>2.64E-2</v>
      </c>
      <c r="P291" s="447">
        <f t="shared" si="51"/>
        <v>0.15160283239832559</v>
      </c>
      <c r="Q291" s="446">
        <f t="shared" si="43"/>
        <v>0.14560283239832558</v>
      </c>
      <c r="R291" s="446">
        <f t="shared" si="44"/>
        <v>0.29157077329288894</v>
      </c>
      <c r="S291" s="446">
        <f t="shared" si="45"/>
        <v>2.81E-2</v>
      </c>
      <c r="T291" s="447">
        <f t="shared" si="46"/>
        <v>0.26347077329288893</v>
      </c>
      <c r="V291" s="448"/>
      <c r="W291" s="448"/>
      <c r="X291" s="448"/>
      <c r="Y291" s="448"/>
      <c r="Z291" s="448"/>
      <c r="AA291" s="448"/>
      <c r="AB291" s="448"/>
      <c r="AC291" s="448"/>
      <c r="AD291" s="448"/>
      <c r="AF291" s="448"/>
      <c r="AG291" s="448"/>
      <c r="AH291" s="448"/>
      <c r="AI291" s="448"/>
      <c r="AJ291" s="448"/>
      <c r="AK291" s="448"/>
      <c r="AL291" s="448"/>
      <c r="AM291" s="448"/>
      <c r="AN291" s="448"/>
      <c r="AP291" s="448"/>
      <c r="AQ291" s="448"/>
      <c r="AR291" s="448"/>
      <c r="AS291" s="448"/>
      <c r="AT291" s="448"/>
      <c r="AU291" s="448"/>
      <c r="AV291" s="448"/>
      <c r="AW291" s="448"/>
      <c r="AX291" s="448"/>
    </row>
    <row r="292" spans="1:50" x14ac:dyDescent="0.4">
      <c r="A292" s="442" t="str">
        <f t="shared" si="47"/>
        <v>121949</v>
      </c>
      <c r="B292" s="442">
        <v>18233</v>
      </c>
      <c r="C292" s="455">
        <v>4.8599999999999997E-2</v>
      </c>
      <c r="D292" s="438">
        <v>3.9599999999999996E-2</v>
      </c>
      <c r="E292" s="438">
        <v>1.6999999999999999E-3</v>
      </c>
      <c r="F292" s="438">
        <v>2.15E-3</v>
      </c>
      <c r="G292" s="438">
        <v>2.225E-3</v>
      </c>
      <c r="H292" s="438">
        <v>2.1875000000000002E-3</v>
      </c>
      <c r="I292" s="438">
        <v>2.316666666666667E-3</v>
      </c>
      <c r="J292" s="438">
        <f t="shared" si="48"/>
        <v>4.6899999999999997E-2</v>
      </c>
      <c r="K292" s="438">
        <f t="shared" si="52"/>
        <v>4.6412499999999995E-2</v>
      </c>
      <c r="L292" s="438">
        <f t="shared" si="53"/>
        <v>3.7283333333333328E-2</v>
      </c>
      <c r="M292" s="446">
        <f t="shared" si="49"/>
        <v>0.18786214000858736</v>
      </c>
      <c r="N292" s="446">
        <f t="shared" si="50"/>
        <v>2.0399999999999998E-2</v>
      </c>
      <c r="O292" s="446">
        <f t="shared" si="42"/>
        <v>2.6250000000000002E-2</v>
      </c>
      <c r="P292" s="447">
        <f t="shared" si="51"/>
        <v>0.16746214000858736</v>
      </c>
      <c r="Q292" s="446">
        <f t="shared" si="43"/>
        <v>0.16161214000858737</v>
      </c>
      <c r="R292" s="446">
        <f t="shared" si="44"/>
        <v>0.31368454741736396</v>
      </c>
      <c r="S292" s="446">
        <f t="shared" si="45"/>
        <v>2.7800000000000005E-2</v>
      </c>
      <c r="T292" s="447">
        <f t="shared" si="46"/>
        <v>0.28588454741736397</v>
      </c>
      <c r="V292" s="448"/>
      <c r="W292" s="448"/>
      <c r="X292" s="448"/>
      <c r="Y292" s="448"/>
      <c r="Z292" s="448"/>
      <c r="AA292" s="448"/>
      <c r="AB292" s="448"/>
      <c r="AC292" s="448"/>
      <c r="AD292" s="448"/>
      <c r="AF292" s="448"/>
      <c r="AG292" s="448"/>
      <c r="AH292" s="448"/>
      <c r="AI292" s="448"/>
      <c r="AJ292" s="448"/>
      <c r="AK292" s="448"/>
      <c r="AL292" s="448"/>
      <c r="AM292" s="448"/>
      <c r="AN292" s="448"/>
      <c r="AP292" s="448"/>
      <c r="AQ292" s="448"/>
      <c r="AR292" s="448"/>
      <c r="AS292" s="448"/>
      <c r="AT292" s="448"/>
      <c r="AU292" s="448"/>
      <c r="AV292" s="448"/>
      <c r="AW292" s="448"/>
      <c r="AX292" s="448"/>
    </row>
    <row r="293" spans="1:50" x14ac:dyDescent="0.4">
      <c r="A293" s="442" t="str">
        <f t="shared" si="47"/>
        <v>11950</v>
      </c>
      <c r="B293" s="442">
        <v>18264</v>
      </c>
      <c r="C293" s="455">
        <v>1.9699999999999999E-2</v>
      </c>
      <c r="D293" s="438">
        <v>3.5299999999999998E-2</v>
      </c>
      <c r="E293" s="438">
        <v>1.8E-3</v>
      </c>
      <c r="F293" s="438">
        <v>2.1416666666666663E-3</v>
      </c>
      <c r="G293" s="438">
        <v>2.2083333333333334E-3</v>
      </c>
      <c r="H293" s="438">
        <v>2.1749999999999999E-3</v>
      </c>
      <c r="I293" s="438">
        <v>2.3E-3</v>
      </c>
      <c r="J293" s="438">
        <f t="shared" si="48"/>
        <v>1.7899999999999999E-2</v>
      </c>
      <c r="K293" s="438">
        <f t="shared" si="52"/>
        <v>1.7524999999999999E-2</v>
      </c>
      <c r="L293" s="438">
        <f t="shared" si="53"/>
        <v>3.3000000000000002E-2</v>
      </c>
      <c r="M293" s="446">
        <f t="shared" si="49"/>
        <v>0.20655745011132187</v>
      </c>
      <c r="N293" s="446">
        <f t="shared" si="50"/>
        <v>2.1600000000000001E-2</v>
      </c>
      <c r="O293" s="446">
        <f t="shared" si="42"/>
        <v>2.6099999999999998E-2</v>
      </c>
      <c r="P293" s="447">
        <f t="shared" si="51"/>
        <v>0.18495745011132186</v>
      </c>
      <c r="Q293" s="446">
        <f t="shared" si="43"/>
        <v>0.18045745011132186</v>
      </c>
      <c r="R293" s="446">
        <f t="shared" si="44"/>
        <v>0.29479970672238864</v>
      </c>
      <c r="S293" s="446">
        <f t="shared" si="45"/>
        <v>2.76E-2</v>
      </c>
      <c r="T293" s="447">
        <f t="shared" si="46"/>
        <v>0.26719970672238863</v>
      </c>
      <c r="V293" s="448"/>
      <c r="W293" s="448"/>
      <c r="X293" s="448"/>
      <c r="Y293" s="448"/>
      <c r="Z293" s="448"/>
      <c r="AA293" s="448"/>
      <c r="AB293" s="448"/>
      <c r="AC293" s="448"/>
      <c r="AD293" s="448"/>
      <c r="AF293" s="448"/>
      <c r="AG293" s="448"/>
      <c r="AH293" s="448"/>
      <c r="AI293" s="448"/>
      <c r="AJ293" s="448"/>
      <c r="AK293" s="448"/>
      <c r="AL293" s="448"/>
      <c r="AM293" s="448"/>
      <c r="AN293" s="448"/>
      <c r="AP293" s="448"/>
      <c r="AQ293" s="448"/>
      <c r="AR293" s="448"/>
      <c r="AS293" s="448"/>
      <c r="AT293" s="448"/>
      <c r="AU293" s="448"/>
      <c r="AV293" s="448"/>
      <c r="AW293" s="448"/>
      <c r="AX293" s="448"/>
    </row>
    <row r="294" spans="1:50" x14ac:dyDescent="0.4">
      <c r="A294" s="442" t="str">
        <f t="shared" si="47"/>
        <v>21950</v>
      </c>
      <c r="B294" s="442">
        <v>18295</v>
      </c>
      <c r="C294" s="455">
        <v>1.9900000000000001E-2</v>
      </c>
      <c r="D294" s="438">
        <v>0.01</v>
      </c>
      <c r="E294" s="438">
        <v>1.6000000000000001E-3</v>
      </c>
      <c r="F294" s="438">
        <v>2.15E-3</v>
      </c>
      <c r="G294" s="438">
        <v>2.2083333333333334E-3</v>
      </c>
      <c r="H294" s="438">
        <v>2.1791666666666665E-3</v>
      </c>
      <c r="I294" s="438">
        <v>2.3E-3</v>
      </c>
      <c r="J294" s="438">
        <f t="shared" si="48"/>
        <v>1.83E-2</v>
      </c>
      <c r="K294" s="438">
        <f t="shared" si="52"/>
        <v>1.7720833333333335E-2</v>
      </c>
      <c r="L294" s="438">
        <f t="shared" si="53"/>
        <v>7.7000000000000002E-3</v>
      </c>
      <c r="M294" s="446">
        <f t="shared" si="49"/>
        <v>0.26810381633196378</v>
      </c>
      <c r="N294" s="446">
        <f t="shared" si="50"/>
        <v>1.9200000000000002E-2</v>
      </c>
      <c r="O294" s="446">
        <f t="shared" si="42"/>
        <v>2.615E-2</v>
      </c>
      <c r="P294" s="447">
        <f t="shared" si="51"/>
        <v>0.24890381633196379</v>
      </c>
      <c r="Q294" s="446">
        <f t="shared" si="43"/>
        <v>0.24195381633196378</v>
      </c>
      <c r="R294" s="446">
        <f t="shared" si="44"/>
        <v>0.30709415671125595</v>
      </c>
      <c r="S294" s="446">
        <f t="shared" si="45"/>
        <v>2.76E-2</v>
      </c>
      <c r="T294" s="447">
        <f t="shared" si="46"/>
        <v>0.27949415671125594</v>
      </c>
      <c r="V294" s="448"/>
      <c r="W294" s="448"/>
      <c r="X294" s="448"/>
      <c r="Y294" s="448"/>
      <c r="Z294" s="448"/>
      <c r="AA294" s="448"/>
      <c r="AB294" s="448"/>
      <c r="AC294" s="448"/>
      <c r="AD294" s="448"/>
      <c r="AF294" s="448"/>
      <c r="AG294" s="448"/>
      <c r="AH294" s="448"/>
      <c r="AI294" s="448"/>
      <c r="AJ294" s="448"/>
      <c r="AK294" s="448"/>
      <c r="AL294" s="448"/>
      <c r="AM294" s="448"/>
      <c r="AN294" s="448"/>
      <c r="AP294" s="448"/>
      <c r="AQ294" s="448"/>
      <c r="AR294" s="448"/>
      <c r="AS294" s="448"/>
      <c r="AT294" s="448"/>
      <c r="AU294" s="448"/>
      <c r="AV294" s="448"/>
      <c r="AW294" s="448"/>
      <c r="AX294" s="448"/>
    </row>
    <row r="295" spans="1:50" x14ac:dyDescent="0.4">
      <c r="A295" s="442" t="str">
        <f t="shared" si="47"/>
        <v>31950</v>
      </c>
      <c r="B295" s="442">
        <v>18323</v>
      </c>
      <c r="C295" s="455">
        <v>7.0000000000000001E-3</v>
      </c>
      <c r="D295" s="438">
        <v>8.3999999999999995E-3</v>
      </c>
      <c r="E295" s="438">
        <v>1.8E-3</v>
      </c>
      <c r="F295" s="438">
        <v>2.15E-3</v>
      </c>
      <c r="G295" s="438">
        <v>2.2166666666666667E-3</v>
      </c>
      <c r="H295" s="438">
        <v>2.1833333333333331E-3</v>
      </c>
      <c r="I295" s="438">
        <v>2.3E-3</v>
      </c>
      <c r="J295" s="438">
        <f t="shared" si="48"/>
        <v>5.1999999999999998E-3</v>
      </c>
      <c r="K295" s="438">
        <f t="shared" si="52"/>
        <v>4.816666666666667E-3</v>
      </c>
      <c r="L295" s="438">
        <f t="shared" si="53"/>
        <v>6.0999999999999995E-3</v>
      </c>
      <c r="M295" s="446">
        <f t="shared" si="49"/>
        <v>0.23642577754288019</v>
      </c>
      <c r="N295" s="446">
        <f t="shared" si="50"/>
        <v>2.1600000000000001E-2</v>
      </c>
      <c r="O295" s="446">
        <f t="shared" si="42"/>
        <v>2.6199999999999998E-2</v>
      </c>
      <c r="P295" s="447">
        <f t="shared" si="51"/>
        <v>0.21482577754288018</v>
      </c>
      <c r="Q295" s="446">
        <f t="shared" si="43"/>
        <v>0.21022577754288019</v>
      </c>
      <c r="R295" s="446">
        <f t="shared" si="44"/>
        <v>0.27178092206448357</v>
      </c>
      <c r="S295" s="446">
        <f t="shared" si="45"/>
        <v>2.76E-2</v>
      </c>
      <c r="T295" s="447">
        <f t="shared" si="46"/>
        <v>0.24418092206448355</v>
      </c>
      <c r="V295" s="448"/>
      <c r="W295" s="448"/>
      <c r="X295" s="448"/>
      <c r="Y295" s="448"/>
      <c r="Z295" s="448"/>
      <c r="AA295" s="448"/>
      <c r="AB295" s="448"/>
      <c r="AC295" s="448"/>
      <c r="AD295" s="448"/>
      <c r="AF295" s="448"/>
      <c r="AG295" s="448"/>
      <c r="AH295" s="448"/>
      <c r="AI295" s="448"/>
      <c r="AJ295" s="448"/>
      <c r="AK295" s="448"/>
      <c r="AL295" s="448"/>
      <c r="AM295" s="448"/>
      <c r="AN295" s="448"/>
      <c r="AP295" s="448"/>
      <c r="AQ295" s="448"/>
      <c r="AR295" s="448"/>
      <c r="AS295" s="448"/>
      <c r="AT295" s="448"/>
      <c r="AU295" s="448"/>
      <c r="AV295" s="448"/>
      <c r="AW295" s="448"/>
      <c r="AX295" s="448"/>
    </row>
    <row r="296" spans="1:50" x14ac:dyDescent="0.4">
      <c r="A296" s="442" t="str">
        <f t="shared" si="47"/>
        <v>41950</v>
      </c>
      <c r="B296" s="442">
        <v>18354</v>
      </c>
      <c r="C296" s="455">
        <v>4.8599999999999997E-2</v>
      </c>
      <c r="D296" s="438">
        <v>1.8499999999999999E-2</v>
      </c>
      <c r="E296" s="438">
        <v>1.6000000000000001E-3</v>
      </c>
      <c r="F296" s="438">
        <v>2.1666666666666666E-3</v>
      </c>
      <c r="G296" s="438">
        <v>2.2166666666666667E-3</v>
      </c>
      <c r="H296" s="438">
        <v>2.1916666666666668E-3</v>
      </c>
      <c r="I296" s="438">
        <v>2.3083333333333332E-3</v>
      </c>
      <c r="J296" s="438">
        <f t="shared" si="48"/>
        <v>4.7E-2</v>
      </c>
      <c r="K296" s="438">
        <f t="shared" si="52"/>
        <v>4.6408333333333329E-2</v>
      </c>
      <c r="L296" s="438">
        <f t="shared" si="53"/>
        <v>1.6191666666666667E-2</v>
      </c>
      <c r="M296" s="446">
        <f t="shared" si="49"/>
        <v>0.32014669619332525</v>
      </c>
      <c r="N296" s="446">
        <f t="shared" si="50"/>
        <v>1.9200000000000002E-2</v>
      </c>
      <c r="O296" s="446">
        <f t="shared" ref="O296:O359" si="54">H296*12</f>
        <v>2.6300000000000004E-2</v>
      </c>
      <c r="P296" s="447">
        <f t="shared" si="51"/>
        <v>0.30094669619332526</v>
      </c>
      <c r="Q296" s="446">
        <f t="shared" ref="Q296:Q359" si="55">M296-O296</f>
        <v>0.29384669619332526</v>
      </c>
      <c r="R296" s="446">
        <f t="shared" ref="R296:R359" si="56">((1+D285)*(1+D286)*(1+D287)*(1+D288)*(1+D289)*(1+D290)*(1+D291)*(1+D292)*(1+D293)*(1+D294)*(1+D295)*(1+D296))-1</f>
        <v>0.28783940059920154</v>
      </c>
      <c r="S296" s="446">
        <f t="shared" ref="S296:S359" si="57">I296*12</f>
        <v>2.7699999999999999E-2</v>
      </c>
      <c r="T296" s="447">
        <f t="shared" ref="T296:T359" si="58">R296-S296</f>
        <v>0.26013940059920154</v>
      </c>
      <c r="V296" s="448"/>
      <c r="W296" s="448"/>
      <c r="X296" s="448"/>
      <c r="Y296" s="448"/>
      <c r="Z296" s="448"/>
      <c r="AA296" s="448"/>
      <c r="AB296" s="448"/>
      <c r="AC296" s="448"/>
      <c r="AD296" s="448"/>
      <c r="AF296" s="448"/>
      <c r="AG296" s="448"/>
      <c r="AH296" s="448"/>
      <c r="AI296" s="448"/>
      <c r="AJ296" s="448"/>
      <c r="AK296" s="448"/>
      <c r="AL296" s="448"/>
      <c r="AM296" s="448"/>
      <c r="AN296" s="448"/>
      <c r="AP296" s="448"/>
      <c r="AQ296" s="448"/>
      <c r="AR296" s="448"/>
      <c r="AS296" s="448"/>
      <c r="AT296" s="448"/>
      <c r="AU296" s="448"/>
      <c r="AV296" s="448"/>
      <c r="AW296" s="448"/>
      <c r="AX296" s="448"/>
    </row>
    <row r="297" spans="1:50" x14ac:dyDescent="0.4">
      <c r="A297" s="442" t="str">
        <f t="shared" ref="A297:A360" si="59">MONTH(B297)&amp;YEAR(B297)</f>
        <v>51950</v>
      </c>
      <c r="B297" s="442">
        <v>18384</v>
      </c>
      <c r="C297" s="455">
        <v>5.0900000000000001E-2</v>
      </c>
      <c r="D297" s="438">
        <v>1.9199999999999998E-2</v>
      </c>
      <c r="E297" s="438">
        <v>1.9E-3</v>
      </c>
      <c r="F297" s="438">
        <v>2.1749999999999999E-3</v>
      </c>
      <c r="G297" s="438">
        <v>2.2416666666666665E-3</v>
      </c>
      <c r="H297" s="438">
        <v>2.2083333333333334E-3</v>
      </c>
      <c r="I297" s="438">
        <v>2.3250000000000002E-3</v>
      </c>
      <c r="J297" s="438">
        <f t="shared" si="48"/>
        <v>4.9000000000000002E-2</v>
      </c>
      <c r="K297" s="438">
        <f t="shared" si="52"/>
        <v>4.8691666666666668E-2</v>
      </c>
      <c r="L297" s="438">
        <f t="shared" si="53"/>
        <v>1.6874999999999998E-2</v>
      </c>
      <c r="M297" s="446">
        <f t="shared" si="49"/>
        <v>0.42408351778850872</v>
      </c>
      <c r="N297" s="446">
        <f t="shared" si="50"/>
        <v>2.2800000000000001E-2</v>
      </c>
      <c r="O297" s="446">
        <f t="shared" si="54"/>
        <v>2.6500000000000003E-2</v>
      </c>
      <c r="P297" s="447">
        <f t="shared" si="51"/>
        <v>0.40128351778850874</v>
      </c>
      <c r="Q297" s="446">
        <f t="shared" si="55"/>
        <v>0.3975835177885087</v>
      </c>
      <c r="R297" s="446">
        <f t="shared" si="56"/>
        <v>0.30811831482031726</v>
      </c>
      <c r="S297" s="446">
        <f t="shared" si="57"/>
        <v>2.7900000000000001E-2</v>
      </c>
      <c r="T297" s="447">
        <f t="shared" si="58"/>
        <v>0.28021831482031728</v>
      </c>
      <c r="V297" s="448"/>
      <c r="W297" s="448"/>
      <c r="X297" s="448"/>
      <c r="Y297" s="448"/>
      <c r="Z297" s="448"/>
      <c r="AA297" s="448"/>
      <c r="AB297" s="448"/>
      <c r="AC297" s="448"/>
      <c r="AD297" s="448"/>
      <c r="AF297" s="448"/>
      <c r="AG297" s="448"/>
      <c r="AH297" s="448"/>
      <c r="AI297" s="448"/>
      <c r="AJ297" s="448"/>
      <c r="AK297" s="448"/>
      <c r="AL297" s="448"/>
      <c r="AM297" s="448"/>
      <c r="AN297" s="448"/>
      <c r="AP297" s="448"/>
      <c r="AQ297" s="448"/>
      <c r="AR297" s="448"/>
      <c r="AS297" s="448"/>
      <c r="AT297" s="448"/>
      <c r="AU297" s="448"/>
      <c r="AV297" s="448"/>
      <c r="AW297" s="448"/>
      <c r="AX297" s="448"/>
    </row>
    <row r="298" spans="1:50" x14ac:dyDescent="0.4">
      <c r="A298" s="442" t="str">
        <f t="shared" si="59"/>
        <v>61950</v>
      </c>
      <c r="B298" s="442">
        <v>18415</v>
      </c>
      <c r="C298" s="455">
        <v>-5.4800000000000001E-2</v>
      </c>
      <c r="D298" s="438">
        <v>-7.7100000000000002E-2</v>
      </c>
      <c r="E298" s="438">
        <v>1.6999999999999999E-3</v>
      </c>
      <c r="F298" s="438">
        <v>2.1833333333333336E-3</v>
      </c>
      <c r="G298" s="438">
        <v>2.2416666666666665E-3</v>
      </c>
      <c r="H298" s="438">
        <v>2.2125000000000001E-3</v>
      </c>
      <c r="I298" s="438">
        <v>2.3250000000000002E-3</v>
      </c>
      <c r="J298" s="438">
        <f t="shared" si="48"/>
        <v>-5.6500000000000002E-2</v>
      </c>
      <c r="K298" s="438">
        <f t="shared" si="52"/>
        <v>-5.7012500000000001E-2</v>
      </c>
      <c r="L298" s="438">
        <f t="shared" si="53"/>
        <v>-7.9424999999999996E-2</v>
      </c>
      <c r="M298" s="446">
        <f t="shared" si="49"/>
        <v>0.34416191433363208</v>
      </c>
      <c r="N298" s="446">
        <f t="shared" si="50"/>
        <v>2.0399999999999998E-2</v>
      </c>
      <c r="O298" s="446">
        <f t="shared" si="54"/>
        <v>2.6550000000000001E-2</v>
      </c>
      <c r="P298" s="447">
        <f t="shared" si="51"/>
        <v>0.32376191433363211</v>
      </c>
      <c r="Q298" s="446">
        <f t="shared" si="55"/>
        <v>0.31761191433363206</v>
      </c>
      <c r="R298" s="446">
        <f t="shared" si="56"/>
        <v>0.22365942909757841</v>
      </c>
      <c r="S298" s="446">
        <f t="shared" si="57"/>
        <v>2.7900000000000001E-2</v>
      </c>
      <c r="T298" s="447">
        <f t="shared" si="58"/>
        <v>0.1957594290975784</v>
      </c>
      <c r="V298" s="448"/>
      <c r="W298" s="448"/>
      <c r="X298" s="448"/>
      <c r="Y298" s="448"/>
      <c r="Z298" s="448"/>
      <c r="AA298" s="448"/>
      <c r="AB298" s="448"/>
      <c r="AC298" s="448"/>
      <c r="AD298" s="448"/>
      <c r="AF298" s="448"/>
      <c r="AG298" s="448"/>
      <c r="AH298" s="448"/>
      <c r="AI298" s="448"/>
      <c r="AJ298" s="448"/>
      <c r="AK298" s="448"/>
      <c r="AL298" s="448"/>
      <c r="AM298" s="448"/>
      <c r="AN298" s="448"/>
      <c r="AP298" s="448"/>
      <c r="AQ298" s="448"/>
      <c r="AR298" s="448"/>
      <c r="AS298" s="448"/>
      <c r="AT298" s="448"/>
      <c r="AU298" s="448"/>
      <c r="AV298" s="448"/>
      <c r="AW298" s="448"/>
      <c r="AX298" s="448"/>
    </row>
    <row r="299" spans="1:50" x14ac:dyDescent="0.4">
      <c r="A299" s="442" t="str">
        <f t="shared" si="59"/>
        <v>71950</v>
      </c>
      <c r="B299" s="442">
        <v>18445</v>
      </c>
      <c r="C299" s="455">
        <v>1.1900000000000001E-2</v>
      </c>
      <c r="D299" s="438">
        <v>-4.36E-2</v>
      </c>
      <c r="E299" s="438">
        <v>1.8E-3</v>
      </c>
      <c r="F299" s="438">
        <v>2.2083333333333334E-3</v>
      </c>
      <c r="G299" s="438">
        <v>2.2666666666666668E-3</v>
      </c>
      <c r="H299" s="438">
        <v>2.2374999999999999E-3</v>
      </c>
      <c r="I299" s="438">
        <v>2.3250000000000002E-3</v>
      </c>
      <c r="J299" s="438">
        <f t="shared" si="48"/>
        <v>1.0100000000000001E-2</v>
      </c>
      <c r="K299" s="438">
        <f t="shared" si="52"/>
        <v>9.6625000000000009E-3</v>
      </c>
      <c r="L299" s="438">
        <f t="shared" si="53"/>
        <v>-4.5925000000000001E-2</v>
      </c>
      <c r="M299" s="446">
        <f t="shared" si="49"/>
        <v>0.27714313719643435</v>
      </c>
      <c r="N299" s="446">
        <f t="shared" si="50"/>
        <v>2.1600000000000001E-2</v>
      </c>
      <c r="O299" s="446">
        <f t="shared" si="54"/>
        <v>2.6849999999999999E-2</v>
      </c>
      <c r="P299" s="447">
        <f t="shared" si="51"/>
        <v>0.25554313719643434</v>
      </c>
      <c r="Q299" s="446">
        <f t="shared" si="55"/>
        <v>0.25029313719643437</v>
      </c>
      <c r="R299" s="446">
        <f t="shared" si="56"/>
        <v>0.1073023729670961</v>
      </c>
      <c r="S299" s="446">
        <f t="shared" si="57"/>
        <v>2.7900000000000001E-2</v>
      </c>
      <c r="T299" s="447">
        <f t="shared" si="58"/>
        <v>7.9402372967096096E-2</v>
      </c>
      <c r="V299" s="448"/>
      <c r="W299" s="448"/>
      <c r="X299" s="448"/>
      <c r="Y299" s="448"/>
      <c r="Z299" s="448"/>
      <c r="AA299" s="448"/>
      <c r="AB299" s="448"/>
      <c r="AC299" s="448"/>
      <c r="AD299" s="448"/>
      <c r="AF299" s="448"/>
      <c r="AG299" s="448"/>
      <c r="AH299" s="448"/>
      <c r="AI299" s="448"/>
      <c r="AJ299" s="448"/>
      <c r="AK299" s="448"/>
      <c r="AL299" s="448"/>
      <c r="AM299" s="448"/>
      <c r="AN299" s="448"/>
      <c r="AP299" s="448"/>
      <c r="AQ299" s="448"/>
      <c r="AR299" s="448"/>
      <c r="AS299" s="448"/>
      <c r="AT299" s="448"/>
      <c r="AU299" s="448"/>
      <c r="AV299" s="448"/>
      <c r="AW299" s="448"/>
      <c r="AX299" s="448"/>
    </row>
    <row r="300" spans="1:50" x14ac:dyDescent="0.4">
      <c r="A300" s="442" t="str">
        <f t="shared" si="59"/>
        <v>81950</v>
      </c>
      <c r="B300" s="442">
        <v>18476</v>
      </c>
      <c r="C300" s="455">
        <v>4.4299999999999999E-2</v>
      </c>
      <c r="D300" s="438">
        <v>1.54E-2</v>
      </c>
      <c r="E300" s="438">
        <v>1.8E-3</v>
      </c>
      <c r="F300" s="438">
        <v>2.1749999999999999E-3</v>
      </c>
      <c r="G300" s="438">
        <v>2.225E-3</v>
      </c>
      <c r="H300" s="438">
        <v>2.2000000000000001E-3</v>
      </c>
      <c r="I300" s="438">
        <v>2.3E-3</v>
      </c>
      <c r="J300" s="438">
        <f t="shared" si="48"/>
        <v>4.2499999999999996E-2</v>
      </c>
      <c r="K300" s="438">
        <f t="shared" si="52"/>
        <v>4.2099999999999999E-2</v>
      </c>
      <c r="L300" s="438">
        <f t="shared" si="53"/>
        <v>1.3100000000000001E-2</v>
      </c>
      <c r="M300" s="446">
        <f t="shared" si="49"/>
        <v>0.30513805477467049</v>
      </c>
      <c r="N300" s="446">
        <f t="shared" si="50"/>
        <v>2.1600000000000001E-2</v>
      </c>
      <c r="O300" s="446">
        <f t="shared" si="54"/>
        <v>2.64E-2</v>
      </c>
      <c r="P300" s="447">
        <f t="shared" si="51"/>
        <v>0.28353805477467048</v>
      </c>
      <c r="Q300" s="446">
        <f t="shared" si="55"/>
        <v>0.27873805477467051</v>
      </c>
      <c r="R300" s="446">
        <f t="shared" si="56"/>
        <v>8.6753169834514976E-2</v>
      </c>
      <c r="S300" s="446">
        <f t="shared" si="57"/>
        <v>2.76E-2</v>
      </c>
      <c r="T300" s="447">
        <f t="shared" si="58"/>
        <v>5.9153169834514976E-2</v>
      </c>
      <c r="V300" s="448"/>
      <c r="W300" s="448"/>
      <c r="X300" s="448"/>
      <c r="Y300" s="448"/>
      <c r="Z300" s="448"/>
      <c r="AA300" s="448"/>
      <c r="AB300" s="448"/>
      <c r="AC300" s="448"/>
      <c r="AD300" s="448"/>
      <c r="AF300" s="448"/>
      <c r="AG300" s="448"/>
      <c r="AH300" s="448"/>
      <c r="AI300" s="448"/>
      <c r="AJ300" s="448"/>
      <c r="AK300" s="448"/>
      <c r="AL300" s="448"/>
      <c r="AM300" s="448"/>
      <c r="AN300" s="448"/>
      <c r="AP300" s="448"/>
      <c r="AQ300" s="448"/>
      <c r="AR300" s="448"/>
      <c r="AS300" s="448"/>
      <c r="AT300" s="448"/>
      <c r="AU300" s="448"/>
      <c r="AV300" s="448"/>
      <c r="AW300" s="448"/>
      <c r="AX300" s="448"/>
    </row>
    <row r="301" spans="1:50" x14ac:dyDescent="0.4">
      <c r="A301" s="442" t="str">
        <f t="shared" si="59"/>
        <v>91950</v>
      </c>
      <c r="B301" s="442">
        <v>18507</v>
      </c>
      <c r="C301" s="455">
        <v>5.9200000000000003E-2</v>
      </c>
      <c r="D301" s="438">
        <v>4.1800000000000004E-2</v>
      </c>
      <c r="E301" s="438">
        <v>1.6999999999999999E-3</v>
      </c>
      <c r="F301" s="438">
        <v>2.2000000000000001E-3</v>
      </c>
      <c r="G301" s="438">
        <v>2.2583333333333331E-3</v>
      </c>
      <c r="H301" s="438">
        <v>2.2291666666666666E-3</v>
      </c>
      <c r="I301" s="438">
        <v>2.3333333333333335E-3</v>
      </c>
      <c r="J301" s="438">
        <f t="shared" si="48"/>
        <v>5.7500000000000002E-2</v>
      </c>
      <c r="K301" s="438">
        <f t="shared" si="52"/>
        <v>5.6970833333333339E-2</v>
      </c>
      <c r="L301" s="438">
        <f t="shared" si="53"/>
        <v>3.9466666666666671E-2</v>
      </c>
      <c r="M301" s="446">
        <f t="shared" si="49"/>
        <v>0.34697673937185125</v>
      </c>
      <c r="N301" s="446">
        <f t="shared" si="50"/>
        <v>2.0399999999999998E-2</v>
      </c>
      <c r="O301" s="446">
        <f t="shared" si="54"/>
        <v>2.6749999999999999E-2</v>
      </c>
      <c r="P301" s="447">
        <f t="shared" si="51"/>
        <v>0.32657673937185128</v>
      </c>
      <c r="Q301" s="446">
        <f t="shared" si="55"/>
        <v>0.32022673937185125</v>
      </c>
      <c r="R301" s="446">
        <f t="shared" si="56"/>
        <v>9.14677068674421E-2</v>
      </c>
      <c r="S301" s="446">
        <f t="shared" si="57"/>
        <v>2.8000000000000004E-2</v>
      </c>
      <c r="T301" s="447">
        <f t="shared" si="58"/>
        <v>6.3467706867442103E-2</v>
      </c>
      <c r="V301" s="448"/>
      <c r="W301" s="448"/>
      <c r="X301" s="448"/>
      <c r="Y301" s="448"/>
      <c r="Z301" s="448"/>
      <c r="AA301" s="448"/>
      <c r="AB301" s="448"/>
      <c r="AC301" s="448"/>
      <c r="AD301" s="448"/>
      <c r="AF301" s="448"/>
      <c r="AG301" s="448"/>
      <c r="AH301" s="448"/>
      <c r="AI301" s="448"/>
      <c r="AJ301" s="448"/>
      <c r="AK301" s="448"/>
      <c r="AL301" s="448"/>
      <c r="AM301" s="448"/>
      <c r="AN301" s="448"/>
      <c r="AP301" s="448"/>
      <c r="AQ301" s="448"/>
      <c r="AR301" s="448"/>
      <c r="AS301" s="448"/>
      <c r="AT301" s="448"/>
      <c r="AU301" s="448"/>
      <c r="AV301" s="448"/>
      <c r="AW301" s="448"/>
      <c r="AX301" s="448"/>
    </row>
    <row r="302" spans="1:50" x14ac:dyDescent="0.4">
      <c r="A302" s="442" t="str">
        <f t="shared" si="59"/>
        <v>101950</v>
      </c>
      <c r="B302" s="442">
        <v>18537</v>
      </c>
      <c r="C302" s="455">
        <v>9.2999999999999992E-3</v>
      </c>
      <c r="D302" s="438">
        <v>-2.7000000000000001E-3</v>
      </c>
      <c r="E302" s="438">
        <v>1.9E-3</v>
      </c>
      <c r="F302" s="438">
        <v>2.225E-3</v>
      </c>
      <c r="G302" s="438">
        <v>2.2666666666666668E-3</v>
      </c>
      <c r="H302" s="438">
        <v>2.2458333333333336E-3</v>
      </c>
      <c r="I302" s="438">
        <v>2.3583333333333334E-3</v>
      </c>
      <c r="J302" s="438">
        <f t="shared" si="48"/>
        <v>7.3999999999999995E-3</v>
      </c>
      <c r="K302" s="438">
        <f t="shared" si="52"/>
        <v>7.0541666666666652E-3</v>
      </c>
      <c r="L302" s="438">
        <f t="shared" si="53"/>
        <v>-5.0583333333333331E-3</v>
      </c>
      <c r="M302" s="446">
        <f t="shared" si="49"/>
        <v>0.31480040913734042</v>
      </c>
      <c r="N302" s="446">
        <f t="shared" si="50"/>
        <v>2.2800000000000001E-2</v>
      </c>
      <c r="O302" s="446">
        <f t="shared" si="54"/>
        <v>2.6950000000000002E-2</v>
      </c>
      <c r="P302" s="447">
        <f t="shared" si="51"/>
        <v>0.29200040913734043</v>
      </c>
      <c r="Q302" s="446">
        <f t="shared" si="55"/>
        <v>0.28785040913734039</v>
      </c>
      <c r="R302" s="446">
        <f t="shared" si="56"/>
        <v>7.6464343412678382E-2</v>
      </c>
      <c r="S302" s="446">
        <f t="shared" si="57"/>
        <v>2.8299999999999999E-2</v>
      </c>
      <c r="T302" s="447">
        <f t="shared" si="58"/>
        <v>4.8164343412678383E-2</v>
      </c>
      <c r="V302" s="448"/>
      <c r="W302" s="448"/>
      <c r="X302" s="448"/>
      <c r="Y302" s="448"/>
      <c r="Z302" s="448"/>
      <c r="AA302" s="448"/>
      <c r="AB302" s="448"/>
      <c r="AC302" s="448"/>
      <c r="AD302" s="448"/>
      <c r="AF302" s="448"/>
      <c r="AG302" s="448"/>
      <c r="AH302" s="448"/>
      <c r="AI302" s="448"/>
      <c r="AJ302" s="448"/>
      <c r="AK302" s="448"/>
      <c r="AL302" s="448"/>
      <c r="AM302" s="448"/>
      <c r="AN302" s="448"/>
      <c r="AP302" s="448"/>
      <c r="AQ302" s="448"/>
      <c r="AR302" s="448"/>
      <c r="AS302" s="448"/>
      <c r="AT302" s="448"/>
      <c r="AU302" s="448"/>
      <c r="AV302" s="448"/>
      <c r="AW302" s="448"/>
      <c r="AX302" s="448"/>
    </row>
    <row r="303" spans="1:50" x14ac:dyDescent="0.4">
      <c r="A303" s="442" t="str">
        <f t="shared" si="59"/>
        <v>111950</v>
      </c>
      <c r="B303" s="442">
        <v>18568</v>
      </c>
      <c r="C303" s="455">
        <v>1.6899999999999998E-2</v>
      </c>
      <c r="D303" s="438">
        <v>-1.7600000000000001E-2</v>
      </c>
      <c r="E303" s="438">
        <v>1.8E-3</v>
      </c>
      <c r="F303" s="438">
        <v>2.225E-3</v>
      </c>
      <c r="G303" s="438">
        <v>2.2666666666666668E-3</v>
      </c>
      <c r="H303" s="438">
        <v>2.2458333333333336E-3</v>
      </c>
      <c r="I303" s="438">
        <v>2.3833333333333332E-3</v>
      </c>
      <c r="J303" s="438">
        <f t="shared" si="48"/>
        <v>1.5099999999999999E-2</v>
      </c>
      <c r="K303" s="438">
        <f t="shared" si="52"/>
        <v>1.4654166666666664E-2</v>
      </c>
      <c r="L303" s="438">
        <f t="shared" si="53"/>
        <v>-1.9983333333333336E-2</v>
      </c>
      <c r="M303" s="446">
        <f t="shared" si="49"/>
        <v>0.31402509685676705</v>
      </c>
      <c r="N303" s="446">
        <f t="shared" si="50"/>
        <v>2.1600000000000001E-2</v>
      </c>
      <c r="O303" s="446">
        <f t="shared" si="54"/>
        <v>2.6950000000000002E-2</v>
      </c>
      <c r="P303" s="447">
        <f t="shared" si="51"/>
        <v>0.29242509685676704</v>
      </c>
      <c r="Q303" s="446">
        <f t="shared" si="55"/>
        <v>0.28707509685676702</v>
      </c>
      <c r="R303" s="446">
        <f t="shared" si="56"/>
        <v>4.0967192606176983E-2</v>
      </c>
      <c r="S303" s="446">
        <f t="shared" si="57"/>
        <v>2.86E-2</v>
      </c>
      <c r="T303" s="447">
        <f t="shared" si="58"/>
        <v>1.2367192606176983E-2</v>
      </c>
      <c r="V303" s="448"/>
      <c r="W303" s="448"/>
      <c r="X303" s="448"/>
      <c r="Y303" s="448"/>
      <c r="Z303" s="448"/>
      <c r="AA303" s="448"/>
      <c r="AB303" s="448"/>
      <c r="AC303" s="448"/>
      <c r="AD303" s="448"/>
      <c r="AF303" s="448"/>
      <c r="AG303" s="448"/>
      <c r="AH303" s="448"/>
      <c r="AI303" s="448"/>
      <c r="AJ303" s="448"/>
      <c r="AK303" s="448"/>
      <c r="AL303" s="448"/>
      <c r="AM303" s="448"/>
      <c r="AN303" s="448"/>
      <c r="AP303" s="448"/>
      <c r="AQ303" s="448"/>
      <c r="AR303" s="448"/>
      <c r="AS303" s="448"/>
      <c r="AT303" s="448"/>
      <c r="AU303" s="448"/>
      <c r="AV303" s="448"/>
      <c r="AW303" s="448"/>
      <c r="AX303" s="448"/>
    </row>
    <row r="304" spans="1:50" x14ac:dyDescent="0.4">
      <c r="A304" s="442" t="str">
        <f t="shared" si="59"/>
        <v>121950</v>
      </c>
      <c r="B304" s="442">
        <v>18598</v>
      </c>
      <c r="C304" s="455">
        <v>5.1299999999999998E-2</v>
      </c>
      <c r="D304" s="438">
        <v>3.1199999999999995E-2</v>
      </c>
      <c r="E304" s="438">
        <v>1.8E-3</v>
      </c>
      <c r="F304" s="438">
        <v>2.225E-3</v>
      </c>
      <c r="G304" s="438">
        <v>2.2666666666666668E-3</v>
      </c>
      <c r="H304" s="438">
        <v>2.2458333333333336E-3</v>
      </c>
      <c r="I304" s="438">
        <v>2.3833333333333332E-3</v>
      </c>
      <c r="J304" s="438">
        <f t="shared" si="48"/>
        <v>4.9499999999999995E-2</v>
      </c>
      <c r="K304" s="438">
        <f t="shared" si="52"/>
        <v>4.9054166666666663E-2</v>
      </c>
      <c r="L304" s="438">
        <f t="shared" si="53"/>
        <v>2.8816666666666661E-2</v>
      </c>
      <c r="M304" s="446">
        <f t="shared" si="49"/>
        <v>0.31740852977829448</v>
      </c>
      <c r="N304" s="446">
        <f t="shared" si="50"/>
        <v>2.1600000000000001E-2</v>
      </c>
      <c r="O304" s="446">
        <f t="shared" si="54"/>
        <v>2.6950000000000002E-2</v>
      </c>
      <c r="P304" s="447">
        <f t="shared" si="51"/>
        <v>0.29580852977829447</v>
      </c>
      <c r="Q304" s="446">
        <f t="shared" si="55"/>
        <v>0.29045852977829445</v>
      </c>
      <c r="R304" s="446">
        <f t="shared" si="56"/>
        <v>3.2556145647835155E-2</v>
      </c>
      <c r="S304" s="446">
        <f t="shared" si="57"/>
        <v>2.86E-2</v>
      </c>
      <c r="T304" s="447">
        <f t="shared" si="58"/>
        <v>3.9561456478351548E-3</v>
      </c>
      <c r="V304" s="448"/>
      <c r="W304" s="448"/>
      <c r="X304" s="448"/>
      <c r="Y304" s="448"/>
      <c r="Z304" s="448"/>
      <c r="AA304" s="448"/>
      <c r="AB304" s="448"/>
      <c r="AC304" s="448"/>
      <c r="AD304" s="448"/>
      <c r="AF304" s="448"/>
      <c r="AG304" s="448"/>
      <c r="AH304" s="448"/>
      <c r="AI304" s="448"/>
      <c r="AJ304" s="448"/>
      <c r="AK304" s="448"/>
      <c r="AL304" s="448"/>
      <c r="AM304" s="448"/>
      <c r="AN304" s="448"/>
      <c r="AP304" s="448"/>
      <c r="AQ304" s="448"/>
      <c r="AR304" s="448"/>
      <c r="AS304" s="448"/>
      <c r="AT304" s="448"/>
      <c r="AU304" s="448"/>
      <c r="AV304" s="448"/>
      <c r="AW304" s="448"/>
      <c r="AX304" s="448"/>
    </row>
    <row r="305" spans="1:50" x14ac:dyDescent="0.4">
      <c r="A305" s="442" t="str">
        <f t="shared" si="59"/>
        <v>11951</v>
      </c>
      <c r="B305" s="442">
        <v>18629</v>
      </c>
      <c r="C305" s="455">
        <v>6.3700000000000007E-2</v>
      </c>
      <c r="D305" s="438">
        <v>4.3800000000000006E-2</v>
      </c>
      <c r="E305" s="438">
        <v>2E-3</v>
      </c>
      <c r="F305" s="438">
        <v>2.2166666666666667E-3</v>
      </c>
      <c r="G305" s="438">
        <v>2.2583333333333331E-3</v>
      </c>
      <c r="H305" s="438">
        <v>2.2374999999999999E-3</v>
      </c>
      <c r="I305" s="438">
        <v>2.3583333333333334E-3</v>
      </c>
      <c r="J305" s="438">
        <f t="shared" si="48"/>
        <v>6.1700000000000005E-2</v>
      </c>
      <c r="K305" s="438">
        <f t="shared" si="52"/>
        <v>6.1462500000000003E-2</v>
      </c>
      <c r="L305" s="438">
        <f t="shared" si="53"/>
        <v>4.1441666666666675E-2</v>
      </c>
      <c r="M305" s="446">
        <f t="shared" si="49"/>
        <v>0.37425463678059434</v>
      </c>
      <c r="N305" s="446">
        <f t="shared" si="50"/>
        <v>2.4E-2</v>
      </c>
      <c r="O305" s="446">
        <f t="shared" si="54"/>
        <v>2.6849999999999999E-2</v>
      </c>
      <c r="P305" s="447">
        <f t="shared" si="51"/>
        <v>0.35025463678059432</v>
      </c>
      <c r="Q305" s="446">
        <f t="shared" si="55"/>
        <v>0.34740463678059436</v>
      </c>
      <c r="R305" s="446">
        <f t="shared" si="56"/>
        <v>4.1033618107997771E-2</v>
      </c>
      <c r="S305" s="446">
        <f t="shared" si="57"/>
        <v>2.8299999999999999E-2</v>
      </c>
      <c r="T305" s="447">
        <f t="shared" si="58"/>
        <v>1.2733618107997773E-2</v>
      </c>
      <c r="V305" s="448"/>
      <c r="W305" s="448"/>
      <c r="X305" s="448"/>
      <c r="Y305" s="448"/>
      <c r="Z305" s="448"/>
      <c r="AA305" s="448"/>
      <c r="AB305" s="448"/>
      <c r="AC305" s="448"/>
      <c r="AD305" s="448"/>
      <c r="AF305" s="448"/>
      <c r="AG305" s="448"/>
      <c r="AH305" s="448"/>
      <c r="AI305" s="448"/>
      <c r="AJ305" s="448"/>
      <c r="AK305" s="448"/>
      <c r="AL305" s="448"/>
      <c r="AM305" s="448"/>
      <c r="AN305" s="448"/>
      <c r="AP305" s="448"/>
      <c r="AQ305" s="448"/>
      <c r="AR305" s="448"/>
      <c r="AS305" s="448"/>
      <c r="AT305" s="448"/>
      <c r="AU305" s="448"/>
      <c r="AV305" s="448"/>
      <c r="AW305" s="448"/>
      <c r="AX305" s="448"/>
    </row>
    <row r="306" spans="1:50" x14ac:dyDescent="0.4">
      <c r="A306" s="442" t="str">
        <f t="shared" si="59"/>
        <v>21951</v>
      </c>
      <c r="B306" s="442">
        <v>18660</v>
      </c>
      <c r="C306" s="455">
        <v>1.5699999999999999E-2</v>
      </c>
      <c r="D306" s="438">
        <v>2.6800000000000001E-2</v>
      </c>
      <c r="E306" s="438">
        <v>1.6999999999999999E-3</v>
      </c>
      <c r="F306" s="438">
        <v>2.2166666666666667E-3</v>
      </c>
      <c r="G306" s="438">
        <v>2.2583333333333331E-3</v>
      </c>
      <c r="H306" s="438">
        <v>2.2374999999999999E-3</v>
      </c>
      <c r="I306" s="438">
        <v>2.3666666666666667E-3</v>
      </c>
      <c r="J306" s="438">
        <f t="shared" si="48"/>
        <v>1.3999999999999999E-2</v>
      </c>
      <c r="K306" s="438">
        <f t="shared" si="52"/>
        <v>1.3462499999999999E-2</v>
      </c>
      <c r="L306" s="438">
        <f t="shared" si="53"/>
        <v>2.4433333333333335E-2</v>
      </c>
      <c r="M306" s="446">
        <f t="shared" si="49"/>
        <v>0.36859538638891021</v>
      </c>
      <c r="N306" s="446">
        <f t="shared" si="50"/>
        <v>2.0399999999999998E-2</v>
      </c>
      <c r="O306" s="446">
        <f t="shared" si="54"/>
        <v>2.6849999999999999E-2</v>
      </c>
      <c r="P306" s="447">
        <f t="shared" si="51"/>
        <v>0.34819538638891023</v>
      </c>
      <c r="Q306" s="446">
        <f t="shared" si="55"/>
        <v>0.34174538638891022</v>
      </c>
      <c r="R306" s="446">
        <f t="shared" si="56"/>
        <v>5.8349820864646018E-2</v>
      </c>
      <c r="S306" s="446">
        <f t="shared" si="57"/>
        <v>2.8400000000000002E-2</v>
      </c>
      <c r="T306" s="447">
        <f t="shared" si="58"/>
        <v>2.9949820864646017E-2</v>
      </c>
      <c r="V306" s="448"/>
      <c r="W306" s="448"/>
      <c r="X306" s="448"/>
      <c r="Y306" s="448"/>
      <c r="Z306" s="448"/>
      <c r="AA306" s="448"/>
      <c r="AB306" s="448"/>
      <c r="AC306" s="448"/>
      <c r="AD306" s="448"/>
      <c r="AF306" s="448"/>
      <c r="AG306" s="448"/>
      <c r="AH306" s="448"/>
      <c r="AI306" s="448"/>
      <c r="AJ306" s="448"/>
      <c r="AK306" s="448"/>
      <c r="AL306" s="448"/>
      <c r="AM306" s="448"/>
      <c r="AN306" s="448"/>
      <c r="AP306" s="448"/>
      <c r="AQ306" s="448"/>
      <c r="AR306" s="448"/>
      <c r="AS306" s="448"/>
      <c r="AT306" s="448"/>
      <c r="AU306" s="448"/>
      <c r="AV306" s="448"/>
      <c r="AW306" s="448"/>
      <c r="AX306" s="448"/>
    </row>
    <row r="307" spans="1:50" x14ac:dyDescent="0.4">
      <c r="A307" s="442" t="str">
        <f t="shared" si="59"/>
        <v>31951</v>
      </c>
      <c r="B307" s="442">
        <v>18688</v>
      </c>
      <c r="C307" s="455">
        <v>-1.5599999999999999E-2</v>
      </c>
      <c r="D307" s="438">
        <v>-1.7399999999999999E-2</v>
      </c>
      <c r="E307" s="438">
        <v>1.9E-3</v>
      </c>
      <c r="F307" s="438">
        <v>2.3166666666666665E-3</v>
      </c>
      <c r="G307" s="438">
        <v>2.3499999999999997E-3</v>
      </c>
      <c r="H307" s="438">
        <v>2.3333333333333335E-3</v>
      </c>
      <c r="I307" s="438">
        <v>2.4583333333333336E-3</v>
      </c>
      <c r="J307" s="438">
        <f t="shared" si="48"/>
        <v>-1.7499999999999998E-2</v>
      </c>
      <c r="K307" s="438">
        <f t="shared" si="52"/>
        <v>-1.7933333333333332E-2</v>
      </c>
      <c r="L307" s="438">
        <f t="shared" si="53"/>
        <v>-1.9858333333333332E-2</v>
      </c>
      <c r="M307" s="446">
        <f t="shared" si="49"/>
        <v>0.33788013739944756</v>
      </c>
      <c r="N307" s="446">
        <f t="shared" si="50"/>
        <v>2.2800000000000001E-2</v>
      </c>
      <c r="O307" s="446">
        <f t="shared" si="54"/>
        <v>2.8000000000000004E-2</v>
      </c>
      <c r="P307" s="447">
        <f t="shared" si="51"/>
        <v>0.31508013739944757</v>
      </c>
      <c r="Q307" s="446">
        <f t="shared" si="55"/>
        <v>0.30988013739944753</v>
      </c>
      <c r="R307" s="446">
        <f t="shared" si="56"/>
        <v>3.1271850437922577E-2</v>
      </c>
      <c r="S307" s="446">
        <f t="shared" si="57"/>
        <v>2.9500000000000005E-2</v>
      </c>
      <c r="T307" s="447">
        <f t="shared" si="58"/>
        <v>1.7718504379225716E-3</v>
      </c>
      <c r="V307" s="448"/>
      <c r="W307" s="448"/>
      <c r="X307" s="448"/>
      <c r="Y307" s="448"/>
      <c r="Z307" s="448"/>
      <c r="AA307" s="448"/>
      <c r="AB307" s="448"/>
      <c r="AC307" s="448"/>
      <c r="AD307" s="448"/>
      <c r="AF307" s="448"/>
      <c r="AG307" s="448"/>
      <c r="AH307" s="448"/>
      <c r="AI307" s="448"/>
      <c r="AJ307" s="448"/>
      <c r="AK307" s="448"/>
      <c r="AL307" s="448"/>
      <c r="AM307" s="448"/>
      <c r="AN307" s="448"/>
      <c r="AP307" s="448"/>
      <c r="AQ307" s="448"/>
      <c r="AR307" s="448"/>
      <c r="AS307" s="448"/>
      <c r="AT307" s="448"/>
      <c r="AU307" s="448"/>
      <c r="AV307" s="448"/>
      <c r="AW307" s="448"/>
      <c r="AX307" s="448"/>
    </row>
    <row r="308" spans="1:50" x14ac:dyDescent="0.4">
      <c r="A308" s="442" t="str">
        <f t="shared" si="59"/>
        <v>41951</v>
      </c>
      <c r="B308" s="442">
        <v>18719</v>
      </c>
      <c r="C308" s="455">
        <v>5.0900000000000001E-2</v>
      </c>
      <c r="D308" s="438">
        <v>5.0000000000000044E-4</v>
      </c>
      <c r="E308" s="438">
        <v>2E-3</v>
      </c>
      <c r="F308" s="438">
        <v>2.3916666666666665E-3</v>
      </c>
      <c r="G308" s="438">
        <v>2.4416666666666666E-3</v>
      </c>
      <c r="H308" s="438">
        <v>2.4166666666666668E-3</v>
      </c>
      <c r="I308" s="438">
        <v>2.575E-3</v>
      </c>
      <c r="J308" s="438">
        <f t="shared" si="48"/>
        <v>4.8899999999999999E-2</v>
      </c>
      <c r="K308" s="438">
        <f t="shared" si="52"/>
        <v>4.8483333333333337E-2</v>
      </c>
      <c r="L308" s="438">
        <f t="shared" si="53"/>
        <v>-2.0749999999999996E-3</v>
      </c>
      <c r="M308" s="446">
        <f t="shared" si="49"/>
        <v>0.34081464466248246</v>
      </c>
      <c r="N308" s="446">
        <f t="shared" si="50"/>
        <v>2.4E-2</v>
      </c>
      <c r="O308" s="446">
        <f t="shared" si="54"/>
        <v>2.9000000000000001E-2</v>
      </c>
      <c r="P308" s="447">
        <f t="shared" si="51"/>
        <v>0.31681464466248244</v>
      </c>
      <c r="Q308" s="446">
        <f t="shared" si="55"/>
        <v>0.31181464466248243</v>
      </c>
      <c r="R308" s="446">
        <f t="shared" si="56"/>
        <v>1.3046132904409813E-2</v>
      </c>
      <c r="S308" s="446">
        <f t="shared" si="57"/>
        <v>3.09E-2</v>
      </c>
      <c r="T308" s="447">
        <f t="shared" si="58"/>
        <v>-1.7853867095590188E-2</v>
      </c>
      <c r="V308" s="448"/>
      <c r="W308" s="448"/>
      <c r="X308" s="448"/>
      <c r="Y308" s="448"/>
      <c r="Z308" s="448"/>
      <c r="AA308" s="448"/>
      <c r="AB308" s="448"/>
      <c r="AC308" s="448"/>
      <c r="AD308" s="448"/>
      <c r="AF308" s="448"/>
      <c r="AG308" s="448"/>
      <c r="AH308" s="448"/>
      <c r="AI308" s="448"/>
      <c r="AJ308" s="448"/>
      <c r="AK308" s="448"/>
      <c r="AL308" s="448"/>
      <c r="AM308" s="448"/>
      <c r="AN308" s="448"/>
      <c r="AP308" s="448"/>
      <c r="AQ308" s="448"/>
      <c r="AR308" s="448"/>
      <c r="AS308" s="448"/>
      <c r="AT308" s="448"/>
      <c r="AU308" s="448"/>
      <c r="AV308" s="448"/>
      <c r="AW308" s="448"/>
      <c r="AX308" s="448"/>
    </row>
    <row r="309" spans="1:50" x14ac:dyDescent="0.4">
      <c r="A309" s="442" t="str">
        <f t="shared" si="59"/>
        <v>51951</v>
      </c>
      <c r="B309" s="442">
        <v>18749</v>
      </c>
      <c r="C309" s="455">
        <v>-2.9899999999999999E-2</v>
      </c>
      <c r="D309" s="438">
        <v>6.6E-3</v>
      </c>
      <c r="E309" s="438">
        <v>2.0999999999999999E-3</v>
      </c>
      <c r="F309" s="438">
        <v>2.4083333333333335E-3</v>
      </c>
      <c r="G309" s="438">
        <v>2.4416666666666666E-3</v>
      </c>
      <c r="H309" s="438">
        <v>2.4250000000000001E-3</v>
      </c>
      <c r="I309" s="438">
        <v>2.6083333333333332E-3</v>
      </c>
      <c r="J309" s="438">
        <f t="shared" si="48"/>
        <v>-3.2000000000000001E-2</v>
      </c>
      <c r="K309" s="438">
        <f t="shared" si="52"/>
        <v>-3.2325E-2</v>
      </c>
      <c r="L309" s="438">
        <f t="shared" si="53"/>
        <v>3.9916666666666668E-3</v>
      </c>
      <c r="M309" s="446">
        <f t="shared" si="49"/>
        <v>0.2377241286393319</v>
      </c>
      <c r="N309" s="446">
        <f t="shared" si="50"/>
        <v>2.52E-2</v>
      </c>
      <c r="O309" s="446">
        <f t="shared" si="54"/>
        <v>2.9100000000000001E-2</v>
      </c>
      <c r="P309" s="447">
        <f t="shared" si="51"/>
        <v>0.2125241286393319</v>
      </c>
      <c r="Q309" s="446">
        <f t="shared" si="55"/>
        <v>0.20862412863933189</v>
      </c>
      <c r="R309" s="446">
        <f t="shared" si="56"/>
        <v>5.222109316902479E-4</v>
      </c>
      <c r="S309" s="446">
        <f t="shared" si="57"/>
        <v>3.1299999999999994E-2</v>
      </c>
      <c r="T309" s="447">
        <f t="shared" si="58"/>
        <v>-3.0777789068309747E-2</v>
      </c>
      <c r="V309" s="448"/>
      <c r="W309" s="448"/>
      <c r="X309" s="448"/>
      <c r="Y309" s="448"/>
      <c r="Z309" s="448"/>
      <c r="AA309" s="448"/>
      <c r="AB309" s="448"/>
      <c r="AC309" s="448"/>
      <c r="AD309" s="448"/>
      <c r="AF309" s="448"/>
      <c r="AG309" s="448"/>
      <c r="AH309" s="448"/>
      <c r="AI309" s="448"/>
      <c r="AJ309" s="448"/>
      <c r="AK309" s="448"/>
      <c r="AL309" s="448"/>
      <c r="AM309" s="448"/>
      <c r="AN309" s="448"/>
      <c r="AP309" s="448"/>
      <c r="AQ309" s="448"/>
      <c r="AR309" s="448"/>
      <c r="AS309" s="448"/>
      <c r="AT309" s="448"/>
      <c r="AU309" s="448"/>
      <c r="AV309" s="448"/>
      <c r="AW309" s="448"/>
      <c r="AX309" s="448"/>
    </row>
    <row r="310" spans="1:50" x14ac:dyDescent="0.4">
      <c r="A310" s="442" t="str">
        <f t="shared" si="59"/>
        <v>61951</v>
      </c>
      <c r="B310" s="442">
        <v>18780</v>
      </c>
      <c r="C310" s="455">
        <v>-2.2800000000000001E-2</v>
      </c>
      <c r="D310" s="438">
        <v>-3.9999999999999992E-3</v>
      </c>
      <c r="E310" s="438">
        <v>2E-3</v>
      </c>
      <c r="F310" s="438">
        <v>2.4499999999999999E-3</v>
      </c>
      <c r="G310" s="438">
        <v>2.4916666666666668E-3</v>
      </c>
      <c r="H310" s="438">
        <v>2.4708333333333331E-3</v>
      </c>
      <c r="I310" s="438">
        <v>2.6750000000000003E-3</v>
      </c>
      <c r="J310" s="438">
        <f t="shared" si="48"/>
        <v>-2.4800000000000003E-2</v>
      </c>
      <c r="K310" s="438">
        <f t="shared" si="52"/>
        <v>-2.5270833333333333E-2</v>
      </c>
      <c r="L310" s="438">
        <f t="shared" si="53"/>
        <v>-6.6749999999999995E-3</v>
      </c>
      <c r="M310" s="446">
        <f t="shared" si="49"/>
        <v>0.27962761162331251</v>
      </c>
      <c r="N310" s="446">
        <f t="shared" si="50"/>
        <v>2.4E-2</v>
      </c>
      <c r="O310" s="446">
        <f t="shared" si="54"/>
        <v>2.9649999999999996E-2</v>
      </c>
      <c r="P310" s="447">
        <f t="shared" si="51"/>
        <v>0.25562761162331249</v>
      </c>
      <c r="Q310" s="446">
        <f t="shared" si="55"/>
        <v>0.2499776116233125</v>
      </c>
      <c r="R310" s="446">
        <f t="shared" si="56"/>
        <v>7.9770421592765706E-2</v>
      </c>
      <c r="S310" s="446">
        <f t="shared" si="57"/>
        <v>3.2100000000000004E-2</v>
      </c>
      <c r="T310" s="447">
        <f t="shared" si="58"/>
        <v>4.7670421592765702E-2</v>
      </c>
      <c r="V310" s="448"/>
      <c r="W310" s="448"/>
      <c r="X310" s="448"/>
      <c r="Y310" s="448"/>
      <c r="Z310" s="448"/>
      <c r="AA310" s="448"/>
      <c r="AB310" s="448"/>
      <c r="AC310" s="448"/>
      <c r="AD310" s="448"/>
      <c r="AF310" s="448"/>
      <c r="AG310" s="448"/>
      <c r="AH310" s="448"/>
      <c r="AI310" s="448"/>
      <c r="AJ310" s="448"/>
      <c r="AK310" s="448"/>
      <c r="AL310" s="448"/>
      <c r="AM310" s="448"/>
      <c r="AN310" s="448"/>
      <c r="AP310" s="448"/>
      <c r="AQ310" s="448"/>
      <c r="AR310" s="448"/>
      <c r="AS310" s="448"/>
      <c r="AT310" s="448"/>
      <c r="AU310" s="448"/>
      <c r="AV310" s="448"/>
      <c r="AW310" s="448"/>
      <c r="AX310" s="448"/>
    </row>
    <row r="311" spans="1:50" x14ac:dyDescent="0.4">
      <c r="A311" s="442" t="str">
        <f t="shared" si="59"/>
        <v>71951</v>
      </c>
      <c r="B311" s="442">
        <v>18810</v>
      </c>
      <c r="C311" s="455">
        <v>7.1099999999999997E-2</v>
      </c>
      <c r="D311" s="438">
        <v>4.3899999999999995E-2</v>
      </c>
      <c r="E311" s="438">
        <v>2.3E-3</v>
      </c>
      <c r="F311" s="438">
        <v>2.4499999999999999E-3</v>
      </c>
      <c r="G311" s="438">
        <v>2.4916666666666668E-3</v>
      </c>
      <c r="H311" s="438">
        <v>2.4708333333333331E-3</v>
      </c>
      <c r="I311" s="438">
        <v>2.7166666666666667E-3</v>
      </c>
      <c r="J311" s="438">
        <f t="shared" si="48"/>
        <v>6.88E-2</v>
      </c>
      <c r="K311" s="438">
        <f t="shared" si="52"/>
        <v>6.8629166666666658E-2</v>
      </c>
      <c r="L311" s="438">
        <f t="shared" si="53"/>
        <v>4.1183333333333329E-2</v>
      </c>
      <c r="M311" s="446">
        <f t="shared" si="49"/>
        <v>0.35449069553288881</v>
      </c>
      <c r="N311" s="446">
        <f t="shared" si="50"/>
        <v>2.76E-2</v>
      </c>
      <c r="O311" s="446">
        <f t="shared" si="54"/>
        <v>2.9649999999999996E-2</v>
      </c>
      <c r="P311" s="447">
        <f t="shared" si="51"/>
        <v>0.3268906955328888</v>
      </c>
      <c r="Q311" s="446">
        <f t="shared" si="55"/>
        <v>0.3248406955328888</v>
      </c>
      <c r="R311" s="446">
        <f t="shared" si="56"/>
        <v>0.17855744782589755</v>
      </c>
      <c r="S311" s="446">
        <f t="shared" si="57"/>
        <v>3.2600000000000004E-2</v>
      </c>
      <c r="T311" s="447">
        <f t="shared" si="58"/>
        <v>0.14595744782589753</v>
      </c>
      <c r="V311" s="448"/>
      <c r="W311" s="448"/>
      <c r="X311" s="448"/>
      <c r="Y311" s="448"/>
      <c r="Z311" s="448"/>
      <c r="AA311" s="448"/>
      <c r="AB311" s="448"/>
      <c r="AC311" s="448"/>
      <c r="AD311" s="448"/>
      <c r="AF311" s="448"/>
      <c r="AG311" s="448"/>
      <c r="AH311" s="448"/>
      <c r="AI311" s="448"/>
      <c r="AJ311" s="448"/>
      <c r="AK311" s="448"/>
      <c r="AL311" s="448"/>
      <c r="AM311" s="448"/>
      <c r="AN311" s="448"/>
      <c r="AP311" s="448"/>
      <c r="AQ311" s="448"/>
      <c r="AR311" s="448"/>
      <c r="AS311" s="448"/>
      <c r="AT311" s="448"/>
      <c r="AU311" s="448"/>
      <c r="AV311" s="448"/>
      <c r="AW311" s="448"/>
      <c r="AX311" s="448"/>
    </row>
    <row r="312" spans="1:50" x14ac:dyDescent="0.4">
      <c r="A312" s="442" t="str">
        <f t="shared" si="59"/>
        <v>81951</v>
      </c>
      <c r="B312" s="442">
        <v>18841</v>
      </c>
      <c r="C312" s="455">
        <v>4.7800000000000002E-2</v>
      </c>
      <c r="D312" s="438">
        <v>1.5200000000000002E-2</v>
      </c>
      <c r="E312" s="438">
        <v>2.0999999999999999E-3</v>
      </c>
      <c r="F312" s="438">
        <v>2.3999999999999998E-3</v>
      </c>
      <c r="G312" s="438">
        <v>2.4333333333333334E-3</v>
      </c>
      <c r="H312" s="438">
        <v>2.4166666666666664E-3</v>
      </c>
      <c r="I312" s="438">
        <v>2.6583333333333333E-3</v>
      </c>
      <c r="J312" s="438">
        <f t="shared" si="48"/>
        <v>4.5700000000000005E-2</v>
      </c>
      <c r="K312" s="438">
        <f t="shared" si="52"/>
        <v>4.5383333333333338E-2</v>
      </c>
      <c r="L312" s="438">
        <f t="shared" si="53"/>
        <v>1.2541666666666668E-2</v>
      </c>
      <c r="M312" s="446">
        <f t="shared" si="49"/>
        <v>0.35903030812923586</v>
      </c>
      <c r="N312" s="446">
        <f t="shared" si="50"/>
        <v>2.52E-2</v>
      </c>
      <c r="O312" s="446">
        <f t="shared" si="54"/>
        <v>2.8999999999999998E-2</v>
      </c>
      <c r="P312" s="447">
        <f t="shared" si="51"/>
        <v>0.33383030812923586</v>
      </c>
      <c r="Q312" s="446">
        <f t="shared" si="55"/>
        <v>0.33003030812923584</v>
      </c>
      <c r="R312" s="446">
        <f t="shared" si="56"/>
        <v>0.1783253112397587</v>
      </c>
      <c r="S312" s="446">
        <f t="shared" si="57"/>
        <v>3.1899999999999998E-2</v>
      </c>
      <c r="T312" s="447">
        <f t="shared" si="58"/>
        <v>0.14642531123975872</v>
      </c>
      <c r="V312" s="448"/>
      <c r="W312" s="448"/>
      <c r="X312" s="448"/>
      <c r="Y312" s="448"/>
      <c r="Z312" s="448"/>
      <c r="AA312" s="448"/>
      <c r="AB312" s="448"/>
      <c r="AC312" s="448"/>
      <c r="AD312" s="448"/>
      <c r="AF312" s="448"/>
      <c r="AG312" s="448"/>
      <c r="AH312" s="448"/>
      <c r="AI312" s="448"/>
      <c r="AJ312" s="448"/>
      <c r="AK312" s="448"/>
      <c r="AL312" s="448"/>
      <c r="AM312" s="448"/>
      <c r="AN312" s="448"/>
      <c r="AP312" s="448"/>
      <c r="AQ312" s="448"/>
      <c r="AR312" s="448"/>
      <c r="AS312" s="448"/>
      <c r="AT312" s="448"/>
      <c r="AU312" s="448"/>
      <c r="AV312" s="448"/>
      <c r="AW312" s="448"/>
      <c r="AX312" s="448"/>
    </row>
    <row r="313" spans="1:50" x14ac:dyDescent="0.4">
      <c r="A313" s="442" t="str">
        <f t="shared" si="59"/>
        <v>91951</v>
      </c>
      <c r="B313" s="442">
        <v>18872</v>
      </c>
      <c r="C313" s="455">
        <v>1.2999999999999999E-3</v>
      </c>
      <c r="D313" s="438">
        <v>8.6E-3</v>
      </c>
      <c r="E313" s="438">
        <v>1.9E-3</v>
      </c>
      <c r="F313" s="438">
        <v>2.3666666666666667E-3</v>
      </c>
      <c r="G313" s="438">
        <v>2.3999999999999998E-3</v>
      </c>
      <c r="H313" s="438">
        <v>2.3833333333333332E-3</v>
      </c>
      <c r="I313" s="438">
        <v>2.6166666666666664E-3</v>
      </c>
      <c r="J313" s="438">
        <f t="shared" si="48"/>
        <v>-6.0000000000000006E-4</v>
      </c>
      <c r="K313" s="438">
        <f t="shared" si="52"/>
        <v>-1.0833333333333333E-3</v>
      </c>
      <c r="L313" s="438">
        <f t="shared" si="53"/>
        <v>5.9833333333333336E-3</v>
      </c>
      <c r="M313" s="446">
        <f t="shared" si="49"/>
        <v>0.28474041496393943</v>
      </c>
      <c r="N313" s="446">
        <f t="shared" si="50"/>
        <v>2.2800000000000001E-2</v>
      </c>
      <c r="O313" s="446">
        <f t="shared" si="54"/>
        <v>2.86E-2</v>
      </c>
      <c r="P313" s="447">
        <f t="shared" si="51"/>
        <v>0.26194041496393944</v>
      </c>
      <c r="Q313" s="446">
        <f t="shared" si="55"/>
        <v>0.25614041496393941</v>
      </c>
      <c r="R313" s="446">
        <f t="shared" si="56"/>
        <v>0.14077453341948565</v>
      </c>
      <c r="S313" s="446">
        <f t="shared" si="57"/>
        <v>3.1399999999999997E-2</v>
      </c>
      <c r="T313" s="447">
        <f t="shared" si="58"/>
        <v>0.10937453341948565</v>
      </c>
      <c r="V313" s="448"/>
      <c r="W313" s="448"/>
      <c r="X313" s="448"/>
      <c r="Y313" s="448"/>
      <c r="Z313" s="448"/>
      <c r="AA313" s="448"/>
      <c r="AB313" s="448"/>
      <c r="AC313" s="448"/>
      <c r="AD313" s="448"/>
      <c r="AF313" s="448"/>
      <c r="AG313" s="448"/>
      <c r="AH313" s="448"/>
      <c r="AI313" s="448"/>
      <c r="AJ313" s="448"/>
      <c r="AK313" s="448"/>
      <c r="AL313" s="448"/>
      <c r="AM313" s="448"/>
      <c r="AN313" s="448"/>
      <c r="AP313" s="448"/>
      <c r="AQ313" s="448"/>
      <c r="AR313" s="448"/>
      <c r="AS313" s="448"/>
      <c r="AT313" s="448"/>
      <c r="AU313" s="448"/>
      <c r="AV313" s="448"/>
      <c r="AW313" s="448"/>
      <c r="AX313" s="448"/>
    </row>
    <row r="314" spans="1:50" x14ac:dyDescent="0.4">
      <c r="A314" s="442" t="str">
        <f t="shared" si="59"/>
        <v>101951</v>
      </c>
      <c r="B314" s="442">
        <v>18902</v>
      </c>
      <c r="C314" s="455">
        <v>-1.03E-2</v>
      </c>
      <c r="D314" s="438">
        <v>2.8999999999999998E-3</v>
      </c>
      <c r="E314" s="438">
        <v>2.3E-3</v>
      </c>
      <c r="F314" s="438">
        <v>2.4083333333333335E-3</v>
      </c>
      <c r="G314" s="438">
        <v>2.4416666666666666E-3</v>
      </c>
      <c r="H314" s="438">
        <v>2.4250000000000001E-3</v>
      </c>
      <c r="I314" s="438">
        <v>2.6416666666666667E-3</v>
      </c>
      <c r="J314" s="438">
        <f t="shared" si="48"/>
        <v>-1.26E-2</v>
      </c>
      <c r="K314" s="438">
        <f t="shared" si="52"/>
        <v>-1.2725E-2</v>
      </c>
      <c r="L314" s="438">
        <f t="shared" si="53"/>
        <v>2.5833333333333307E-4</v>
      </c>
      <c r="M314" s="446">
        <f t="shared" si="49"/>
        <v>0.25979152748420731</v>
      </c>
      <c r="N314" s="446">
        <f t="shared" si="50"/>
        <v>2.76E-2</v>
      </c>
      <c r="O314" s="446">
        <f t="shared" si="54"/>
        <v>2.9100000000000001E-2</v>
      </c>
      <c r="P314" s="447">
        <f t="shared" si="51"/>
        <v>0.23219152748420729</v>
      </c>
      <c r="Q314" s="446">
        <f t="shared" si="55"/>
        <v>0.23069152748420729</v>
      </c>
      <c r="R314" s="446">
        <f t="shared" si="56"/>
        <v>0.14718016601464234</v>
      </c>
      <c r="S314" s="446">
        <f t="shared" si="57"/>
        <v>3.1699999999999999E-2</v>
      </c>
      <c r="T314" s="447">
        <f t="shared" si="58"/>
        <v>0.11548016601464234</v>
      </c>
      <c r="V314" s="448"/>
      <c r="W314" s="448"/>
      <c r="X314" s="448"/>
      <c r="Y314" s="448"/>
      <c r="Z314" s="448"/>
      <c r="AA314" s="448"/>
      <c r="AB314" s="448"/>
      <c r="AC314" s="448"/>
      <c r="AD314" s="448"/>
      <c r="AF314" s="448"/>
      <c r="AG314" s="448"/>
      <c r="AH314" s="448"/>
      <c r="AI314" s="448"/>
      <c r="AJ314" s="448"/>
      <c r="AK314" s="448"/>
      <c r="AL314" s="448"/>
      <c r="AM314" s="448"/>
      <c r="AN314" s="448"/>
      <c r="AP314" s="448"/>
      <c r="AQ314" s="448"/>
      <c r="AR314" s="448"/>
      <c r="AS314" s="448"/>
      <c r="AT314" s="448"/>
      <c r="AU314" s="448"/>
      <c r="AV314" s="448"/>
      <c r="AW314" s="448"/>
      <c r="AX314" s="448"/>
    </row>
    <row r="315" spans="1:50" x14ac:dyDescent="0.4">
      <c r="A315" s="442" t="str">
        <f t="shared" si="59"/>
        <v>111951</v>
      </c>
      <c r="B315" s="442">
        <v>18933</v>
      </c>
      <c r="C315" s="455">
        <v>9.5999999999999992E-3</v>
      </c>
      <c r="D315" s="438">
        <v>1.2E-2</v>
      </c>
      <c r="E315" s="438">
        <v>2.0999999999999999E-3</v>
      </c>
      <c r="F315" s="438">
        <v>2.4666666666666669E-3</v>
      </c>
      <c r="G315" s="438">
        <v>2.5166666666666666E-3</v>
      </c>
      <c r="H315" s="438">
        <v>2.4916666666666663E-3</v>
      </c>
      <c r="I315" s="438">
        <v>2.7000000000000001E-3</v>
      </c>
      <c r="J315" s="438">
        <f t="shared" si="48"/>
        <v>7.4999999999999997E-3</v>
      </c>
      <c r="K315" s="438">
        <f t="shared" si="52"/>
        <v>7.1083333333333328E-3</v>
      </c>
      <c r="L315" s="438">
        <f t="shared" si="53"/>
        <v>9.2999999999999992E-3</v>
      </c>
      <c r="M315" s="446">
        <f t="shared" si="49"/>
        <v>0.25074788686011962</v>
      </c>
      <c r="N315" s="446">
        <f t="shared" si="50"/>
        <v>2.52E-2</v>
      </c>
      <c r="O315" s="446">
        <f t="shared" si="54"/>
        <v>2.9899999999999996E-2</v>
      </c>
      <c r="P315" s="447">
        <f t="shared" si="51"/>
        <v>0.22554788686011962</v>
      </c>
      <c r="Q315" s="446">
        <f t="shared" si="55"/>
        <v>0.22084788686011964</v>
      </c>
      <c r="R315" s="446">
        <f t="shared" si="56"/>
        <v>0.18174504072355191</v>
      </c>
      <c r="S315" s="446">
        <f t="shared" si="57"/>
        <v>3.2399999999999998E-2</v>
      </c>
      <c r="T315" s="447">
        <f t="shared" si="58"/>
        <v>0.14934504072355193</v>
      </c>
      <c r="V315" s="448"/>
      <c r="W315" s="448"/>
      <c r="X315" s="448"/>
      <c r="Y315" s="448"/>
      <c r="Z315" s="448"/>
      <c r="AA315" s="448"/>
      <c r="AB315" s="448"/>
      <c r="AC315" s="448"/>
      <c r="AD315" s="448"/>
      <c r="AF315" s="448"/>
      <c r="AG315" s="448"/>
      <c r="AH315" s="448"/>
      <c r="AI315" s="448"/>
      <c r="AJ315" s="448"/>
      <c r="AK315" s="448"/>
      <c r="AL315" s="448"/>
      <c r="AM315" s="448"/>
      <c r="AN315" s="448"/>
      <c r="AP315" s="448"/>
      <c r="AQ315" s="448"/>
      <c r="AR315" s="448"/>
      <c r="AS315" s="448"/>
      <c r="AT315" s="448"/>
      <c r="AU315" s="448"/>
      <c r="AV315" s="448"/>
      <c r="AW315" s="448"/>
      <c r="AX315" s="448"/>
    </row>
    <row r="316" spans="1:50" x14ac:dyDescent="0.4">
      <c r="A316" s="442" t="str">
        <f t="shared" si="59"/>
        <v>121951</v>
      </c>
      <c r="B316" s="442">
        <v>18963</v>
      </c>
      <c r="C316" s="455">
        <v>4.24E-2</v>
      </c>
      <c r="D316" s="438">
        <v>3.5200000000000002E-2</v>
      </c>
      <c r="E316" s="438">
        <v>2.2000000000000001E-3</v>
      </c>
      <c r="F316" s="438">
        <v>2.5083333333333329E-3</v>
      </c>
      <c r="G316" s="438">
        <v>2.5500000000000002E-3</v>
      </c>
      <c r="H316" s="438">
        <v>2.529166666666667E-3</v>
      </c>
      <c r="I316" s="438">
        <v>2.7416666666666666E-3</v>
      </c>
      <c r="J316" s="438">
        <f t="shared" si="48"/>
        <v>4.02E-2</v>
      </c>
      <c r="K316" s="438">
        <f t="shared" si="52"/>
        <v>3.9870833333333335E-2</v>
      </c>
      <c r="L316" s="438">
        <f t="shared" si="53"/>
        <v>3.2458333333333339E-2</v>
      </c>
      <c r="M316" s="446">
        <f t="shared" si="49"/>
        <v>0.24015941906495653</v>
      </c>
      <c r="N316" s="446">
        <f t="shared" si="50"/>
        <v>2.64E-2</v>
      </c>
      <c r="O316" s="446">
        <f t="shared" si="54"/>
        <v>3.0350000000000002E-2</v>
      </c>
      <c r="P316" s="447">
        <f t="shared" si="51"/>
        <v>0.21375941906495652</v>
      </c>
      <c r="Q316" s="446">
        <f t="shared" si="55"/>
        <v>0.20980941906495654</v>
      </c>
      <c r="R316" s="446">
        <f t="shared" si="56"/>
        <v>0.18632900131596331</v>
      </c>
      <c r="S316" s="446">
        <f t="shared" si="57"/>
        <v>3.2899999999999999E-2</v>
      </c>
      <c r="T316" s="447">
        <f t="shared" si="58"/>
        <v>0.15342900131596332</v>
      </c>
      <c r="V316" s="448"/>
      <c r="W316" s="448"/>
      <c r="X316" s="448"/>
      <c r="Y316" s="448"/>
      <c r="Z316" s="448"/>
      <c r="AA316" s="448"/>
      <c r="AB316" s="448"/>
      <c r="AC316" s="448"/>
      <c r="AD316" s="448"/>
      <c r="AF316" s="448"/>
      <c r="AG316" s="448"/>
      <c r="AH316" s="448"/>
      <c r="AI316" s="448"/>
      <c r="AJ316" s="448"/>
      <c r="AK316" s="448"/>
      <c r="AL316" s="448"/>
      <c r="AM316" s="448"/>
      <c r="AN316" s="448"/>
      <c r="AP316" s="448"/>
      <c r="AQ316" s="448"/>
      <c r="AR316" s="448"/>
      <c r="AS316" s="448"/>
      <c r="AT316" s="448"/>
      <c r="AU316" s="448"/>
      <c r="AV316" s="448"/>
      <c r="AW316" s="448"/>
      <c r="AX316" s="448"/>
    </row>
    <row r="317" spans="1:50" x14ac:dyDescent="0.4">
      <c r="A317" s="442" t="str">
        <f t="shared" si="59"/>
        <v>11952</v>
      </c>
      <c r="B317" s="442">
        <v>18994</v>
      </c>
      <c r="C317" s="455">
        <v>1.8100000000000002E-2</v>
      </c>
      <c r="D317" s="438">
        <v>3.0499999999999999E-2</v>
      </c>
      <c r="E317" s="438">
        <v>2.3E-3</v>
      </c>
      <c r="F317" s="438">
        <v>2.4833333333333331E-3</v>
      </c>
      <c r="G317" s="438">
        <v>2.5416666666666665E-3</v>
      </c>
      <c r="H317" s="438">
        <v>2.5124999999999995E-3</v>
      </c>
      <c r="I317" s="438">
        <v>2.7416666666666666E-3</v>
      </c>
      <c r="J317" s="438">
        <f t="shared" si="48"/>
        <v>1.5800000000000002E-2</v>
      </c>
      <c r="K317" s="438">
        <f t="shared" si="52"/>
        <v>1.5587500000000002E-2</v>
      </c>
      <c r="L317" s="438">
        <f t="shared" si="53"/>
        <v>2.7758333333333333E-2</v>
      </c>
      <c r="M317" s="446">
        <f t="shared" si="49"/>
        <v>0.18699473963526625</v>
      </c>
      <c r="N317" s="446">
        <f t="shared" si="50"/>
        <v>2.76E-2</v>
      </c>
      <c r="O317" s="446">
        <f t="shared" si="54"/>
        <v>3.0149999999999996E-2</v>
      </c>
      <c r="P317" s="447">
        <f t="shared" si="51"/>
        <v>0.15939473963526624</v>
      </c>
      <c r="Q317" s="446">
        <f t="shared" si="55"/>
        <v>0.15684473963526624</v>
      </c>
      <c r="R317" s="446">
        <f t="shared" si="56"/>
        <v>0.17121291038139463</v>
      </c>
      <c r="S317" s="446">
        <f t="shared" si="57"/>
        <v>3.2899999999999999E-2</v>
      </c>
      <c r="T317" s="447">
        <f t="shared" si="58"/>
        <v>0.13831291038139465</v>
      </c>
      <c r="V317" s="448"/>
      <c r="W317" s="448"/>
      <c r="X317" s="448"/>
      <c r="Y317" s="448"/>
      <c r="Z317" s="448"/>
      <c r="AA317" s="448"/>
      <c r="AB317" s="448"/>
      <c r="AC317" s="448"/>
      <c r="AD317" s="448"/>
      <c r="AF317" s="448"/>
      <c r="AG317" s="448"/>
      <c r="AH317" s="448"/>
      <c r="AI317" s="448"/>
      <c r="AJ317" s="448"/>
      <c r="AK317" s="448"/>
      <c r="AL317" s="448"/>
      <c r="AM317" s="448"/>
      <c r="AN317" s="448"/>
      <c r="AP317" s="448"/>
      <c r="AQ317" s="448"/>
      <c r="AR317" s="448"/>
      <c r="AS317" s="448"/>
      <c r="AT317" s="448"/>
      <c r="AU317" s="448"/>
      <c r="AV317" s="448"/>
      <c r="AW317" s="448"/>
      <c r="AX317" s="448"/>
    </row>
    <row r="318" spans="1:50" x14ac:dyDescent="0.4">
      <c r="A318" s="442" t="str">
        <f t="shared" si="59"/>
        <v>21952</v>
      </c>
      <c r="B318" s="442">
        <v>19025</v>
      </c>
      <c r="C318" s="455">
        <v>-2.8199999999999999E-2</v>
      </c>
      <c r="D318" s="438">
        <v>5.8999999999999999E-3</v>
      </c>
      <c r="E318" s="438">
        <v>2.0999999999999999E-3</v>
      </c>
      <c r="F318" s="438">
        <v>2.4416666666666666E-3</v>
      </c>
      <c r="G318" s="438">
        <v>2.5083333333333329E-3</v>
      </c>
      <c r="H318" s="438">
        <v>2.4749999999999998E-3</v>
      </c>
      <c r="I318" s="438">
        <v>2.6916666666666669E-3</v>
      </c>
      <c r="J318" s="438">
        <f t="shared" si="48"/>
        <v>-3.0300000000000001E-2</v>
      </c>
      <c r="K318" s="438">
        <f t="shared" si="52"/>
        <v>-3.0675000000000001E-2</v>
      </c>
      <c r="L318" s="438">
        <f t="shared" si="53"/>
        <v>3.208333333333333E-3</v>
      </c>
      <c r="M318" s="446">
        <f t="shared" si="49"/>
        <v>0.13569113712469338</v>
      </c>
      <c r="N318" s="446">
        <f t="shared" si="50"/>
        <v>2.52E-2</v>
      </c>
      <c r="O318" s="446">
        <f t="shared" si="54"/>
        <v>2.9699999999999997E-2</v>
      </c>
      <c r="P318" s="447">
        <f t="shared" si="51"/>
        <v>0.11049113712469338</v>
      </c>
      <c r="Q318" s="446">
        <f t="shared" si="55"/>
        <v>0.10599113712469338</v>
      </c>
      <c r="R318" s="446">
        <f t="shared" si="56"/>
        <v>0.14737345788142298</v>
      </c>
      <c r="S318" s="446">
        <f t="shared" si="57"/>
        <v>3.2300000000000002E-2</v>
      </c>
      <c r="T318" s="447">
        <f t="shared" si="58"/>
        <v>0.11507345788142298</v>
      </c>
      <c r="V318" s="448"/>
      <c r="W318" s="448"/>
      <c r="X318" s="448"/>
      <c r="Y318" s="448"/>
      <c r="Z318" s="448"/>
      <c r="AA318" s="448"/>
      <c r="AB318" s="448"/>
      <c r="AC318" s="448"/>
      <c r="AD318" s="448"/>
      <c r="AF318" s="448"/>
      <c r="AG318" s="448"/>
      <c r="AH318" s="448"/>
      <c r="AI318" s="448"/>
      <c r="AJ318" s="448"/>
      <c r="AK318" s="448"/>
      <c r="AL318" s="448"/>
      <c r="AM318" s="448"/>
      <c r="AN318" s="448"/>
      <c r="AP318" s="448"/>
      <c r="AQ318" s="448"/>
      <c r="AR318" s="448"/>
      <c r="AS318" s="448"/>
      <c r="AT318" s="448"/>
      <c r="AU318" s="448"/>
      <c r="AV318" s="448"/>
      <c r="AW318" s="448"/>
      <c r="AX318" s="448"/>
    </row>
    <row r="319" spans="1:50" x14ac:dyDescent="0.4">
      <c r="A319" s="442" t="str">
        <f t="shared" si="59"/>
        <v>31952</v>
      </c>
      <c r="B319" s="442">
        <v>19054</v>
      </c>
      <c r="C319" s="455">
        <v>5.0299999999999997E-2</v>
      </c>
      <c r="D319" s="438">
        <v>1.7599999999999998E-2</v>
      </c>
      <c r="E319" s="438">
        <v>2.3E-3</v>
      </c>
      <c r="F319" s="438">
        <v>2.4666666666666669E-3</v>
      </c>
      <c r="G319" s="438">
        <v>2.5249999999999999E-3</v>
      </c>
      <c r="H319" s="438">
        <v>2.4958333333333334E-3</v>
      </c>
      <c r="I319" s="438">
        <v>2.708333333333333E-3</v>
      </c>
      <c r="J319" s="438">
        <f t="shared" si="48"/>
        <v>4.8000000000000001E-2</v>
      </c>
      <c r="K319" s="438">
        <f t="shared" si="52"/>
        <v>4.7804166666666661E-2</v>
      </c>
      <c r="L319" s="438">
        <f t="shared" si="53"/>
        <v>1.4891666666666664E-2</v>
      </c>
      <c r="M319" s="446">
        <f t="shared" si="49"/>
        <v>0.2117192211723542</v>
      </c>
      <c r="N319" s="446">
        <f t="shared" si="50"/>
        <v>2.76E-2</v>
      </c>
      <c r="O319" s="446">
        <f t="shared" si="54"/>
        <v>2.9950000000000001E-2</v>
      </c>
      <c r="P319" s="447">
        <f t="shared" si="51"/>
        <v>0.18411922117235419</v>
      </c>
      <c r="Q319" s="446">
        <f t="shared" si="55"/>
        <v>0.1817692211723542</v>
      </c>
      <c r="R319" s="446">
        <f t="shared" si="56"/>
        <v>0.18824265290060693</v>
      </c>
      <c r="S319" s="446">
        <f t="shared" si="57"/>
        <v>3.2499999999999994E-2</v>
      </c>
      <c r="T319" s="447">
        <f t="shared" si="58"/>
        <v>0.15574265290060693</v>
      </c>
      <c r="V319" s="448"/>
      <c r="W319" s="448"/>
      <c r="X319" s="448"/>
      <c r="Y319" s="448"/>
      <c r="Z319" s="448"/>
      <c r="AA319" s="448"/>
      <c r="AB319" s="448"/>
      <c r="AC319" s="448"/>
      <c r="AD319" s="448"/>
      <c r="AF319" s="448"/>
      <c r="AG319" s="448"/>
      <c r="AH319" s="448"/>
      <c r="AI319" s="448"/>
      <c r="AJ319" s="448"/>
      <c r="AK319" s="448"/>
      <c r="AL319" s="448"/>
      <c r="AM319" s="448"/>
      <c r="AN319" s="448"/>
      <c r="AP319" s="448"/>
      <c r="AQ319" s="448"/>
      <c r="AR319" s="448"/>
      <c r="AS319" s="448"/>
      <c r="AT319" s="448"/>
      <c r="AU319" s="448"/>
      <c r="AV319" s="448"/>
      <c r="AW319" s="448"/>
      <c r="AX319" s="448"/>
    </row>
    <row r="320" spans="1:50" x14ac:dyDescent="0.4">
      <c r="A320" s="442" t="str">
        <f t="shared" si="59"/>
        <v>41952</v>
      </c>
      <c r="B320" s="442">
        <v>19085</v>
      </c>
      <c r="C320" s="455">
        <v>-4.02E-2</v>
      </c>
      <c r="D320" s="438">
        <v>-1.54E-2</v>
      </c>
      <c r="E320" s="438">
        <v>2.2000000000000001E-3</v>
      </c>
      <c r="F320" s="438">
        <v>2.4416666666666666E-3</v>
      </c>
      <c r="G320" s="438">
        <v>2.5083333333333329E-3</v>
      </c>
      <c r="H320" s="438">
        <v>2.4749999999999998E-3</v>
      </c>
      <c r="I320" s="438">
        <v>2.6916666666666669E-3</v>
      </c>
      <c r="J320" s="438">
        <f t="shared" si="48"/>
        <v>-4.24E-2</v>
      </c>
      <c r="K320" s="438">
        <f t="shared" si="52"/>
        <v>-4.2674999999999998E-2</v>
      </c>
      <c r="L320" s="438">
        <f t="shared" si="53"/>
        <v>-1.8091666666666666E-2</v>
      </c>
      <c r="M320" s="446">
        <f t="shared" si="49"/>
        <v>0.10667818867753875</v>
      </c>
      <c r="N320" s="446">
        <f t="shared" si="50"/>
        <v>2.64E-2</v>
      </c>
      <c r="O320" s="446">
        <f t="shared" si="54"/>
        <v>2.9699999999999997E-2</v>
      </c>
      <c r="P320" s="447">
        <f t="shared" si="51"/>
        <v>8.0278188677538748E-2</v>
      </c>
      <c r="Q320" s="446">
        <f t="shared" si="55"/>
        <v>7.697818867753875E-2</v>
      </c>
      <c r="R320" s="446">
        <f t="shared" si="56"/>
        <v>0.16935903652767359</v>
      </c>
      <c r="S320" s="446">
        <f t="shared" si="57"/>
        <v>3.2300000000000002E-2</v>
      </c>
      <c r="T320" s="447">
        <f t="shared" si="58"/>
        <v>0.13705903652767359</v>
      </c>
      <c r="V320" s="448"/>
      <c r="W320" s="448"/>
      <c r="X320" s="448"/>
      <c r="Y320" s="448"/>
      <c r="Z320" s="448"/>
      <c r="AA320" s="448"/>
      <c r="AB320" s="448"/>
      <c r="AC320" s="448"/>
      <c r="AD320" s="448"/>
      <c r="AF320" s="448"/>
      <c r="AG320" s="448"/>
      <c r="AH320" s="448"/>
      <c r="AI320" s="448"/>
      <c r="AJ320" s="448"/>
      <c r="AK320" s="448"/>
      <c r="AL320" s="448"/>
      <c r="AM320" s="448"/>
      <c r="AN320" s="448"/>
      <c r="AP320" s="448"/>
      <c r="AQ320" s="448"/>
      <c r="AR320" s="448"/>
      <c r="AS320" s="448"/>
      <c r="AT320" s="448"/>
      <c r="AU320" s="448"/>
      <c r="AV320" s="448"/>
      <c r="AW320" s="448"/>
      <c r="AX320" s="448"/>
    </row>
    <row r="321" spans="1:50" x14ac:dyDescent="0.4">
      <c r="A321" s="442" t="str">
        <f t="shared" si="59"/>
        <v>51952</v>
      </c>
      <c r="B321" s="442">
        <v>19115</v>
      </c>
      <c r="C321" s="455">
        <v>3.4299999999999997E-2</v>
      </c>
      <c r="D321" s="438">
        <v>1.9E-2</v>
      </c>
      <c r="E321" s="438">
        <v>2E-3</v>
      </c>
      <c r="F321" s="438">
        <v>2.4416666666666666E-3</v>
      </c>
      <c r="G321" s="438">
        <v>2.5000000000000001E-3</v>
      </c>
      <c r="H321" s="438">
        <v>2.4708333333333331E-3</v>
      </c>
      <c r="I321" s="438">
        <v>2.6833333333333336E-3</v>
      </c>
      <c r="J321" s="438">
        <f t="shared" si="48"/>
        <v>3.2299999999999995E-2</v>
      </c>
      <c r="K321" s="438">
        <f t="shared" si="52"/>
        <v>3.1829166666666665E-2</v>
      </c>
      <c r="L321" s="438">
        <f t="shared" si="53"/>
        <v>1.6316666666666667E-2</v>
      </c>
      <c r="M321" s="446">
        <f t="shared" si="49"/>
        <v>0.17991676172474858</v>
      </c>
      <c r="N321" s="446">
        <f t="shared" si="50"/>
        <v>2.4E-2</v>
      </c>
      <c r="O321" s="446">
        <f t="shared" si="54"/>
        <v>2.9649999999999996E-2</v>
      </c>
      <c r="P321" s="447">
        <f t="shared" si="51"/>
        <v>0.15591676172474858</v>
      </c>
      <c r="Q321" s="446">
        <f t="shared" si="55"/>
        <v>0.15026676172474857</v>
      </c>
      <c r="R321" s="446">
        <f t="shared" si="56"/>
        <v>0.18376401571796053</v>
      </c>
      <c r="S321" s="446">
        <f t="shared" si="57"/>
        <v>3.2200000000000006E-2</v>
      </c>
      <c r="T321" s="447">
        <f t="shared" si="58"/>
        <v>0.15156401571796052</v>
      </c>
      <c r="V321" s="448"/>
      <c r="W321" s="448"/>
      <c r="X321" s="448"/>
      <c r="Y321" s="448"/>
      <c r="Z321" s="448"/>
      <c r="AA321" s="448"/>
      <c r="AB321" s="448"/>
      <c r="AC321" s="448"/>
      <c r="AD321" s="448"/>
      <c r="AF321" s="448"/>
      <c r="AG321" s="448"/>
      <c r="AH321" s="448"/>
      <c r="AI321" s="448"/>
      <c r="AJ321" s="448"/>
      <c r="AK321" s="448"/>
      <c r="AL321" s="448"/>
      <c r="AM321" s="448"/>
      <c r="AN321" s="448"/>
      <c r="AP321" s="448"/>
      <c r="AQ321" s="448"/>
      <c r="AR321" s="448"/>
      <c r="AS321" s="448"/>
      <c r="AT321" s="448"/>
      <c r="AU321" s="448"/>
      <c r="AV321" s="448"/>
      <c r="AW321" s="448"/>
      <c r="AX321" s="448"/>
    </row>
    <row r="322" spans="1:50" x14ac:dyDescent="0.4">
      <c r="A322" s="442" t="str">
        <f t="shared" si="59"/>
        <v>61952</v>
      </c>
      <c r="B322" s="442">
        <v>19146</v>
      </c>
      <c r="C322" s="455">
        <v>4.9000000000000002E-2</v>
      </c>
      <c r="D322" s="438">
        <v>4.8999999999999998E-3</v>
      </c>
      <c r="E322" s="438">
        <v>2.2000000000000001E-3</v>
      </c>
      <c r="F322" s="438">
        <v>2.4499999999999999E-3</v>
      </c>
      <c r="G322" s="438">
        <v>2.5249999999999999E-3</v>
      </c>
      <c r="H322" s="438">
        <v>2.4875000000000001E-3</v>
      </c>
      <c r="I322" s="438">
        <v>2.6833333333333336E-3</v>
      </c>
      <c r="J322" s="438">
        <f t="shared" si="48"/>
        <v>4.6800000000000001E-2</v>
      </c>
      <c r="K322" s="438">
        <f t="shared" si="52"/>
        <v>4.6512499999999998E-2</v>
      </c>
      <c r="L322" s="438">
        <f t="shared" si="53"/>
        <v>2.2166666666666663E-3</v>
      </c>
      <c r="M322" s="446">
        <f t="shared" si="49"/>
        <v>0.26661142350517952</v>
      </c>
      <c r="N322" s="446">
        <f t="shared" si="50"/>
        <v>2.64E-2</v>
      </c>
      <c r="O322" s="446">
        <f t="shared" si="54"/>
        <v>2.9850000000000002E-2</v>
      </c>
      <c r="P322" s="447">
        <f t="shared" si="51"/>
        <v>0.24021142350517952</v>
      </c>
      <c r="Q322" s="446">
        <f t="shared" si="55"/>
        <v>0.23676142350517954</v>
      </c>
      <c r="R322" s="446">
        <f t="shared" si="56"/>
        <v>0.19434182670178579</v>
      </c>
      <c r="S322" s="446">
        <f t="shared" si="57"/>
        <v>3.2200000000000006E-2</v>
      </c>
      <c r="T322" s="447">
        <f t="shared" si="58"/>
        <v>0.16214182670178579</v>
      </c>
      <c r="V322" s="448"/>
      <c r="W322" s="448"/>
      <c r="X322" s="448"/>
      <c r="Y322" s="448"/>
      <c r="Z322" s="448"/>
      <c r="AA322" s="448"/>
      <c r="AB322" s="448"/>
      <c r="AC322" s="448"/>
      <c r="AD322" s="448"/>
      <c r="AF322" s="448"/>
      <c r="AG322" s="448"/>
      <c r="AH322" s="448"/>
      <c r="AI322" s="448"/>
      <c r="AJ322" s="448"/>
      <c r="AK322" s="448"/>
      <c r="AL322" s="448"/>
      <c r="AM322" s="448"/>
      <c r="AN322" s="448"/>
      <c r="AP322" s="448"/>
      <c r="AQ322" s="448"/>
      <c r="AR322" s="448"/>
      <c r="AS322" s="448"/>
      <c r="AT322" s="448"/>
      <c r="AU322" s="448"/>
      <c r="AV322" s="448"/>
      <c r="AW322" s="448"/>
      <c r="AX322" s="448"/>
    </row>
    <row r="323" spans="1:50" x14ac:dyDescent="0.4">
      <c r="A323" s="442" t="str">
        <f t="shared" si="59"/>
        <v>71952</v>
      </c>
      <c r="B323" s="442">
        <v>19176</v>
      </c>
      <c r="C323" s="455">
        <v>1.9599999999999999E-2</v>
      </c>
      <c r="D323" s="438">
        <v>2.06E-2</v>
      </c>
      <c r="E323" s="438">
        <v>2.2000000000000001E-3</v>
      </c>
      <c r="F323" s="438">
        <v>2.4583333333333336E-3</v>
      </c>
      <c r="G323" s="438">
        <v>2.5333333333333336E-3</v>
      </c>
      <c r="H323" s="438">
        <v>2.4958333333333334E-3</v>
      </c>
      <c r="I323" s="438">
        <v>2.6833333333333336E-3</v>
      </c>
      <c r="J323" s="438">
        <f t="shared" si="48"/>
        <v>1.7399999999999999E-2</v>
      </c>
      <c r="K323" s="438">
        <f t="shared" si="52"/>
        <v>1.7104166666666667E-2</v>
      </c>
      <c r="L323" s="438">
        <f t="shared" si="53"/>
        <v>1.7916666666666668E-2</v>
      </c>
      <c r="M323" s="446">
        <f t="shared" si="49"/>
        <v>0.20571095827269215</v>
      </c>
      <c r="N323" s="446">
        <f t="shared" si="50"/>
        <v>2.64E-2</v>
      </c>
      <c r="O323" s="446">
        <f t="shared" si="54"/>
        <v>2.9950000000000001E-2</v>
      </c>
      <c r="P323" s="447">
        <f t="shared" si="51"/>
        <v>0.17931095827269214</v>
      </c>
      <c r="Q323" s="446">
        <f t="shared" si="55"/>
        <v>0.17576095827269214</v>
      </c>
      <c r="R323" s="446">
        <f t="shared" si="56"/>
        <v>0.16768394322429581</v>
      </c>
      <c r="S323" s="446">
        <f t="shared" si="57"/>
        <v>3.2200000000000006E-2</v>
      </c>
      <c r="T323" s="447">
        <f t="shared" si="58"/>
        <v>0.1354839432242958</v>
      </c>
      <c r="V323" s="448"/>
      <c r="W323" s="448"/>
      <c r="X323" s="448"/>
      <c r="Y323" s="448"/>
      <c r="Z323" s="448"/>
      <c r="AA323" s="448"/>
      <c r="AB323" s="448"/>
      <c r="AC323" s="448"/>
      <c r="AD323" s="448"/>
      <c r="AF323" s="448"/>
      <c r="AG323" s="448"/>
      <c r="AH323" s="448"/>
      <c r="AI323" s="448"/>
      <c r="AJ323" s="448"/>
      <c r="AK323" s="448"/>
      <c r="AL323" s="448"/>
      <c r="AM323" s="448"/>
      <c r="AN323" s="448"/>
      <c r="AP323" s="448"/>
      <c r="AQ323" s="448"/>
      <c r="AR323" s="448"/>
      <c r="AS323" s="448"/>
      <c r="AT323" s="448"/>
      <c r="AU323" s="448"/>
      <c r="AV323" s="448"/>
      <c r="AW323" s="448"/>
      <c r="AX323" s="448"/>
    </row>
    <row r="324" spans="1:50" x14ac:dyDescent="0.4">
      <c r="A324" s="442" t="str">
        <f t="shared" si="59"/>
        <v>81952</v>
      </c>
      <c r="B324" s="442">
        <v>19207</v>
      </c>
      <c r="C324" s="455">
        <v>-7.1000000000000004E-3</v>
      </c>
      <c r="D324" s="438">
        <v>2.0300000000000002E-2</v>
      </c>
      <c r="E324" s="438">
        <v>2.0999999999999999E-3</v>
      </c>
      <c r="F324" s="438">
        <v>2.4499999999999999E-3</v>
      </c>
      <c r="G324" s="438">
        <v>2.5500000000000002E-3</v>
      </c>
      <c r="H324" s="438">
        <v>2.5000000000000001E-3</v>
      </c>
      <c r="I324" s="438">
        <v>2.7000000000000001E-3</v>
      </c>
      <c r="J324" s="438">
        <f t="shared" si="48"/>
        <v>-9.1999999999999998E-3</v>
      </c>
      <c r="K324" s="438">
        <f t="shared" si="52"/>
        <v>-9.6000000000000009E-3</v>
      </c>
      <c r="L324" s="438">
        <f t="shared" si="53"/>
        <v>1.7600000000000001E-2</v>
      </c>
      <c r="M324" s="446">
        <f t="shared" si="49"/>
        <v>0.14253713539698043</v>
      </c>
      <c r="N324" s="446">
        <f t="shared" si="50"/>
        <v>2.52E-2</v>
      </c>
      <c r="O324" s="446">
        <f t="shared" si="54"/>
        <v>0.03</v>
      </c>
      <c r="P324" s="447">
        <f t="shared" si="51"/>
        <v>0.11733713539698043</v>
      </c>
      <c r="Q324" s="446">
        <f t="shared" si="55"/>
        <v>0.11253713539698043</v>
      </c>
      <c r="R324" s="446">
        <f t="shared" si="56"/>
        <v>0.17354996776177001</v>
      </c>
      <c r="S324" s="446">
        <f t="shared" si="57"/>
        <v>3.2399999999999998E-2</v>
      </c>
      <c r="T324" s="447">
        <f t="shared" si="58"/>
        <v>0.14114996776177002</v>
      </c>
      <c r="V324" s="448"/>
      <c r="W324" s="448"/>
      <c r="X324" s="448"/>
      <c r="Y324" s="448"/>
      <c r="Z324" s="448"/>
      <c r="AA324" s="448"/>
      <c r="AB324" s="448"/>
      <c r="AC324" s="448"/>
      <c r="AD324" s="448"/>
      <c r="AF324" s="448"/>
      <c r="AG324" s="448"/>
      <c r="AH324" s="448"/>
      <c r="AI324" s="448"/>
      <c r="AJ324" s="448"/>
      <c r="AK324" s="448"/>
      <c r="AL324" s="448"/>
      <c r="AM324" s="448"/>
      <c r="AN324" s="448"/>
      <c r="AP324" s="448"/>
      <c r="AQ324" s="448"/>
      <c r="AR324" s="448"/>
      <c r="AS324" s="448"/>
      <c r="AT324" s="448"/>
      <c r="AU324" s="448"/>
      <c r="AV324" s="448"/>
      <c r="AW324" s="448"/>
      <c r="AX324" s="448"/>
    </row>
    <row r="325" spans="1:50" x14ac:dyDescent="0.4">
      <c r="A325" s="442" t="str">
        <f t="shared" si="59"/>
        <v>91952</v>
      </c>
      <c r="B325" s="442">
        <v>19238</v>
      </c>
      <c r="C325" s="455">
        <v>-1.7600000000000001E-2</v>
      </c>
      <c r="D325" s="438">
        <v>1.4999999999999996E-3</v>
      </c>
      <c r="E325" s="438">
        <v>2.3E-3</v>
      </c>
      <c r="F325" s="438">
        <v>2.4583333333333336E-3</v>
      </c>
      <c r="G325" s="438">
        <v>2.558333333333333E-3</v>
      </c>
      <c r="H325" s="438">
        <v>2.5083333333333333E-3</v>
      </c>
      <c r="I325" s="438">
        <v>2.7000000000000001E-3</v>
      </c>
      <c r="J325" s="438">
        <f t="shared" si="48"/>
        <v>-1.9900000000000001E-2</v>
      </c>
      <c r="K325" s="438">
        <f t="shared" si="52"/>
        <v>-2.0108333333333336E-2</v>
      </c>
      <c r="L325" s="438">
        <f t="shared" si="53"/>
        <v>-1.2000000000000005E-3</v>
      </c>
      <c r="M325" s="446">
        <f t="shared" si="49"/>
        <v>0.12097121922899645</v>
      </c>
      <c r="N325" s="446">
        <f t="shared" si="50"/>
        <v>2.76E-2</v>
      </c>
      <c r="O325" s="446">
        <f t="shared" si="54"/>
        <v>3.0100000000000002E-2</v>
      </c>
      <c r="P325" s="447">
        <f t="shared" si="51"/>
        <v>9.3371219228996452E-2</v>
      </c>
      <c r="Q325" s="446">
        <f t="shared" si="55"/>
        <v>9.087121922899645E-2</v>
      </c>
      <c r="R325" s="446">
        <f t="shared" si="56"/>
        <v>0.16528880895638776</v>
      </c>
      <c r="S325" s="446">
        <f t="shared" si="57"/>
        <v>3.2399999999999998E-2</v>
      </c>
      <c r="T325" s="447">
        <f t="shared" si="58"/>
        <v>0.13288880895638777</v>
      </c>
      <c r="V325" s="448"/>
      <c r="W325" s="448"/>
      <c r="X325" s="448"/>
      <c r="Y325" s="448"/>
      <c r="Z325" s="448"/>
      <c r="AA325" s="448"/>
      <c r="AB325" s="448"/>
      <c r="AC325" s="448"/>
      <c r="AD325" s="448"/>
      <c r="AF325" s="448"/>
      <c r="AG325" s="448"/>
      <c r="AH325" s="448"/>
      <c r="AI325" s="448"/>
      <c r="AJ325" s="448"/>
      <c r="AK325" s="448"/>
      <c r="AL325" s="448"/>
      <c r="AM325" s="448"/>
      <c r="AN325" s="448"/>
      <c r="AP325" s="448"/>
      <c r="AQ325" s="448"/>
      <c r="AR325" s="448"/>
      <c r="AS325" s="448"/>
      <c r="AT325" s="448"/>
      <c r="AU325" s="448"/>
      <c r="AV325" s="448"/>
      <c r="AW325" s="448"/>
      <c r="AX325" s="448"/>
    </row>
    <row r="326" spans="1:50" x14ac:dyDescent="0.4">
      <c r="A326" s="442" t="str">
        <f t="shared" si="59"/>
        <v>101952</v>
      </c>
      <c r="B326" s="442">
        <v>19268</v>
      </c>
      <c r="C326" s="455">
        <v>2E-3</v>
      </c>
      <c r="D326" s="438">
        <v>1.01E-2</v>
      </c>
      <c r="E326" s="438">
        <v>2.3E-3</v>
      </c>
      <c r="F326" s="438">
        <v>2.5083333333333329E-3</v>
      </c>
      <c r="G326" s="438">
        <v>2.5666666666666667E-3</v>
      </c>
      <c r="H326" s="438">
        <v>2.5374999999999998E-3</v>
      </c>
      <c r="I326" s="438">
        <v>2.7166666666666667E-3</v>
      </c>
      <c r="J326" s="438">
        <f t="shared" ref="J326:J389" si="60">C326-E326</f>
        <v>-2.9999999999999992E-4</v>
      </c>
      <c r="K326" s="438">
        <f t="shared" si="52"/>
        <v>-5.3749999999999978E-4</v>
      </c>
      <c r="L326" s="438">
        <f t="shared" si="53"/>
        <v>7.3833333333333329E-3</v>
      </c>
      <c r="M326" s="446">
        <f t="shared" si="49"/>
        <v>0.13490265905572785</v>
      </c>
      <c r="N326" s="446">
        <f t="shared" si="50"/>
        <v>2.76E-2</v>
      </c>
      <c r="O326" s="446">
        <f t="shared" si="54"/>
        <v>3.0449999999999998E-2</v>
      </c>
      <c r="P326" s="447">
        <f t="shared" si="51"/>
        <v>0.10730265905572785</v>
      </c>
      <c r="Q326" s="446">
        <f t="shared" si="55"/>
        <v>0.10445265905572784</v>
      </c>
      <c r="R326" s="446">
        <f t="shared" si="56"/>
        <v>0.17365462750707694</v>
      </c>
      <c r="S326" s="446">
        <f t="shared" si="57"/>
        <v>3.2600000000000004E-2</v>
      </c>
      <c r="T326" s="447">
        <f t="shared" si="58"/>
        <v>0.14105462750707692</v>
      </c>
      <c r="V326" s="448"/>
      <c r="W326" s="448"/>
      <c r="X326" s="448"/>
      <c r="Y326" s="448"/>
      <c r="Z326" s="448"/>
      <c r="AA326" s="448"/>
      <c r="AB326" s="448"/>
      <c r="AC326" s="448"/>
      <c r="AD326" s="448"/>
      <c r="AF326" s="448"/>
      <c r="AG326" s="448"/>
      <c r="AH326" s="448"/>
      <c r="AI326" s="448"/>
      <c r="AJ326" s="448"/>
      <c r="AK326" s="448"/>
      <c r="AL326" s="448"/>
      <c r="AM326" s="448"/>
      <c r="AN326" s="448"/>
      <c r="AP326" s="448"/>
      <c r="AQ326" s="448"/>
      <c r="AR326" s="448"/>
      <c r="AS326" s="448"/>
      <c r="AT326" s="448"/>
      <c r="AU326" s="448"/>
      <c r="AV326" s="448"/>
      <c r="AW326" s="448"/>
      <c r="AX326" s="448"/>
    </row>
    <row r="327" spans="1:50" x14ac:dyDescent="0.4">
      <c r="A327" s="442" t="str">
        <f t="shared" si="59"/>
        <v>111952</v>
      </c>
      <c r="B327" s="442">
        <v>19299</v>
      </c>
      <c r="C327" s="455">
        <v>5.7099999999999998E-2</v>
      </c>
      <c r="D327" s="438">
        <v>4.2299999999999997E-2</v>
      </c>
      <c r="E327" s="438">
        <v>2.0999999999999999E-3</v>
      </c>
      <c r="F327" s="438">
        <v>2.4833333333333331E-3</v>
      </c>
      <c r="G327" s="438">
        <v>2.5500000000000002E-3</v>
      </c>
      <c r="H327" s="438">
        <v>2.5166666666666666E-3</v>
      </c>
      <c r="I327" s="438">
        <v>2.7000000000000001E-3</v>
      </c>
      <c r="J327" s="438">
        <f t="shared" si="60"/>
        <v>5.5E-2</v>
      </c>
      <c r="K327" s="438">
        <f t="shared" si="52"/>
        <v>5.4583333333333331E-2</v>
      </c>
      <c r="L327" s="438">
        <f t="shared" si="53"/>
        <v>3.9599999999999996E-2</v>
      </c>
      <c r="M327" s="446">
        <f t="shared" si="49"/>
        <v>0.18829794065749828</v>
      </c>
      <c r="N327" s="446">
        <f t="shared" si="50"/>
        <v>2.52E-2</v>
      </c>
      <c r="O327" s="446">
        <f t="shared" si="54"/>
        <v>3.0199999999999998E-2</v>
      </c>
      <c r="P327" s="447">
        <f t="shared" si="51"/>
        <v>0.16309794065749827</v>
      </c>
      <c r="Q327" s="446">
        <f t="shared" si="55"/>
        <v>0.15809794065749827</v>
      </c>
      <c r="R327" s="446">
        <f t="shared" si="56"/>
        <v>0.20879468206583618</v>
      </c>
      <c r="S327" s="446">
        <f t="shared" si="57"/>
        <v>3.2399999999999998E-2</v>
      </c>
      <c r="T327" s="447">
        <f t="shared" si="58"/>
        <v>0.17639468206583619</v>
      </c>
      <c r="V327" s="448"/>
      <c r="W327" s="448"/>
      <c r="X327" s="448"/>
      <c r="Y327" s="448"/>
      <c r="Z327" s="448"/>
      <c r="AA327" s="448"/>
      <c r="AB327" s="448"/>
      <c r="AC327" s="448"/>
      <c r="AD327" s="448"/>
      <c r="AF327" s="448"/>
      <c r="AG327" s="448"/>
      <c r="AH327" s="448"/>
      <c r="AI327" s="448"/>
      <c r="AJ327" s="448"/>
      <c r="AK327" s="448"/>
      <c r="AL327" s="448"/>
      <c r="AM327" s="448"/>
      <c r="AN327" s="448"/>
      <c r="AP327" s="448"/>
      <c r="AQ327" s="448"/>
      <c r="AR327" s="448"/>
      <c r="AS327" s="448"/>
      <c r="AT327" s="448"/>
      <c r="AU327" s="448"/>
      <c r="AV327" s="448"/>
      <c r="AW327" s="448"/>
      <c r="AX327" s="448"/>
    </row>
    <row r="328" spans="1:50" x14ac:dyDescent="0.4">
      <c r="A328" s="442" t="str">
        <f t="shared" si="59"/>
        <v>121952</v>
      </c>
      <c r="B328" s="442">
        <v>19329</v>
      </c>
      <c r="C328" s="455">
        <v>3.8199999999999998E-2</v>
      </c>
      <c r="D328" s="438">
        <v>2.1299999999999999E-2</v>
      </c>
      <c r="E328" s="438">
        <v>2.3999999999999998E-3</v>
      </c>
      <c r="F328" s="438">
        <v>2.4750000000000002E-3</v>
      </c>
      <c r="G328" s="438">
        <v>2.5416666666666665E-3</v>
      </c>
      <c r="H328" s="438">
        <v>2.5083333333333333E-3</v>
      </c>
      <c r="I328" s="438">
        <v>2.6833333333333336E-3</v>
      </c>
      <c r="J328" s="438">
        <f t="shared" si="60"/>
        <v>3.5799999999999998E-2</v>
      </c>
      <c r="K328" s="438">
        <f t="shared" si="52"/>
        <v>3.5691666666666663E-2</v>
      </c>
      <c r="L328" s="438">
        <f t="shared" si="53"/>
        <v>1.8616666666666667E-2</v>
      </c>
      <c r="M328" s="446">
        <f t="shared" si="49"/>
        <v>0.18351009400481066</v>
      </c>
      <c r="N328" s="446">
        <f t="shared" si="50"/>
        <v>2.8799999999999999E-2</v>
      </c>
      <c r="O328" s="446">
        <f t="shared" si="54"/>
        <v>3.0100000000000002E-2</v>
      </c>
      <c r="P328" s="447">
        <f t="shared" si="51"/>
        <v>0.15471009400481067</v>
      </c>
      <c r="Q328" s="446">
        <f t="shared" si="55"/>
        <v>0.15341009400481065</v>
      </c>
      <c r="R328" s="446">
        <f t="shared" si="56"/>
        <v>0.19256376429080269</v>
      </c>
      <c r="S328" s="446">
        <f t="shared" si="57"/>
        <v>3.2200000000000006E-2</v>
      </c>
      <c r="T328" s="447">
        <f t="shared" si="58"/>
        <v>0.16036376429080268</v>
      </c>
      <c r="V328" s="448"/>
      <c r="W328" s="448"/>
      <c r="X328" s="448"/>
      <c r="Y328" s="448"/>
      <c r="Z328" s="448"/>
      <c r="AA328" s="448"/>
      <c r="AB328" s="448"/>
      <c r="AC328" s="448"/>
      <c r="AD328" s="448"/>
      <c r="AF328" s="448"/>
      <c r="AG328" s="448"/>
      <c r="AH328" s="448"/>
      <c r="AI328" s="448"/>
      <c r="AJ328" s="448"/>
      <c r="AK328" s="448"/>
      <c r="AL328" s="448"/>
      <c r="AM328" s="448"/>
      <c r="AN328" s="448"/>
      <c r="AP328" s="448"/>
      <c r="AQ328" s="448"/>
      <c r="AR328" s="448"/>
      <c r="AS328" s="448"/>
      <c r="AT328" s="448"/>
      <c r="AU328" s="448"/>
      <c r="AV328" s="448"/>
      <c r="AW328" s="448"/>
      <c r="AX328" s="448"/>
    </row>
    <row r="329" spans="1:50" x14ac:dyDescent="0.4">
      <c r="A329" s="442" t="str">
        <f t="shared" si="59"/>
        <v>11953</v>
      </c>
      <c r="B329" s="442">
        <v>19360</v>
      </c>
      <c r="C329" s="455">
        <v>-4.8999999999999998E-3</v>
      </c>
      <c r="D329" s="438">
        <v>1.03E-2</v>
      </c>
      <c r="E329" s="438">
        <v>2.3E-3</v>
      </c>
      <c r="F329" s="438">
        <v>2.5166666666666666E-3</v>
      </c>
      <c r="G329" s="438">
        <v>2.575E-3</v>
      </c>
      <c r="H329" s="438">
        <v>2.5458333333333331E-3</v>
      </c>
      <c r="I329" s="438">
        <v>2.708333333333333E-3</v>
      </c>
      <c r="J329" s="438">
        <f t="shared" si="60"/>
        <v>-7.1999999999999998E-3</v>
      </c>
      <c r="K329" s="438">
        <f t="shared" si="52"/>
        <v>-7.4458333333333329E-3</v>
      </c>
      <c r="L329" s="438">
        <f t="shared" si="53"/>
        <v>7.5916666666666667E-3</v>
      </c>
      <c r="M329" s="446">
        <f t="shared" si="49"/>
        <v>0.15677329785304694</v>
      </c>
      <c r="N329" s="446">
        <f t="shared" si="50"/>
        <v>2.76E-2</v>
      </c>
      <c r="O329" s="446">
        <f t="shared" si="54"/>
        <v>3.0549999999999997E-2</v>
      </c>
      <c r="P329" s="447">
        <f t="shared" si="51"/>
        <v>0.12917329785304693</v>
      </c>
      <c r="Q329" s="446">
        <f t="shared" si="55"/>
        <v>0.12622329785304695</v>
      </c>
      <c r="R329" s="446">
        <f t="shared" si="56"/>
        <v>0.16918696852304516</v>
      </c>
      <c r="S329" s="446">
        <f t="shared" si="57"/>
        <v>3.2499999999999994E-2</v>
      </c>
      <c r="T329" s="447">
        <f t="shared" si="58"/>
        <v>0.13668696852304515</v>
      </c>
      <c r="V329" s="448"/>
      <c r="W329" s="448"/>
      <c r="X329" s="448"/>
      <c r="Y329" s="448"/>
      <c r="Z329" s="448"/>
      <c r="AA329" s="448"/>
      <c r="AB329" s="448"/>
      <c r="AC329" s="448"/>
      <c r="AD329" s="448"/>
      <c r="AF329" s="448"/>
      <c r="AG329" s="448"/>
      <c r="AH329" s="448"/>
      <c r="AI329" s="448"/>
      <c r="AJ329" s="448"/>
      <c r="AK329" s="448"/>
      <c r="AL329" s="448"/>
      <c r="AM329" s="448"/>
      <c r="AN329" s="448"/>
      <c r="AP329" s="448"/>
      <c r="AQ329" s="448"/>
      <c r="AR329" s="448"/>
      <c r="AS329" s="448"/>
      <c r="AT329" s="448"/>
      <c r="AU329" s="448"/>
      <c r="AV329" s="448"/>
      <c r="AW329" s="448"/>
      <c r="AX329" s="448"/>
    </row>
    <row r="330" spans="1:50" x14ac:dyDescent="0.4">
      <c r="A330" s="442" t="str">
        <f t="shared" si="59"/>
        <v>21953</v>
      </c>
      <c r="B330" s="442">
        <v>19391</v>
      </c>
      <c r="C330" s="455">
        <v>-1.06E-2</v>
      </c>
      <c r="D330" s="438">
        <v>-6.7000000000000002E-3</v>
      </c>
      <c r="E330" s="438">
        <v>2.0999999999999999E-3</v>
      </c>
      <c r="F330" s="438">
        <v>2.558333333333333E-3</v>
      </c>
      <c r="G330" s="438">
        <v>2.6166666666666664E-3</v>
      </c>
      <c r="H330" s="438">
        <v>2.5875E-3</v>
      </c>
      <c r="I330" s="438">
        <v>2.7500000000000003E-3</v>
      </c>
      <c r="J330" s="438">
        <f t="shared" si="60"/>
        <v>-1.2699999999999999E-2</v>
      </c>
      <c r="K330" s="438">
        <f t="shared" si="52"/>
        <v>-1.31875E-2</v>
      </c>
      <c r="L330" s="438">
        <f t="shared" si="53"/>
        <v>-9.4500000000000001E-3</v>
      </c>
      <c r="M330" s="446">
        <f t="shared" si="49"/>
        <v>0.17772329789648489</v>
      </c>
      <c r="N330" s="446">
        <f t="shared" si="50"/>
        <v>2.52E-2</v>
      </c>
      <c r="O330" s="446">
        <f t="shared" si="54"/>
        <v>3.1050000000000001E-2</v>
      </c>
      <c r="P330" s="447">
        <f t="shared" si="51"/>
        <v>0.15252329789648489</v>
      </c>
      <c r="Q330" s="446">
        <f t="shared" si="55"/>
        <v>0.14667329789648489</v>
      </c>
      <c r="R330" s="446">
        <f t="shared" si="56"/>
        <v>0.15454162027432217</v>
      </c>
      <c r="S330" s="446">
        <f t="shared" si="57"/>
        <v>3.3000000000000002E-2</v>
      </c>
      <c r="T330" s="447">
        <f t="shared" si="58"/>
        <v>0.12154162027432217</v>
      </c>
      <c r="V330" s="448"/>
      <c r="W330" s="448"/>
      <c r="X330" s="448"/>
      <c r="Y330" s="448"/>
      <c r="Z330" s="448"/>
      <c r="AA330" s="448"/>
      <c r="AB330" s="448"/>
      <c r="AC330" s="448"/>
      <c r="AD330" s="448"/>
      <c r="AF330" s="448"/>
      <c r="AG330" s="448"/>
      <c r="AH330" s="448"/>
      <c r="AI330" s="448"/>
      <c r="AJ330" s="448"/>
      <c r="AK330" s="448"/>
      <c r="AL330" s="448"/>
      <c r="AM330" s="448"/>
      <c r="AN330" s="448"/>
      <c r="AP330" s="448"/>
      <c r="AQ330" s="448"/>
      <c r="AR330" s="448"/>
      <c r="AS330" s="448"/>
      <c r="AT330" s="448"/>
      <c r="AU330" s="448"/>
      <c r="AV330" s="448"/>
      <c r="AW330" s="448"/>
      <c r="AX330" s="448"/>
    </row>
    <row r="331" spans="1:50" x14ac:dyDescent="0.4">
      <c r="A331" s="442" t="str">
        <f t="shared" si="59"/>
        <v>31953</v>
      </c>
      <c r="B331" s="442">
        <v>19419</v>
      </c>
      <c r="C331" s="455">
        <v>-2.12E-2</v>
      </c>
      <c r="D331" s="438">
        <v>-4.3E-3</v>
      </c>
      <c r="E331" s="438">
        <v>2.5000000000000001E-3</v>
      </c>
      <c r="F331" s="438">
        <v>2.5999999999999999E-3</v>
      </c>
      <c r="G331" s="438">
        <v>2.65E-3</v>
      </c>
      <c r="H331" s="438">
        <v>2.6250000000000002E-3</v>
      </c>
      <c r="I331" s="438">
        <v>2.7999999999999995E-3</v>
      </c>
      <c r="J331" s="438">
        <f t="shared" si="60"/>
        <v>-2.3699999999999999E-2</v>
      </c>
      <c r="K331" s="438">
        <f t="shared" si="52"/>
        <v>-2.3824999999999999E-2</v>
      </c>
      <c r="L331" s="438">
        <f t="shared" si="53"/>
        <v>-7.0999999999999995E-3</v>
      </c>
      <c r="M331" s="446">
        <f t="shared" si="49"/>
        <v>9.7548856499171777E-2</v>
      </c>
      <c r="N331" s="446">
        <f t="shared" si="50"/>
        <v>0.03</v>
      </c>
      <c r="O331" s="446">
        <f t="shared" si="54"/>
        <v>3.15E-2</v>
      </c>
      <c r="P331" s="447">
        <f t="shared" si="51"/>
        <v>6.7548856499171778E-2</v>
      </c>
      <c r="Q331" s="446">
        <f t="shared" si="55"/>
        <v>6.6048856499171776E-2</v>
      </c>
      <c r="R331" s="446">
        <f t="shared" si="56"/>
        <v>0.12969446865874845</v>
      </c>
      <c r="S331" s="446">
        <f t="shared" si="57"/>
        <v>3.3599999999999991E-2</v>
      </c>
      <c r="T331" s="447">
        <f t="shared" si="58"/>
        <v>9.6094468658748461E-2</v>
      </c>
      <c r="V331" s="448"/>
      <c r="W331" s="448"/>
      <c r="X331" s="448"/>
      <c r="Y331" s="448"/>
      <c r="Z331" s="448"/>
      <c r="AA331" s="448"/>
      <c r="AB331" s="448"/>
      <c r="AC331" s="448"/>
      <c r="AD331" s="448"/>
      <c r="AF331" s="448"/>
      <c r="AG331" s="448"/>
      <c r="AH331" s="448"/>
      <c r="AI331" s="448"/>
      <c r="AJ331" s="448"/>
      <c r="AK331" s="448"/>
      <c r="AL331" s="448"/>
      <c r="AM331" s="448"/>
      <c r="AN331" s="448"/>
      <c r="AP331" s="448"/>
      <c r="AQ331" s="448"/>
      <c r="AR331" s="448"/>
      <c r="AS331" s="448"/>
      <c r="AT331" s="448"/>
      <c r="AU331" s="448"/>
      <c r="AV331" s="448"/>
      <c r="AW331" s="448"/>
      <c r="AX331" s="448"/>
    </row>
    <row r="332" spans="1:50" x14ac:dyDescent="0.4">
      <c r="A332" s="442" t="str">
        <f t="shared" si="59"/>
        <v>41953</v>
      </c>
      <c r="B332" s="442">
        <v>19450</v>
      </c>
      <c r="C332" s="455">
        <v>-2.3699999999999999E-2</v>
      </c>
      <c r="D332" s="438">
        <v>-1.9200000000000002E-2</v>
      </c>
      <c r="E332" s="438">
        <v>2.3999999999999998E-3</v>
      </c>
      <c r="F332" s="438">
        <v>2.6916666666666669E-3</v>
      </c>
      <c r="G332" s="438">
        <v>2.7416666666666666E-3</v>
      </c>
      <c r="H332" s="438">
        <v>2.7166666666666667E-3</v>
      </c>
      <c r="I332" s="438">
        <v>2.891666666666667E-3</v>
      </c>
      <c r="J332" s="438">
        <f t="shared" si="60"/>
        <v>-2.6099999999999998E-2</v>
      </c>
      <c r="K332" s="438">
        <f t="shared" si="52"/>
        <v>-2.6416666666666665E-2</v>
      </c>
      <c r="L332" s="438">
        <f t="shared" si="53"/>
        <v>-2.2091666666666669E-2</v>
      </c>
      <c r="M332" s="446">
        <f t="shared" si="49"/>
        <v>0.11641690831437868</v>
      </c>
      <c r="N332" s="446">
        <f t="shared" si="50"/>
        <v>2.8799999999999999E-2</v>
      </c>
      <c r="O332" s="446">
        <f t="shared" si="54"/>
        <v>3.2600000000000004E-2</v>
      </c>
      <c r="P332" s="447">
        <f t="shared" si="51"/>
        <v>8.7616908314378683E-2</v>
      </c>
      <c r="Q332" s="446">
        <f t="shared" si="55"/>
        <v>8.3816908314378671E-2</v>
      </c>
      <c r="R332" s="446">
        <f t="shared" si="56"/>
        <v>0.12533448594403906</v>
      </c>
      <c r="S332" s="446">
        <f t="shared" si="57"/>
        <v>3.4700000000000002E-2</v>
      </c>
      <c r="T332" s="447">
        <f t="shared" si="58"/>
        <v>9.0634485944039056E-2</v>
      </c>
      <c r="V332" s="448"/>
      <c r="W332" s="448"/>
      <c r="X332" s="448"/>
      <c r="Y332" s="448"/>
      <c r="Z332" s="448"/>
      <c r="AA332" s="448"/>
      <c r="AB332" s="448"/>
      <c r="AC332" s="448"/>
      <c r="AD332" s="448"/>
      <c r="AF332" s="448"/>
      <c r="AG332" s="448"/>
      <c r="AH332" s="448"/>
      <c r="AI332" s="448"/>
      <c r="AJ332" s="448"/>
      <c r="AK332" s="448"/>
      <c r="AL332" s="448"/>
      <c r="AM332" s="448"/>
      <c r="AN332" s="448"/>
      <c r="AP332" s="448"/>
      <c r="AQ332" s="448"/>
      <c r="AR332" s="448"/>
      <c r="AS332" s="448"/>
      <c r="AT332" s="448"/>
      <c r="AU332" s="448"/>
      <c r="AV332" s="448"/>
      <c r="AW332" s="448"/>
      <c r="AX332" s="448"/>
    </row>
    <row r="333" spans="1:50" x14ac:dyDescent="0.4">
      <c r="A333" s="442" t="str">
        <f t="shared" si="59"/>
        <v>51953</v>
      </c>
      <c r="B333" s="442">
        <v>19480</v>
      </c>
      <c r="C333" s="455">
        <v>7.7000000000000002E-3</v>
      </c>
      <c r="D333" s="438">
        <v>2.3999999999999998E-3</v>
      </c>
      <c r="E333" s="438">
        <v>2.3999999999999998E-3</v>
      </c>
      <c r="F333" s="438">
        <v>2.7833333333333334E-3</v>
      </c>
      <c r="G333" s="438">
        <v>2.8416666666666668E-3</v>
      </c>
      <c r="H333" s="438">
        <v>2.8124999999999999E-3</v>
      </c>
      <c r="I333" s="438">
        <v>3.0249999999999999E-3</v>
      </c>
      <c r="J333" s="438">
        <f t="shared" si="60"/>
        <v>5.3000000000000009E-3</v>
      </c>
      <c r="K333" s="438">
        <f t="shared" si="52"/>
        <v>4.8875000000000004E-3</v>
      </c>
      <c r="L333" s="438">
        <f t="shared" si="53"/>
        <v>-6.2500000000000012E-4</v>
      </c>
      <c r="M333" s="446">
        <f t="shared" si="49"/>
        <v>8.7705035781107998E-2</v>
      </c>
      <c r="N333" s="446">
        <f t="shared" si="50"/>
        <v>2.8799999999999999E-2</v>
      </c>
      <c r="O333" s="446">
        <f t="shared" si="54"/>
        <v>3.3750000000000002E-2</v>
      </c>
      <c r="P333" s="447">
        <f t="shared" si="51"/>
        <v>5.8905035781107999E-2</v>
      </c>
      <c r="Q333" s="446">
        <f t="shared" si="55"/>
        <v>5.3955035781107996E-2</v>
      </c>
      <c r="R333" s="446">
        <f t="shared" si="56"/>
        <v>0.10700224603562769</v>
      </c>
      <c r="S333" s="446">
        <f t="shared" si="57"/>
        <v>3.6299999999999999E-2</v>
      </c>
      <c r="T333" s="447">
        <f t="shared" si="58"/>
        <v>7.0702246035627692E-2</v>
      </c>
      <c r="V333" s="448"/>
      <c r="W333" s="448"/>
      <c r="X333" s="448"/>
      <c r="Y333" s="448"/>
      <c r="Z333" s="448"/>
      <c r="AA333" s="448"/>
      <c r="AB333" s="448"/>
      <c r="AC333" s="448"/>
      <c r="AD333" s="448"/>
      <c r="AF333" s="448"/>
      <c r="AG333" s="448"/>
      <c r="AH333" s="448"/>
      <c r="AI333" s="448"/>
      <c r="AJ333" s="448"/>
      <c r="AK333" s="448"/>
      <c r="AL333" s="448"/>
      <c r="AM333" s="448"/>
      <c r="AN333" s="448"/>
      <c r="AP333" s="448"/>
      <c r="AQ333" s="448"/>
      <c r="AR333" s="448"/>
      <c r="AS333" s="448"/>
      <c r="AT333" s="448"/>
      <c r="AU333" s="448"/>
      <c r="AV333" s="448"/>
      <c r="AW333" s="448"/>
      <c r="AX333" s="448"/>
    </row>
    <row r="334" spans="1:50" x14ac:dyDescent="0.4">
      <c r="A334" s="442" t="str">
        <f t="shared" si="59"/>
        <v>61953</v>
      </c>
      <c r="B334" s="442">
        <v>19511</v>
      </c>
      <c r="C334" s="455">
        <v>-1.34E-2</v>
      </c>
      <c r="D334" s="438">
        <v>-2.7300000000000001E-2</v>
      </c>
      <c r="E334" s="438">
        <v>2.7000000000000001E-3</v>
      </c>
      <c r="F334" s="438">
        <v>2.8333333333333331E-3</v>
      </c>
      <c r="G334" s="438">
        <v>2.9166666666666668E-3</v>
      </c>
      <c r="H334" s="438">
        <v>2.875E-3</v>
      </c>
      <c r="I334" s="438">
        <v>3.0916666666666666E-3</v>
      </c>
      <c r="J334" s="438">
        <f t="shared" si="60"/>
        <v>-1.61E-2</v>
      </c>
      <c r="K334" s="438">
        <f t="shared" si="52"/>
        <v>-1.6275000000000001E-2</v>
      </c>
      <c r="L334" s="438">
        <f t="shared" si="53"/>
        <v>-3.0391666666666668E-2</v>
      </c>
      <c r="M334" s="446">
        <f t="shared" si="49"/>
        <v>2.3002658056855418E-2</v>
      </c>
      <c r="N334" s="446">
        <f t="shared" si="50"/>
        <v>3.2399999999999998E-2</v>
      </c>
      <c r="O334" s="446">
        <f t="shared" si="54"/>
        <v>3.4500000000000003E-2</v>
      </c>
      <c r="P334" s="447">
        <f t="shared" si="51"/>
        <v>-9.3973419431445798E-3</v>
      </c>
      <c r="Q334" s="446">
        <f t="shared" si="55"/>
        <v>-1.1497341943144584E-2</v>
      </c>
      <c r="R334" s="446">
        <f t="shared" si="56"/>
        <v>7.1530584853074952E-2</v>
      </c>
      <c r="S334" s="446">
        <f t="shared" si="57"/>
        <v>3.7100000000000001E-2</v>
      </c>
      <c r="T334" s="447">
        <f t="shared" si="58"/>
        <v>3.4430584853074951E-2</v>
      </c>
      <c r="V334" s="448"/>
      <c r="W334" s="448"/>
      <c r="X334" s="448"/>
      <c r="Y334" s="448"/>
      <c r="Z334" s="448"/>
      <c r="AA334" s="448"/>
      <c r="AB334" s="448"/>
      <c r="AC334" s="448"/>
      <c r="AD334" s="448"/>
      <c r="AF334" s="448"/>
      <c r="AG334" s="448"/>
      <c r="AH334" s="448"/>
      <c r="AI334" s="448"/>
      <c r="AJ334" s="448"/>
      <c r="AK334" s="448"/>
      <c r="AL334" s="448"/>
      <c r="AM334" s="448"/>
      <c r="AN334" s="448"/>
      <c r="AP334" s="448"/>
      <c r="AQ334" s="448"/>
      <c r="AR334" s="448"/>
      <c r="AS334" s="448"/>
      <c r="AT334" s="448"/>
      <c r="AU334" s="448"/>
      <c r="AV334" s="448"/>
      <c r="AW334" s="448"/>
      <c r="AX334" s="448"/>
    </row>
    <row r="335" spans="1:50" x14ac:dyDescent="0.4">
      <c r="A335" s="442" t="str">
        <f t="shared" si="59"/>
        <v>71953</v>
      </c>
      <c r="B335" s="442">
        <v>19541</v>
      </c>
      <c r="C335" s="455">
        <v>2.7300000000000001E-2</v>
      </c>
      <c r="D335" s="438">
        <v>3.4500000000000003E-2</v>
      </c>
      <c r="E335" s="438">
        <v>2.5000000000000001E-3</v>
      </c>
      <c r="F335" s="438">
        <v>2.7333333333333333E-3</v>
      </c>
      <c r="G335" s="438">
        <v>2.8499999999999997E-3</v>
      </c>
      <c r="H335" s="438">
        <v>2.7916666666666667E-3</v>
      </c>
      <c r="I335" s="438">
        <v>3.0499999999999998E-3</v>
      </c>
      <c r="J335" s="438">
        <f t="shared" si="60"/>
        <v>2.4800000000000003E-2</v>
      </c>
      <c r="K335" s="438">
        <f t="shared" si="52"/>
        <v>2.4508333333333333E-2</v>
      </c>
      <c r="L335" s="438">
        <f t="shared" si="53"/>
        <v>3.1450000000000006E-2</v>
      </c>
      <c r="M335" s="446">
        <f t="shared" si="49"/>
        <v>3.0728354866425223E-2</v>
      </c>
      <c r="N335" s="446">
        <f t="shared" si="50"/>
        <v>0.03</v>
      </c>
      <c r="O335" s="446">
        <f t="shared" si="54"/>
        <v>3.3500000000000002E-2</v>
      </c>
      <c r="P335" s="447">
        <f t="shared" si="51"/>
        <v>7.2835486642522373E-4</v>
      </c>
      <c r="Q335" s="446">
        <f t="shared" si="55"/>
        <v>-2.7716451335747794E-3</v>
      </c>
      <c r="R335" s="446">
        <f t="shared" si="56"/>
        <v>8.6124230874491614E-2</v>
      </c>
      <c r="S335" s="446">
        <f t="shared" si="57"/>
        <v>3.6599999999999994E-2</v>
      </c>
      <c r="T335" s="447">
        <f t="shared" si="58"/>
        <v>4.952423087449162E-2</v>
      </c>
      <c r="V335" s="448"/>
      <c r="W335" s="448"/>
      <c r="X335" s="448"/>
      <c r="Y335" s="448"/>
      <c r="Z335" s="448"/>
      <c r="AA335" s="448"/>
      <c r="AB335" s="448"/>
      <c r="AC335" s="448"/>
      <c r="AD335" s="448"/>
      <c r="AF335" s="448"/>
      <c r="AG335" s="448"/>
      <c r="AH335" s="448"/>
      <c r="AI335" s="448"/>
      <c r="AJ335" s="448"/>
      <c r="AK335" s="448"/>
      <c r="AL335" s="448"/>
      <c r="AM335" s="448"/>
      <c r="AN335" s="448"/>
      <c r="AP335" s="448"/>
      <c r="AQ335" s="448"/>
      <c r="AR335" s="448"/>
      <c r="AS335" s="448"/>
      <c r="AT335" s="448"/>
      <c r="AU335" s="448"/>
      <c r="AV335" s="448"/>
      <c r="AW335" s="448"/>
      <c r="AX335" s="448"/>
    </row>
    <row r="336" spans="1:50" x14ac:dyDescent="0.4">
      <c r="A336" s="442" t="str">
        <f t="shared" si="59"/>
        <v>81953</v>
      </c>
      <c r="B336" s="442">
        <v>19572</v>
      </c>
      <c r="C336" s="455">
        <v>-5.0099999999999999E-2</v>
      </c>
      <c r="D336" s="438">
        <v>1.5999999999999999E-3</v>
      </c>
      <c r="E336" s="438">
        <v>2.5000000000000001E-3</v>
      </c>
      <c r="F336" s="438">
        <v>2.7000000000000001E-3</v>
      </c>
      <c r="G336" s="438">
        <v>2.8250000000000003E-3</v>
      </c>
      <c r="H336" s="438">
        <v>2.7624999999999998E-3</v>
      </c>
      <c r="I336" s="438">
        <v>3.0083333333333333E-3</v>
      </c>
      <c r="J336" s="438">
        <f t="shared" si="60"/>
        <v>-5.2600000000000001E-2</v>
      </c>
      <c r="K336" s="438">
        <f t="shared" si="52"/>
        <v>-5.28625E-2</v>
      </c>
      <c r="L336" s="438">
        <f t="shared" si="53"/>
        <v>-1.4083333333333335E-3</v>
      </c>
      <c r="M336" s="446">
        <f t="shared" ref="M336:M399" si="61">((1+C325)*(1+C326)*(1+C327)*(1+C328)*(1+C329)*(1+C330)*(1+C331)*(1+C332)*(1+C333)*(1+C334)*(1+C335)*(1+C336))-1</f>
        <v>-1.3909895973796549E-2</v>
      </c>
      <c r="N336" s="446">
        <f t="shared" ref="N336:N399" si="62">E336*12</f>
        <v>0.03</v>
      </c>
      <c r="O336" s="446">
        <f t="shared" si="54"/>
        <v>3.3149999999999999E-2</v>
      </c>
      <c r="P336" s="447">
        <f t="shared" ref="P336:P399" si="63">M336-N336</f>
        <v>-4.3909895973796548E-2</v>
      </c>
      <c r="Q336" s="446">
        <f t="shared" si="55"/>
        <v>-4.7059895973796548E-2</v>
      </c>
      <c r="R336" s="446">
        <f t="shared" si="56"/>
        <v>6.6217808138675283E-2</v>
      </c>
      <c r="S336" s="446">
        <f t="shared" si="57"/>
        <v>3.61E-2</v>
      </c>
      <c r="T336" s="447">
        <f t="shared" si="58"/>
        <v>3.0117808138675282E-2</v>
      </c>
      <c r="V336" s="448"/>
      <c r="W336" s="448"/>
      <c r="X336" s="448"/>
      <c r="Y336" s="448"/>
      <c r="Z336" s="448"/>
      <c r="AA336" s="448"/>
      <c r="AB336" s="448"/>
      <c r="AC336" s="448"/>
      <c r="AD336" s="448"/>
      <c r="AF336" s="448"/>
      <c r="AG336" s="448"/>
      <c r="AH336" s="448"/>
      <c r="AI336" s="448"/>
      <c r="AJ336" s="448"/>
      <c r="AK336" s="448"/>
      <c r="AL336" s="448"/>
      <c r="AM336" s="448"/>
      <c r="AN336" s="448"/>
      <c r="AP336" s="448"/>
      <c r="AQ336" s="448"/>
      <c r="AR336" s="448"/>
      <c r="AS336" s="448"/>
      <c r="AT336" s="448"/>
      <c r="AU336" s="448"/>
      <c r="AV336" s="448"/>
      <c r="AW336" s="448"/>
      <c r="AX336" s="448"/>
    </row>
    <row r="337" spans="1:50" x14ac:dyDescent="0.4">
      <c r="A337" s="442" t="str">
        <f t="shared" si="59"/>
        <v>91953</v>
      </c>
      <c r="B337" s="442">
        <v>19603</v>
      </c>
      <c r="C337" s="455">
        <v>3.3999999999999998E-3</v>
      </c>
      <c r="D337" s="438">
        <v>1.1900000000000001E-2</v>
      </c>
      <c r="E337" s="438">
        <v>2.5000000000000001E-3</v>
      </c>
      <c r="F337" s="438">
        <v>2.7416666666666666E-3</v>
      </c>
      <c r="G337" s="438">
        <v>2.8583333333333334E-3</v>
      </c>
      <c r="H337" s="438">
        <v>2.8000000000000004E-3</v>
      </c>
      <c r="I337" s="438">
        <v>3.0166666666666671E-3</v>
      </c>
      <c r="J337" s="438">
        <f t="shared" si="60"/>
        <v>8.9999999999999976E-4</v>
      </c>
      <c r="K337" s="438">
        <f t="shared" si="52"/>
        <v>5.9999999999999941E-4</v>
      </c>
      <c r="L337" s="438">
        <f t="shared" si="53"/>
        <v>8.8833333333333334E-3</v>
      </c>
      <c r="M337" s="446">
        <f t="shared" si="61"/>
        <v>7.1689845072198111E-3</v>
      </c>
      <c r="N337" s="446">
        <f t="shared" si="62"/>
        <v>0.03</v>
      </c>
      <c r="O337" s="446">
        <f t="shared" si="54"/>
        <v>3.3600000000000005E-2</v>
      </c>
      <c r="P337" s="447">
        <f t="shared" si="63"/>
        <v>-2.2831015492780188E-2</v>
      </c>
      <c r="Q337" s="446">
        <f t="shared" si="55"/>
        <v>-2.6431015492780194E-2</v>
      </c>
      <c r="R337" s="446">
        <f t="shared" si="56"/>
        <v>7.7289865257639256E-2</v>
      </c>
      <c r="S337" s="446">
        <f t="shared" si="57"/>
        <v>3.6200000000000003E-2</v>
      </c>
      <c r="T337" s="447">
        <f t="shared" si="58"/>
        <v>4.1089865257639253E-2</v>
      </c>
      <c r="V337" s="448"/>
      <c r="W337" s="448"/>
      <c r="X337" s="448"/>
      <c r="Y337" s="448"/>
      <c r="Z337" s="448"/>
      <c r="AA337" s="448"/>
      <c r="AB337" s="448"/>
      <c r="AC337" s="448"/>
      <c r="AD337" s="448"/>
      <c r="AF337" s="448"/>
      <c r="AG337" s="448"/>
      <c r="AH337" s="448"/>
      <c r="AI337" s="448"/>
      <c r="AJ337" s="448"/>
      <c r="AK337" s="448"/>
      <c r="AL337" s="448"/>
      <c r="AM337" s="448"/>
      <c r="AN337" s="448"/>
      <c r="AP337" s="448"/>
      <c r="AQ337" s="448"/>
      <c r="AR337" s="448"/>
      <c r="AS337" s="448"/>
      <c r="AT337" s="448"/>
      <c r="AU337" s="448"/>
      <c r="AV337" s="448"/>
      <c r="AW337" s="448"/>
      <c r="AX337" s="448"/>
    </row>
    <row r="338" spans="1:50" x14ac:dyDescent="0.4">
      <c r="A338" s="442" t="str">
        <f t="shared" si="59"/>
        <v>101953</v>
      </c>
      <c r="B338" s="442">
        <v>19633</v>
      </c>
      <c r="C338" s="455">
        <v>5.3999999999999999E-2</v>
      </c>
      <c r="D338" s="438">
        <v>4.1100000000000005E-2</v>
      </c>
      <c r="E338" s="438">
        <v>2.3E-3</v>
      </c>
      <c r="F338" s="438">
        <v>2.6333333333333334E-3</v>
      </c>
      <c r="G338" s="438">
        <v>2.7750000000000001E-3</v>
      </c>
      <c r="H338" s="438">
        <v>2.7041666666666668E-3</v>
      </c>
      <c r="I338" s="438">
        <v>2.9083333333333335E-3</v>
      </c>
      <c r="J338" s="438">
        <f t="shared" si="60"/>
        <v>5.1699999999999996E-2</v>
      </c>
      <c r="K338" s="438">
        <f t="shared" si="52"/>
        <v>5.1295833333333332E-2</v>
      </c>
      <c r="L338" s="438">
        <f t="shared" si="53"/>
        <v>3.8191666666666672E-2</v>
      </c>
      <c r="M338" s="446">
        <f t="shared" si="61"/>
        <v>5.9437235200209271E-2</v>
      </c>
      <c r="N338" s="446">
        <f t="shared" si="62"/>
        <v>2.76E-2</v>
      </c>
      <c r="O338" s="446">
        <f t="shared" si="54"/>
        <v>3.245E-2</v>
      </c>
      <c r="P338" s="447">
        <f t="shared" si="63"/>
        <v>3.1837235200209271E-2</v>
      </c>
      <c r="Q338" s="446">
        <f t="shared" si="55"/>
        <v>2.6987235200209271E-2</v>
      </c>
      <c r="R338" s="446">
        <f t="shared" si="56"/>
        <v>0.11035192428445528</v>
      </c>
      <c r="S338" s="446">
        <f t="shared" si="57"/>
        <v>3.49E-2</v>
      </c>
      <c r="T338" s="447">
        <f t="shared" si="58"/>
        <v>7.5451924284455282E-2</v>
      </c>
      <c r="V338" s="448"/>
      <c r="W338" s="448"/>
      <c r="X338" s="448"/>
      <c r="Y338" s="448"/>
      <c r="Z338" s="448"/>
      <c r="AA338" s="448"/>
      <c r="AB338" s="448"/>
      <c r="AC338" s="448"/>
      <c r="AD338" s="448"/>
      <c r="AF338" s="448"/>
      <c r="AG338" s="448"/>
      <c r="AH338" s="448"/>
      <c r="AI338" s="448"/>
      <c r="AJ338" s="448"/>
      <c r="AK338" s="448"/>
      <c r="AL338" s="448"/>
      <c r="AM338" s="448"/>
      <c r="AN338" s="448"/>
      <c r="AP338" s="448"/>
      <c r="AQ338" s="448"/>
      <c r="AR338" s="448"/>
      <c r="AS338" s="448"/>
      <c r="AT338" s="448"/>
      <c r="AU338" s="448"/>
      <c r="AV338" s="448"/>
      <c r="AW338" s="448"/>
      <c r="AX338" s="448"/>
    </row>
    <row r="339" spans="1:50" x14ac:dyDescent="0.4">
      <c r="A339" s="442" t="str">
        <f t="shared" si="59"/>
        <v>111953</v>
      </c>
      <c r="B339" s="442">
        <v>19664</v>
      </c>
      <c r="C339" s="455">
        <v>2.0400000000000001E-2</v>
      </c>
      <c r="D339" s="438">
        <v>2.7400000000000001E-2</v>
      </c>
      <c r="E339" s="438">
        <v>2.3999999999999998E-3</v>
      </c>
      <c r="F339" s="438">
        <v>2.5916666666666666E-3</v>
      </c>
      <c r="G339" s="438">
        <v>2.725E-3</v>
      </c>
      <c r="H339" s="438">
        <v>2.6583333333333337E-3</v>
      </c>
      <c r="I339" s="438">
        <v>2.8333333333333331E-3</v>
      </c>
      <c r="J339" s="438">
        <f t="shared" si="60"/>
        <v>1.8000000000000002E-2</v>
      </c>
      <c r="K339" s="438">
        <f t="shared" si="52"/>
        <v>1.7741666666666669E-2</v>
      </c>
      <c r="L339" s="438">
        <f t="shared" si="53"/>
        <v>2.4566666666666667E-2</v>
      </c>
      <c r="M339" s="446">
        <f t="shared" si="61"/>
        <v>2.2656091948059176E-2</v>
      </c>
      <c r="N339" s="446">
        <f t="shared" si="62"/>
        <v>2.8799999999999999E-2</v>
      </c>
      <c r="O339" s="446">
        <f t="shared" si="54"/>
        <v>3.1900000000000005E-2</v>
      </c>
      <c r="P339" s="447">
        <f t="shared" si="63"/>
        <v>-6.1439080519408232E-3</v>
      </c>
      <c r="Q339" s="446">
        <f t="shared" si="55"/>
        <v>-9.2439080519408287E-3</v>
      </c>
      <c r="R339" s="446">
        <f t="shared" si="56"/>
        <v>9.4479101036026192E-2</v>
      </c>
      <c r="S339" s="446">
        <f t="shared" si="57"/>
        <v>3.3999999999999996E-2</v>
      </c>
      <c r="T339" s="447">
        <f t="shared" si="58"/>
        <v>6.0479101036026196E-2</v>
      </c>
      <c r="V339" s="448"/>
      <c r="W339" s="448"/>
      <c r="X339" s="448"/>
      <c r="Y339" s="448"/>
      <c r="Z339" s="448"/>
      <c r="AA339" s="448"/>
      <c r="AB339" s="448"/>
      <c r="AC339" s="448"/>
      <c r="AD339" s="448"/>
      <c r="AF339" s="448"/>
      <c r="AG339" s="448"/>
      <c r="AH339" s="448"/>
      <c r="AI339" s="448"/>
      <c r="AJ339" s="448"/>
      <c r="AK339" s="448"/>
      <c r="AL339" s="448"/>
      <c r="AM339" s="448"/>
      <c r="AN339" s="448"/>
      <c r="AP339" s="448"/>
      <c r="AQ339" s="448"/>
      <c r="AR339" s="448"/>
      <c r="AS339" s="448"/>
      <c r="AT339" s="448"/>
      <c r="AU339" s="448"/>
      <c r="AV339" s="448"/>
      <c r="AW339" s="448"/>
      <c r="AX339" s="448"/>
    </row>
    <row r="340" spans="1:50" x14ac:dyDescent="0.4">
      <c r="A340" s="442" t="str">
        <f t="shared" si="59"/>
        <v>121953</v>
      </c>
      <c r="B340" s="442">
        <v>19694</v>
      </c>
      <c r="C340" s="455">
        <v>5.3E-3</v>
      </c>
      <c r="D340" s="438">
        <v>6.4000000000000003E-3</v>
      </c>
      <c r="E340" s="438">
        <v>2.3999999999999998E-3</v>
      </c>
      <c r="F340" s="438">
        <v>2.6083333333333332E-3</v>
      </c>
      <c r="G340" s="438">
        <v>2.7333333333333333E-3</v>
      </c>
      <c r="H340" s="438">
        <v>2.6708333333333332E-3</v>
      </c>
      <c r="I340" s="438">
        <v>2.816666666666667E-3</v>
      </c>
      <c r="J340" s="438">
        <f t="shared" si="60"/>
        <v>2.9000000000000002E-3</v>
      </c>
      <c r="K340" s="438">
        <f t="shared" si="52"/>
        <v>2.6291666666666668E-3</v>
      </c>
      <c r="L340" s="438">
        <f t="shared" si="53"/>
        <v>3.5833333333333333E-3</v>
      </c>
      <c r="M340" s="446">
        <f t="shared" si="61"/>
        <v>-9.7513299601387216E-3</v>
      </c>
      <c r="N340" s="446">
        <f t="shared" si="62"/>
        <v>2.8799999999999999E-2</v>
      </c>
      <c r="O340" s="446">
        <f t="shared" si="54"/>
        <v>3.2049999999999995E-2</v>
      </c>
      <c r="P340" s="447">
        <f t="shared" si="63"/>
        <v>-3.8551329960138721E-2</v>
      </c>
      <c r="Q340" s="446">
        <f t="shared" si="55"/>
        <v>-4.1801329960138717E-2</v>
      </c>
      <c r="R340" s="446">
        <f t="shared" si="56"/>
        <v>7.8511472909679858E-2</v>
      </c>
      <c r="S340" s="446">
        <f t="shared" si="57"/>
        <v>3.3800000000000004E-2</v>
      </c>
      <c r="T340" s="447">
        <f t="shared" si="58"/>
        <v>4.4711472909679854E-2</v>
      </c>
      <c r="V340" s="448"/>
      <c r="W340" s="448"/>
      <c r="X340" s="448"/>
      <c r="Y340" s="448"/>
      <c r="Z340" s="448"/>
      <c r="AA340" s="448"/>
      <c r="AB340" s="448"/>
      <c r="AC340" s="448"/>
      <c r="AD340" s="448"/>
      <c r="AF340" s="448"/>
      <c r="AG340" s="448"/>
      <c r="AH340" s="448"/>
      <c r="AI340" s="448"/>
      <c r="AJ340" s="448"/>
      <c r="AK340" s="448"/>
      <c r="AL340" s="448"/>
      <c r="AM340" s="448"/>
      <c r="AN340" s="448"/>
      <c r="AP340" s="448"/>
      <c r="AQ340" s="448"/>
      <c r="AR340" s="448"/>
      <c r="AS340" s="448"/>
      <c r="AT340" s="448"/>
      <c r="AU340" s="448"/>
      <c r="AV340" s="448"/>
      <c r="AW340" s="448"/>
      <c r="AX340" s="448"/>
    </row>
    <row r="341" spans="1:50" x14ac:dyDescent="0.4">
      <c r="A341" s="442" t="str">
        <f t="shared" si="59"/>
        <v>11954</v>
      </c>
      <c r="B341" s="442">
        <v>19725</v>
      </c>
      <c r="C341" s="455">
        <v>5.3600000000000002E-2</v>
      </c>
      <c r="D341" s="438">
        <v>3.27E-2</v>
      </c>
      <c r="E341" s="438">
        <v>2.3E-3</v>
      </c>
      <c r="F341" s="438">
        <v>2.5500000000000002E-3</v>
      </c>
      <c r="G341" s="438">
        <v>2.6833333333333336E-3</v>
      </c>
      <c r="H341" s="438">
        <v>2.6166666666666673E-3</v>
      </c>
      <c r="I341" s="438">
        <v>2.7666666666666668E-3</v>
      </c>
      <c r="J341" s="438">
        <f t="shared" si="60"/>
        <v>5.1299999999999998E-2</v>
      </c>
      <c r="K341" s="438">
        <f t="shared" si="52"/>
        <v>5.0983333333333332E-2</v>
      </c>
      <c r="L341" s="438">
        <f t="shared" si="53"/>
        <v>2.9933333333333333E-2</v>
      </c>
      <c r="M341" s="446">
        <f t="shared" si="61"/>
        <v>4.8463469755801292E-2</v>
      </c>
      <c r="N341" s="446">
        <f t="shared" si="62"/>
        <v>2.76E-2</v>
      </c>
      <c r="O341" s="446">
        <f t="shared" si="54"/>
        <v>3.1400000000000011E-2</v>
      </c>
      <c r="P341" s="447">
        <f t="shared" si="63"/>
        <v>2.0863469755801292E-2</v>
      </c>
      <c r="Q341" s="446">
        <f t="shared" si="55"/>
        <v>1.706346975580128E-2</v>
      </c>
      <c r="R341" s="446">
        <f t="shared" si="56"/>
        <v>0.1024238325980662</v>
      </c>
      <c r="S341" s="446">
        <f t="shared" si="57"/>
        <v>3.32E-2</v>
      </c>
      <c r="T341" s="447">
        <f t="shared" si="58"/>
        <v>6.9223832598066193E-2</v>
      </c>
      <c r="V341" s="448"/>
      <c r="W341" s="448"/>
      <c r="X341" s="448"/>
      <c r="Y341" s="448"/>
      <c r="Z341" s="448"/>
      <c r="AA341" s="448"/>
      <c r="AB341" s="448"/>
      <c r="AC341" s="448"/>
      <c r="AD341" s="448"/>
      <c r="AF341" s="448"/>
      <c r="AG341" s="448"/>
      <c r="AH341" s="448"/>
      <c r="AI341" s="448"/>
      <c r="AJ341" s="448"/>
      <c r="AK341" s="448"/>
      <c r="AL341" s="448"/>
      <c r="AM341" s="448"/>
      <c r="AN341" s="448"/>
      <c r="AP341" s="448"/>
      <c r="AQ341" s="448"/>
      <c r="AR341" s="448"/>
      <c r="AS341" s="448"/>
      <c r="AT341" s="448"/>
      <c r="AU341" s="448"/>
      <c r="AV341" s="448"/>
      <c r="AW341" s="448"/>
      <c r="AX341" s="448"/>
    </row>
    <row r="342" spans="1:50" x14ac:dyDescent="0.4">
      <c r="A342" s="442" t="str">
        <f t="shared" si="59"/>
        <v>21954</v>
      </c>
      <c r="B342" s="442">
        <v>19756</v>
      </c>
      <c r="C342" s="455">
        <v>1.11E-2</v>
      </c>
      <c r="D342" s="438">
        <v>1.1699999999999999E-2</v>
      </c>
      <c r="E342" s="438">
        <v>2.2000000000000001E-3</v>
      </c>
      <c r="F342" s="438">
        <v>2.4583333333333336E-3</v>
      </c>
      <c r="G342" s="438">
        <v>2.5999999999999999E-3</v>
      </c>
      <c r="H342" s="438">
        <v>2.529166666666667E-3</v>
      </c>
      <c r="I342" s="438">
        <v>2.6916666666666669E-3</v>
      </c>
      <c r="J342" s="438">
        <f t="shared" si="60"/>
        <v>8.8999999999999999E-3</v>
      </c>
      <c r="K342" s="438">
        <f t="shared" si="52"/>
        <v>8.5708333333333331E-3</v>
      </c>
      <c r="L342" s="438">
        <f t="shared" si="53"/>
        <v>9.0083333333333317E-3</v>
      </c>
      <c r="M342" s="446">
        <f t="shared" si="61"/>
        <v>7.1458878380929125E-2</v>
      </c>
      <c r="N342" s="446">
        <f t="shared" si="62"/>
        <v>2.64E-2</v>
      </c>
      <c r="O342" s="446">
        <f t="shared" si="54"/>
        <v>3.0350000000000002E-2</v>
      </c>
      <c r="P342" s="447">
        <f t="shared" si="63"/>
        <v>4.5058878380929125E-2</v>
      </c>
      <c r="Q342" s="446">
        <f t="shared" si="55"/>
        <v>4.1108878380929123E-2</v>
      </c>
      <c r="R342" s="446">
        <f t="shared" si="56"/>
        <v>0.12284525464558915</v>
      </c>
      <c r="S342" s="446">
        <f t="shared" si="57"/>
        <v>3.2300000000000002E-2</v>
      </c>
      <c r="T342" s="447">
        <f t="shared" si="58"/>
        <v>9.0545254645589157E-2</v>
      </c>
      <c r="V342" s="448"/>
      <c r="W342" s="448"/>
      <c r="X342" s="448"/>
      <c r="Y342" s="448"/>
      <c r="Z342" s="448"/>
      <c r="AA342" s="448"/>
      <c r="AB342" s="448"/>
      <c r="AC342" s="448"/>
      <c r="AD342" s="448"/>
      <c r="AF342" s="448"/>
      <c r="AG342" s="448"/>
      <c r="AH342" s="448"/>
      <c r="AI342" s="448"/>
      <c r="AJ342" s="448"/>
      <c r="AK342" s="448"/>
      <c r="AL342" s="448"/>
      <c r="AM342" s="448"/>
      <c r="AN342" s="448"/>
      <c r="AP342" s="448"/>
      <c r="AQ342" s="448"/>
      <c r="AR342" s="448"/>
      <c r="AS342" s="448"/>
      <c r="AT342" s="448"/>
      <c r="AU342" s="448"/>
      <c r="AV342" s="448"/>
      <c r="AW342" s="448"/>
      <c r="AX342" s="448"/>
    </row>
    <row r="343" spans="1:50" x14ac:dyDescent="0.4">
      <c r="A343" s="442" t="str">
        <f t="shared" si="59"/>
        <v>31954</v>
      </c>
      <c r="B343" s="442">
        <v>19784</v>
      </c>
      <c r="C343" s="455">
        <v>3.2500000000000001E-2</v>
      </c>
      <c r="D343" s="438">
        <v>2.7000000000000003E-2</v>
      </c>
      <c r="E343" s="438">
        <v>2.5000000000000001E-3</v>
      </c>
      <c r="F343" s="438">
        <v>2.3833333333333332E-3</v>
      </c>
      <c r="G343" s="438">
        <v>2.5249999999999999E-3</v>
      </c>
      <c r="H343" s="438">
        <v>2.4541666666666666E-3</v>
      </c>
      <c r="I343" s="438">
        <v>2.6333333333333334E-3</v>
      </c>
      <c r="J343" s="438">
        <f t="shared" si="60"/>
        <v>3.0000000000000002E-2</v>
      </c>
      <c r="K343" s="438">
        <f t="shared" si="52"/>
        <v>3.0045833333333334E-2</v>
      </c>
      <c r="L343" s="438">
        <f t="shared" si="53"/>
        <v>2.4366666666666668E-2</v>
      </c>
      <c r="M343" s="446">
        <f t="shared" si="61"/>
        <v>0.13024243147559145</v>
      </c>
      <c r="N343" s="446">
        <f t="shared" si="62"/>
        <v>0.03</v>
      </c>
      <c r="O343" s="446">
        <f t="shared" si="54"/>
        <v>2.9449999999999997E-2</v>
      </c>
      <c r="P343" s="447">
        <f t="shared" si="63"/>
        <v>0.10024243147559145</v>
      </c>
      <c r="Q343" s="446">
        <f t="shared" si="55"/>
        <v>0.10079243147559144</v>
      </c>
      <c r="R343" s="446">
        <f t="shared" si="56"/>
        <v>0.15814208749725833</v>
      </c>
      <c r="S343" s="446">
        <f t="shared" si="57"/>
        <v>3.1600000000000003E-2</v>
      </c>
      <c r="T343" s="447">
        <f t="shared" si="58"/>
        <v>0.12654208749725832</v>
      </c>
      <c r="V343" s="448"/>
      <c r="W343" s="448"/>
      <c r="X343" s="448"/>
      <c r="Y343" s="448"/>
      <c r="Z343" s="448"/>
      <c r="AA343" s="448"/>
      <c r="AB343" s="448"/>
      <c r="AC343" s="448"/>
      <c r="AD343" s="448"/>
      <c r="AF343" s="448"/>
      <c r="AG343" s="448"/>
      <c r="AH343" s="448"/>
      <c r="AI343" s="448"/>
      <c r="AJ343" s="448"/>
      <c r="AK343" s="448"/>
      <c r="AL343" s="448"/>
      <c r="AM343" s="448"/>
      <c r="AN343" s="448"/>
      <c r="AP343" s="448"/>
      <c r="AQ343" s="448"/>
      <c r="AR343" s="448"/>
      <c r="AS343" s="448"/>
      <c r="AT343" s="448"/>
      <c r="AU343" s="448"/>
      <c r="AV343" s="448"/>
      <c r="AW343" s="448"/>
      <c r="AX343" s="448"/>
    </row>
    <row r="344" spans="1:50" x14ac:dyDescent="0.4">
      <c r="A344" s="442" t="str">
        <f t="shared" si="59"/>
        <v>41954</v>
      </c>
      <c r="B344" s="442">
        <v>19815</v>
      </c>
      <c r="C344" s="455">
        <v>5.16E-2</v>
      </c>
      <c r="D344" s="438">
        <v>1.21E-2</v>
      </c>
      <c r="E344" s="438">
        <v>2.2000000000000001E-3</v>
      </c>
      <c r="F344" s="438">
        <v>2.3750000000000004E-3</v>
      </c>
      <c r="G344" s="438">
        <v>2.5000000000000001E-3</v>
      </c>
      <c r="H344" s="438">
        <v>2.4375000000000004E-3</v>
      </c>
      <c r="I344" s="438">
        <v>2.6333333333333334E-3</v>
      </c>
      <c r="J344" s="438">
        <f t="shared" si="60"/>
        <v>4.9399999999999999E-2</v>
      </c>
      <c r="K344" s="438">
        <f t="shared" si="52"/>
        <v>4.9162499999999998E-2</v>
      </c>
      <c r="L344" s="438">
        <f t="shared" si="53"/>
        <v>9.4666666666666666E-3</v>
      </c>
      <c r="M344" s="446">
        <f t="shared" si="61"/>
        <v>0.21741569286052709</v>
      </c>
      <c r="N344" s="446">
        <f t="shared" si="62"/>
        <v>2.64E-2</v>
      </c>
      <c r="O344" s="446">
        <f t="shared" si="54"/>
        <v>2.9250000000000005E-2</v>
      </c>
      <c r="P344" s="447">
        <f t="shared" si="63"/>
        <v>0.19101569286052708</v>
      </c>
      <c r="Q344" s="446">
        <f t="shared" si="55"/>
        <v>0.18816569286052709</v>
      </c>
      <c r="R344" s="446">
        <f t="shared" si="56"/>
        <v>0.19510155664353124</v>
      </c>
      <c r="S344" s="446">
        <f t="shared" si="57"/>
        <v>3.1600000000000003E-2</v>
      </c>
      <c r="T344" s="447">
        <f t="shared" si="58"/>
        <v>0.16350155664353122</v>
      </c>
      <c r="V344" s="448"/>
      <c r="W344" s="448"/>
      <c r="X344" s="448"/>
      <c r="Y344" s="448"/>
      <c r="Z344" s="448"/>
      <c r="AA344" s="448"/>
      <c r="AB344" s="448"/>
      <c r="AC344" s="448"/>
      <c r="AD344" s="448"/>
      <c r="AF344" s="448"/>
      <c r="AG344" s="448"/>
      <c r="AH344" s="448"/>
      <c r="AI344" s="448"/>
      <c r="AJ344" s="448"/>
      <c r="AK344" s="448"/>
      <c r="AL344" s="448"/>
      <c r="AM344" s="448"/>
      <c r="AN344" s="448"/>
      <c r="AP344" s="448"/>
      <c r="AQ344" s="448"/>
      <c r="AR344" s="448"/>
      <c r="AS344" s="448"/>
      <c r="AT344" s="448"/>
      <c r="AU344" s="448"/>
      <c r="AV344" s="448"/>
      <c r="AW344" s="448"/>
      <c r="AX344" s="448"/>
    </row>
    <row r="345" spans="1:50" x14ac:dyDescent="0.4">
      <c r="A345" s="442" t="str">
        <f t="shared" si="59"/>
        <v>51954</v>
      </c>
      <c r="B345" s="442">
        <v>19845</v>
      </c>
      <c r="C345" s="455">
        <v>4.1799999999999997E-2</v>
      </c>
      <c r="D345" s="438">
        <v>2.5700000000000004E-2</v>
      </c>
      <c r="E345" s="438">
        <v>2E-3</v>
      </c>
      <c r="F345" s="438">
        <v>2.3999999999999998E-3</v>
      </c>
      <c r="G345" s="438">
        <v>2.5249999999999999E-3</v>
      </c>
      <c r="H345" s="438">
        <v>2.4624999999999998E-3</v>
      </c>
      <c r="I345" s="438">
        <v>2.6166666666666664E-3</v>
      </c>
      <c r="J345" s="438">
        <f t="shared" si="60"/>
        <v>3.9799999999999995E-2</v>
      </c>
      <c r="K345" s="438">
        <f t="shared" si="52"/>
        <v>3.9337499999999997E-2</v>
      </c>
      <c r="L345" s="438">
        <f t="shared" si="53"/>
        <v>2.3083333333333338E-2</v>
      </c>
      <c r="M345" s="446">
        <f t="shared" si="61"/>
        <v>0.25861235369861779</v>
      </c>
      <c r="N345" s="446">
        <f t="shared" si="62"/>
        <v>2.4E-2</v>
      </c>
      <c r="O345" s="446">
        <f t="shared" si="54"/>
        <v>2.955E-2</v>
      </c>
      <c r="P345" s="447">
        <f t="shared" si="63"/>
        <v>0.2346123536986178</v>
      </c>
      <c r="Q345" s="446">
        <f t="shared" si="55"/>
        <v>0.2290623536986178</v>
      </c>
      <c r="R345" s="446">
        <f t="shared" si="56"/>
        <v>0.2228807528424479</v>
      </c>
      <c r="S345" s="446">
        <f t="shared" si="57"/>
        <v>3.1399999999999997E-2</v>
      </c>
      <c r="T345" s="447">
        <f t="shared" si="58"/>
        <v>0.19148075284244792</v>
      </c>
      <c r="V345" s="448"/>
      <c r="W345" s="448"/>
      <c r="X345" s="448"/>
      <c r="Y345" s="448"/>
      <c r="Z345" s="448"/>
      <c r="AA345" s="448"/>
      <c r="AB345" s="448"/>
      <c r="AC345" s="448"/>
      <c r="AD345" s="448"/>
      <c r="AF345" s="448"/>
      <c r="AG345" s="448"/>
      <c r="AH345" s="448"/>
      <c r="AI345" s="448"/>
      <c r="AJ345" s="448"/>
      <c r="AK345" s="448"/>
      <c r="AL345" s="448"/>
      <c r="AM345" s="448"/>
      <c r="AN345" s="448"/>
      <c r="AP345" s="448"/>
      <c r="AQ345" s="448"/>
      <c r="AR345" s="448"/>
      <c r="AS345" s="448"/>
      <c r="AT345" s="448"/>
      <c r="AU345" s="448"/>
      <c r="AV345" s="448"/>
      <c r="AW345" s="448"/>
      <c r="AX345" s="448"/>
    </row>
    <row r="346" spans="1:50" x14ac:dyDescent="0.4">
      <c r="A346" s="442" t="str">
        <f t="shared" si="59"/>
        <v>61954</v>
      </c>
      <c r="B346" s="442">
        <v>19876</v>
      </c>
      <c r="C346" s="455">
        <v>3.0999999999999999E-3</v>
      </c>
      <c r="D346" s="438">
        <v>9.6000000000000009E-3</v>
      </c>
      <c r="E346" s="438">
        <v>2.5000000000000001E-3</v>
      </c>
      <c r="F346" s="438">
        <v>2.4166666666666668E-3</v>
      </c>
      <c r="G346" s="438">
        <v>2.5500000000000002E-3</v>
      </c>
      <c r="H346" s="438">
        <v>2.4833333333333335E-3</v>
      </c>
      <c r="I346" s="438">
        <v>2.6333333333333334E-3</v>
      </c>
      <c r="J346" s="438">
        <f t="shared" si="60"/>
        <v>5.9999999999999984E-4</v>
      </c>
      <c r="K346" s="438">
        <f t="shared" si="52"/>
        <v>6.166666666666664E-4</v>
      </c>
      <c r="L346" s="438">
        <f t="shared" si="53"/>
        <v>6.9666666666666679E-3</v>
      </c>
      <c r="M346" s="446">
        <f t="shared" si="61"/>
        <v>0.27966151631368641</v>
      </c>
      <c r="N346" s="446">
        <f t="shared" si="62"/>
        <v>0.03</v>
      </c>
      <c r="O346" s="446">
        <f t="shared" si="54"/>
        <v>2.98E-2</v>
      </c>
      <c r="P346" s="447">
        <f t="shared" si="63"/>
        <v>0.24966151631368641</v>
      </c>
      <c r="Q346" s="446">
        <f t="shared" si="55"/>
        <v>0.24986151631368642</v>
      </c>
      <c r="R346" s="446">
        <f t="shared" si="56"/>
        <v>0.26927152058161319</v>
      </c>
      <c r="S346" s="446">
        <f t="shared" si="57"/>
        <v>3.1600000000000003E-2</v>
      </c>
      <c r="T346" s="447">
        <f t="shared" si="58"/>
        <v>0.23767152058161317</v>
      </c>
      <c r="V346" s="448"/>
      <c r="W346" s="448"/>
      <c r="X346" s="448"/>
      <c r="Y346" s="448"/>
      <c r="Z346" s="448"/>
      <c r="AA346" s="448"/>
      <c r="AB346" s="448"/>
      <c r="AC346" s="448"/>
      <c r="AD346" s="448"/>
      <c r="AF346" s="448"/>
      <c r="AG346" s="448"/>
      <c r="AH346" s="448"/>
      <c r="AI346" s="448"/>
      <c r="AJ346" s="448"/>
      <c r="AK346" s="448"/>
      <c r="AL346" s="448"/>
      <c r="AM346" s="448"/>
      <c r="AN346" s="448"/>
      <c r="AP346" s="448"/>
      <c r="AQ346" s="448"/>
      <c r="AR346" s="448"/>
      <c r="AS346" s="448"/>
      <c r="AT346" s="448"/>
      <c r="AU346" s="448"/>
      <c r="AV346" s="448"/>
      <c r="AW346" s="448"/>
      <c r="AX346" s="448"/>
    </row>
    <row r="347" spans="1:50" x14ac:dyDescent="0.4">
      <c r="A347" s="442" t="str">
        <f t="shared" si="59"/>
        <v>71954</v>
      </c>
      <c r="B347" s="442">
        <v>19906</v>
      </c>
      <c r="C347" s="455">
        <v>5.8900000000000001E-2</v>
      </c>
      <c r="D347" s="438">
        <v>4.9500000000000002E-2</v>
      </c>
      <c r="E347" s="438">
        <v>2.2000000000000001E-3</v>
      </c>
      <c r="F347" s="438">
        <v>2.4083333333333335E-3</v>
      </c>
      <c r="G347" s="438">
        <v>2.5333333333333336E-3</v>
      </c>
      <c r="H347" s="438">
        <v>2.4708333333333336E-3</v>
      </c>
      <c r="I347" s="438">
        <v>2.6166666666666664E-3</v>
      </c>
      <c r="J347" s="438">
        <f t="shared" si="60"/>
        <v>5.67E-2</v>
      </c>
      <c r="K347" s="438">
        <f t="shared" si="52"/>
        <v>5.6429166666666669E-2</v>
      </c>
      <c r="L347" s="438">
        <f t="shared" si="53"/>
        <v>4.6883333333333332E-2</v>
      </c>
      <c r="M347" s="446">
        <f t="shared" si="61"/>
        <v>0.31902421846058826</v>
      </c>
      <c r="N347" s="446">
        <f t="shared" si="62"/>
        <v>2.64E-2</v>
      </c>
      <c r="O347" s="446">
        <f t="shared" si="54"/>
        <v>2.9650000000000003E-2</v>
      </c>
      <c r="P347" s="447">
        <f t="shared" si="63"/>
        <v>0.29262421846058828</v>
      </c>
      <c r="Q347" s="446">
        <f t="shared" si="55"/>
        <v>0.28937421846058825</v>
      </c>
      <c r="R347" s="446">
        <f t="shared" si="56"/>
        <v>0.28767565089454172</v>
      </c>
      <c r="S347" s="446">
        <f t="shared" si="57"/>
        <v>3.1399999999999997E-2</v>
      </c>
      <c r="T347" s="447">
        <f t="shared" si="58"/>
        <v>0.25627565089454174</v>
      </c>
      <c r="V347" s="448"/>
      <c r="W347" s="448"/>
      <c r="X347" s="448"/>
      <c r="Y347" s="448"/>
      <c r="Z347" s="448"/>
      <c r="AA347" s="448"/>
      <c r="AB347" s="448"/>
      <c r="AC347" s="448"/>
      <c r="AD347" s="448"/>
      <c r="AF347" s="448"/>
      <c r="AG347" s="448"/>
      <c r="AH347" s="448"/>
      <c r="AI347" s="448"/>
      <c r="AJ347" s="448"/>
      <c r="AK347" s="448"/>
      <c r="AL347" s="448"/>
      <c r="AM347" s="448"/>
      <c r="AN347" s="448"/>
      <c r="AP347" s="448"/>
      <c r="AQ347" s="448"/>
      <c r="AR347" s="448"/>
      <c r="AS347" s="448"/>
      <c r="AT347" s="448"/>
      <c r="AU347" s="448"/>
      <c r="AV347" s="448"/>
      <c r="AW347" s="448"/>
      <c r="AX347" s="448"/>
    </row>
    <row r="348" spans="1:50" x14ac:dyDescent="0.4">
      <c r="A348" s="442" t="str">
        <f t="shared" si="59"/>
        <v>81954</v>
      </c>
      <c r="B348" s="442">
        <v>19937</v>
      </c>
      <c r="C348" s="455">
        <v>-2.75E-2</v>
      </c>
      <c r="D348" s="438">
        <v>-1.3100000000000001E-2</v>
      </c>
      <c r="E348" s="438">
        <v>2.3E-3</v>
      </c>
      <c r="F348" s="438">
        <v>2.3916666666666665E-3</v>
      </c>
      <c r="G348" s="438">
        <v>2.5249999999999999E-3</v>
      </c>
      <c r="H348" s="438">
        <v>2.4583333333333336E-3</v>
      </c>
      <c r="I348" s="438">
        <v>2.6083333333333332E-3</v>
      </c>
      <c r="J348" s="438">
        <f t="shared" si="60"/>
        <v>-2.98E-2</v>
      </c>
      <c r="K348" s="438">
        <f t="shared" si="52"/>
        <v>-2.9958333333333333E-2</v>
      </c>
      <c r="L348" s="438">
        <f t="shared" si="53"/>
        <v>-1.5708333333333335E-2</v>
      </c>
      <c r="M348" s="446">
        <f t="shared" si="61"/>
        <v>0.35040641378347459</v>
      </c>
      <c r="N348" s="446">
        <f t="shared" si="62"/>
        <v>2.76E-2</v>
      </c>
      <c r="O348" s="446">
        <f t="shared" si="54"/>
        <v>2.9500000000000005E-2</v>
      </c>
      <c r="P348" s="447">
        <f t="shared" si="63"/>
        <v>0.32280641378347458</v>
      </c>
      <c r="Q348" s="446">
        <f t="shared" si="55"/>
        <v>0.32090641378347456</v>
      </c>
      <c r="R348" s="446">
        <f t="shared" si="56"/>
        <v>0.26877705657729956</v>
      </c>
      <c r="S348" s="446">
        <f t="shared" si="57"/>
        <v>3.1299999999999994E-2</v>
      </c>
      <c r="T348" s="447">
        <f t="shared" si="58"/>
        <v>0.23747705657729956</v>
      </c>
      <c r="V348" s="448"/>
      <c r="W348" s="448"/>
      <c r="X348" s="448"/>
      <c r="Y348" s="448"/>
      <c r="Z348" s="448"/>
      <c r="AA348" s="448"/>
      <c r="AB348" s="448"/>
      <c r="AC348" s="448"/>
      <c r="AD348" s="448"/>
      <c r="AF348" s="448"/>
      <c r="AG348" s="448"/>
      <c r="AH348" s="448"/>
      <c r="AI348" s="448"/>
      <c r="AJ348" s="448"/>
      <c r="AK348" s="448"/>
      <c r="AL348" s="448"/>
      <c r="AM348" s="448"/>
      <c r="AN348" s="448"/>
      <c r="AP348" s="448"/>
      <c r="AQ348" s="448"/>
      <c r="AR348" s="448"/>
      <c r="AS348" s="448"/>
      <c r="AT348" s="448"/>
      <c r="AU348" s="448"/>
      <c r="AV348" s="448"/>
      <c r="AW348" s="448"/>
      <c r="AX348" s="448"/>
    </row>
    <row r="349" spans="1:50" x14ac:dyDescent="0.4">
      <c r="A349" s="442" t="str">
        <f t="shared" si="59"/>
        <v>91954</v>
      </c>
      <c r="B349" s="442">
        <v>19968</v>
      </c>
      <c r="C349" s="455">
        <v>8.5099999999999995E-2</v>
      </c>
      <c r="D349" s="438">
        <v>1.78E-2</v>
      </c>
      <c r="E349" s="438">
        <v>2.2000000000000001E-3</v>
      </c>
      <c r="F349" s="438">
        <v>2.4083333333333335E-3</v>
      </c>
      <c r="G349" s="438">
        <v>2.5333333333333336E-3</v>
      </c>
      <c r="H349" s="438">
        <v>2.4708333333333336E-3</v>
      </c>
      <c r="I349" s="438">
        <v>2.5999999999999999E-3</v>
      </c>
      <c r="J349" s="438">
        <f t="shared" si="60"/>
        <v>8.2900000000000001E-2</v>
      </c>
      <c r="K349" s="438">
        <f t="shared" ref="K349:K412" si="64">C349-H349</f>
        <v>8.2629166666666656E-2</v>
      </c>
      <c r="L349" s="438">
        <f t="shared" ref="L349:L412" si="65">$D349-I349</f>
        <v>1.52E-2</v>
      </c>
      <c r="M349" s="446">
        <f t="shared" si="61"/>
        <v>0.46036077296835498</v>
      </c>
      <c r="N349" s="446">
        <f t="shared" si="62"/>
        <v>2.64E-2</v>
      </c>
      <c r="O349" s="446">
        <f t="shared" si="54"/>
        <v>2.9650000000000003E-2</v>
      </c>
      <c r="P349" s="447">
        <f t="shared" si="63"/>
        <v>0.433960772968355</v>
      </c>
      <c r="Q349" s="446">
        <f t="shared" si="55"/>
        <v>0.43071077296835497</v>
      </c>
      <c r="R349" s="446">
        <f t="shared" si="56"/>
        <v>0.27617480796953764</v>
      </c>
      <c r="S349" s="446">
        <f t="shared" si="57"/>
        <v>3.1199999999999999E-2</v>
      </c>
      <c r="T349" s="447">
        <f t="shared" si="58"/>
        <v>0.24497480796953763</v>
      </c>
      <c r="V349" s="448"/>
      <c r="W349" s="448"/>
      <c r="X349" s="448"/>
      <c r="Y349" s="448"/>
      <c r="Z349" s="448"/>
      <c r="AA349" s="448"/>
      <c r="AB349" s="448"/>
      <c r="AC349" s="448"/>
      <c r="AD349" s="448"/>
      <c r="AF349" s="448"/>
      <c r="AG349" s="448"/>
      <c r="AH349" s="448"/>
      <c r="AI349" s="448"/>
      <c r="AJ349" s="448"/>
      <c r="AK349" s="448"/>
      <c r="AL349" s="448"/>
      <c r="AM349" s="448"/>
      <c r="AN349" s="448"/>
      <c r="AP349" s="448"/>
      <c r="AQ349" s="448"/>
      <c r="AR349" s="448"/>
      <c r="AS349" s="448"/>
      <c r="AT349" s="448"/>
      <c r="AU349" s="448"/>
      <c r="AV349" s="448"/>
      <c r="AW349" s="448"/>
      <c r="AX349" s="448"/>
    </row>
    <row r="350" spans="1:50" x14ac:dyDescent="0.4">
      <c r="A350" s="442" t="str">
        <f t="shared" si="59"/>
        <v>101954</v>
      </c>
      <c r="B350" s="442">
        <v>19998</v>
      </c>
      <c r="C350" s="455">
        <v>-1.67E-2</v>
      </c>
      <c r="D350" s="438">
        <v>-3.6799999999999999E-2</v>
      </c>
      <c r="E350" s="438">
        <v>2.0999999999999999E-3</v>
      </c>
      <c r="F350" s="438">
        <v>2.3916666666666665E-3</v>
      </c>
      <c r="G350" s="438">
        <v>2.5333333333333336E-3</v>
      </c>
      <c r="H350" s="438">
        <v>2.4625000000000003E-3</v>
      </c>
      <c r="I350" s="438">
        <v>2.5999999999999999E-3</v>
      </c>
      <c r="J350" s="438">
        <f t="shared" si="60"/>
        <v>-1.8800000000000001E-2</v>
      </c>
      <c r="K350" s="438">
        <f t="shared" si="64"/>
        <v>-1.9162499999999999E-2</v>
      </c>
      <c r="L350" s="438">
        <f t="shared" si="65"/>
        <v>-3.9399999999999998E-2</v>
      </c>
      <c r="M350" s="446">
        <f t="shared" si="61"/>
        <v>0.36240298677398908</v>
      </c>
      <c r="N350" s="446">
        <f t="shared" si="62"/>
        <v>2.52E-2</v>
      </c>
      <c r="O350" s="446">
        <f t="shared" si="54"/>
        <v>2.9550000000000003E-2</v>
      </c>
      <c r="P350" s="447">
        <f t="shared" si="63"/>
        <v>0.33720298677398908</v>
      </c>
      <c r="Q350" s="446">
        <f t="shared" si="55"/>
        <v>0.33285298677398906</v>
      </c>
      <c r="R350" s="446">
        <f t="shared" si="56"/>
        <v>0.1806854048950719</v>
      </c>
      <c r="S350" s="446">
        <f t="shared" si="57"/>
        <v>3.1199999999999999E-2</v>
      </c>
      <c r="T350" s="447">
        <f t="shared" si="58"/>
        <v>0.14948540489507189</v>
      </c>
      <c r="V350" s="448"/>
      <c r="W350" s="448"/>
      <c r="X350" s="448"/>
      <c r="Y350" s="448"/>
      <c r="Z350" s="448"/>
      <c r="AA350" s="448"/>
      <c r="AB350" s="448"/>
      <c r="AC350" s="448"/>
      <c r="AD350" s="448"/>
      <c r="AF350" s="448"/>
      <c r="AG350" s="448"/>
      <c r="AH350" s="448"/>
      <c r="AI350" s="448"/>
      <c r="AJ350" s="448"/>
      <c r="AK350" s="448"/>
      <c r="AL350" s="448"/>
      <c r="AM350" s="448"/>
      <c r="AN350" s="448"/>
      <c r="AP350" s="448"/>
      <c r="AQ350" s="448"/>
      <c r="AR350" s="448"/>
      <c r="AS350" s="448"/>
      <c r="AT350" s="448"/>
      <c r="AU350" s="448"/>
      <c r="AV350" s="448"/>
      <c r="AW350" s="448"/>
      <c r="AX350" s="448"/>
    </row>
    <row r="351" spans="1:50" x14ac:dyDescent="0.4">
      <c r="A351" s="442" t="str">
        <f t="shared" si="59"/>
        <v>111954</v>
      </c>
      <c r="B351" s="442">
        <v>20029</v>
      </c>
      <c r="C351" s="455">
        <v>9.0899999999999995E-2</v>
      </c>
      <c r="D351" s="438">
        <v>5.6500000000000002E-2</v>
      </c>
      <c r="E351" s="438">
        <v>2.3E-3</v>
      </c>
      <c r="F351" s="438">
        <v>2.4083333333333335E-3</v>
      </c>
      <c r="G351" s="438">
        <v>2.5333333333333336E-3</v>
      </c>
      <c r="H351" s="438">
        <v>2.4708333333333336E-3</v>
      </c>
      <c r="I351" s="438">
        <v>2.5916666666666666E-3</v>
      </c>
      <c r="J351" s="438">
        <f t="shared" si="60"/>
        <v>8.8599999999999998E-2</v>
      </c>
      <c r="K351" s="438">
        <f t="shared" si="64"/>
        <v>8.8429166666666656E-2</v>
      </c>
      <c r="L351" s="438">
        <f t="shared" si="65"/>
        <v>5.3908333333333336E-2</v>
      </c>
      <c r="M351" s="446">
        <f t="shared" si="61"/>
        <v>0.45653216216360626</v>
      </c>
      <c r="N351" s="446">
        <f t="shared" si="62"/>
        <v>2.76E-2</v>
      </c>
      <c r="O351" s="446">
        <f t="shared" si="54"/>
        <v>2.9650000000000003E-2</v>
      </c>
      <c r="P351" s="447">
        <f t="shared" si="63"/>
        <v>0.42893216216360625</v>
      </c>
      <c r="Q351" s="446">
        <f t="shared" si="55"/>
        <v>0.42688216216360625</v>
      </c>
      <c r="R351" s="446">
        <f t="shared" si="56"/>
        <v>0.21412704912560154</v>
      </c>
      <c r="S351" s="446">
        <f t="shared" si="57"/>
        <v>3.1099999999999999E-2</v>
      </c>
      <c r="T351" s="447">
        <f t="shared" si="58"/>
        <v>0.18302704912560155</v>
      </c>
      <c r="V351" s="448"/>
      <c r="W351" s="448"/>
      <c r="X351" s="448"/>
      <c r="Y351" s="448"/>
      <c r="Z351" s="448"/>
      <c r="AA351" s="448"/>
      <c r="AB351" s="448"/>
      <c r="AC351" s="448"/>
      <c r="AD351" s="448"/>
      <c r="AF351" s="448"/>
      <c r="AG351" s="448"/>
      <c r="AH351" s="448"/>
      <c r="AI351" s="448"/>
      <c r="AJ351" s="448"/>
      <c r="AK351" s="448"/>
      <c r="AL351" s="448"/>
      <c r="AM351" s="448"/>
      <c r="AN351" s="448"/>
      <c r="AP351" s="448"/>
      <c r="AQ351" s="448"/>
      <c r="AR351" s="448"/>
      <c r="AS351" s="448"/>
      <c r="AT351" s="448"/>
      <c r="AU351" s="448"/>
      <c r="AV351" s="448"/>
      <c r="AW351" s="448"/>
      <c r="AX351" s="448"/>
    </row>
    <row r="352" spans="1:50" x14ac:dyDescent="0.4">
      <c r="A352" s="442" t="str">
        <f t="shared" si="59"/>
        <v>121954</v>
      </c>
      <c r="B352" s="442">
        <v>20059</v>
      </c>
      <c r="C352" s="455">
        <v>5.3400000000000003E-2</v>
      </c>
      <c r="D352" s="438">
        <v>3.4099999999999998E-2</v>
      </c>
      <c r="E352" s="438">
        <v>2.3E-3</v>
      </c>
      <c r="F352" s="438">
        <v>2.4166666666666668E-3</v>
      </c>
      <c r="G352" s="438">
        <v>2.5333333333333336E-3</v>
      </c>
      <c r="H352" s="438">
        <v>2.4749999999999998E-3</v>
      </c>
      <c r="I352" s="438">
        <v>2.5916666666666666E-3</v>
      </c>
      <c r="J352" s="438">
        <f t="shared" si="60"/>
        <v>5.1100000000000007E-2</v>
      </c>
      <c r="K352" s="438">
        <f t="shared" si="64"/>
        <v>5.0925000000000005E-2</v>
      </c>
      <c r="L352" s="438">
        <f t="shared" si="65"/>
        <v>3.1508333333333333E-2</v>
      </c>
      <c r="M352" s="446">
        <f t="shared" si="61"/>
        <v>0.52622200300720445</v>
      </c>
      <c r="N352" s="446">
        <f t="shared" si="62"/>
        <v>2.76E-2</v>
      </c>
      <c r="O352" s="446">
        <f t="shared" si="54"/>
        <v>2.9699999999999997E-2</v>
      </c>
      <c r="P352" s="447">
        <f t="shared" si="63"/>
        <v>0.49862200300720444</v>
      </c>
      <c r="Q352" s="446">
        <f t="shared" si="55"/>
        <v>0.49652200300720445</v>
      </c>
      <c r="R352" s="446">
        <f t="shared" si="56"/>
        <v>0.24754449672176548</v>
      </c>
      <c r="S352" s="446">
        <f t="shared" si="57"/>
        <v>3.1099999999999999E-2</v>
      </c>
      <c r="T352" s="447">
        <f t="shared" si="58"/>
        <v>0.21644449672176549</v>
      </c>
      <c r="V352" s="448"/>
      <c r="W352" s="448"/>
      <c r="X352" s="448"/>
      <c r="Y352" s="448"/>
      <c r="Z352" s="448"/>
      <c r="AA352" s="448"/>
      <c r="AB352" s="448"/>
      <c r="AC352" s="448"/>
      <c r="AD352" s="448"/>
      <c r="AF352" s="448"/>
      <c r="AG352" s="448"/>
      <c r="AH352" s="448"/>
      <c r="AI352" s="448"/>
      <c r="AJ352" s="448"/>
      <c r="AK352" s="448"/>
      <c r="AL352" s="448"/>
      <c r="AM352" s="448"/>
      <c r="AN352" s="448"/>
      <c r="AP352" s="448"/>
      <c r="AQ352" s="448"/>
      <c r="AR352" s="448"/>
      <c r="AS352" s="448"/>
      <c r="AT352" s="448"/>
      <c r="AU352" s="448"/>
      <c r="AV352" s="448"/>
      <c r="AW352" s="448"/>
      <c r="AX352" s="448"/>
    </row>
    <row r="353" spans="1:50" x14ac:dyDescent="0.4">
      <c r="A353" s="442" t="str">
        <f t="shared" si="59"/>
        <v>11955</v>
      </c>
      <c r="B353" s="442">
        <v>20090</v>
      </c>
      <c r="C353" s="455">
        <v>1.9699999999999999E-2</v>
      </c>
      <c r="D353" s="438">
        <v>1.43E-2</v>
      </c>
      <c r="E353" s="438">
        <v>2.2000000000000001E-3</v>
      </c>
      <c r="F353" s="438">
        <v>2.4416666666666666E-3</v>
      </c>
      <c r="G353" s="438">
        <v>2.5500000000000002E-3</v>
      </c>
      <c r="H353" s="438">
        <v>2.4958333333333334E-3</v>
      </c>
      <c r="I353" s="438">
        <v>2.6083333333333332E-3</v>
      </c>
      <c r="J353" s="438">
        <f t="shared" si="60"/>
        <v>1.7499999999999998E-2</v>
      </c>
      <c r="K353" s="438">
        <f t="shared" si="64"/>
        <v>1.7204166666666666E-2</v>
      </c>
      <c r="L353" s="438">
        <f t="shared" si="65"/>
        <v>1.1691666666666666E-2</v>
      </c>
      <c r="M353" s="446">
        <f t="shared" si="61"/>
        <v>0.47711520165759946</v>
      </c>
      <c r="N353" s="446">
        <f t="shared" si="62"/>
        <v>2.64E-2</v>
      </c>
      <c r="O353" s="446">
        <f t="shared" si="54"/>
        <v>2.9950000000000001E-2</v>
      </c>
      <c r="P353" s="447">
        <f t="shared" si="63"/>
        <v>0.45071520165759948</v>
      </c>
      <c r="Q353" s="446">
        <f t="shared" si="55"/>
        <v>0.44716520165759949</v>
      </c>
      <c r="R353" s="446">
        <f t="shared" si="56"/>
        <v>0.22531653241491845</v>
      </c>
      <c r="S353" s="446">
        <f t="shared" si="57"/>
        <v>3.1299999999999994E-2</v>
      </c>
      <c r="T353" s="447">
        <f t="shared" si="58"/>
        <v>0.19401653241491845</v>
      </c>
      <c r="V353" s="448"/>
      <c r="W353" s="448"/>
      <c r="X353" s="448"/>
      <c r="Y353" s="448"/>
      <c r="Z353" s="448"/>
      <c r="AA353" s="448"/>
      <c r="AB353" s="448"/>
      <c r="AC353" s="448"/>
      <c r="AD353" s="448"/>
      <c r="AF353" s="448"/>
      <c r="AG353" s="448"/>
      <c r="AH353" s="448"/>
      <c r="AI353" s="448"/>
      <c r="AJ353" s="448"/>
      <c r="AK353" s="448"/>
      <c r="AL353" s="448"/>
      <c r="AM353" s="448"/>
      <c r="AN353" s="448"/>
      <c r="AP353" s="448"/>
      <c r="AQ353" s="448"/>
      <c r="AR353" s="448"/>
      <c r="AS353" s="448"/>
      <c r="AT353" s="448"/>
      <c r="AU353" s="448"/>
      <c r="AV353" s="448"/>
      <c r="AW353" s="448"/>
      <c r="AX353" s="448"/>
    </row>
    <row r="354" spans="1:50" x14ac:dyDescent="0.4">
      <c r="A354" s="442" t="str">
        <f t="shared" si="59"/>
        <v>21955</v>
      </c>
      <c r="B354" s="442">
        <v>20121</v>
      </c>
      <c r="C354" s="455">
        <v>9.7999999999999997E-3</v>
      </c>
      <c r="D354" s="438">
        <v>3.44E-2</v>
      </c>
      <c r="E354" s="438">
        <v>2.2000000000000001E-3</v>
      </c>
      <c r="F354" s="438">
        <v>2.4416666666666666E-3</v>
      </c>
      <c r="G354" s="438">
        <v>2.5833333333333337E-3</v>
      </c>
      <c r="H354" s="438">
        <v>2.5125000000000004E-3</v>
      </c>
      <c r="I354" s="438">
        <v>2.6166666666666664E-3</v>
      </c>
      <c r="J354" s="438">
        <f t="shared" si="60"/>
        <v>7.5999999999999991E-3</v>
      </c>
      <c r="K354" s="438">
        <f t="shared" si="64"/>
        <v>7.2874999999999988E-3</v>
      </c>
      <c r="L354" s="438">
        <f t="shared" si="65"/>
        <v>3.178333333333333E-2</v>
      </c>
      <c r="M354" s="446">
        <f t="shared" si="61"/>
        <v>0.47521603267119339</v>
      </c>
      <c r="N354" s="446">
        <f t="shared" si="62"/>
        <v>2.64E-2</v>
      </c>
      <c r="O354" s="446">
        <f t="shared" si="54"/>
        <v>3.0150000000000003E-2</v>
      </c>
      <c r="P354" s="447">
        <f t="shared" si="63"/>
        <v>0.44881603267119341</v>
      </c>
      <c r="Q354" s="446">
        <f t="shared" si="55"/>
        <v>0.44506603267119338</v>
      </c>
      <c r="R354" s="446">
        <f t="shared" si="56"/>
        <v>0.25280954940198885</v>
      </c>
      <c r="S354" s="446">
        <f t="shared" si="57"/>
        <v>3.1399999999999997E-2</v>
      </c>
      <c r="T354" s="447">
        <f t="shared" si="58"/>
        <v>0.22140954940198887</v>
      </c>
      <c r="V354" s="448"/>
      <c r="W354" s="448"/>
      <c r="X354" s="448"/>
      <c r="Y354" s="448"/>
      <c r="Z354" s="448"/>
      <c r="AA354" s="448"/>
      <c r="AB354" s="448"/>
      <c r="AC354" s="448"/>
      <c r="AD354" s="448"/>
      <c r="AF354" s="448"/>
      <c r="AG354" s="448"/>
      <c r="AH354" s="448"/>
      <c r="AI354" s="448"/>
      <c r="AJ354" s="448"/>
      <c r="AK354" s="448"/>
      <c r="AL354" s="448"/>
      <c r="AM354" s="448"/>
      <c r="AN354" s="448"/>
      <c r="AP354" s="448"/>
      <c r="AQ354" s="448"/>
      <c r="AR354" s="448"/>
      <c r="AS354" s="448"/>
      <c r="AT354" s="448"/>
      <c r="AU354" s="448"/>
      <c r="AV354" s="448"/>
      <c r="AW354" s="448"/>
      <c r="AX354" s="448"/>
    </row>
    <row r="355" spans="1:50" x14ac:dyDescent="0.4">
      <c r="A355" s="442" t="str">
        <f t="shared" si="59"/>
        <v>31955</v>
      </c>
      <c r="B355" s="442">
        <v>20149</v>
      </c>
      <c r="C355" s="455">
        <v>-3.0000000000000001E-3</v>
      </c>
      <c r="D355" s="438">
        <v>-1.1000000000000001E-2</v>
      </c>
      <c r="E355" s="438">
        <v>2.3999999999999998E-3</v>
      </c>
      <c r="F355" s="438">
        <v>2.5166666666666666E-3</v>
      </c>
      <c r="G355" s="438">
        <v>2.6083333333333332E-3</v>
      </c>
      <c r="H355" s="438">
        <v>2.5624999999999997E-3</v>
      </c>
      <c r="I355" s="438">
        <v>2.6250000000000002E-3</v>
      </c>
      <c r="J355" s="438">
        <f t="shared" si="60"/>
        <v>-5.4000000000000003E-3</v>
      </c>
      <c r="K355" s="438">
        <f t="shared" si="64"/>
        <v>-5.5624999999999997E-3</v>
      </c>
      <c r="L355" s="438">
        <f t="shared" si="65"/>
        <v>-1.3625000000000002E-2</v>
      </c>
      <c r="M355" s="446">
        <f t="shared" si="61"/>
        <v>0.4244943191992061</v>
      </c>
      <c r="N355" s="446">
        <f t="shared" si="62"/>
        <v>2.8799999999999999E-2</v>
      </c>
      <c r="O355" s="446">
        <f t="shared" si="54"/>
        <v>3.0749999999999996E-2</v>
      </c>
      <c r="P355" s="447">
        <f t="shared" si="63"/>
        <v>0.39569431919920611</v>
      </c>
      <c r="Q355" s="446">
        <f t="shared" si="55"/>
        <v>0.39374431919920611</v>
      </c>
      <c r="R355" s="446">
        <f t="shared" si="56"/>
        <v>0.20645437620113594</v>
      </c>
      <c r="S355" s="446">
        <f t="shared" si="57"/>
        <v>3.15E-2</v>
      </c>
      <c r="T355" s="447">
        <f t="shared" si="58"/>
        <v>0.17495437620113594</v>
      </c>
      <c r="V355" s="448"/>
      <c r="W355" s="448"/>
      <c r="X355" s="448"/>
      <c r="Y355" s="448"/>
      <c r="Z355" s="448"/>
      <c r="AA355" s="448"/>
      <c r="AB355" s="448"/>
      <c r="AC355" s="448"/>
      <c r="AD355" s="448"/>
      <c r="AF355" s="448"/>
      <c r="AG355" s="448"/>
      <c r="AH355" s="448"/>
      <c r="AI355" s="448"/>
      <c r="AJ355" s="448"/>
      <c r="AK355" s="448"/>
      <c r="AL355" s="448"/>
      <c r="AM355" s="448"/>
      <c r="AN355" s="448"/>
      <c r="AP355" s="448"/>
      <c r="AQ355" s="448"/>
      <c r="AR355" s="448"/>
      <c r="AS355" s="448"/>
      <c r="AT355" s="448"/>
      <c r="AU355" s="448"/>
      <c r="AV355" s="448"/>
      <c r="AW355" s="448"/>
      <c r="AX355" s="448"/>
    </row>
    <row r="356" spans="1:50" x14ac:dyDescent="0.4">
      <c r="A356" s="442" t="str">
        <f t="shared" si="59"/>
        <v>41955</v>
      </c>
      <c r="B356" s="442">
        <v>20180</v>
      </c>
      <c r="C356" s="455">
        <v>3.9600000000000003E-2</v>
      </c>
      <c r="D356" s="438">
        <v>2.0199999999999999E-2</v>
      </c>
      <c r="E356" s="438">
        <v>2.2000000000000001E-3</v>
      </c>
      <c r="F356" s="438">
        <v>2.5083333333333329E-3</v>
      </c>
      <c r="G356" s="438">
        <v>2.6083333333333332E-3</v>
      </c>
      <c r="H356" s="438">
        <v>2.558333333333333E-3</v>
      </c>
      <c r="I356" s="438">
        <v>2.6250000000000002E-3</v>
      </c>
      <c r="J356" s="438">
        <f t="shared" si="60"/>
        <v>3.7400000000000003E-2</v>
      </c>
      <c r="K356" s="438">
        <f t="shared" si="64"/>
        <v>3.7041666666666667E-2</v>
      </c>
      <c r="L356" s="438">
        <f t="shared" si="65"/>
        <v>1.7575E-2</v>
      </c>
      <c r="M356" s="446">
        <f t="shared" si="61"/>
        <v>0.40823915389834009</v>
      </c>
      <c r="N356" s="446">
        <f t="shared" si="62"/>
        <v>2.64E-2</v>
      </c>
      <c r="O356" s="446">
        <f t="shared" si="54"/>
        <v>3.0699999999999998E-2</v>
      </c>
      <c r="P356" s="447">
        <f t="shared" si="63"/>
        <v>0.38183915389834011</v>
      </c>
      <c r="Q356" s="446">
        <f t="shared" si="55"/>
        <v>0.37753915389834009</v>
      </c>
      <c r="R356" s="446">
        <f t="shared" si="56"/>
        <v>0.21610982570931636</v>
      </c>
      <c r="S356" s="446">
        <f t="shared" si="57"/>
        <v>3.15E-2</v>
      </c>
      <c r="T356" s="447">
        <f t="shared" si="58"/>
        <v>0.18460982570931636</v>
      </c>
      <c r="V356" s="448"/>
      <c r="W356" s="448"/>
      <c r="X356" s="448"/>
      <c r="Y356" s="448"/>
      <c r="Z356" s="448"/>
      <c r="AA356" s="448"/>
      <c r="AB356" s="448"/>
      <c r="AC356" s="448"/>
      <c r="AD356" s="448"/>
      <c r="AF356" s="448"/>
      <c r="AG356" s="448"/>
      <c r="AH356" s="448"/>
      <c r="AI356" s="448"/>
      <c r="AJ356" s="448"/>
      <c r="AK356" s="448"/>
      <c r="AL356" s="448"/>
      <c r="AM356" s="448"/>
      <c r="AN356" s="448"/>
      <c r="AP356" s="448"/>
      <c r="AQ356" s="448"/>
      <c r="AR356" s="448"/>
      <c r="AS356" s="448"/>
      <c r="AT356" s="448"/>
      <c r="AU356" s="448"/>
      <c r="AV356" s="448"/>
      <c r="AW356" s="448"/>
      <c r="AX356" s="448"/>
    </row>
    <row r="357" spans="1:50" x14ac:dyDescent="0.4">
      <c r="A357" s="442" t="str">
        <f t="shared" si="59"/>
        <v>51955</v>
      </c>
      <c r="B357" s="442">
        <v>20210</v>
      </c>
      <c r="C357" s="455">
        <v>5.4999999999999997E-3</v>
      </c>
      <c r="D357" s="438">
        <v>-5.7999999999999996E-3</v>
      </c>
      <c r="E357" s="438">
        <v>2.5000000000000001E-3</v>
      </c>
      <c r="F357" s="438">
        <v>2.5333333333333336E-3</v>
      </c>
      <c r="G357" s="438">
        <v>2.6250000000000002E-3</v>
      </c>
      <c r="H357" s="438">
        <v>2.5791666666666667E-3</v>
      </c>
      <c r="I357" s="438">
        <v>2.6583333333333333E-3</v>
      </c>
      <c r="J357" s="438">
        <f t="shared" si="60"/>
        <v>2.9999999999999996E-3</v>
      </c>
      <c r="K357" s="438">
        <f t="shared" si="64"/>
        <v>2.920833333333333E-3</v>
      </c>
      <c r="L357" s="438">
        <f t="shared" si="65"/>
        <v>-8.4583333333333333E-3</v>
      </c>
      <c r="M357" s="446">
        <f t="shared" si="61"/>
        <v>0.35917111657206857</v>
      </c>
      <c r="N357" s="446">
        <f t="shared" si="62"/>
        <v>0.03</v>
      </c>
      <c r="O357" s="446">
        <f t="shared" si="54"/>
        <v>3.0949999999999998E-2</v>
      </c>
      <c r="P357" s="447">
        <f t="shared" si="63"/>
        <v>0.32917111657206855</v>
      </c>
      <c r="Q357" s="446">
        <f t="shared" si="55"/>
        <v>0.32822111657206859</v>
      </c>
      <c r="R357" s="446">
        <f t="shared" si="56"/>
        <v>0.17876220017568745</v>
      </c>
      <c r="S357" s="446">
        <f t="shared" si="57"/>
        <v>3.1899999999999998E-2</v>
      </c>
      <c r="T357" s="447">
        <f t="shared" si="58"/>
        <v>0.14686220017568746</v>
      </c>
      <c r="V357" s="448"/>
      <c r="W357" s="448"/>
      <c r="X357" s="448"/>
      <c r="Y357" s="448"/>
      <c r="Z357" s="448"/>
      <c r="AA357" s="448"/>
      <c r="AB357" s="448"/>
      <c r="AC357" s="448"/>
      <c r="AD357" s="448"/>
      <c r="AF357" s="448"/>
      <c r="AG357" s="448"/>
      <c r="AH357" s="448"/>
      <c r="AI357" s="448"/>
      <c r="AJ357" s="448"/>
      <c r="AK357" s="448"/>
      <c r="AL357" s="448"/>
      <c r="AM357" s="448"/>
      <c r="AN357" s="448"/>
      <c r="AP357" s="448"/>
      <c r="AQ357" s="448"/>
      <c r="AR357" s="448"/>
      <c r="AS357" s="448"/>
      <c r="AT357" s="448"/>
      <c r="AU357" s="448"/>
      <c r="AV357" s="448"/>
      <c r="AW357" s="448"/>
      <c r="AX357" s="448"/>
    </row>
    <row r="358" spans="1:50" x14ac:dyDescent="0.4">
      <c r="A358" s="442" t="str">
        <f t="shared" si="59"/>
        <v>61955</v>
      </c>
      <c r="B358" s="442">
        <v>20241</v>
      </c>
      <c r="C358" s="455">
        <v>8.4099999999999994E-2</v>
      </c>
      <c r="D358" s="438">
        <v>2.1099999999999997E-2</v>
      </c>
      <c r="E358" s="438">
        <v>2.3E-3</v>
      </c>
      <c r="F358" s="438">
        <v>2.5416666666666665E-3</v>
      </c>
      <c r="G358" s="438">
        <v>2.6166666666666664E-3</v>
      </c>
      <c r="H358" s="438">
        <v>2.5791666666666667E-3</v>
      </c>
      <c r="I358" s="438">
        <v>2.6750000000000003E-3</v>
      </c>
      <c r="J358" s="438">
        <f t="shared" si="60"/>
        <v>8.1799999999999998E-2</v>
      </c>
      <c r="K358" s="438">
        <f t="shared" si="64"/>
        <v>8.1520833333333334E-2</v>
      </c>
      <c r="L358" s="438">
        <f t="shared" si="65"/>
        <v>1.8424999999999997E-2</v>
      </c>
      <c r="M358" s="446">
        <f t="shared" si="61"/>
        <v>0.46892374386978264</v>
      </c>
      <c r="N358" s="446">
        <f t="shared" si="62"/>
        <v>2.76E-2</v>
      </c>
      <c r="O358" s="446">
        <f t="shared" si="54"/>
        <v>3.0949999999999998E-2</v>
      </c>
      <c r="P358" s="447">
        <f t="shared" si="63"/>
        <v>0.44132374386978263</v>
      </c>
      <c r="Q358" s="446">
        <f t="shared" si="55"/>
        <v>0.43797374386978266</v>
      </c>
      <c r="R358" s="446">
        <f t="shared" si="56"/>
        <v>0.19218906755090526</v>
      </c>
      <c r="S358" s="446">
        <f t="shared" si="57"/>
        <v>3.2100000000000004E-2</v>
      </c>
      <c r="T358" s="447">
        <f t="shared" si="58"/>
        <v>0.16008906755090524</v>
      </c>
      <c r="V358" s="448"/>
      <c r="W358" s="448"/>
      <c r="X358" s="448"/>
      <c r="Y358" s="448"/>
      <c r="Z358" s="448"/>
      <c r="AA358" s="448"/>
      <c r="AB358" s="448"/>
      <c r="AC358" s="448"/>
      <c r="AD358" s="448"/>
      <c r="AF358" s="448"/>
      <c r="AG358" s="448"/>
      <c r="AH358" s="448"/>
      <c r="AI358" s="448"/>
      <c r="AJ358" s="448"/>
      <c r="AK358" s="448"/>
      <c r="AL358" s="448"/>
      <c r="AM358" s="448"/>
      <c r="AN358" s="448"/>
      <c r="AP358" s="448"/>
      <c r="AQ358" s="448"/>
      <c r="AR358" s="448"/>
      <c r="AS358" s="448"/>
      <c r="AT358" s="448"/>
      <c r="AU358" s="448"/>
      <c r="AV358" s="448"/>
      <c r="AW358" s="448"/>
      <c r="AX358" s="448"/>
    </row>
    <row r="359" spans="1:50" x14ac:dyDescent="0.4">
      <c r="A359" s="442" t="str">
        <f t="shared" si="59"/>
        <v>71955</v>
      </c>
      <c r="B359" s="442">
        <v>20271</v>
      </c>
      <c r="C359" s="455">
        <v>6.2199999999999998E-2</v>
      </c>
      <c r="D359" s="438">
        <v>4.6599999999999996E-2</v>
      </c>
      <c r="E359" s="438">
        <v>2.3E-3</v>
      </c>
      <c r="F359" s="438">
        <v>2.5500000000000002E-3</v>
      </c>
      <c r="G359" s="438">
        <v>2.6166666666666664E-3</v>
      </c>
      <c r="H359" s="438">
        <v>2.5833333333333329E-3</v>
      </c>
      <c r="I359" s="438">
        <v>2.6750000000000003E-3</v>
      </c>
      <c r="J359" s="438">
        <f t="shared" si="60"/>
        <v>5.9899999999999995E-2</v>
      </c>
      <c r="K359" s="438">
        <f t="shared" si="64"/>
        <v>5.9616666666666665E-2</v>
      </c>
      <c r="L359" s="438">
        <f t="shared" si="65"/>
        <v>4.3924999999999992E-2</v>
      </c>
      <c r="M359" s="446">
        <f t="shared" si="61"/>
        <v>0.47350155891820123</v>
      </c>
      <c r="N359" s="446">
        <f t="shared" si="62"/>
        <v>2.76E-2</v>
      </c>
      <c r="O359" s="446">
        <f t="shared" si="54"/>
        <v>3.0999999999999993E-2</v>
      </c>
      <c r="P359" s="447">
        <f t="shared" si="63"/>
        <v>0.44590155891820121</v>
      </c>
      <c r="Q359" s="446">
        <f t="shared" si="55"/>
        <v>0.44250155891820125</v>
      </c>
      <c r="R359" s="446">
        <f t="shared" si="56"/>
        <v>0.18889478618273237</v>
      </c>
      <c r="S359" s="446">
        <f t="shared" si="57"/>
        <v>3.2100000000000004E-2</v>
      </c>
      <c r="T359" s="447">
        <f t="shared" si="58"/>
        <v>0.15679478618273235</v>
      </c>
      <c r="V359" s="448"/>
      <c r="W359" s="448"/>
      <c r="X359" s="448"/>
      <c r="Y359" s="448"/>
      <c r="Z359" s="448"/>
      <c r="AA359" s="448"/>
      <c r="AB359" s="448"/>
      <c r="AC359" s="448"/>
      <c r="AD359" s="448"/>
      <c r="AF359" s="448"/>
      <c r="AG359" s="448"/>
      <c r="AH359" s="448"/>
      <c r="AI359" s="448"/>
      <c r="AJ359" s="448"/>
      <c r="AK359" s="448"/>
      <c r="AL359" s="448"/>
      <c r="AM359" s="448"/>
      <c r="AN359" s="448"/>
      <c r="AP359" s="448"/>
      <c r="AQ359" s="448"/>
      <c r="AR359" s="448"/>
      <c r="AS359" s="448"/>
      <c r="AT359" s="448"/>
      <c r="AU359" s="448"/>
      <c r="AV359" s="448"/>
      <c r="AW359" s="448"/>
      <c r="AX359" s="448"/>
    </row>
    <row r="360" spans="1:50" x14ac:dyDescent="0.4">
      <c r="A360" s="442" t="str">
        <f t="shared" si="59"/>
        <v>81955</v>
      </c>
      <c r="B360" s="442">
        <v>20302</v>
      </c>
      <c r="C360" s="455">
        <v>-2.5000000000000001E-3</v>
      </c>
      <c r="D360" s="438">
        <v>5.1999999999999998E-3</v>
      </c>
      <c r="E360" s="438">
        <v>2.7000000000000001E-3</v>
      </c>
      <c r="F360" s="438">
        <v>2.5916666666666666E-3</v>
      </c>
      <c r="G360" s="438">
        <v>2.6666666666666666E-3</v>
      </c>
      <c r="H360" s="438">
        <v>2.6291666666666668E-3</v>
      </c>
      <c r="I360" s="438">
        <v>2.7000000000000001E-3</v>
      </c>
      <c r="J360" s="438">
        <f t="shared" si="60"/>
        <v>-5.1999999999999998E-3</v>
      </c>
      <c r="K360" s="438">
        <f t="shared" si="64"/>
        <v>-5.1291666666666673E-3</v>
      </c>
      <c r="L360" s="438">
        <f t="shared" si="65"/>
        <v>2.4999999999999996E-3</v>
      </c>
      <c r="M360" s="446">
        <f t="shared" si="61"/>
        <v>0.51138077637111135</v>
      </c>
      <c r="N360" s="446">
        <f t="shared" si="62"/>
        <v>3.2399999999999998E-2</v>
      </c>
      <c r="O360" s="446">
        <f t="shared" ref="O360:O423" si="66">H360*12</f>
        <v>3.1550000000000002E-2</v>
      </c>
      <c r="P360" s="447">
        <f t="shared" si="63"/>
        <v>0.47898077637111136</v>
      </c>
      <c r="Q360" s="446">
        <f t="shared" ref="Q360:Q423" si="67">M360-O360</f>
        <v>0.47983077637111132</v>
      </c>
      <c r="R360" s="446">
        <f t="shared" ref="R360:R423" si="68">((1+D349)*(1+D350)*(1+D351)*(1+D352)*(1+D353)*(1+D354)*(1+D355)*(1+D356)*(1+D357)*(1+D358)*(1+D359)*(1+D360))-1</f>
        <v>0.21094035775750575</v>
      </c>
      <c r="S360" s="446">
        <f t="shared" ref="S360:S423" si="69">I360*12</f>
        <v>3.2399999999999998E-2</v>
      </c>
      <c r="T360" s="447">
        <f t="shared" ref="T360:T423" si="70">R360-S360</f>
        <v>0.17854035775750576</v>
      </c>
      <c r="V360" s="448"/>
      <c r="W360" s="448"/>
      <c r="X360" s="448"/>
      <c r="Y360" s="448"/>
      <c r="Z360" s="448"/>
      <c r="AA360" s="448"/>
      <c r="AB360" s="448"/>
      <c r="AC360" s="448"/>
      <c r="AD360" s="448"/>
      <c r="AF360" s="448"/>
      <c r="AG360" s="448"/>
      <c r="AH360" s="448"/>
      <c r="AI360" s="448"/>
      <c r="AJ360" s="448"/>
      <c r="AK360" s="448"/>
      <c r="AL360" s="448"/>
      <c r="AM360" s="448"/>
      <c r="AN360" s="448"/>
      <c r="AP360" s="448"/>
      <c r="AQ360" s="448"/>
      <c r="AR360" s="448"/>
      <c r="AS360" s="448"/>
      <c r="AT360" s="448"/>
      <c r="AU360" s="448"/>
      <c r="AV360" s="448"/>
      <c r="AW360" s="448"/>
      <c r="AX360" s="448"/>
    </row>
    <row r="361" spans="1:50" x14ac:dyDescent="0.4">
      <c r="A361" s="442" t="str">
        <f t="shared" ref="A361:A424" si="71">MONTH(B361)&amp;YEAR(B361)</f>
        <v>91955</v>
      </c>
      <c r="B361" s="442">
        <v>20333</v>
      </c>
      <c r="C361" s="455">
        <v>1.2999999999999999E-2</v>
      </c>
      <c r="D361" s="438">
        <v>-2.8999999999999998E-2</v>
      </c>
      <c r="E361" s="438">
        <v>2.3999999999999998E-3</v>
      </c>
      <c r="F361" s="438">
        <v>2.6083333333333332E-3</v>
      </c>
      <c r="G361" s="438">
        <v>2.6833333333333336E-3</v>
      </c>
      <c r="H361" s="438">
        <v>2.6458333333333334E-3</v>
      </c>
      <c r="I361" s="438">
        <v>2.725E-3</v>
      </c>
      <c r="J361" s="438">
        <f t="shared" si="60"/>
        <v>1.06E-2</v>
      </c>
      <c r="K361" s="438">
        <f t="shared" si="64"/>
        <v>1.0354166666666666E-2</v>
      </c>
      <c r="L361" s="438">
        <f t="shared" si="65"/>
        <v>-3.1724999999999996E-2</v>
      </c>
      <c r="M361" s="446">
        <f t="shared" si="61"/>
        <v>0.41095634177857931</v>
      </c>
      <c r="N361" s="446">
        <f t="shared" si="62"/>
        <v>2.8799999999999999E-2</v>
      </c>
      <c r="O361" s="446">
        <f t="shared" si="66"/>
        <v>3.175E-2</v>
      </c>
      <c r="P361" s="447">
        <f t="shared" si="63"/>
        <v>0.38215634177857932</v>
      </c>
      <c r="Q361" s="446">
        <f t="shared" si="67"/>
        <v>0.37920634177857931</v>
      </c>
      <c r="R361" s="446">
        <f t="shared" si="68"/>
        <v>0.15525946883723485</v>
      </c>
      <c r="S361" s="446">
        <f t="shared" si="69"/>
        <v>3.27E-2</v>
      </c>
      <c r="T361" s="447">
        <f t="shared" si="70"/>
        <v>0.12255946883723484</v>
      </c>
      <c r="V361" s="448"/>
      <c r="W361" s="448"/>
      <c r="X361" s="448"/>
      <c r="Y361" s="448"/>
      <c r="Z361" s="448"/>
      <c r="AA361" s="448"/>
      <c r="AB361" s="448"/>
      <c r="AC361" s="448"/>
      <c r="AD361" s="448"/>
      <c r="AF361" s="448"/>
      <c r="AG361" s="448"/>
      <c r="AH361" s="448"/>
      <c r="AI361" s="448"/>
      <c r="AJ361" s="448"/>
      <c r="AK361" s="448"/>
      <c r="AL361" s="448"/>
      <c r="AM361" s="448"/>
      <c r="AN361" s="448"/>
      <c r="AP361" s="448"/>
      <c r="AQ361" s="448"/>
      <c r="AR361" s="448"/>
      <c r="AS361" s="448"/>
      <c r="AT361" s="448"/>
      <c r="AU361" s="448"/>
      <c r="AV361" s="448"/>
      <c r="AW361" s="448"/>
      <c r="AX361" s="448"/>
    </row>
    <row r="362" spans="1:50" x14ac:dyDescent="0.4">
      <c r="A362" s="442" t="str">
        <f t="shared" si="71"/>
        <v>101955</v>
      </c>
      <c r="B362" s="442">
        <v>20363</v>
      </c>
      <c r="C362" s="455">
        <v>-2.8400000000000002E-2</v>
      </c>
      <c r="D362" s="438">
        <v>-8.5000000000000006E-3</v>
      </c>
      <c r="E362" s="438">
        <v>2.5000000000000001E-3</v>
      </c>
      <c r="F362" s="438">
        <v>2.5833333333333337E-3</v>
      </c>
      <c r="G362" s="438">
        <v>2.6583333333333333E-3</v>
      </c>
      <c r="H362" s="438">
        <v>2.6208333333333335E-3</v>
      </c>
      <c r="I362" s="438">
        <v>2.7500000000000003E-3</v>
      </c>
      <c r="J362" s="438">
        <f t="shared" si="60"/>
        <v>-3.09E-2</v>
      </c>
      <c r="K362" s="438">
        <f t="shared" si="64"/>
        <v>-3.1020833333333334E-2</v>
      </c>
      <c r="L362" s="438">
        <f t="shared" si="65"/>
        <v>-1.1250000000000001E-2</v>
      </c>
      <c r="M362" s="446">
        <f t="shared" si="61"/>
        <v>0.39416778365917549</v>
      </c>
      <c r="N362" s="446">
        <f t="shared" si="62"/>
        <v>0.03</v>
      </c>
      <c r="O362" s="446">
        <f t="shared" si="66"/>
        <v>3.1450000000000006E-2</v>
      </c>
      <c r="P362" s="447">
        <f t="shared" si="63"/>
        <v>0.36416778365917546</v>
      </c>
      <c r="Q362" s="446">
        <f t="shared" si="67"/>
        <v>0.36271778365917551</v>
      </c>
      <c r="R362" s="446">
        <f t="shared" si="68"/>
        <v>0.18920241211806377</v>
      </c>
      <c r="S362" s="446">
        <f t="shared" si="69"/>
        <v>3.3000000000000002E-2</v>
      </c>
      <c r="T362" s="447">
        <f t="shared" si="70"/>
        <v>0.15620241211806377</v>
      </c>
      <c r="V362" s="448"/>
      <c r="W362" s="448"/>
      <c r="X362" s="448"/>
      <c r="Y362" s="448"/>
      <c r="Z362" s="448"/>
      <c r="AA362" s="448"/>
      <c r="AB362" s="448"/>
      <c r="AC362" s="448"/>
      <c r="AD362" s="448"/>
      <c r="AF362" s="448"/>
      <c r="AG362" s="448"/>
      <c r="AH362" s="448"/>
      <c r="AI362" s="448"/>
      <c r="AJ362" s="448"/>
      <c r="AK362" s="448"/>
      <c r="AL362" s="448"/>
      <c r="AM362" s="448"/>
      <c r="AN362" s="448"/>
      <c r="AP362" s="448"/>
      <c r="AQ362" s="448"/>
      <c r="AR362" s="448"/>
      <c r="AS362" s="448"/>
      <c r="AT362" s="448"/>
      <c r="AU362" s="448"/>
      <c r="AV362" s="448"/>
      <c r="AW362" s="448"/>
      <c r="AX362" s="448"/>
    </row>
    <row r="363" spans="1:50" x14ac:dyDescent="0.4">
      <c r="A363" s="442" t="str">
        <f t="shared" si="71"/>
        <v>111955</v>
      </c>
      <c r="B363" s="442">
        <v>20394</v>
      </c>
      <c r="C363" s="455">
        <v>8.2699999999999996E-2</v>
      </c>
      <c r="D363" s="438">
        <v>2.92E-2</v>
      </c>
      <c r="E363" s="438">
        <v>2.3999999999999998E-3</v>
      </c>
      <c r="F363" s="438">
        <v>2.5833333333333337E-3</v>
      </c>
      <c r="G363" s="438">
        <v>2.65E-3</v>
      </c>
      <c r="H363" s="438">
        <v>2.6166666666666673E-3</v>
      </c>
      <c r="I363" s="438">
        <v>2.7666666666666668E-3</v>
      </c>
      <c r="J363" s="438">
        <f t="shared" si="60"/>
        <v>8.0299999999999996E-2</v>
      </c>
      <c r="K363" s="438">
        <f t="shared" si="64"/>
        <v>8.0083333333333326E-2</v>
      </c>
      <c r="L363" s="438">
        <f t="shared" si="65"/>
        <v>2.6433333333333333E-2</v>
      </c>
      <c r="M363" s="446">
        <f t="shared" si="61"/>
        <v>0.38368820182215502</v>
      </c>
      <c r="N363" s="446">
        <f t="shared" si="62"/>
        <v>2.8799999999999999E-2</v>
      </c>
      <c r="O363" s="446">
        <f t="shared" si="66"/>
        <v>3.1400000000000011E-2</v>
      </c>
      <c r="P363" s="447">
        <f t="shared" si="63"/>
        <v>0.35488820182215502</v>
      </c>
      <c r="Q363" s="446">
        <f t="shared" si="67"/>
        <v>0.35228820182215503</v>
      </c>
      <c r="R363" s="446">
        <f t="shared" si="68"/>
        <v>0.15847337676470508</v>
      </c>
      <c r="S363" s="446">
        <f t="shared" si="69"/>
        <v>3.32E-2</v>
      </c>
      <c r="T363" s="447">
        <f t="shared" si="70"/>
        <v>0.12527337676470507</v>
      </c>
      <c r="V363" s="448"/>
      <c r="W363" s="448"/>
      <c r="X363" s="448"/>
      <c r="Y363" s="448"/>
      <c r="Z363" s="448"/>
      <c r="AA363" s="448"/>
      <c r="AB363" s="448"/>
      <c r="AC363" s="448"/>
      <c r="AD363" s="448"/>
      <c r="AF363" s="448"/>
      <c r="AG363" s="448"/>
      <c r="AH363" s="448"/>
      <c r="AI363" s="448"/>
      <c r="AJ363" s="448"/>
      <c r="AK363" s="448"/>
      <c r="AL363" s="448"/>
      <c r="AM363" s="448"/>
      <c r="AN363" s="448"/>
      <c r="AP363" s="448"/>
      <c r="AQ363" s="448"/>
      <c r="AR363" s="448"/>
      <c r="AS363" s="448"/>
      <c r="AT363" s="448"/>
      <c r="AU363" s="448"/>
      <c r="AV363" s="448"/>
      <c r="AW363" s="448"/>
      <c r="AX363" s="448"/>
    </row>
    <row r="364" spans="1:50" x14ac:dyDescent="0.4">
      <c r="A364" s="442" t="str">
        <f t="shared" si="71"/>
        <v>121955</v>
      </c>
      <c r="B364" s="442">
        <v>20424</v>
      </c>
      <c r="C364" s="455">
        <v>1.5E-3</v>
      </c>
      <c r="D364" s="438">
        <v>-6.7000000000000002E-3</v>
      </c>
      <c r="E364" s="438">
        <v>2.3999999999999998E-3</v>
      </c>
      <c r="F364" s="438">
        <v>2.6250000000000002E-3</v>
      </c>
      <c r="G364" s="438">
        <v>2.6833333333333336E-3</v>
      </c>
      <c r="H364" s="438">
        <v>2.6541666666666671E-3</v>
      </c>
      <c r="I364" s="438">
        <v>2.7916666666666667E-3</v>
      </c>
      <c r="J364" s="438">
        <f t="shared" si="60"/>
        <v>-8.9999999999999976E-4</v>
      </c>
      <c r="K364" s="438">
        <f t="shared" si="64"/>
        <v>-1.1541666666666671E-3</v>
      </c>
      <c r="L364" s="438">
        <f t="shared" si="65"/>
        <v>-9.4916666666666673E-3</v>
      </c>
      <c r="M364" s="446">
        <f t="shared" si="61"/>
        <v>0.31551522130709064</v>
      </c>
      <c r="N364" s="446">
        <f t="shared" si="62"/>
        <v>2.8799999999999999E-2</v>
      </c>
      <c r="O364" s="446">
        <f t="shared" si="66"/>
        <v>3.1850000000000003E-2</v>
      </c>
      <c r="P364" s="447">
        <f t="shared" si="63"/>
        <v>0.28671522130709065</v>
      </c>
      <c r="Q364" s="446">
        <f t="shared" si="67"/>
        <v>0.28366522130709065</v>
      </c>
      <c r="R364" s="446">
        <f t="shared" si="68"/>
        <v>0.11276627515751003</v>
      </c>
      <c r="S364" s="446">
        <f t="shared" si="69"/>
        <v>3.3500000000000002E-2</v>
      </c>
      <c r="T364" s="447">
        <f t="shared" si="70"/>
        <v>7.926627515751003E-2</v>
      </c>
      <c r="V364" s="448"/>
      <c r="W364" s="448"/>
      <c r="X364" s="448"/>
      <c r="Y364" s="448"/>
      <c r="Z364" s="448"/>
      <c r="AA364" s="448"/>
      <c r="AB364" s="448"/>
      <c r="AC364" s="448"/>
      <c r="AD364" s="448"/>
      <c r="AF364" s="448"/>
      <c r="AG364" s="448"/>
      <c r="AH364" s="448"/>
      <c r="AI364" s="448"/>
      <c r="AJ364" s="448"/>
      <c r="AK364" s="448"/>
      <c r="AL364" s="448"/>
      <c r="AM364" s="448"/>
      <c r="AN364" s="448"/>
      <c r="AP364" s="448"/>
      <c r="AQ364" s="448"/>
      <c r="AR364" s="448"/>
      <c r="AS364" s="448"/>
      <c r="AT364" s="448"/>
      <c r="AU364" s="448"/>
      <c r="AV364" s="448"/>
      <c r="AW364" s="448"/>
      <c r="AX364" s="448"/>
    </row>
    <row r="365" spans="1:50" x14ac:dyDescent="0.4">
      <c r="A365" s="442" t="str">
        <f t="shared" si="71"/>
        <v>11956</v>
      </c>
      <c r="B365" s="442">
        <v>20455</v>
      </c>
      <c r="C365" s="455">
        <v>-3.4700000000000002E-2</v>
      </c>
      <c r="D365" s="438">
        <v>3.0000000000000001E-3</v>
      </c>
      <c r="E365" s="438">
        <v>2.5000000000000001E-3</v>
      </c>
      <c r="F365" s="438">
        <v>2.5916666666666666E-3</v>
      </c>
      <c r="G365" s="438">
        <v>2.6583333333333333E-3</v>
      </c>
      <c r="H365" s="438">
        <v>2.6249999999999997E-3</v>
      </c>
      <c r="I365" s="438">
        <v>2.7583333333333331E-3</v>
      </c>
      <c r="J365" s="438">
        <f t="shared" si="60"/>
        <v>-3.7200000000000004E-2</v>
      </c>
      <c r="K365" s="438">
        <f t="shared" si="64"/>
        <v>-3.7325000000000004E-2</v>
      </c>
      <c r="L365" s="438">
        <f t="shared" si="65"/>
        <v>2.4166666666666694E-4</v>
      </c>
      <c r="M365" s="446">
        <f t="shared" si="61"/>
        <v>0.2453337679001022</v>
      </c>
      <c r="N365" s="446">
        <f t="shared" si="62"/>
        <v>0.03</v>
      </c>
      <c r="O365" s="446">
        <f t="shared" si="66"/>
        <v>3.15E-2</v>
      </c>
      <c r="P365" s="447">
        <f t="shared" si="63"/>
        <v>0.2153337679001022</v>
      </c>
      <c r="Q365" s="446">
        <f t="shared" si="67"/>
        <v>0.2138337679001022</v>
      </c>
      <c r="R365" s="446">
        <f t="shared" si="68"/>
        <v>0.10036929309177012</v>
      </c>
      <c r="S365" s="446">
        <f t="shared" si="69"/>
        <v>3.3099999999999997E-2</v>
      </c>
      <c r="T365" s="447">
        <f t="shared" si="70"/>
        <v>6.7269293091770127E-2</v>
      </c>
      <c r="V365" s="448"/>
      <c r="W365" s="448"/>
      <c r="X365" s="448"/>
      <c r="Y365" s="448"/>
      <c r="Z365" s="448"/>
      <c r="AA365" s="448"/>
      <c r="AB365" s="448"/>
      <c r="AC365" s="448"/>
      <c r="AD365" s="448"/>
      <c r="AF365" s="448"/>
      <c r="AG365" s="448"/>
      <c r="AH365" s="448"/>
      <c r="AI365" s="448"/>
      <c r="AJ365" s="448"/>
      <c r="AK365" s="448"/>
      <c r="AL365" s="448"/>
      <c r="AM365" s="448"/>
      <c r="AN365" s="448"/>
      <c r="AP365" s="448"/>
      <c r="AQ365" s="448"/>
      <c r="AR365" s="448"/>
      <c r="AS365" s="448"/>
      <c r="AT365" s="448"/>
      <c r="AU365" s="448"/>
      <c r="AV365" s="448"/>
      <c r="AW365" s="448"/>
      <c r="AX365" s="448"/>
    </row>
    <row r="366" spans="1:50" x14ac:dyDescent="0.4">
      <c r="A366" s="442" t="str">
        <f t="shared" si="71"/>
        <v>21956</v>
      </c>
      <c r="B366" s="442">
        <v>20486</v>
      </c>
      <c r="C366" s="455">
        <v>4.1300000000000003E-2</v>
      </c>
      <c r="D366" s="438">
        <v>1.78E-2</v>
      </c>
      <c r="E366" s="438">
        <v>2.3E-3</v>
      </c>
      <c r="F366" s="438">
        <v>2.5666666666666667E-3</v>
      </c>
      <c r="G366" s="438">
        <v>2.6333333333333334E-3</v>
      </c>
      <c r="H366" s="438">
        <v>2.5999999999999999E-3</v>
      </c>
      <c r="I366" s="438">
        <v>2.7416666666666666E-3</v>
      </c>
      <c r="J366" s="438">
        <f t="shared" si="60"/>
        <v>3.9000000000000007E-2</v>
      </c>
      <c r="K366" s="438">
        <f t="shared" si="64"/>
        <v>3.8700000000000005E-2</v>
      </c>
      <c r="L366" s="438">
        <f t="shared" si="65"/>
        <v>1.5058333333333333E-2</v>
      </c>
      <c r="M366" s="446">
        <f t="shared" si="61"/>
        <v>0.28418107795046166</v>
      </c>
      <c r="N366" s="446">
        <f t="shared" si="62"/>
        <v>2.76E-2</v>
      </c>
      <c r="O366" s="446">
        <f t="shared" si="66"/>
        <v>3.1199999999999999E-2</v>
      </c>
      <c r="P366" s="447">
        <f t="shared" si="63"/>
        <v>0.25658107795046164</v>
      </c>
      <c r="Q366" s="446">
        <f t="shared" si="67"/>
        <v>0.25298107795046165</v>
      </c>
      <c r="R366" s="446">
        <f t="shared" si="68"/>
        <v>8.2710621141534935E-2</v>
      </c>
      <c r="S366" s="446">
        <f t="shared" si="69"/>
        <v>3.2899999999999999E-2</v>
      </c>
      <c r="T366" s="447">
        <f t="shared" si="70"/>
        <v>4.9810621141534936E-2</v>
      </c>
      <c r="V366" s="448"/>
      <c r="W366" s="448"/>
      <c r="X366" s="448"/>
      <c r="Y366" s="448"/>
      <c r="Z366" s="448"/>
      <c r="AA366" s="448"/>
      <c r="AB366" s="448"/>
      <c r="AC366" s="448"/>
      <c r="AD366" s="448"/>
      <c r="AF366" s="448"/>
      <c r="AG366" s="448"/>
      <c r="AH366" s="448"/>
      <c r="AI366" s="448"/>
      <c r="AJ366" s="448"/>
      <c r="AK366" s="448"/>
      <c r="AL366" s="448"/>
      <c r="AM366" s="448"/>
      <c r="AN366" s="448"/>
      <c r="AP366" s="448"/>
      <c r="AQ366" s="448"/>
      <c r="AR366" s="448"/>
      <c r="AS366" s="448"/>
      <c r="AT366" s="448"/>
      <c r="AU366" s="448"/>
      <c r="AV366" s="448"/>
      <c r="AW366" s="448"/>
      <c r="AX366" s="448"/>
    </row>
    <row r="367" spans="1:50" x14ac:dyDescent="0.4">
      <c r="A367" s="442" t="str">
        <f t="shared" si="71"/>
        <v>31956</v>
      </c>
      <c r="B367" s="442">
        <v>20515</v>
      </c>
      <c r="C367" s="455">
        <v>7.0999999999999994E-2</v>
      </c>
      <c r="D367" s="438">
        <v>3.9399999999999998E-2</v>
      </c>
      <c r="E367" s="438">
        <v>2.3E-3</v>
      </c>
      <c r="F367" s="438">
        <v>2.5833333333333337E-3</v>
      </c>
      <c r="G367" s="438">
        <v>2.65E-3</v>
      </c>
      <c r="H367" s="438">
        <v>2.6166666666666673E-3</v>
      </c>
      <c r="I367" s="438">
        <v>2.7416666666666666E-3</v>
      </c>
      <c r="J367" s="438">
        <f t="shared" si="60"/>
        <v>6.8699999999999997E-2</v>
      </c>
      <c r="K367" s="438">
        <f t="shared" si="64"/>
        <v>6.8383333333333324E-2</v>
      </c>
      <c r="L367" s="438">
        <f t="shared" si="65"/>
        <v>3.6658333333333334E-2</v>
      </c>
      <c r="M367" s="446">
        <f t="shared" si="61"/>
        <v>0.37949642375621284</v>
      </c>
      <c r="N367" s="446">
        <f t="shared" si="62"/>
        <v>2.76E-2</v>
      </c>
      <c r="O367" s="446">
        <f t="shared" si="66"/>
        <v>3.1400000000000011E-2</v>
      </c>
      <c r="P367" s="447">
        <f t="shared" si="63"/>
        <v>0.35189642375621283</v>
      </c>
      <c r="Q367" s="446">
        <f t="shared" si="67"/>
        <v>0.34809642375621286</v>
      </c>
      <c r="R367" s="446">
        <f t="shared" si="68"/>
        <v>0.13788616745653348</v>
      </c>
      <c r="S367" s="446">
        <f t="shared" si="69"/>
        <v>3.2899999999999999E-2</v>
      </c>
      <c r="T367" s="447">
        <f t="shared" si="70"/>
        <v>0.10498616745653348</v>
      </c>
      <c r="V367" s="448"/>
      <c r="W367" s="448"/>
      <c r="X367" s="448"/>
      <c r="Y367" s="448"/>
      <c r="Z367" s="448"/>
      <c r="AA367" s="448"/>
      <c r="AB367" s="448"/>
      <c r="AC367" s="448"/>
      <c r="AD367" s="448"/>
      <c r="AF367" s="448"/>
      <c r="AG367" s="448"/>
      <c r="AH367" s="448"/>
      <c r="AI367" s="448"/>
      <c r="AJ367" s="448"/>
      <c r="AK367" s="448"/>
      <c r="AL367" s="448"/>
      <c r="AM367" s="448"/>
      <c r="AN367" s="448"/>
      <c r="AP367" s="448"/>
      <c r="AQ367" s="448"/>
      <c r="AR367" s="448"/>
      <c r="AS367" s="448"/>
      <c r="AT367" s="448"/>
      <c r="AU367" s="448"/>
      <c r="AV367" s="448"/>
      <c r="AW367" s="448"/>
      <c r="AX367" s="448"/>
    </row>
    <row r="368" spans="1:50" x14ac:dyDescent="0.4">
      <c r="A368" s="442" t="str">
        <f t="shared" si="71"/>
        <v>41956</v>
      </c>
      <c r="B368" s="442">
        <v>20546</v>
      </c>
      <c r="C368" s="455">
        <v>-4.0000000000000002E-4</v>
      </c>
      <c r="D368" s="438">
        <v>-2.87E-2</v>
      </c>
      <c r="E368" s="438">
        <v>2.5999999999999999E-3</v>
      </c>
      <c r="F368" s="438">
        <v>2.7000000000000001E-3</v>
      </c>
      <c r="G368" s="438">
        <v>2.7499999999999998E-3</v>
      </c>
      <c r="H368" s="438">
        <v>2.7249999999999996E-3</v>
      </c>
      <c r="I368" s="438">
        <v>2.8333333333333331E-3</v>
      </c>
      <c r="J368" s="438">
        <f t="shared" si="60"/>
        <v>-3.0000000000000001E-3</v>
      </c>
      <c r="K368" s="438">
        <f t="shared" si="64"/>
        <v>-3.1249999999999997E-3</v>
      </c>
      <c r="L368" s="438">
        <f t="shared" si="65"/>
        <v>-3.153333333333333E-2</v>
      </c>
      <c r="M368" s="446">
        <f t="shared" si="61"/>
        <v>0.3264184543927573</v>
      </c>
      <c r="N368" s="446">
        <f t="shared" si="62"/>
        <v>3.1199999999999999E-2</v>
      </c>
      <c r="O368" s="446">
        <f t="shared" si="66"/>
        <v>3.2699999999999993E-2</v>
      </c>
      <c r="P368" s="447">
        <f t="shared" si="63"/>
        <v>0.29521845439275729</v>
      </c>
      <c r="Q368" s="446">
        <f t="shared" si="67"/>
        <v>0.29371845439275729</v>
      </c>
      <c r="R368" s="446">
        <f t="shared" si="68"/>
        <v>8.3345260194600312E-2</v>
      </c>
      <c r="S368" s="446">
        <f t="shared" si="69"/>
        <v>3.3999999999999996E-2</v>
      </c>
      <c r="T368" s="447">
        <f t="shared" si="70"/>
        <v>4.9345260194600317E-2</v>
      </c>
      <c r="V368" s="448"/>
      <c r="W368" s="448"/>
      <c r="X368" s="448"/>
      <c r="Y368" s="448"/>
      <c r="Z368" s="448"/>
      <c r="AA368" s="448"/>
      <c r="AB368" s="448"/>
      <c r="AC368" s="448"/>
      <c r="AD368" s="448"/>
      <c r="AF368" s="448"/>
      <c r="AG368" s="448"/>
      <c r="AH368" s="448"/>
      <c r="AI368" s="448"/>
      <c r="AJ368" s="448"/>
      <c r="AK368" s="448"/>
      <c r="AL368" s="448"/>
      <c r="AM368" s="448"/>
      <c r="AN368" s="448"/>
      <c r="AP368" s="448"/>
      <c r="AQ368" s="448"/>
      <c r="AR368" s="448"/>
      <c r="AS368" s="448"/>
      <c r="AT368" s="448"/>
      <c r="AU368" s="448"/>
      <c r="AV368" s="448"/>
      <c r="AW368" s="448"/>
      <c r="AX368" s="448"/>
    </row>
    <row r="369" spans="1:50" x14ac:dyDescent="0.4">
      <c r="A369" s="442" t="str">
        <f t="shared" si="71"/>
        <v>51956</v>
      </c>
      <c r="B369" s="442">
        <v>20576</v>
      </c>
      <c r="C369" s="455">
        <v>-5.9299999999999999E-2</v>
      </c>
      <c r="D369" s="438">
        <v>-1.38E-2</v>
      </c>
      <c r="E369" s="438">
        <v>2.5999999999999999E-3</v>
      </c>
      <c r="F369" s="438">
        <v>2.7333333333333333E-3</v>
      </c>
      <c r="G369" s="438">
        <v>2.7833333333333334E-3</v>
      </c>
      <c r="H369" s="438">
        <v>2.7583333333333331E-3</v>
      </c>
      <c r="I369" s="438">
        <v>2.8999999999999998E-3</v>
      </c>
      <c r="J369" s="438">
        <f t="shared" si="60"/>
        <v>-6.1899999999999997E-2</v>
      </c>
      <c r="K369" s="438">
        <f t="shared" si="64"/>
        <v>-6.2058333333333333E-2</v>
      </c>
      <c r="L369" s="438">
        <f t="shared" si="65"/>
        <v>-1.67E-2</v>
      </c>
      <c r="M369" s="446">
        <f t="shared" si="61"/>
        <v>0.24093668826182668</v>
      </c>
      <c r="N369" s="446">
        <f t="shared" si="62"/>
        <v>3.1199999999999999E-2</v>
      </c>
      <c r="O369" s="446">
        <f t="shared" si="66"/>
        <v>3.3099999999999997E-2</v>
      </c>
      <c r="P369" s="447">
        <f t="shared" si="63"/>
        <v>0.20973668826182668</v>
      </c>
      <c r="Q369" s="446">
        <f t="shared" si="67"/>
        <v>0.20783668826182669</v>
      </c>
      <c r="R369" s="446">
        <f t="shared" si="68"/>
        <v>7.4627937642239184E-2</v>
      </c>
      <c r="S369" s="446">
        <f t="shared" si="69"/>
        <v>3.4799999999999998E-2</v>
      </c>
      <c r="T369" s="447">
        <f t="shared" si="70"/>
        <v>3.9827937642239186E-2</v>
      </c>
      <c r="V369" s="448"/>
      <c r="W369" s="448"/>
      <c r="X369" s="448"/>
      <c r="Y369" s="448"/>
      <c r="Z369" s="448"/>
      <c r="AA369" s="448"/>
      <c r="AB369" s="448"/>
      <c r="AC369" s="448"/>
      <c r="AD369" s="448"/>
      <c r="AF369" s="448"/>
      <c r="AG369" s="448"/>
      <c r="AH369" s="448"/>
      <c r="AI369" s="448"/>
      <c r="AJ369" s="448"/>
      <c r="AK369" s="448"/>
      <c r="AL369" s="448"/>
      <c r="AM369" s="448"/>
      <c r="AN369" s="448"/>
      <c r="AP369" s="448"/>
      <c r="AQ369" s="448"/>
      <c r="AR369" s="448"/>
      <c r="AS369" s="448"/>
      <c r="AT369" s="448"/>
      <c r="AU369" s="448"/>
      <c r="AV369" s="448"/>
      <c r="AW369" s="448"/>
      <c r="AX369" s="448"/>
    </row>
    <row r="370" spans="1:50" x14ac:dyDescent="0.4">
      <c r="A370" s="442" t="str">
        <f t="shared" si="71"/>
        <v>61956</v>
      </c>
      <c r="B370" s="442">
        <v>20607</v>
      </c>
      <c r="C370" s="455">
        <v>4.0899999999999999E-2</v>
      </c>
      <c r="D370" s="438">
        <v>2.1099999999999997E-2</v>
      </c>
      <c r="E370" s="438">
        <v>2.3E-3</v>
      </c>
      <c r="F370" s="438">
        <v>2.7166666666666667E-3</v>
      </c>
      <c r="G370" s="438">
        <v>2.7916666666666667E-3</v>
      </c>
      <c r="H370" s="438">
        <v>2.7541666666666665E-3</v>
      </c>
      <c r="I370" s="438">
        <v>2.9083333333333335E-3</v>
      </c>
      <c r="J370" s="438">
        <f t="shared" si="60"/>
        <v>3.8599999999999995E-2</v>
      </c>
      <c r="K370" s="438">
        <f t="shared" si="64"/>
        <v>3.814583333333333E-2</v>
      </c>
      <c r="L370" s="438">
        <f t="shared" si="65"/>
        <v>1.8191666666666665E-2</v>
      </c>
      <c r="M370" s="446">
        <f t="shared" si="61"/>
        <v>0.19148694660246757</v>
      </c>
      <c r="N370" s="446">
        <f t="shared" si="62"/>
        <v>2.76E-2</v>
      </c>
      <c r="O370" s="446">
        <f t="shared" si="66"/>
        <v>3.3049999999999996E-2</v>
      </c>
      <c r="P370" s="447">
        <f t="shared" si="63"/>
        <v>0.16388694660246755</v>
      </c>
      <c r="Q370" s="446">
        <f t="shared" si="67"/>
        <v>0.15843694660246757</v>
      </c>
      <c r="R370" s="446">
        <f t="shared" si="68"/>
        <v>7.4627937642239628E-2</v>
      </c>
      <c r="S370" s="446">
        <f t="shared" si="69"/>
        <v>3.49E-2</v>
      </c>
      <c r="T370" s="447">
        <f t="shared" si="70"/>
        <v>3.9727937642239627E-2</v>
      </c>
      <c r="V370" s="448"/>
      <c r="W370" s="448"/>
      <c r="X370" s="448"/>
      <c r="Y370" s="448"/>
      <c r="Z370" s="448"/>
      <c r="AA370" s="448"/>
      <c r="AB370" s="448"/>
      <c r="AC370" s="448"/>
      <c r="AD370" s="448"/>
      <c r="AF370" s="448"/>
      <c r="AG370" s="448"/>
      <c r="AH370" s="448"/>
      <c r="AI370" s="448"/>
      <c r="AJ370" s="448"/>
      <c r="AK370" s="448"/>
      <c r="AL370" s="448"/>
      <c r="AM370" s="448"/>
      <c r="AN370" s="448"/>
      <c r="AP370" s="448"/>
      <c r="AQ370" s="448"/>
      <c r="AR370" s="448"/>
      <c r="AS370" s="448"/>
      <c r="AT370" s="448"/>
      <c r="AU370" s="448"/>
      <c r="AV370" s="448"/>
      <c r="AW370" s="448"/>
      <c r="AX370" s="448"/>
    </row>
    <row r="371" spans="1:50" x14ac:dyDescent="0.4">
      <c r="A371" s="442" t="str">
        <f t="shared" si="71"/>
        <v>71956</v>
      </c>
      <c r="B371" s="442">
        <v>20637</v>
      </c>
      <c r="C371" s="455">
        <v>5.2999999999999999E-2</v>
      </c>
      <c r="D371" s="438">
        <v>5.2500000000000012E-2</v>
      </c>
      <c r="E371" s="438">
        <v>2.5999999999999999E-3</v>
      </c>
      <c r="F371" s="438">
        <v>2.7333333333333333E-3</v>
      </c>
      <c r="G371" s="438">
        <v>2.8250000000000003E-3</v>
      </c>
      <c r="H371" s="438">
        <v>2.7791666666666672E-3</v>
      </c>
      <c r="I371" s="438">
        <v>2.9583333333333332E-3</v>
      </c>
      <c r="J371" s="438">
        <f t="shared" si="60"/>
        <v>5.04E-2</v>
      </c>
      <c r="K371" s="438">
        <f t="shared" si="64"/>
        <v>5.0220833333333333E-2</v>
      </c>
      <c r="L371" s="438">
        <f t="shared" si="65"/>
        <v>4.9541666666666678E-2</v>
      </c>
      <c r="M371" s="446">
        <f t="shared" si="61"/>
        <v>0.18116715757145396</v>
      </c>
      <c r="N371" s="446">
        <f t="shared" si="62"/>
        <v>3.1199999999999999E-2</v>
      </c>
      <c r="O371" s="446">
        <f t="shared" si="66"/>
        <v>3.3350000000000005E-2</v>
      </c>
      <c r="P371" s="447">
        <f t="shared" si="63"/>
        <v>0.14996715757145396</v>
      </c>
      <c r="Q371" s="446">
        <f t="shared" si="67"/>
        <v>0.14781715757145397</v>
      </c>
      <c r="R371" s="446">
        <f t="shared" si="68"/>
        <v>8.0685939583849953E-2</v>
      </c>
      <c r="S371" s="446">
        <f t="shared" si="69"/>
        <v>3.5499999999999997E-2</v>
      </c>
      <c r="T371" s="447">
        <f t="shared" si="70"/>
        <v>4.5185939583849956E-2</v>
      </c>
      <c r="V371" s="448"/>
      <c r="W371" s="448"/>
      <c r="X371" s="448"/>
      <c r="Y371" s="448"/>
      <c r="Z371" s="448"/>
      <c r="AA371" s="448"/>
      <c r="AB371" s="448"/>
      <c r="AC371" s="448"/>
      <c r="AD371" s="448"/>
      <c r="AF371" s="448"/>
      <c r="AG371" s="448"/>
      <c r="AH371" s="448"/>
      <c r="AI371" s="448"/>
      <c r="AJ371" s="448"/>
      <c r="AK371" s="448"/>
      <c r="AL371" s="448"/>
      <c r="AM371" s="448"/>
      <c r="AN371" s="448"/>
      <c r="AP371" s="448"/>
      <c r="AQ371" s="448"/>
      <c r="AR371" s="448"/>
      <c r="AS371" s="448"/>
      <c r="AT371" s="448"/>
      <c r="AU371" s="448"/>
      <c r="AV371" s="448"/>
      <c r="AW371" s="448"/>
      <c r="AX371" s="448"/>
    </row>
    <row r="372" spans="1:50" x14ac:dyDescent="0.4">
      <c r="A372" s="442" t="str">
        <f t="shared" si="71"/>
        <v>81956</v>
      </c>
      <c r="B372" s="442">
        <v>20668</v>
      </c>
      <c r="C372" s="455">
        <v>-3.2800000000000003E-2</v>
      </c>
      <c r="D372" s="438">
        <v>-2.5899999999999999E-2</v>
      </c>
      <c r="E372" s="438">
        <v>2.5999999999999999E-3</v>
      </c>
      <c r="F372" s="438">
        <v>2.8583333333333334E-3</v>
      </c>
      <c r="G372" s="438">
        <v>2.9166666666666668E-3</v>
      </c>
      <c r="H372" s="438">
        <v>2.8874999999999999E-3</v>
      </c>
      <c r="I372" s="438">
        <v>3.0249999999999999E-3</v>
      </c>
      <c r="J372" s="438">
        <f t="shared" si="60"/>
        <v>-3.5400000000000001E-2</v>
      </c>
      <c r="K372" s="438">
        <f t="shared" si="64"/>
        <v>-3.5687500000000004E-2</v>
      </c>
      <c r="L372" s="438">
        <f t="shared" si="65"/>
        <v>-2.8924999999999999E-2</v>
      </c>
      <c r="M372" s="446">
        <f t="shared" si="61"/>
        <v>0.14528809504071249</v>
      </c>
      <c r="N372" s="446">
        <f t="shared" si="62"/>
        <v>3.1199999999999999E-2</v>
      </c>
      <c r="O372" s="446">
        <f t="shared" si="66"/>
        <v>3.465E-2</v>
      </c>
      <c r="P372" s="447">
        <f t="shared" si="63"/>
        <v>0.11408809504071249</v>
      </c>
      <c r="Q372" s="446">
        <f t="shared" si="67"/>
        <v>0.11063809504071249</v>
      </c>
      <c r="R372" s="446">
        <f t="shared" si="68"/>
        <v>4.725047129787896E-2</v>
      </c>
      <c r="S372" s="446">
        <f t="shared" si="69"/>
        <v>3.6299999999999999E-2</v>
      </c>
      <c r="T372" s="447">
        <f t="shared" si="70"/>
        <v>1.0950471297878961E-2</v>
      </c>
      <c r="V372" s="448"/>
      <c r="W372" s="448"/>
      <c r="X372" s="448"/>
      <c r="Y372" s="448"/>
      <c r="Z372" s="448"/>
      <c r="AA372" s="448"/>
      <c r="AB372" s="448"/>
      <c r="AC372" s="448"/>
      <c r="AD372" s="448"/>
      <c r="AF372" s="448"/>
      <c r="AG372" s="448"/>
      <c r="AH372" s="448"/>
      <c r="AI372" s="448"/>
      <c r="AJ372" s="448"/>
      <c r="AK372" s="448"/>
      <c r="AL372" s="448"/>
      <c r="AM372" s="448"/>
      <c r="AN372" s="448"/>
      <c r="AP372" s="448"/>
      <c r="AQ372" s="448"/>
      <c r="AR372" s="448"/>
      <c r="AS372" s="448"/>
      <c r="AT372" s="448"/>
      <c r="AU372" s="448"/>
      <c r="AV372" s="448"/>
      <c r="AW372" s="448"/>
      <c r="AX372" s="448"/>
    </row>
    <row r="373" spans="1:50" x14ac:dyDescent="0.4">
      <c r="A373" s="442" t="str">
        <f t="shared" si="71"/>
        <v>91956</v>
      </c>
      <c r="B373" s="442">
        <v>20699</v>
      </c>
      <c r="C373" s="455">
        <v>-4.3999999999999997E-2</v>
      </c>
      <c r="D373" s="438">
        <v>-3.1899999999999998E-2</v>
      </c>
      <c r="E373" s="438">
        <v>2.5000000000000001E-3</v>
      </c>
      <c r="F373" s="438">
        <v>2.9666666666666669E-3</v>
      </c>
      <c r="G373" s="438">
        <v>3.0249999999999999E-3</v>
      </c>
      <c r="H373" s="438">
        <v>2.995833333333333E-3</v>
      </c>
      <c r="I373" s="438">
        <v>3.0999999999999999E-3</v>
      </c>
      <c r="J373" s="438">
        <f t="shared" si="60"/>
        <v>-4.65E-2</v>
      </c>
      <c r="K373" s="438">
        <f t="shared" si="64"/>
        <v>-4.6995833333333334E-2</v>
      </c>
      <c r="L373" s="438">
        <f t="shared" si="65"/>
        <v>-3.4999999999999996E-2</v>
      </c>
      <c r="M373" s="446">
        <f t="shared" si="61"/>
        <v>8.0844441124304556E-2</v>
      </c>
      <c r="N373" s="446">
        <f t="shared" si="62"/>
        <v>0.03</v>
      </c>
      <c r="O373" s="446">
        <f t="shared" si="66"/>
        <v>3.5949999999999996E-2</v>
      </c>
      <c r="P373" s="447">
        <f t="shared" si="63"/>
        <v>5.0844441124304557E-2</v>
      </c>
      <c r="Q373" s="446">
        <f t="shared" si="67"/>
        <v>4.489444112430456E-2</v>
      </c>
      <c r="R373" s="446">
        <f t="shared" si="68"/>
        <v>4.4122740745084377E-2</v>
      </c>
      <c r="S373" s="446">
        <f t="shared" si="69"/>
        <v>3.7199999999999997E-2</v>
      </c>
      <c r="T373" s="447">
        <f t="shared" si="70"/>
        <v>6.9227407450843798E-3</v>
      </c>
      <c r="V373" s="448"/>
      <c r="W373" s="448"/>
      <c r="X373" s="448"/>
      <c r="Y373" s="448"/>
      <c r="Z373" s="448"/>
      <c r="AA373" s="448"/>
      <c r="AB373" s="448"/>
      <c r="AC373" s="448"/>
      <c r="AD373" s="448"/>
      <c r="AF373" s="448"/>
      <c r="AG373" s="448"/>
      <c r="AH373" s="448"/>
      <c r="AI373" s="448"/>
      <c r="AJ373" s="448"/>
      <c r="AK373" s="448"/>
      <c r="AL373" s="448"/>
      <c r="AM373" s="448"/>
      <c r="AN373" s="448"/>
      <c r="AP373" s="448"/>
      <c r="AQ373" s="448"/>
      <c r="AR373" s="448"/>
      <c r="AS373" s="448"/>
      <c r="AT373" s="448"/>
      <c r="AU373" s="448"/>
      <c r="AV373" s="448"/>
      <c r="AW373" s="448"/>
      <c r="AX373" s="448"/>
    </row>
    <row r="374" spans="1:50" x14ac:dyDescent="0.4">
      <c r="A374" s="442" t="str">
        <f t="shared" si="71"/>
        <v>101956</v>
      </c>
      <c r="B374" s="442">
        <v>20729</v>
      </c>
      <c r="C374" s="455">
        <v>6.6E-3</v>
      </c>
      <c r="D374" s="438">
        <v>6.3E-3</v>
      </c>
      <c r="E374" s="438">
        <v>2.8999999999999998E-3</v>
      </c>
      <c r="F374" s="438">
        <v>2.9916666666666663E-3</v>
      </c>
      <c r="G374" s="438">
        <v>3.075E-3</v>
      </c>
      <c r="H374" s="438">
        <v>3.0333333333333336E-3</v>
      </c>
      <c r="I374" s="438">
        <v>3.1583333333333337E-3</v>
      </c>
      <c r="J374" s="438">
        <f t="shared" si="60"/>
        <v>3.7000000000000002E-3</v>
      </c>
      <c r="K374" s="438">
        <f t="shared" si="64"/>
        <v>3.5666666666666663E-3</v>
      </c>
      <c r="L374" s="438">
        <f t="shared" si="65"/>
        <v>3.1416666666666663E-3</v>
      </c>
      <c r="M374" s="446">
        <f t="shared" si="61"/>
        <v>0.11977975960860987</v>
      </c>
      <c r="N374" s="446">
        <f t="shared" si="62"/>
        <v>3.4799999999999998E-2</v>
      </c>
      <c r="O374" s="446">
        <f t="shared" si="66"/>
        <v>3.6400000000000002E-2</v>
      </c>
      <c r="P374" s="447">
        <f t="shared" si="63"/>
        <v>8.4979759608609873E-2</v>
      </c>
      <c r="Q374" s="446">
        <f t="shared" si="67"/>
        <v>8.3379759608609869E-2</v>
      </c>
      <c r="R374" s="446">
        <f t="shared" si="68"/>
        <v>5.9708234000784621E-2</v>
      </c>
      <c r="S374" s="446">
        <f t="shared" si="69"/>
        <v>3.7900000000000003E-2</v>
      </c>
      <c r="T374" s="447">
        <f t="shared" si="70"/>
        <v>2.1808234000784618E-2</v>
      </c>
      <c r="V374" s="448"/>
      <c r="W374" s="448"/>
      <c r="X374" s="448"/>
      <c r="Y374" s="448"/>
      <c r="Z374" s="448"/>
      <c r="AA374" s="448"/>
      <c r="AB374" s="448"/>
      <c r="AC374" s="448"/>
      <c r="AD374" s="448"/>
      <c r="AF374" s="448"/>
      <c r="AG374" s="448"/>
      <c r="AH374" s="448"/>
      <c r="AI374" s="448"/>
      <c r="AJ374" s="448"/>
      <c r="AK374" s="448"/>
      <c r="AL374" s="448"/>
      <c r="AM374" s="448"/>
      <c r="AN374" s="448"/>
      <c r="AP374" s="448"/>
      <c r="AQ374" s="448"/>
      <c r="AR374" s="448"/>
      <c r="AS374" s="448"/>
      <c r="AT374" s="448"/>
      <c r="AU374" s="448"/>
      <c r="AV374" s="448"/>
      <c r="AW374" s="448"/>
      <c r="AX374" s="448"/>
    </row>
    <row r="375" spans="1:50" x14ac:dyDescent="0.4">
      <c r="A375" s="442" t="str">
        <f t="shared" si="71"/>
        <v>111956</v>
      </c>
      <c r="B375" s="442">
        <v>20760</v>
      </c>
      <c r="C375" s="455">
        <v>-5.0000000000000001E-3</v>
      </c>
      <c r="D375" s="438">
        <v>2.8000000000000004E-3</v>
      </c>
      <c r="E375" s="438">
        <v>2.7000000000000001E-3</v>
      </c>
      <c r="F375" s="438">
        <v>3.075E-3</v>
      </c>
      <c r="G375" s="438">
        <v>3.133333333333333E-3</v>
      </c>
      <c r="H375" s="438">
        <v>3.1041666666666665E-3</v>
      </c>
      <c r="I375" s="438">
        <v>3.1833333333333336E-3</v>
      </c>
      <c r="J375" s="438">
        <f t="shared" si="60"/>
        <v>-7.7000000000000002E-3</v>
      </c>
      <c r="K375" s="438">
        <f t="shared" si="64"/>
        <v>-8.1041666666666658E-3</v>
      </c>
      <c r="L375" s="438">
        <f t="shared" si="65"/>
        <v>-3.8333333333333318E-4</v>
      </c>
      <c r="M375" s="446">
        <f t="shared" si="61"/>
        <v>2.9076254558572545E-2</v>
      </c>
      <c r="N375" s="446">
        <f t="shared" si="62"/>
        <v>3.2399999999999998E-2</v>
      </c>
      <c r="O375" s="446">
        <f t="shared" si="66"/>
        <v>3.7249999999999998E-2</v>
      </c>
      <c r="P375" s="447">
        <f t="shared" si="63"/>
        <v>-3.3237454414274531E-3</v>
      </c>
      <c r="Q375" s="446">
        <f t="shared" si="67"/>
        <v>-8.1737454414274532E-3</v>
      </c>
      <c r="R375" s="446">
        <f t="shared" si="68"/>
        <v>3.2525667563143346E-2</v>
      </c>
      <c r="S375" s="446">
        <f t="shared" si="69"/>
        <v>3.8200000000000005E-2</v>
      </c>
      <c r="T375" s="447">
        <f t="shared" si="70"/>
        <v>-5.6743324368566592E-3</v>
      </c>
      <c r="V375" s="448"/>
      <c r="W375" s="448"/>
      <c r="X375" s="448"/>
      <c r="Y375" s="448"/>
      <c r="Z375" s="448"/>
      <c r="AA375" s="448"/>
      <c r="AB375" s="448"/>
      <c r="AC375" s="448"/>
      <c r="AD375" s="448"/>
      <c r="AF375" s="448"/>
      <c r="AG375" s="448"/>
      <c r="AH375" s="448"/>
      <c r="AI375" s="448"/>
      <c r="AJ375" s="448"/>
      <c r="AK375" s="448"/>
      <c r="AL375" s="448"/>
      <c r="AM375" s="448"/>
      <c r="AN375" s="448"/>
      <c r="AP375" s="448"/>
      <c r="AQ375" s="448"/>
      <c r="AR375" s="448"/>
      <c r="AS375" s="448"/>
      <c r="AT375" s="448"/>
      <c r="AU375" s="448"/>
      <c r="AV375" s="448"/>
      <c r="AW375" s="448"/>
      <c r="AX375" s="448"/>
    </row>
    <row r="376" spans="1:50" x14ac:dyDescent="0.4">
      <c r="A376" s="442" t="str">
        <f t="shared" si="71"/>
        <v>121956</v>
      </c>
      <c r="B376" s="442">
        <v>20790</v>
      </c>
      <c r="C376" s="455">
        <v>3.6999999999999998E-2</v>
      </c>
      <c r="D376" s="438">
        <v>1.04E-2</v>
      </c>
      <c r="E376" s="438">
        <v>2.7999999999999995E-3</v>
      </c>
      <c r="F376" s="438">
        <v>3.1250000000000002E-3</v>
      </c>
      <c r="G376" s="438">
        <v>3.2083333333333334E-3</v>
      </c>
      <c r="H376" s="438">
        <v>3.1666666666666666E-3</v>
      </c>
      <c r="I376" s="438">
        <v>3.2583333333333336E-3</v>
      </c>
      <c r="J376" s="438">
        <f t="shared" si="60"/>
        <v>3.4200000000000001E-2</v>
      </c>
      <c r="K376" s="438">
        <f t="shared" si="64"/>
        <v>3.3833333333333333E-2</v>
      </c>
      <c r="L376" s="438">
        <f t="shared" si="65"/>
        <v>7.141666666666666E-3</v>
      </c>
      <c r="M376" s="446">
        <f t="shared" si="61"/>
        <v>6.5553745359200777E-2</v>
      </c>
      <c r="N376" s="446">
        <f t="shared" si="62"/>
        <v>3.3599999999999991E-2</v>
      </c>
      <c r="O376" s="446">
        <f t="shared" si="66"/>
        <v>3.7999999999999999E-2</v>
      </c>
      <c r="P376" s="447">
        <f t="shared" si="63"/>
        <v>3.1953745359200786E-2</v>
      </c>
      <c r="Q376" s="446">
        <f t="shared" si="67"/>
        <v>2.7553745359200778E-2</v>
      </c>
      <c r="R376" s="446">
        <f t="shared" si="68"/>
        <v>5.0300950876673856E-2</v>
      </c>
      <c r="S376" s="446">
        <f t="shared" si="69"/>
        <v>3.9100000000000003E-2</v>
      </c>
      <c r="T376" s="447">
        <f t="shared" si="70"/>
        <v>1.1200950876673853E-2</v>
      </c>
      <c r="V376" s="448"/>
      <c r="W376" s="448"/>
      <c r="X376" s="448"/>
      <c r="Y376" s="448"/>
      <c r="Z376" s="448"/>
      <c r="AA376" s="448"/>
      <c r="AB376" s="448"/>
      <c r="AC376" s="448"/>
      <c r="AD376" s="448"/>
      <c r="AF376" s="448"/>
      <c r="AG376" s="448"/>
      <c r="AH376" s="448"/>
      <c r="AI376" s="448"/>
      <c r="AJ376" s="448"/>
      <c r="AK376" s="448"/>
      <c r="AL376" s="448"/>
      <c r="AM376" s="448"/>
      <c r="AN376" s="448"/>
      <c r="AP376" s="448"/>
      <c r="AQ376" s="448"/>
      <c r="AR376" s="448"/>
      <c r="AS376" s="448"/>
      <c r="AT376" s="448"/>
      <c r="AU376" s="448"/>
      <c r="AV376" s="448"/>
      <c r="AW376" s="448"/>
      <c r="AX376" s="448"/>
    </row>
    <row r="377" spans="1:50" x14ac:dyDescent="0.4">
      <c r="A377" s="442" t="str">
        <f t="shared" si="71"/>
        <v>11957</v>
      </c>
      <c r="B377" s="442">
        <v>20821</v>
      </c>
      <c r="C377" s="455">
        <v>-4.0099999999999997E-2</v>
      </c>
      <c r="D377" s="438">
        <v>3.2399999999999998E-2</v>
      </c>
      <c r="E377" s="438">
        <v>2.8999999999999998E-3</v>
      </c>
      <c r="F377" s="438">
        <v>3.1416666666666663E-3</v>
      </c>
      <c r="G377" s="438">
        <v>3.2416666666666666E-3</v>
      </c>
      <c r="H377" s="438">
        <v>3.1916666666666664E-3</v>
      </c>
      <c r="I377" s="438">
        <v>3.3E-3</v>
      </c>
      <c r="J377" s="438">
        <f t="shared" si="60"/>
        <v>-4.2999999999999997E-2</v>
      </c>
      <c r="K377" s="438">
        <f t="shared" si="64"/>
        <v>-4.3291666666666666E-2</v>
      </c>
      <c r="L377" s="438">
        <f t="shared" si="65"/>
        <v>2.9099999999999997E-2</v>
      </c>
      <c r="M377" s="446">
        <f t="shared" si="61"/>
        <v>5.9592914296381805E-2</v>
      </c>
      <c r="N377" s="446">
        <f t="shared" si="62"/>
        <v>3.4799999999999998E-2</v>
      </c>
      <c r="O377" s="446">
        <f t="shared" si="66"/>
        <v>3.8300000000000001E-2</v>
      </c>
      <c r="P377" s="447">
        <f t="shared" si="63"/>
        <v>2.4792914296381807E-2</v>
      </c>
      <c r="Q377" s="446">
        <f t="shared" si="67"/>
        <v>2.1292914296381804E-2</v>
      </c>
      <c r="R377" s="446">
        <f t="shared" si="68"/>
        <v>8.1087439366976932E-2</v>
      </c>
      <c r="S377" s="446">
        <f t="shared" si="69"/>
        <v>3.9599999999999996E-2</v>
      </c>
      <c r="T377" s="447">
        <f t="shared" si="70"/>
        <v>4.1487439366976936E-2</v>
      </c>
      <c r="V377" s="448"/>
      <c r="W377" s="448"/>
      <c r="X377" s="448"/>
      <c r="Y377" s="448"/>
      <c r="Z377" s="448"/>
      <c r="AA377" s="448"/>
      <c r="AB377" s="448"/>
      <c r="AC377" s="448"/>
      <c r="AD377" s="448"/>
      <c r="AF377" s="448"/>
      <c r="AG377" s="448"/>
      <c r="AH377" s="448"/>
      <c r="AI377" s="448"/>
      <c r="AJ377" s="448"/>
      <c r="AK377" s="448"/>
      <c r="AL377" s="448"/>
      <c r="AM377" s="448"/>
      <c r="AN377" s="448"/>
      <c r="AP377" s="448"/>
      <c r="AQ377" s="448"/>
      <c r="AR377" s="448"/>
      <c r="AS377" s="448"/>
      <c r="AT377" s="448"/>
      <c r="AU377" s="448"/>
      <c r="AV377" s="448"/>
      <c r="AW377" s="448"/>
      <c r="AX377" s="448"/>
    </row>
    <row r="378" spans="1:50" x14ac:dyDescent="0.4">
      <c r="A378" s="442" t="str">
        <f t="shared" si="71"/>
        <v>21957</v>
      </c>
      <c r="B378" s="442">
        <v>20852</v>
      </c>
      <c r="C378" s="455">
        <v>-2.64E-2</v>
      </c>
      <c r="D378" s="438">
        <v>-6.0999999999999995E-3</v>
      </c>
      <c r="E378" s="438">
        <v>2.5000000000000001E-3</v>
      </c>
      <c r="F378" s="438">
        <v>3.0583333333333335E-3</v>
      </c>
      <c r="G378" s="438">
        <v>3.1916666666666664E-3</v>
      </c>
      <c r="H378" s="438">
        <v>3.1250000000000002E-3</v>
      </c>
      <c r="I378" s="438">
        <v>3.3749999999999995E-3</v>
      </c>
      <c r="J378" s="438">
        <f t="shared" si="60"/>
        <v>-2.8899999999999999E-2</v>
      </c>
      <c r="K378" s="438">
        <f t="shared" si="64"/>
        <v>-2.9524999999999999E-2</v>
      </c>
      <c r="L378" s="438">
        <f t="shared" si="65"/>
        <v>-9.474999999999999E-3</v>
      </c>
      <c r="M378" s="446">
        <f t="shared" si="61"/>
        <v>-9.2963974272955996E-3</v>
      </c>
      <c r="N378" s="446">
        <f t="shared" si="62"/>
        <v>0.03</v>
      </c>
      <c r="O378" s="446">
        <f t="shared" si="66"/>
        <v>3.7500000000000006E-2</v>
      </c>
      <c r="P378" s="447">
        <f t="shared" si="63"/>
        <v>-3.9296397427295598E-2</v>
      </c>
      <c r="Q378" s="446">
        <f t="shared" si="67"/>
        <v>-4.6796397427295605E-2</v>
      </c>
      <c r="R378" s="446">
        <f t="shared" si="68"/>
        <v>5.5701322447276658E-2</v>
      </c>
      <c r="S378" s="446">
        <f t="shared" si="69"/>
        <v>4.0499999999999994E-2</v>
      </c>
      <c r="T378" s="447">
        <f t="shared" si="70"/>
        <v>1.5201322447276663E-2</v>
      </c>
      <c r="V378" s="448"/>
      <c r="W378" s="448"/>
      <c r="X378" s="448"/>
      <c r="Y378" s="448"/>
      <c r="Z378" s="448"/>
      <c r="AA378" s="448"/>
      <c r="AB378" s="448"/>
      <c r="AC378" s="448"/>
      <c r="AD378" s="448"/>
      <c r="AF378" s="448"/>
      <c r="AG378" s="448"/>
      <c r="AH378" s="448"/>
      <c r="AI378" s="448"/>
      <c r="AJ378" s="448"/>
      <c r="AK378" s="448"/>
      <c r="AL378" s="448"/>
      <c r="AM378" s="448"/>
      <c r="AN378" s="448"/>
      <c r="AP378" s="448"/>
      <c r="AQ378" s="448"/>
      <c r="AR378" s="448"/>
      <c r="AS378" s="448"/>
      <c r="AT378" s="448"/>
      <c r="AU378" s="448"/>
      <c r="AV378" s="448"/>
      <c r="AW378" s="448"/>
      <c r="AX378" s="448"/>
    </row>
    <row r="379" spans="1:50" x14ac:dyDescent="0.4">
      <c r="A379" s="442" t="str">
        <f t="shared" si="71"/>
        <v>31957</v>
      </c>
      <c r="B379" s="442">
        <v>20880</v>
      </c>
      <c r="C379" s="455">
        <v>2.1499999999999998E-2</v>
      </c>
      <c r="D379" s="438">
        <v>7.8000000000000005E-3</v>
      </c>
      <c r="E379" s="438">
        <v>2.5999999999999999E-3</v>
      </c>
      <c r="F379" s="438">
        <v>3.0499999999999998E-3</v>
      </c>
      <c r="G379" s="438">
        <v>3.1666666666666666E-3</v>
      </c>
      <c r="H379" s="438">
        <v>3.1083333333333327E-3</v>
      </c>
      <c r="I379" s="438">
        <v>3.3749999999999995E-3</v>
      </c>
      <c r="J379" s="438">
        <f t="shared" si="60"/>
        <v>1.89E-2</v>
      </c>
      <c r="K379" s="438">
        <f t="shared" si="64"/>
        <v>1.8391666666666667E-2</v>
      </c>
      <c r="L379" s="438">
        <f t="shared" si="65"/>
        <v>4.425000000000001E-3</v>
      </c>
      <c r="M379" s="446">
        <f t="shared" si="61"/>
        <v>-5.508521939494182E-2</v>
      </c>
      <c r="N379" s="446">
        <f t="shared" si="62"/>
        <v>3.1199999999999999E-2</v>
      </c>
      <c r="O379" s="446">
        <f t="shared" si="66"/>
        <v>3.7299999999999993E-2</v>
      </c>
      <c r="P379" s="447">
        <f t="shared" si="63"/>
        <v>-8.6285219394941826E-2</v>
      </c>
      <c r="Q379" s="446">
        <f t="shared" si="67"/>
        <v>-9.238521939494182E-2</v>
      </c>
      <c r="R379" s="446">
        <f t="shared" si="68"/>
        <v>2.3605727114071051E-2</v>
      </c>
      <c r="S379" s="446">
        <f t="shared" si="69"/>
        <v>4.0499999999999994E-2</v>
      </c>
      <c r="T379" s="447">
        <f t="shared" si="70"/>
        <v>-1.6894272885928943E-2</v>
      </c>
      <c r="V379" s="448"/>
      <c r="W379" s="448"/>
      <c r="X379" s="448"/>
      <c r="Y379" s="448"/>
      <c r="Z379" s="448"/>
      <c r="AA379" s="448"/>
      <c r="AB379" s="448"/>
      <c r="AC379" s="448"/>
      <c r="AD379" s="448"/>
      <c r="AF379" s="448"/>
      <c r="AG379" s="448"/>
      <c r="AH379" s="448"/>
      <c r="AI379" s="448"/>
      <c r="AJ379" s="448"/>
      <c r="AK379" s="448"/>
      <c r="AL379" s="448"/>
      <c r="AM379" s="448"/>
      <c r="AN379" s="448"/>
      <c r="AP379" s="448"/>
      <c r="AQ379" s="448"/>
      <c r="AR379" s="448"/>
      <c r="AS379" s="448"/>
      <c r="AT379" s="448"/>
      <c r="AU379" s="448"/>
      <c r="AV379" s="448"/>
      <c r="AW379" s="448"/>
      <c r="AX379" s="448"/>
    </row>
    <row r="380" spans="1:50" x14ac:dyDescent="0.4">
      <c r="A380" s="442" t="str">
        <f t="shared" si="71"/>
        <v>41957</v>
      </c>
      <c r="B380" s="442">
        <v>20911</v>
      </c>
      <c r="C380" s="455">
        <v>3.8800000000000001E-2</v>
      </c>
      <c r="D380" s="438">
        <v>4.0199999999999993E-2</v>
      </c>
      <c r="E380" s="438">
        <v>2.8999999999999998E-3</v>
      </c>
      <c r="F380" s="438">
        <v>3.0583333333333335E-3</v>
      </c>
      <c r="G380" s="438">
        <v>3.1583333333333337E-3</v>
      </c>
      <c r="H380" s="438">
        <v>3.1083333333333336E-3</v>
      </c>
      <c r="I380" s="438">
        <v>3.3416666666666668E-3</v>
      </c>
      <c r="J380" s="438">
        <f t="shared" si="60"/>
        <v>3.5900000000000001E-2</v>
      </c>
      <c r="K380" s="438">
        <f t="shared" si="64"/>
        <v>3.569166666666667E-2</v>
      </c>
      <c r="L380" s="438">
        <f t="shared" si="65"/>
        <v>3.6858333333333326E-2</v>
      </c>
      <c r="M380" s="446">
        <f t="shared" si="61"/>
        <v>-1.8029737802586543E-2</v>
      </c>
      <c r="N380" s="446">
        <f t="shared" si="62"/>
        <v>3.4799999999999998E-2</v>
      </c>
      <c r="O380" s="446">
        <f t="shared" si="66"/>
        <v>3.73E-2</v>
      </c>
      <c r="P380" s="447">
        <f t="shared" si="63"/>
        <v>-5.2829737802586541E-2</v>
      </c>
      <c r="Q380" s="446">
        <f t="shared" si="67"/>
        <v>-5.5329737802586543E-2</v>
      </c>
      <c r="R380" s="446">
        <f t="shared" si="68"/>
        <v>9.6216078805782868E-2</v>
      </c>
      <c r="S380" s="446">
        <f t="shared" si="69"/>
        <v>4.0100000000000004E-2</v>
      </c>
      <c r="T380" s="447">
        <f t="shared" si="70"/>
        <v>5.6116078805782864E-2</v>
      </c>
      <c r="V380" s="448"/>
      <c r="W380" s="448"/>
      <c r="X380" s="448"/>
      <c r="Y380" s="448"/>
      <c r="Z380" s="448"/>
      <c r="AA380" s="448"/>
      <c r="AB380" s="448"/>
      <c r="AC380" s="448"/>
      <c r="AD380" s="448"/>
      <c r="AF380" s="448"/>
      <c r="AG380" s="448"/>
      <c r="AH380" s="448"/>
      <c r="AI380" s="448"/>
      <c r="AJ380" s="448"/>
      <c r="AK380" s="448"/>
      <c r="AL380" s="448"/>
      <c r="AM380" s="448"/>
      <c r="AN380" s="448"/>
      <c r="AP380" s="448"/>
      <c r="AQ380" s="448"/>
      <c r="AR380" s="448"/>
      <c r="AS380" s="448"/>
      <c r="AT380" s="448"/>
      <c r="AU380" s="448"/>
      <c r="AV380" s="448"/>
      <c r="AW380" s="448"/>
      <c r="AX380" s="448"/>
    </row>
    <row r="381" spans="1:50" x14ac:dyDescent="0.4">
      <c r="A381" s="442" t="str">
        <f t="shared" si="71"/>
        <v>51957</v>
      </c>
      <c r="B381" s="442">
        <v>20941</v>
      </c>
      <c r="C381" s="455">
        <v>4.3700000000000003E-2</v>
      </c>
      <c r="D381" s="438">
        <v>1.8000000000000002E-2</v>
      </c>
      <c r="E381" s="438">
        <v>2.8999999999999998E-3</v>
      </c>
      <c r="F381" s="438">
        <v>3.1166666666666669E-3</v>
      </c>
      <c r="G381" s="438">
        <v>3.1916666666666664E-3</v>
      </c>
      <c r="H381" s="438">
        <v>3.1541666666666667E-3</v>
      </c>
      <c r="I381" s="438">
        <v>3.3416666666666668E-3</v>
      </c>
      <c r="J381" s="438">
        <f t="shared" si="60"/>
        <v>4.0800000000000003E-2</v>
      </c>
      <c r="K381" s="438">
        <f t="shared" si="64"/>
        <v>4.0545833333333337E-2</v>
      </c>
      <c r="L381" s="438">
        <f t="shared" si="65"/>
        <v>1.4658333333333336E-2</v>
      </c>
      <c r="M381" s="446">
        <f t="shared" si="61"/>
        <v>8.9489064160136689E-2</v>
      </c>
      <c r="N381" s="446">
        <f t="shared" si="62"/>
        <v>3.4799999999999998E-2</v>
      </c>
      <c r="O381" s="446">
        <f t="shared" si="66"/>
        <v>3.7850000000000002E-2</v>
      </c>
      <c r="P381" s="447">
        <f t="shared" si="63"/>
        <v>5.4689064160136691E-2</v>
      </c>
      <c r="Q381" s="446">
        <f t="shared" si="67"/>
        <v>5.1639064160136687E-2</v>
      </c>
      <c r="R381" s="446">
        <f t="shared" si="68"/>
        <v>0.13156354514731983</v>
      </c>
      <c r="S381" s="446">
        <f t="shared" si="69"/>
        <v>4.0100000000000004E-2</v>
      </c>
      <c r="T381" s="447">
        <f t="shared" si="70"/>
        <v>9.146354514731983E-2</v>
      </c>
      <c r="V381" s="448"/>
      <c r="W381" s="448"/>
      <c r="X381" s="448"/>
      <c r="Y381" s="448"/>
      <c r="Z381" s="448"/>
      <c r="AA381" s="448"/>
      <c r="AB381" s="448"/>
      <c r="AC381" s="448"/>
      <c r="AD381" s="448"/>
      <c r="AF381" s="448"/>
      <c r="AG381" s="448"/>
      <c r="AH381" s="448"/>
      <c r="AI381" s="448"/>
      <c r="AJ381" s="448"/>
      <c r="AK381" s="448"/>
      <c r="AL381" s="448"/>
      <c r="AM381" s="448"/>
      <c r="AN381" s="448"/>
      <c r="AP381" s="448"/>
      <c r="AQ381" s="448"/>
      <c r="AR381" s="448"/>
      <c r="AS381" s="448"/>
      <c r="AT381" s="448"/>
      <c r="AU381" s="448"/>
      <c r="AV381" s="448"/>
      <c r="AW381" s="448"/>
      <c r="AX381" s="448"/>
    </row>
    <row r="382" spans="1:50" x14ac:dyDescent="0.4">
      <c r="A382" s="442" t="str">
        <f t="shared" si="71"/>
        <v>61957</v>
      </c>
      <c r="B382" s="442">
        <v>20972</v>
      </c>
      <c r="C382" s="455">
        <v>4.0000000000000002E-4</v>
      </c>
      <c r="D382" s="438">
        <v>-4.1800000000000004E-2</v>
      </c>
      <c r="E382" s="438">
        <v>2.5000000000000001E-3</v>
      </c>
      <c r="F382" s="438">
        <v>3.2583333333333336E-3</v>
      </c>
      <c r="G382" s="438">
        <v>3.3166666666666665E-3</v>
      </c>
      <c r="H382" s="438">
        <v>3.2875000000000001E-3</v>
      </c>
      <c r="I382" s="438">
        <v>3.4083333333333331E-3</v>
      </c>
      <c r="J382" s="438">
        <f t="shared" si="60"/>
        <v>-2.0999999999999999E-3</v>
      </c>
      <c r="K382" s="438">
        <f t="shared" si="64"/>
        <v>-2.8874999999999999E-3</v>
      </c>
      <c r="L382" s="438">
        <f t="shared" si="65"/>
        <v>-4.5208333333333336E-2</v>
      </c>
      <c r="M382" s="446">
        <f t="shared" si="61"/>
        <v>4.7098529912384057E-2</v>
      </c>
      <c r="N382" s="446">
        <f t="shared" si="62"/>
        <v>0.03</v>
      </c>
      <c r="O382" s="446">
        <f t="shared" si="66"/>
        <v>3.9449999999999999E-2</v>
      </c>
      <c r="P382" s="447">
        <f t="shared" si="63"/>
        <v>1.7098529912384058E-2</v>
      </c>
      <c r="Q382" s="446">
        <f t="shared" si="67"/>
        <v>7.6485299123840583E-3</v>
      </c>
      <c r="R382" s="446">
        <f t="shared" si="68"/>
        <v>6.1858964802822491E-2</v>
      </c>
      <c r="S382" s="446">
        <f t="shared" si="69"/>
        <v>4.0899999999999999E-2</v>
      </c>
      <c r="T382" s="447">
        <f t="shared" si="70"/>
        <v>2.0958964802822493E-2</v>
      </c>
      <c r="V382" s="448"/>
      <c r="W382" s="448"/>
      <c r="X382" s="448"/>
      <c r="Y382" s="448"/>
      <c r="Z382" s="448"/>
      <c r="AA382" s="448"/>
      <c r="AB382" s="448"/>
      <c r="AC382" s="448"/>
      <c r="AD382" s="448"/>
      <c r="AF382" s="448"/>
      <c r="AG382" s="448"/>
      <c r="AH382" s="448"/>
      <c r="AI382" s="448"/>
      <c r="AJ382" s="448"/>
      <c r="AK382" s="448"/>
      <c r="AL382" s="448"/>
      <c r="AM382" s="448"/>
      <c r="AN382" s="448"/>
      <c r="AP382" s="448"/>
      <c r="AQ382" s="448"/>
      <c r="AR382" s="448"/>
      <c r="AS382" s="448"/>
      <c r="AT382" s="448"/>
      <c r="AU382" s="448"/>
      <c r="AV382" s="448"/>
      <c r="AW382" s="448"/>
      <c r="AX382" s="448"/>
    </row>
    <row r="383" spans="1:50" x14ac:dyDescent="0.4">
      <c r="A383" s="442" t="str">
        <f t="shared" si="71"/>
        <v>71957</v>
      </c>
      <c r="B383" s="442">
        <v>21002</v>
      </c>
      <c r="C383" s="455">
        <v>1.3100000000000001E-2</v>
      </c>
      <c r="D383" s="438">
        <v>3.5000000000000005E-3</v>
      </c>
      <c r="E383" s="438">
        <v>3.3E-3</v>
      </c>
      <c r="F383" s="438">
        <v>3.3250000000000003E-3</v>
      </c>
      <c r="G383" s="438">
        <v>3.4166666666666664E-3</v>
      </c>
      <c r="H383" s="438">
        <v>3.3708333333333329E-3</v>
      </c>
      <c r="I383" s="438">
        <v>3.5000000000000005E-3</v>
      </c>
      <c r="J383" s="438">
        <f t="shared" si="60"/>
        <v>9.7999999999999997E-3</v>
      </c>
      <c r="K383" s="438">
        <f t="shared" si="64"/>
        <v>9.7291666666666672E-3</v>
      </c>
      <c r="L383" s="438">
        <f t="shared" si="65"/>
        <v>0</v>
      </c>
      <c r="M383" s="446">
        <f t="shared" si="61"/>
        <v>7.4221468701201054E-3</v>
      </c>
      <c r="N383" s="446">
        <f t="shared" si="62"/>
        <v>3.9599999999999996E-2</v>
      </c>
      <c r="O383" s="446">
        <f t="shared" si="66"/>
        <v>4.0449999999999993E-2</v>
      </c>
      <c r="P383" s="447">
        <f t="shared" si="63"/>
        <v>-3.2177853129879891E-2</v>
      </c>
      <c r="Q383" s="446">
        <f t="shared" si="67"/>
        <v>-3.3027853129879887E-2</v>
      </c>
      <c r="R383" s="446">
        <f t="shared" si="68"/>
        <v>1.2423250526966578E-2</v>
      </c>
      <c r="S383" s="446">
        <f t="shared" si="69"/>
        <v>4.200000000000001E-2</v>
      </c>
      <c r="T383" s="447">
        <f t="shared" si="70"/>
        <v>-2.9576749473033431E-2</v>
      </c>
      <c r="V383" s="448"/>
      <c r="W383" s="448"/>
      <c r="X383" s="448"/>
      <c r="Y383" s="448"/>
      <c r="Z383" s="448"/>
      <c r="AA383" s="448"/>
      <c r="AB383" s="448"/>
      <c r="AC383" s="448"/>
      <c r="AD383" s="448"/>
      <c r="AF383" s="448"/>
      <c r="AG383" s="448"/>
      <c r="AH383" s="448"/>
      <c r="AI383" s="448"/>
      <c r="AJ383" s="448"/>
      <c r="AK383" s="448"/>
      <c r="AL383" s="448"/>
      <c r="AM383" s="448"/>
      <c r="AN383" s="448"/>
      <c r="AP383" s="448"/>
      <c r="AQ383" s="448"/>
      <c r="AR383" s="448"/>
      <c r="AS383" s="448"/>
      <c r="AT383" s="448"/>
      <c r="AU383" s="448"/>
      <c r="AV383" s="448"/>
      <c r="AW383" s="448"/>
      <c r="AX383" s="448"/>
    </row>
    <row r="384" spans="1:50" x14ac:dyDescent="0.4">
      <c r="A384" s="442" t="str">
        <f t="shared" si="71"/>
        <v>81957</v>
      </c>
      <c r="B384" s="442">
        <v>21033</v>
      </c>
      <c r="C384" s="455">
        <v>-5.0500000000000003E-2</v>
      </c>
      <c r="D384" s="438">
        <v>-2.9400000000000003E-2</v>
      </c>
      <c r="E384" s="438">
        <v>3.0000000000000001E-3</v>
      </c>
      <c r="F384" s="438">
        <v>3.4166666666666664E-3</v>
      </c>
      <c r="G384" s="438">
        <v>3.5083333333333334E-3</v>
      </c>
      <c r="H384" s="438">
        <v>3.4624999999999994E-3</v>
      </c>
      <c r="I384" s="438">
        <v>3.6416666666666667E-3</v>
      </c>
      <c r="J384" s="438">
        <f t="shared" si="60"/>
        <v>-5.3500000000000006E-2</v>
      </c>
      <c r="K384" s="438">
        <f t="shared" si="64"/>
        <v>-5.3962500000000004E-2</v>
      </c>
      <c r="L384" s="438">
        <f t="shared" si="65"/>
        <v>-3.3041666666666671E-2</v>
      </c>
      <c r="M384" s="446">
        <f t="shared" si="61"/>
        <v>-1.1013928398284745E-2</v>
      </c>
      <c r="N384" s="446">
        <f t="shared" si="62"/>
        <v>3.6000000000000004E-2</v>
      </c>
      <c r="O384" s="446">
        <f t="shared" si="66"/>
        <v>4.154999999999999E-2</v>
      </c>
      <c r="P384" s="447">
        <f t="shared" si="63"/>
        <v>-4.7013928398284749E-2</v>
      </c>
      <c r="Q384" s="446">
        <f t="shared" si="67"/>
        <v>-5.2563928398284734E-2</v>
      </c>
      <c r="R384" s="446">
        <f t="shared" si="68"/>
        <v>8.7855527784355125E-3</v>
      </c>
      <c r="S384" s="446">
        <f t="shared" si="69"/>
        <v>4.3700000000000003E-2</v>
      </c>
      <c r="T384" s="447">
        <f t="shared" si="70"/>
        <v>-3.491444722156449E-2</v>
      </c>
      <c r="V384" s="448"/>
      <c r="W384" s="448"/>
      <c r="X384" s="448"/>
      <c r="Y384" s="448"/>
      <c r="Z384" s="448"/>
      <c r="AA384" s="448"/>
      <c r="AB384" s="448"/>
      <c r="AC384" s="448"/>
      <c r="AD384" s="448"/>
      <c r="AF384" s="448"/>
      <c r="AG384" s="448"/>
      <c r="AH384" s="448"/>
      <c r="AI384" s="448"/>
      <c r="AJ384" s="448"/>
      <c r="AK384" s="448"/>
      <c r="AL384" s="448"/>
      <c r="AM384" s="448"/>
      <c r="AN384" s="448"/>
      <c r="AP384" s="448"/>
      <c r="AQ384" s="448"/>
      <c r="AR384" s="448"/>
      <c r="AS384" s="448"/>
      <c r="AT384" s="448"/>
      <c r="AU384" s="448"/>
      <c r="AV384" s="448"/>
      <c r="AW384" s="448"/>
      <c r="AX384" s="448"/>
    </row>
    <row r="385" spans="1:50" x14ac:dyDescent="0.4">
      <c r="A385" s="442" t="str">
        <f t="shared" si="71"/>
        <v>91957</v>
      </c>
      <c r="B385" s="442">
        <v>21064</v>
      </c>
      <c r="C385" s="455">
        <v>-6.0199999999999997E-2</v>
      </c>
      <c r="D385" s="438">
        <v>-1.3800000000000002E-2</v>
      </c>
      <c r="E385" s="438">
        <v>3.0999999999999999E-3</v>
      </c>
      <c r="F385" s="438">
        <v>3.4333333333333334E-3</v>
      </c>
      <c r="G385" s="438">
        <v>3.5499999999999998E-3</v>
      </c>
      <c r="H385" s="438">
        <v>3.4916666666666664E-3</v>
      </c>
      <c r="I385" s="438">
        <v>3.7916666666666667E-3</v>
      </c>
      <c r="J385" s="438">
        <f t="shared" si="60"/>
        <v>-6.3299999999999995E-2</v>
      </c>
      <c r="K385" s="438">
        <f t="shared" si="64"/>
        <v>-6.369166666666666E-2</v>
      </c>
      <c r="L385" s="438">
        <f t="shared" si="65"/>
        <v>-1.7591666666666669E-2</v>
      </c>
      <c r="M385" s="446">
        <f t="shared" si="61"/>
        <v>-2.777289739404587E-2</v>
      </c>
      <c r="N385" s="446">
        <f t="shared" si="62"/>
        <v>3.7199999999999997E-2</v>
      </c>
      <c r="O385" s="446">
        <f t="shared" si="66"/>
        <v>4.1899999999999993E-2</v>
      </c>
      <c r="P385" s="447">
        <f t="shared" si="63"/>
        <v>-6.4972897394045867E-2</v>
      </c>
      <c r="Q385" s="446">
        <f t="shared" si="67"/>
        <v>-6.9672897394045863E-2</v>
      </c>
      <c r="R385" s="446">
        <f t="shared" si="68"/>
        <v>2.7646226784519001E-2</v>
      </c>
      <c r="S385" s="446">
        <f t="shared" si="69"/>
        <v>4.5499999999999999E-2</v>
      </c>
      <c r="T385" s="447">
        <f t="shared" si="70"/>
        <v>-1.7853773215480997E-2</v>
      </c>
      <c r="V385" s="448"/>
      <c r="W385" s="448"/>
      <c r="X385" s="448"/>
      <c r="Y385" s="448"/>
      <c r="Z385" s="448"/>
      <c r="AA385" s="448"/>
      <c r="AB385" s="448"/>
      <c r="AC385" s="448"/>
      <c r="AD385" s="448"/>
      <c r="AF385" s="448"/>
      <c r="AG385" s="448"/>
      <c r="AH385" s="448"/>
      <c r="AI385" s="448"/>
      <c r="AJ385" s="448"/>
      <c r="AK385" s="448"/>
      <c r="AL385" s="448"/>
      <c r="AM385" s="448"/>
      <c r="AN385" s="448"/>
      <c r="AP385" s="448"/>
      <c r="AQ385" s="448"/>
      <c r="AR385" s="448"/>
      <c r="AS385" s="448"/>
      <c r="AT385" s="448"/>
      <c r="AU385" s="448"/>
      <c r="AV385" s="448"/>
      <c r="AW385" s="448"/>
      <c r="AX385" s="448"/>
    </row>
    <row r="386" spans="1:50" x14ac:dyDescent="0.4">
      <c r="A386" s="442" t="str">
        <f t="shared" si="71"/>
        <v>101957</v>
      </c>
      <c r="B386" s="442">
        <v>21094</v>
      </c>
      <c r="C386" s="455">
        <v>-3.0200000000000001E-2</v>
      </c>
      <c r="D386" s="438">
        <v>-7.4000000000000003E-3</v>
      </c>
      <c r="E386" s="438">
        <v>3.0999999999999999E-3</v>
      </c>
      <c r="F386" s="438">
        <v>3.4166666666666664E-3</v>
      </c>
      <c r="G386" s="438">
        <v>3.5666666666666668E-3</v>
      </c>
      <c r="H386" s="438">
        <v>3.4916666666666664E-3</v>
      </c>
      <c r="I386" s="438">
        <v>3.8416666666666673E-3</v>
      </c>
      <c r="J386" s="438">
        <f t="shared" si="60"/>
        <v>-3.3300000000000003E-2</v>
      </c>
      <c r="K386" s="438">
        <f t="shared" si="64"/>
        <v>-3.3691666666666668E-2</v>
      </c>
      <c r="L386" s="438">
        <f t="shared" si="65"/>
        <v>-1.1241666666666667E-2</v>
      </c>
      <c r="M386" s="446">
        <f t="shared" si="61"/>
        <v>-6.331626852051031E-2</v>
      </c>
      <c r="N386" s="446">
        <f t="shared" si="62"/>
        <v>3.7199999999999997E-2</v>
      </c>
      <c r="O386" s="446">
        <f t="shared" si="66"/>
        <v>4.1899999999999993E-2</v>
      </c>
      <c r="P386" s="447">
        <f t="shared" si="63"/>
        <v>-0.10051626852051031</v>
      </c>
      <c r="Q386" s="446">
        <f t="shared" si="67"/>
        <v>-0.1052162685205103</v>
      </c>
      <c r="R386" s="446">
        <f t="shared" si="68"/>
        <v>1.3655614335996935E-2</v>
      </c>
      <c r="S386" s="446">
        <f t="shared" si="69"/>
        <v>4.6100000000000009E-2</v>
      </c>
      <c r="T386" s="447">
        <f t="shared" si="70"/>
        <v>-3.2444385664003074E-2</v>
      </c>
      <c r="V386" s="448"/>
      <c r="W386" s="448"/>
      <c r="X386" s="448"/>
      <c r="Y386" s="448"/>
      <c r="Z386" s="448"/>
      <c r="AA386" s="448"/>
      <c r="AB386" s="448"/>
      <c r="AC386" s="448"/>
      <c r="AD386" s="448"/>
      <c r="AF386" s="448"/>
      <c r="AG386" s="448"/>
      <c r="AH386" s="448"/>
      <c r="AI386" s="448"/>
      <c r="AJ386" s="448"/>
      <c r="AK386" s="448"/>
      <c r="AL386" s="448"/>
      <c r="AM386" s="448"/>
      <c r="AN386" s="448"/>
      <c r="AP386" s="448"/>
      <c r="AQ386" s="448"/>
      <c r="AR386" s="448"/>
      <c r="AS386" s="448"/>
      <c r="AT386" s="448"/>
      <c r="AU386" s="448"/>
      <c r="AV386" s="448"/>
      <c r="AW386" s="448"/>
      <c r="AX386" s="448"/>
    </row>
    <row r="387" spans="1:50" x14ac:dyDescent="0.4">
      <c r="A387" s="442" t="str">
        <f t="shared" si="71"/>
        <v>111957</v>
      </c>
      <c r="B387" s="442">
        <v>21125</v>
      </c>
      <c r="C387" s="455">
        <v>2.3099999999999999E-2</v>
      </c>
      <c r="D387" s="438">
        <v>4.2799999999999991E-2</v>
      </c>
      <c r="E387" s="438">
        <v>2.8999999999999998E-3</v>
      </c>
      <c r="F387" s="438">
        <v>3.4000000000000002E-3</v>
      </c>
      <c r="G387" s="438">
        <v>3.5750000000000001E-3</v>
      </c>
      <c r="H387" s="438">
        <v>3.4875000000000001E-3</v>
      </c>
      <c r="I387" s="438">
        <v>3.8500000000000001E-3</v>
      </c>
      <c r="J387" s="438">
        <f t="shared" si="60"/>
        <v>2.0199999999999999E-2</v>
      </c>
      <c r="K387" s="438">
        <f t="shared" si="64"/>
        <v>1.9612499999999998E-2</v>
      </c>
      <c r="L387" s="438">
        <f t="shared" si="65"/>
        <v>3.8949999999999992E-2</v>
      </c>
      <c r="M387" s="446">
        <f t="shared" si="61"/>
        <v>-3.6863190274707747E-2</v>
      </c>
      <c r="N387" s="446">
        <f t="shared" si="62"/>
        <v>3.4799999999999998E-2</v>
      </c>
      <c r="O387" s="446">
        <f t="shared" si="66"/>
        <v>4.1849999999999998E-2</v>
      </c>
      <c r="P387" s="447">
        <f t="shared" si="63"/>
        <v>-7.1663190274707744E-2</v>
      </c>
      <c r="Q387" s="446">
        <f t="shared" si="67"/>
        <v>-7.8713190274707745E-2</v>
      </c>
      <c r="R387" s="446">
        <f t="shared" si="68"/>
        <v>5.4088626475446544E-2</v>
      </c>
      <c r="S387" s="446">
        <f t="shared" si="69"/>
        <v>4.6200000000000005E-2</v>
      </c>
      <c r="T387" s="447">
        <f t="shared" si="70"/>
        <v>7.8886264754465391E-3</v>
      </c>
      <c r="V387" s="448"/>
      <c r="W387" s="448"/>
      <c r="X387" s="448"/>
      <c r="Y387" s="448"/>
      <c r="Z387" s="448"/>
      <c r="AA387" s="448"/>
      <c r="AB387" s="448"/>
      <c r="AC387" s="448"/>
      <c r="AD387" s="448"/>
      <c r="AF387" s="448"/>
      <c r="AG387" s="448"/>
      <c r="AH387" s="448"/>
      <c r="AI387" s="448"/>
      <c r="AJ387" s="448"/>
      <c r="AK387" s="448"/>
      <c r="AL387" s="448"/>
      <c r="AM387" s="448"/>
      <c r="AN387" s="448"/>
      <c r="AP387" s="448"/>
      <c r="AQ387" s="448"/>
      <c r="AR387" s="448"/>
      <c r="AS387" s="448"/>
      <c r="AT387" s="448"/>
      <c r="AU387" s="448"/>
      <c r="AV387" s="448"/>
      <c r="AW387" s="448"/>
      <c r="AX387" s="448"/>
    </row>
    <row r="388" spans="1:50" x14ac:dyDescent="0.4">
      <c r="A388" s="442" t="str">
        <f t="shared" si="71"/>
        <v>121957</v>
      </c>
      <c r="B388" s="442">
        <v>21155</v>
      </c>
      <c r="C388" s="455">
        <v>-3.95E-2</v>
      </c>
      <c r="D388" s="438">
        <v>1.95E-2</v>
      </c>
      <c r="E388" s="438">
        <v>2.8999999999999998E-3</v>
      </c>
      <c r="F388" s="438">
        <v>3.1749999999999999E-3</v>
      </c>
      <c r="G388" s="438">
        <v>3.4000000000000002E-3</v>
      </c>
      <c r="H388" s="438">
        <v>3.2875000000000001E-3</v>
      </c>
      <c r="I388" s="438">
        <v>3.6333333333333335E-3</v>
      </c>
      <c r="J388" s="438">
        <f t="shared" si="60"/>
        <v>-4.24E-2</v>
      </c>
      <c r="K388" s="438">
        <f t="shared" si="64"/>
        <v>-4.2787499999999999E-2</v>
      </c>
      <c r="L388" s="438">
        <f t="shared" si="65"/>
        <v>1.5866666666666668E-2</v>
      </c>
      <c r="M388" s="446">
        <f t="shared" si="61"/>
        <v>-0.10791426640198343</v>
      </c>
      <c r="N388" s="446">
        <f t="shared" si="62"/>
        <v>3.4799999999999998E-2</v>
      </c>
      <c r="O388" s="446">
        <f t="shared" si="66"/>
        <v>3.9449999999999999E-2</v>
      </c>
      <c r="P388" s="447">
        <f t="shared" si="63"/>
        <v>-0.14271426640198343</v>
      </c>
      <c r="Q388" s="446">
        <f t="shared" si="67"/>
        <v>-0.14736426640198341</v>
      </c>
      <c r="R388" s="446">
        <f t="shared" si="68"/>
        <v>6.3582100842951128E-2</v>
      </c>
      <c r="S388" s="446">
        <f t="shared" si="69"/>
        <v>4.36E-2</v>
      </c>
      <c r="T388" s="447">
        <f t="shared" si="70"/>
        <v>1.9982100842951128E-2</v>
      </c>
      <c r="V388" s="448"/>
      <c r="W388" s="448"/>
      <c r="X388" s="448"/>
      <c r="Y388" s="448"/>
      <c r="Z388" s="448"/>
      <c r="AA388" s="448"/>
      <c r="AB388" s="448"/>
      <c r="AC388" s="448"/>
      <c r="AD388" s="448"/>
      <c r="AF388" s="448"/>
      <c r="AG388" s="448"/>
      <c r="AH388" s="448"/>
      <c r="AI388" s="448"/>
      <c r="AJ388" s="448"/>
      <c r="AK388" s="448"/>
      <c r="AL388" s="448"/>
      <c r="AM388" s="448"/>
      <c r="AN388" s="448"/>
      <c r="AP388" s="448"/>
      <c r="AQ388" s="448"/>
      <c r="AR388" s="448"/>
      <c r="AS388" s="448"/>
      <c r="AT388" s="448"/>
      <c r="AU388" s="448"/>
      <c r="AV388" s="448"/>
      <c r="AW388" s="448"/>
      <c r="AX388" s="448"/>
    </row>
    <row r="389" spans="1:50" x14ac:dyDescent="0.4">
      <c r="A389" s="442" t="str">
        <f t="shared" si="71"/>
        <v>11958</v>
      </c>
      <c r="B389" s="442">
        <v>21186</v>
      </c>
      <c r="C389" s="455">
        <v>4.4499999999999998E-2</v>
      </c>
      <c r="D389" s="438">
        <v>6.0200000000000004E-2</v>
      </c>
      <c r="E389" s="438">
        <v>2.7000000000000001E-3</v>
      </c>
      <c r="F389" s="438">
        <v>3.0000000000000001E-3</v>
      </c>
      <c r="G389" s="438">
        <v>3.1749999999999999E-3</v>
      </c>
      <c r="H389" s="438">
        <v>3.0874999999999995E-3</v>
      </c>
      <c r="I389" s="438">
        <v>3.2750000000000001E-3</v>
      </c>
      <c r="J389" s="438">
        <f t="shared" si="60"/>
        <v>4.1799999999999997E-2</v>
      </c>
      <c r="K389" s="438">
        <f t="shared" si="64"/>
        <v>4.1412499999999998E-2</v>
      </c>
      <c r="L389" s="438">
        <f t="shared" si="65"/>
        <v>5.6925000000000003E-2</v>
      </c>
      <c r="M389" s="446">
        <f t="shared" si="61"/>
        <v>-2.9291021207283552E-2</v>
      </c>
      <c r="N389" s="446">
        <f t="shared" si="62"/>
        <v>3.2399999999999998E-2</v>
      </c>
      <c r="O389" s="446">
        <f t="shared" si="66"/>
        <v>3.7049999999999993E-2</v>
      </c>
      <c r="P389" s="447">
        <f t="shared" si="63"/>
        <v>-6.169102120728355E-2</v>
      </c>
      <c r="Q389" s="446">
        <f t="shared" si="67"/>
        <v>-6.6341021207283551E-2</v>
      </c>
      <c r="R389" s="446">
        <f t="shared" si="68"/>
        <v>9.222175834337154E-2</v>
      </c>
      <c r="S389" s="446">
        <f t="shared" si="69"/>
        <v>3.9300000000000002E-2</v>
      </c>
      <c r="T389" s="447">
        <f t="shared" si="70"/>
        <v>5.2921758343371539E-2</v>
      </c>
      <c r="V389" s="448"/>
      <c r="W389" s="448"/>
      <c r="X389" s="448"/>
      <c r="Y389" s="448"/>
      <c r="Z389" s="448"/>
      <c r="AA389" s="448"/>
      <c r="AB389" s="448"/>
      <c r="AC389" s="448"/>
      <c r="AD389" s="448"/>
      <c r="AF389" s="448"/>
      <c r="AG389" s="448"/>
      <c r="AH389" s="448"/>
      <c r="AI389" s="448"/>
      <c r="AJ389" s="448"/>
      <c r="AK389" s="448"/>
      <c r="AL389" s="448"/>
      <c r="AM389" s="448"/>
      <c r="AN389" s="448"/>
      <c r="AP389" s="448"/>
      <c r="AQ389" s="448"/>
      <c r="AR389" s="448"/>
      <c r="AS389" s="448"/>
      <c r="AT389" s="448"/>
      <c r="AU389" s="448"/>
      <c r="AV389" s="448"/>
      <c r="AW389" s="448"/>
      <c r="AX389" s="448"/>
    </row>
    <row r="390" spans="1:50" x14ac:dyDescent="0.4">
      <c r="A390" s="442" t="str">
        <f t="shared" si="71"/>
        <v>21958</v>
      </c>
      <c r="B390" s="442">
        <v>21217</v>
      </c>
      <c r="C390" s="455">
        <v>-1.41E-2</v>
      </c>
      <c r="D390" s="438">
        <v>1.37E-2</v>
      </c>
      <c r="E390" s="438">
        <v>2.5000000000000001E-3</v>
      </c>
      <c r="F390" s="438">
        <v>2.9916666666666663E-3</v>
      </c>
      <c r="G390" s="438">
        <v>3.1416666666666663E-3</v>
      </c>
      <c r="H390" s="438">
        <v>3.0666666666666663E-3</v>
      </c>
      <c r="I390" s="438">
        <v>3.3E-3</v>
      </c>
      <c r="J390" s="438">
        <f t="shared" ref="J390:J453" si="72">C390-E390</f>
        <v>-1.66E-2</v>
      </c>
      <c r="K390" s="438">
        <f t="shared" si="64"/>
        <v>-1.7166666666666667E-2</v>
      </c>
      <c r="L390" s="438">
        <f t="shared" si="65"/>
        <v>1.04E-2</v>
      </c>
      <c r="M390" s="446">
        <f t="shared" si="61"/>
        <v>-1.7027544996159771E-2</v>
      </c>
      <c r="N390" s="446">
        <f t="shared" si="62"/>
        <v>0.03</v>
      </c>
      <c r="O390" s="446">
        <f t="shared" si="66"/>
        <v>3.6799999999999999E-2</v>
      </c>
      <c r="P390" s="447">
        <f t="shared" si="63"/>
        <v>-4.702754499615977E-2</v>
      </c>
      <c r="Q390" s="446">
        <f t="shared" si="67"/>
        <v>-5.3827544996159771E-2</v>
      </c>
      <c r="R390" s="446">
        <f t="shared" si="68"/>
        <v>0.11398047734447703</v>
      </c>
      <c r="S390" s="446">
        <f t="shared" si="69"/>
        <v>3.9599999999999996E-2</v>
      </c>
      <c r="T390" s="447">
        <f t="shared" si="70"/>
        <v>7.4380477344477031E-2</v>
      </c>
      <c r="V390" s="448"/>
      <c r="W390" s="448"/>
      <c r="X390" s="448"/>
      <c r="Y390" s="448"/>
      <c r="Z390" s="448"/>
      <c r="AA390" s="448"/>
      <c r="AB390" s="448"/>
      <c r="AC390" s="448"/>
      <c r="AD390" s="448"/>
      <c r="AF390" s="448"/>
      <c r="AG390" s="448"/>
      <c r="AH390" s="448"/>
      <c r="AI390" s="448"/>
      <c r="AJ390" s="448"/>
      <c r="AK390" s="448"/>
      <c r="AL390" s="448"/>
      <c r="AM390" s="448"/>
      <c r="AN390" s="448"/>
      <c r="AP390" s="448"/>
      <c r="AQ390" s="448"/>
      <c r="AR390" s="448"/>
      <c r="AS390" s="448"/>
      <c r="AT390" s="448"/>
      <c r="AU390" s="448"/>
      <c r="AV390" s="448"/>
      <c r="AW390" s="448"/>
      <c r="AX390" s="448"/>
    </row>
    <row r="391" spans="1:50" x14ac:dyDescent="0.4">
      <c r="A391" s="442" t="str">
        <f t="shared" si="71"/>
        <v>31958</v>
      </c>
      <c r="B391" s="442">
        <v>21245</v>
      </c>
      <c r="C391" s="455">
        <v>3.2800000000000003E-2</v>
      </c>
      <c r="D391" s="438">
        <v>0.02</v>
      </c>
      <c r="E391" s="438">
        <v>2.7000000000000001E-3</v>
      </c>
      <c r="F391" s="438">
        <v>3.0249999999999999E-3</v>
      </c>
      <c r="G391" s="438">
        <v>3.15E-3</v>
      </c>
      <c r="H391" s="438">
        <v>3.0874999999999995E-3</v>
      </c>
      <c r="I391" s="438">
        <v>3.4416666666666667E-3</v>
      </c>
      <c r="J391" s="438">
        <f t="shared" si="72"/>
        <v>3.0100000000000002E-2</v>
      </c>
      <c r="K391" s="438">
        <f t="shared" si="64"/>
        <v>2.9712500000000003E-2</v>
      </c>
      <c r="L391" s="438">
        <f t="shared" si="65"/>
        <v>1.6558333333333335E-2</v>
      </c>
      <c r="M391" s="446">
        <f t="shared" si="61"/>
        <v>-6.1537429975857538E-3</v>
      </c>
      <c r="N391" s="446">
        <f t="shared" si="62"/>
        <v>3.2399999999999998E-2</v>
      </c>
      <c r="O391" s="446">
        <f t="shared" si="66"/>
        <v>3.7049999999999993E-2</v>
      </c>
      <c r="P391" s="447">
        <f t="shared" si="63"/>
        <v>-3.8553742997585752E-2</v>
      </c>
      <c r="Q391" s="446">
        <f t="shared" si="67"/>
        <v>-4.3203742997585746E-2</v>
      </c>
      <c r="R391" s="446">
        <f t="shared" si="68"/>
        <v>0.12746585323612503</v>
      </c>
      <c r="S391" s="446">
        <f t="shared" si="69"/>
        <v>4.1300000000000003E-2</v>
      </c>
      <c r="T391" s="447">
        <f t="shared" si="70"/>
        <v>8.6165853236125023E-2</v>
      </c>
      <c r="V391" s="448"/>
      <c r="W391" s="448"/>
      <c r="X391" s="448"/>
      <c r="Y391" s="448"/>
      <c r="Z391" s="448"/>
      <c r="AA391" s="448"/>
      <c r="AB391" s="448"/>
      <c r="AC391" s="448"/>
      <c r="AD391" s="448"/>
      <c r="AF391" s="448"/>
      <c r="AG391" s="448"/>
      <c r="AH391" s="448"/>
      <c r="AI391" s="448"/>
      <c r="AJ391" s="448"/>
      <c r="AK391" s="448"/>
      <c r="AL391" s="448"/>
      <c r="AM391" s="448"/>
      <c r="AN391" s="448"/>
      <c r="AP391" s="448"/>
      <c r="AQ391" s="448"/>
      <c r="AR391" s="448"/>
      <c r="AS391" s="448"/>
      <c r="AT391" s="448"/>
      <c r="AU391" s="448"/>
      <c r="AV391" s="448"/>
      <c r="AW391" s="448"/>
      <c r="AX391" s="448"/>
    </row>
    <row r="392" spans="1:50" x14ac:dyDescent="0.4">
      <c r="A392" s="442" t="str">
        <f t="shared" si="71"/>
        <v>41958</v>
      </c>
      <c r="B392" s="442">
        <v>21276</v>
      </c>
      <c r="C392" s="455">
        <v>3.3700000000000001E-2</v>
      </c>
      <c r="D392" s="438">
        <v>5.16E-2</v>
      </c>
      <c r="E392" s="438">
        <v>2.5999999999999999E-3</v>
      </c>
      <c r="F392" s="438">
        <v>3.0000000000000001E-3</v>
      </c>
      <c r="G392" s="438">
        <v>3.15E-3</v>
      </c>
      <c r="H392" s="438">
        <v>3.075E-3</v>
      </c>
      <c r="I392" s="438">
        <v>3.2916666666666667E-3</v>
      </c>
      <c r="J392" s="438">
        <f t="shared" si="72"/>
        <v>3.1100000000000003E-2</v>
      </c>
      <c r="K392" s="438">
        <f t="shared" si="64"/>
        <v>3.0624999999999999E-2</v>
      </c>
      <c r="L392" s="438">
        <f t="shared" si="65"/>
        <v>4.8308333333333335E-2</v>
      </c>
      <c r="M392" s="446">
        <f t="shared" si="61"/>
        <v>-1.1033042103007262E-2</v>
      </c>
      <c r="N392" s="446">
        <f t="shared" si="62"/>
        <v>3.1199999999999999E-2</v>
      </c>
      <c r="O392" s="446">
        <f t="shared" si="66"/>
        <v>3.6900000000000002E-2</v>
      </c>
      <c r="P392" s="447">
        <f t="shared" si="63"/>
        <v>-4.2233042103007261E-2</v>
      </c>
      <c r="Q392" s="446">
        <f t="shared" si="67"/>
        <v>-4.7933042103007265E-2</v>
      </c>
      <c r="R392" s="446">
        <f t="shared" si="68"/>
        <v>0.13982223732273513</v>
      </c>
      <c r="S392" s="446">
        <f t="shared" si="69"/>
        <v>3.95E-2</v>
      </c>
      <c r="T392" s="447">
        <f t="shared" si="70"/>
        <v>0.10032223732273512</v>
      </c>
      <c r="V392" s="448"/>
      <c r="W392" s="448"/>
      <c r="X392" s="448"/>
      <c r="Y392" s="448"/>
      <c r="Z392" s="448"/>
      <c r="AA392" s="448"/>
      <c r="AB392" s="448"/>
      <c r="AC392" s="448"/>
      <c r="AD392" s="448"/>
      <c r="AF392" s="448"/>
      <c r="AG392" s="448"/>
      <c r="AH392" s="448"/>
      <c r="AI392" s="448"/>
      <c r="AJ392" s="448"/>
      <c r="AK392" s="448"/>
      <c r="AL392" s="448"/>
      <c r="AM392" s="448"/>
      <c r="AN392" s="448"/>
      <c r="AP392" s="448"/>
      <c r="AQ392" s="448"/>
      <c r="AR392" s="448"/>
      <c r="AS392" s="448"/>
      <c r="AT392" s="448"/>
      <c r="AU392" s="448"/>
      <c r="AV392" s="448"/>
      <c r="AW392" s="448"/>
      <c r="AX392" s="448"/>
    </row>
    <row r="393" spans="1:50" x14ac:dyDescent="0.4">
      <c r="A393" s="442" t="str">
        <f t="shared" si="71"/>
        <v>51958</v>
      </c>
      <c r="B393" s="442">
        <v>21306</v>
      </c>
      <c r="C393" s="455">
        <v>2.12E-2</v>
      </c>
      <c r="D393" s="438">
        <v>1.6400000000000001E-2</v>
      </c>
      <c r="E393" s="438">
        <v>2.3999999999999998E-3</v>
      </c>
      <c r="F393" s="438">
        <v>2.9749999999999998E-3</v>
      </c>
      <c r="G393" s="438">
        <v>3.15E-3</v>
      </c>
      <c r="H393" s="438">
        <v>3.0625000000000001E-3</v>
      </c>
      <c r="I393" s="438">
        <v>3.3416666666666668E-3</v>
      </c>
      <c r="J393" s="438">
        <f t="shared" si="72"/>
        <v>1.8800000000000001E-2</v>
      </c>
      <c r="K393" s="438">
        <f t="shared" si="64"/>
        <v>1.8137500000000001E-2</v>
      </c>
      <c r="L393" s="438">
        <f t="shared" si="65"/>
        <v>1.3058333333333335E-2</v>
      </c>
      <c r="M393" s="446">
        <f t="shared" si="61"/>
        <v>-3.2353111617889341E-2</v>
      </c>
      <c r="N393" s="446">
        <f t="shared" si="62"/>
        <v>2.8799999999999999E-2</v>
      </c>
      <c r="O393" s="446">
        <f t="shared" si="66"/>
        <v>3.6750000000000005E-2</v>
      </c>
      <c r="P393" s="447">
        <f t="shared" si="63"/>
        <v>-6.115311161788934E-2</v>
      </c>
      <c r="Q393" s="446">
        <f t="shared" si="67"/>
        <v>-6.9103111617889346E-2</v>
      </c>
      <c r="R393" s="446">
        <f t="shared" si="68"/>
        <v>0.13803076818745352</v>
      </c>
      <c r="S393" s="446">
        <f t="shared" si="69"/>
        <v>4.0100000000000004E-2</v>
      </c>
      <c r="T393" s="447">
        <f t="shared" si="70"/>
        <v>9.7930768187453526E-2</v>
      </c>
      <c r="V393" s="448"/>
      <c r="W393" s="448"/>
      <c r="X393" s="448"/>
      <c r="Y393" s="448"/>
      <c r="Z393" s="448"/>
      <c r="AA393" s="448"/>
      <c r="AB393" s="448"/>
      <c r="AC393" s="448"/>
      <c r="AD393" s="448"/>
      <c r="AF393" s="448"/>
      <c r="AG393" s="448"/>
      <c r="AH393" s="448"/>
      <c r="AI393" s="448"/>
      <c r="AJ393" s="448"/>
      <c r="AK393" s="448"/>
      <c r="AL393" s="448"/>
      <c r="AM393" s="448"/>
      <c r="AN393" s="448"/>
      <c r="AP393" s="448"/>
      <c r="AQ393" s="448"/>
      <c r="AR393" s="448"/>
      <c r="AS393" s="448"/>
      <c r="AT393" s="448"/>
      <c r="AU393" s="448"/>
      <c r="AV393" s="448"/>
      <c r="AW393" s="448"/>
      <c r="AX393" s="448"/>
    </row>
    <row r="394" spans="1:50" x14ac:dyDescent="0.4">
      <c r="A394" s="442" t="str">
        <f t="shared" si="71"/>
        <v>61958</v>
      </c>
      <c r="B394" s="442">
        <v>21337</v>
      </c>
      <c r="C394" s="455">
        <v>2.7900000000000001E-2</v>
      </c>
      <c r="D394" s="438">
        <v>1.72E-2</v>
      </c>
      <c r="E394" s="438">
        <v>2.7000000000000001E-3</v>
      </c>
      <c r="F394" s="438">
        <v>2.9749999999999998E-3</v>
      </c>
      <c r="G394" s="438">
        <v>3.15E-3</v>
      </c>
      <c r="H394" s="438">
        <v>3.0625000000000001E-3</v>
      </c>
      <c r="I394" s="438">
        <v>3.3250000000000003E-3</v>
      </c>
      <c r="J394" s="438">
        <f t="shared" si="72"/>
        <v>2.52E-2</v>
      </c>
      <c r="K394" s="438">
        <f t="shared" si="64"/>
        <v>2.4837500000000002E-2</v>
      </c>
      <c r="L394" s="438">
        <f t="shared" si="65"/>
        <v>1.3875E-2</v>
      </c>
      <c r="M394" s="446">
        <f t="shared" si="61"/>
        <v>-5.7534620472096121E-3</v>
      </c>
      <c r="N394" s="446">
        <f t="shared" si="62"/>
        <v>3.2399999999999998E-2</v>
      </c>
      <c r="O394" s="446">
        <f t="shared" si="66"/>
        <v>3.6750000000000005E-2</v>
      </c>
      <c r="P394" s="447">
        <f t="shared" si="63"/>
        <v>-3.815346204720961E-2</v>
      </c>
      <c r="Q394" s="446">
        <f t="shared" si="67"/>
        <v>-4.2503462047209617E-2</v>
      </c>
      <c r="R394" s="446">
        <f t="shared" si="68"/>
        <v>0.20810362909651192</v>
      </c>
      <c r="S394" s="446">
        <f t="shared" si="69"/>
        <v>3.9900000000000005E-2</v>
      </c>
      <c r="T394" s="447">
        <f t="shared" si="70"/>
        <v>0.16820362909651193</v>
      </c>
      <c r="V394" s="448"/>
      <c r="W394" s="448"/>
      <c r="X394" s="448"/>
      <c r="Y394" s="448"/>
      <c r="Z394" s="448"/>
      <c r="AA394" s="448"/>
      <c r="AB394" s="448"/>
      <c r="AC394" s="448"/>
      <c r="AD394" s="448"/>
      <c r="AF394" s="448"/>
      <c r="AG394" s="448"/>
      <c r="AH394" s="448"/>
      <c r="AI394" s="448"/>
      <c r="AJ394" s="448"/>
      <c r="AK394" s="448"/>
      <c r="AL394" s="448"/>
      <c r="AM394" s="448"/>
      <c r="AN394" s="448"/>
      <c r="AP394" s="448"/>
      <c r="AQ394" s="448"/>
      <c r="AR394" s="448"/>
      <c r="AS394" s="448"/>
      <c r="AT394" s="448"/>
      <c r="AU394" s="448"/>
      <c r="AV394" s="448"/>
      <c r="AW394" s="448"/>
      <c r="AX394" s="448"/>
    </row>
    <row r="395" spans="1:50" x14ac:dyDescent="0.4">
      <c r="A395" s="442" t="str">
        <f t="shared" si="71"/>
        <v>71958</v>
      </c>
      <c r="B395" s="442">
        <v>21367</v>
      </c>
      <c r="C395" s="455">
        <v>4.4900000000000002E-2</v>
      </c>
      <c r="D395" s="438">
        <v>1.09E-2</v>
      </c>
      <c r="E395" s="438">
        <v>2.7000000000000001E-3</v>
      </c>
      <c r="F395" s="438">
        <v>3.0583333333333335E-3</v>
      </c>
      <c r="G395" s="438">
        <v>3.1916666666666664E-3</v>
      </c>
      <c r="H395" s="438">
        <v>3.1250000000000002E-3</v>
      </c>
      <c r="I395" s="438">
        <v>3.3666666666666667E-3</v>
      </c>
      <c r="J395" s="438">
        <f t="shared" si="72"/>
        <v>4.2200000000000001E-2</v>
      </c>
      <c r="K395" s="438">
        <f t="shared" si="64"/>
        <v>4.1775E-2</v>
      </c>
      <c r="L395" s="438">
        <f t="shared" si="65"/>
        <v>7.5333333333333329E-3</v>
      </c>
      <c r="M395" s="446">
        <f t="shared" si="61"/>
        <v>2.5454750278225857E-2</v>
      </c>
      <c r="N395" s="446">
        <f t="shared" si="62"/>
        <v>3.2399999999999998E-2</v>
      </c>
      <c r="O395" s="446">
        <f t="shared" si="66"/>
        <v>3.7500000000000006E-2</v>
      </c>
      <c r="P395" s="447">
        <f t="shared" si="63"/>
        <v>-6.945249721774141E-3</v>
      </c>
      <c r="Q395" s="446">
        <f t="shared" si="67"/>
        <v>-1.2045249721774148E-2</v>
      </c>
      <c r="R395" s="446">
        <f t="shared" si="68"/>
        <v>0.21701241520046222</v>
      </c>
      <c r="S395" s="446">
        <f t="shared" si="69"/>
        <v>4.0399999999999998E-2</v>
      </c>
      <c r="T395" s="447">
        <f t="shared" si="70"/>
        <v>0.17661241520046222</v>
      </c>
      <c r="V395" s="448"/>
      <c r="W395" s="448"/>
      <c r="X395" s="448"/>
      <c r="Y395" s="448"/>
      <c r="Z395" s="448"/>
      <c r="AA395" s="448"/>
      <c r="AB395" s="448"/>
      <c r="AC395" s="448"/>
      <c r="AD395" s="448"/>
      <c r="AF395" s="448"/>
      <c r="AG395" s="448"/>
      <c r="AH395" s="448"/>
      <c r="AI395" s="448"/>
      <c r="AJ395" s="448"/>
      <c r="AK395" s="448"/>
      <c r="AL395" s="448"/>
      <c r="AM395" s="448"/>
      <c r="AN395" s="448"/>
      <c r="AP395" s="448"/>
      <c r="AQ395" s="448"/>
      <c r="AR395" s="448"/>
      <c r="AS395" s="448"/>
      <c r="AT395" s="448"/>
      <c r="AU395" s="448"/>
      <c r="AV395" s="448"/>
      <c r="AW395" s="448"/>
      <c r="AX395" s="448"/>
    </row>
    <row r="396" spans="1:50" x14ac:dyDescent="0.4">
      <c r="A396" s="442" t="str">
        <f t="shared" si="71"/>
        <v>81958</v>
      </c>
      <c r="B396" s="442">
        <v>21398</v>
      </c>
      <c r="C396" s="455">
        <v>1.7600000000000001E-2</v>
      </c>
      <c r="D396" s="438">
        <v>-6.7000000000000002E-3</v>
      </c>
      <c r="E396" s="438">
        <v>2.7000000000000001E-3</v>
      </c>
      <c r="F396" s="438">
        <v>3.2083333333333334E-3</v>
      </c>
      <c r="G396" s="438">
        <v>3.3166666666666665E-3</v>
      </c>
      <c r="H396" s="438">
        <v>3.2625000000000002E-3</v>
      </c>
      <c r="I396" s="438">
        <v>3.5750000000000001E-3</v>
      </c>
      <c r="J396" s="438">
        <f t="shared" si="72"/>
        <v>1.49E-2</v>
      </c>
      <c r="K396" s="438">
        <f t="shared" si="64"/>
        <v>1.4337500000000001E-2</v>
      </c>
      <c r="L396" s="438">
        <f t="shared" si="65"/>
        <v>-1.0274999999999999E-2</v>
      </c>
      <c r="M396" s="446">
        <f t="shared" si="61"/>
        <v>9.9002373757896223E-2</v>
      </c>
      <c r="N396" s="446">
        <f t="shared" si="62"/>
        <v>3.2399999999999998E-2</v>
      </c>
      <c r="O396" s="446">
        <f t="shared" si="66"/>
        <v>3.9150000000000004E-2</v>
      </c>
      <c r="P396" s="447">
        <f t="shared" si="63"/>
        <v>6.6602373757896224E-2</v>
      </c>
      <c r="Q396" s="446">
        <f t="shared" si="67"/>
        <v>5.9852373757896218E-2</v>
      </c>
      <c r="R396" s="446">
        <f t="shared" si="68"/>
        <v>0.24547540904452814</v>
      </c>
      <c r="S396" s="446">
        <f t="shared" si="69"/>
        <v>4.2900000000000001E-2</v>
      </c>
      <c r="T396" s="447">
        <f t="shared" si="70"/>
        <v>0.20257540904452814</v>
      </c>
      <c r="V396" s="448"/>
      <c r="W396" s="448"/>
      <c r="X396" s="448"/>
      <c r="Y396" s="448"/>
      <c r="Z396" s="448"/>
      <c r="AA396" s="448"/>
      <c r="AB396" s="448"/>
      <c r="AC396" s="448"/>
      <c r="AD396" s="448"/>
      <c r="AF396" s="448"/>
      <c r="AG396" s="448"/>
      <c r="AH396" s="448"/>
      <c r="AI396" s="448"/>
      <c r="AJ396" s="448"/>
      <c r="AK396" s="448"/>
      <c r="AL396" s="448"/>
      <c r="AM396" s="448"/>
      <c r="AN396" s="448"/>
      <c r="AP396" s="448"/>
      <c r="AQ396" s="448"/>
      <c r="AR396" s="448"/>
      <c r="AS396" s="448"/>
      <c r="AT396" s="448"/>
      <c r="AU396" s="448"/>
      <c r="AV396" s="448"/>
      <c r="AW396" s="448"/>
      <c r="AX396" s="448"/>
    </row>
    <row r="397" spans="1:50" x14ac:dyDescent="0.4">
      <c r="A397" s="442" t="str">
        <f t="shared" si="71"/>
        <v>91958</v>
      </c>
      <c r="B397" s="442">
        <v>21429</v>
      </c>
      <c r="C397" s="455">
        <v>5.0099999999999999E-2</v>
      </c>
      <c r="D397" s="438">
        <v>3.32E-2</v>
      </c>
      <c r="E397" s="438">
        <v>3.2000000000000002E-3</v>
      </c>
      <c r="F397" s="438">
        <v>3.4083333333333331E-3</v>
      </c>
      <c r="G397" s="438">
        <v>3.5000000000000005E-3</v>
      </c>
      <c r="H397" s="438">
        <v>3.454166666666667E-3</v>
      </c>
      <c r="I397" s="438">
        <v>3.7916666666666667E-3</v>
      </c>
      <c r="J397" s="438">
        <f t="shared" si="72"/>
        <v>4.6899999999999997E-2</v>
      </c>
      <c r="K397" s="438">
        <f t="shared" si="64"/>
        <v>4.6645833333333331E-2</v>
      </c>
      <c r="L397" s="438">
        <f t="shared" si="65"/>
        <v>2.9408333333333335E-2</v>
      </c>
      <c r="M397" s="446">
        <f t="shared" si="61"/>
        <v>0.22798722354029266</v>
      </c>
      <c r="N397" s="446">
        <f t="shared" si="62"/>
        <v>3.8400000000000004E-2</v>
      </c>
      <c r="O397" s="446">
        <f t="shared" si="66"/>
        <v>4.1450000000000001E-2</v>
      </c>
      <c r="P397" s="447">
        <f t="shared" si="63"/>
        <v>0.18958722354029267</v>
      </c>
      <c r="Q397" s="446">
        <f t="shared" si="67"/>
        <v>0.18653722354029267</v>
      </c>
      <c r="R397" s="446">
        <f t="shared" si="68"/>
        <v>0.30483187246482069</v>
      </c>
      <c r="S397" s="446">
        <f t="shared" si="69"/>
        <v>4.5499999999999999E-2</v>
      </c>
      <c r="T397" s="447">
        <f t="shared" si="70"/>
        <v>0.2593318724648207</v>
      </c>
      <c r="V397" s="448"/>
      <c r="W397" s="448"/>
      <c r="X397" s="448"/>
      <c r="Y397" s="448"/>
      <c r="Z397" s="448"/>
      <c r="AA397" s="448"/>
      <c r="AB397" s="448"/>
      <c r="AC397" s="448"/>
      <c r="AD397" s="448"/>
      <c r="AF397" s="448"/>
      <c r="AG397" s="448"/>
      <c r="AH397" s="448"/>
      <c r="AI397" s="448"/>
      <c r="AJ397" s="448"/>
      <c r="AK397" s="448"/>
      <c r="AL397" s="448"/>
      <c r="AM397" s="448"/>
      <c r="AN397" s="448"/>
      <c r="AP397" s="448"/>
      <c r="AQ397" s="448"/>
      <c r="AR397" s="448"/>
      <c r="AS397" s="448"/>
      <c r="AT397" s="448"/>
      <c r="AU397" s="448"/>
      <c r="AV397" s="448"/>
      <c r="AW397" s="448"/>
      <c r="AX397" s="448"/>
    </row>
    <row r="398" spans="1:50" x14ac:dyDescent="0.4">
      <c r="A398" s="442" t="str">
        <f t="shared" si="71"/>
        <v>101958</v>
      </c>
      <c r="B398" s="442">
        <v>21459</v>
      </c>
      <c r="C398" s="455">
        <v>2.7E-2</v>
      </c>
      <c r="D398" s="438">
        <v>4.0599999999999997E-2</v>
      </c>
      <c r="E398" s="438">
        <v>3.2000000000000002E-3</v>
      </c>
      <c r="F398" s="438">
        <v>3.4250000000000001E-3</v>
      </c>
      <c r="G398" s="438">
        <v>3.5083333333333334E-3</v>
      </c>
      <c r="H398" s="438">
        <v>3.4666666666666669E-3</v>
      </c>
      <c r="I398" s="438">
        <v>3.7999999999999996E-3</v>
      </c>
      <c r="J398" s="438">
        <f t="shared" si="72"/>
        <v>2.3799999999999998E-2</v>
      </c>
      <c r="K398" s="438">
        <f t="shared" si="64"/>
        <v>2.3533333333333333E-2</v>
      </c>
      <c r="L398" s="438">
        <f t="shared" si="65"/>
        <v>3.6799999999999999E-2</v>
      </c>
      <c r="M398" s="446">
        <f t="shared" si="61"/>
        <v>0.30041542439253544</v>
      </c>
      <c r="N398" s="446">
        <f t="shared" si="62"/>
        <v>3.8400000000000004E-2</v>
      </c>
      <c r="O398" s="446">
        <f t="shared" si="66"/>
        <v>4.1600000000000005E-2</v>
      </c>
      <c r="P398" s="447">
        <f t="shared" si="63"/>
        <v>0.26201542439253545</v>
      </c>
      <c r="Q398" s="446">
        <f t="shared" si="67"/>
        <v>0.25881542439253541</v>
      </c>
      <c r="R398" s="446">
        <f t="shared" si="68"/>
        <v>0.367930733917885</v>
      </c>
      <c r="S398" s="446">
        <f t="shared" si="69"/>
        <v>4.5599999999999995E-2</v>
      </c>
      <c r="T398" s="447">
        <f t="shared" si="70"/>
        <v>0.32233073391788503</v>
      </c>
      <c r="V398" s="448"/>
      <c r="W398" s="448"/>
      <c r="X398" s="448"/>
      <c r="Y398" s="448"/>
      <c r="Z398" s="448"/>
      <c r="AA398" s="448"/>
      <c r="AB398" s="448"/>
      <c r="AC398" s="448"/>
      <c r="AD398" s="448"/>
      <c r="AF398" s="448"/>
      <c r="AG398" s="448"/>
      <c r="AH398" s="448"/>
      <c r="AI398" s="448"/>
      <c r="AJ398" s="448"/>
      <c r="AK398" s="448"/>
      <c r="AL398" s="448"/>
      <c r="AM398" s="448"/>
      <c r="AN398" s="448"/>
      <c r="AP398" s="448"/>
      <c r="AQ398" s="448"/>
      <c r="AR398" s="448"/>
      <c r="AS398" s="448"/>
      <c r="AT398" s="448"/>
      <c r="AU398" s="448"/>
      <c r="AV398" s="448"/>
      <c r="AW398" s="448"/>
      <c r="AX398" s="448"/>
    </row>
    <row r="399" spans="1:50" x14ac:dyDescent="0.4">
      <c r="A399" s="442" t="str">
        <f t="shared" si="71"/>
        <v>111958</v>
      </c>
      <c r="B399" s="442">
        <v>21490</v>
      </c>
      <c r="C399" s="455">
        <v>2.8400000000000002E-2</v>
      </c>
      <c r="D399" s="438">
        <v>2.63E-2</v>
      </c>
      <c r="E399" s="438">
        <v>2.7999999999999995E-3</v>
      </c>
      <c r="F399" s="438">
        <v>3.4083333333333331E-3</v>
      </c>
      <c r="G399" s="438">
        <v>3.5083333333333334E-3</v>
      </c>
      <c r="H399" s="438">
        <v>3.4583333333333332E-3</v>
      </c>
      <c r="I399" s="438">
        <v>3.725E-3</v>
      </c>
      <c r="J399" s="438">
        <f t="shared" si="72"/>
        <v>2.5600000000000001E-2</v>
      </c>
      <c r="K399" s="438">
        <f t="shared" si="64"/>
        <v>2.4941666666666668E-2</v>
      </c>
      <c r="L399" s="438">
        <f t="shared" si="65"/>
        <v>2.2575000000000001E-2</v>
      </c>
      <c r="M399" s="446">
        <f t="shared" si="61"/>
        <v>0.30715201099138234</v>
      </c>
      <c r="N399" s="446">
        <f t="shared" si="62"/>
        <v>3.3599999999999991E-2</v>
      </c>
      <c r="O399" s="446">
        <f t="shared" si="66"/>
        <v>4.1499999999999995E-2</v>
      </c>
      <c r="P399" s="447">
        <f t="shared" si="63"/>
        <v>0.27355201099138238</v>
      </c>
      <c r="Q399" s="446">
        <f t="shared" si="67"/>
        <v>0.26565201099138236</v>
      </c>
      <c r="R399" s="446">
        <f t="shared" si="68"/>
        <v>0.34628626027994391</v>
      </c>
      <c r="S399" s="446">
        <f t="shared" si="69"/>
        <v>4.4700000000000004E-2</v>
      </c>
      <c r="T399" s="447">
        <f t="shared" si="70"/>
        <v>0.3015862602799439</v>
      </c>
      <c r="V399" s="448"/>
      <c r="W399" s="448"/>
      <c r="X399" s="448"/>
      <c r="Y399" s="448"/>
      <c r="Z399" s="448"/>
      <c r="AA399" s="448"/>
      <c r="AB399" s="448"/>
      <c r="AC399" s="448"/>
      <c r="AD399" s="448"/>
      <c r="AF399" s="448"/>
      <c r="AG399" s="448"/>
      <c r="AH399" s="448"/>
      <c r="AI399" s="448"/>
      <c r="AJ399" s="448"/>
      <c r="AK399" s="448"/>
      <c r="AL399" s="448"/>
      <c r="AM399" s="448"/>
      <c r="AN399" s="448"/>
      <c r="AP399" s="448"/>
      <c r="AQ399" s="448"/>
      <c r="AR399" s="448"/>
      <c r="AS399" s="448"/>
      <c r="AT399" s="448"/>
      <c r="AU399" s="448"/>
      <c r="AV399" s="448"/>
      <c r="AW399" s="448"/>
      <c r="AX399" s="448"/>
    </row>
    <row r="400" spans="1:50" x14ac:dyDescent="0.4">
      <c r="A400" s="442" t="str">
        <f t="shared" si="71"/>
        <v>121958</v>
      </c>
      <c r="B400" s="442">
        <v>21520</v>
      </c>
      <c r="C400" s="455">
        <v>5.3499999999999999E-2</v>
      </c>
      <c r="D400" s="438">
        <v>6.5500000000000003E-2</v>
      </c>
      <c r="E400" s="438">
        <v>3.3E-3</v>
      </c>
      <c r="F400" s="438">
        <v>3.4000000000000002E-3</v>
      </c>
      <c r="G400" s="438">
        <v>3.4833333333333331E-3</v>
      </c>
      <c r="H400" s="438">
        <v>3.4416666666666667E-3</v>
      </c>
      <c r="I400" s="438">
        <v>3.741666666666667E-3</v>
      </c>
      <c r="J400" s="438">
        <f t="shared" si="72"/>
        <v>5.0200000000000002E-2</v>
      </c>
      <c r="K400" s="438">
        <f t="shared" si="64"/>
        <v>5.005833333333333E-2</v>
      </c>
      <c r="L400" s="438">
        <f t="shared" si="65"/>
        <v>6.1758333333333339E-2</v>
      </c>
      <c r="M400" s="446">
        <f t="shared" ref="M400:M463" si="73">((1+C389)*(1+C390)*(1+C391)*(1+C392)*(1+C393)*(1+C394)*(1+C395)*(1+C396)*(1+C397)*(1+C398)*(1+C399)*(1+C400))-1</f>
        <v>0.43371644308112556</v>
      </c>
      <c r="N400" s="446">
        <f t="shared" ref="N400:N463" si="74">E400*12</f>
        <v>3.9599999999999996E-2</v>
      </c>
      <c r="O400" s="446">
        <f t="shared" si="66"/>
        <v>4.1300000000000003E-2</v>
      </c>
      <c r="P400" s="447">
        <f t="shared" ref="P400:P463" si="75">M400-N400</f>
        <v>0.39411644308112559</v>
      </c>
      <c r="Q400" s="446">
        <f t="shared" si="67"/>
        <v>0.39241644308112555</v>
      </c>
      <c r="R400" s="446">
        <f t="shared" si="68"/>
        <v>0.40703090762950511</v>
      </c>
      <c r="S400" s="446">
        <f t="shared" si="69"/>
        <v>4.4900000000000002E-2</v>
      </c>
      <c r="T400" s="447">
        <f t="shared" si="70"/>
        <v>0.36213090762950512</v>
      </c>
      <c r="V400" s="448"/>
      <c r="W400" s="448"/>
      <c r="X400" s="448"/>
      <c r="Y400" s="448"/>
      <c r="Z400" s="448"/>
      <c r="AA400" s="448"/>
      <c r="AB400" s="448"/>
      <c r="AC400" s="448"/>
      <c r="AD400" s="448"/>
      <c r="AF400" s="448"/>
      <c r="AG400" s="448"/>
      <c r="AH400" s="448"/>
      <c r="AI400" s="448"/>
      <c r="AJ400" s="448"/>
      <c r="AK400" s="448"/>
      <c r="AL400" s="448"/>
      <c r="AM400" s="448"/>
      <c r="AN400" s="448"/>
      <c r="AP400" s="448"/>
      <c r="AQ400" s="448"/>
      <c r="AR400" s="448"/>
      <c r="AS400" s="448"/>
      <c r="AT400" s="448"/>
      <c r="AU400" s="448"/>
      <c r="AV400" s="448"/>
      <c r="AW400" s="448"/>
      <c r="AX400" s="448"/>
    </row>
    <row r="401" spans="1:50" x14ac:dyDescent="0.4">
      <c r="A401" s="442" t="str">
        <f t="shared" si="71"/>
        <v>11959</v>
      </c>
      <c r="B401" s="442">
        <v>21551</v>
      </c>
      <c r="C401" s="455">
        <v>5.3E-3</v>
      </c>
      <c r="D401" s="438">
        <v>1.34E-2</v>
      </c>
      <c r="E401" s="438">
        <v>3.0999999999999999E-3</v>
      </c>
      <c r="F401" s="438">
        <v>3.4333333333333334E-3</v>
      </c>
      <c r="G401" s="438">
        <v>3.5166666666666662E-3</v>
      </c>
      <c r="H401" s="438">
        <v>3.4749999999999998E-3</v>
      </c>
      <c r="I401" s="438">
        <v>3.7666666666666664E-3</v>
      </c>
      <c r="J401" s="438">
        <f t="shared" si="72"/>
        <v>2.2000000000000001E-3</v>
      </c>
      <c r="K401" s="438">
        <f t="shared" si="64"/>
        <v>1.8250000000000002E-3</v>
      </c>
      <c r="L401" s="438">
        <f t="shared" si="65"/>
        <v>9.633333333333334E-3</v>
      </c>
      <c r="M401" s="446">
        <f t="shared" si="73"/>
        <v>0.37990918164620013</v>
      </c>
      <c r="N401" s="446">
        <f t="shared" si="74"/>
        <v>3.7199999999999997E-2</v>
      </c>
      <c r="O401" s="446">
        <f t="shared" si="66"/>
        <v>4.1700000000000001E-2</v>
      </c>
      <c r="P401" s="447">
        <f t="shared" si="75"/>
        <v>0.34270918164620012</v>
      </c>
      <c r="Q401" s="446">
        <f t="shared" si="67"/>
        <v>0.33820918164620012</v>
      </c>
      <c r="R401" s="446">
        <f t="shared" si="68"/>
        <v>0.34492088454229441</v>
      </c>
      <c r="S401" s="446">
        <f t="shared" si="69"/>
        <v>4.5199999999999997E-2</v>
      </c>
      <c r="T401" s="447">
        <f t="shared" si="70"/>
        <v>0.2997208845422944</v>
      </c>
      <c r="V401" s="448"/>
      <c r="W401" s="448"/>
      <c r="X401" s="448"/>
      <c r="Y401" s="448"/>
      <c r="Z401" s="448"/>
      <c r="AA401" s="448"/>
      <c r="AB401" s="448"/>
      <c r="AC401" s="448"/>
      <c r="AD401" s="448"/>
      <c r="AF401" s="448"/>
      <c r="AG401" s="448"/>
      <c r="AH401" s="448"/>
      <c r="AI401" s="448"/>
      <c r="AJ401" s="448"/>
      <c r="AK401" s="448"/>
      <c r="AL401" s="448"/>
      <c r="AM401" s="448"/>
      <c r="AN401" s="448"/>
      <c r="AP401" s="448"/>
      <c r="AQ401" s="448"/>
      <c r="AR401" s="448"/>
      <c r="AS401" s="448"/>
      <c r="AT401" s="448"/>
      <c r="AU401" s="448"/>
      <c r="AV401" s="448"/>
      <c r="AW401" s="448"/>
      <c r="AX401" s="448"/>
    </row>
    <row r="402" spans="1:50" x14ac:dyDescent="0.4">
      <c r="A402" s="442" t="str">
        <f t="shared" si="71"/>
        <v>21959</v>
      </c>
      <c r="B402" s="442">
        <v>21582</v>
      </c>
      <c r="C402" s="455">
        <v>4.8999999999999998E-3</v>
      </c>
      <c r="D402" s="438">
        <v>2.06E-2</v>
      </c>
      <c r="E402" s="438">
        <v>3.0999999999999999E-3</v>
      </c>
      <c r="F402" s="438">
        <v>3.4499999999999999E-3</v>
      </c>
      <c r="G402" s="438">
        <v>3.5333333333333332E-3</v>
      </c>
      <c r="H402" s="438">
        <v>3.4916666666666664E-3</v>
      </c>
      <c r="I402" s="438">
        <v>3.7499999999999999E-3</v>
      </c>
      <c r="J402" s="438">
        <f t="shared" si="72"/>
        <v>1.8E-3</v>
      </c>
      <c r="K402" s="438">
        <f t="shared" si="64"/>
        <v>1.4083333333333335E-3</v>
      </c>
      <c r="L402" s="438">
        <f t="shared" si="65"/>
        <v>1.685E-2</v>
      </c>
      <c r="M402" s="446">
        <f t="shared" si="73"/>
        <v>0.40650242076911036</v>
      </c>
      <c r="N402" s="446">
        <f t="shared" si="74"/>
        <v>3.7199999999999997E-2</v>
      </c>
      <c r="O402" s="446">
        <f t="shared" si="66"/>
        <v>4.1899999999999993E-2</v>
      </c>
      <c r="P402" s="447">
        <f t="shared" si="75"/>
        <v>0.36930242076911035</v>
      </c>
      <c r="Q402" s="446">
        <f t="shared" si="67"/>
        <v>0.36460242076911037</v>
      </c>
      <c r="R402" s="446">
        <f t="shared" si="68"/>
        <v>0.35407542148945992</v>
      </c>
      <c r="S402" s="446">
        <f t="shared" si="69"/>
        <v>4.4999999999999998E-2</v>
      </c>
      <c r="T402" s="447">
        <f t="shared" si="70"/>
        <v>0.30907542148945993</v>
      </c>
      <c r="V402" s="448"/>
      <c r="W402" s="448"/>
      <c r="X402" s="448"/>
      <c r="Y402" s="448"/>
      <c r="Z402" s="448"/>
      <c r="AA402" s="448"/>
      <c r="AB402" s="448"/>
      <c r="AC402" s="448"/>
      <c r="AD402" s="448"/>
      <c r="AF402" s="448"/>
      <c r="AG402" s="448"/>
      <c r="AH402" s="448"/>
      <c r="AI402" s="448"/>
      <c r="AJ402" s="448"/>
      <c r="AK402" s="448"/>
      <c r="AL402" s="448"/>
      <c r="AM402" s="448"/>
      <c r="AN402" s="448"/>
      <c r="AP402" s="448"/>
      <c r="AQ402" s="448"/>
      <c r="AR402" s="448"/>
      <c r="AS402" s="448"/>
      <c r="AT402" s="448"/>
      <c r="AU402" s="448"/>
      <c r="AV402" s="448"/>
      <c r="AW402" s="448"/>
      <c r="AX402" s="448"/>
    </row>
    <row r="403" spans="1:50" x14ac:dyDescent="0.4">
      <c r="A403" s="442" t="str">
        <f t="shared" si="71"/>
        <v>31959</v>
      </c>
      <c r="B403" s="442">
        <v>21610</v>
      </c>
      <c r="C403" s="455">
        <v>2E-3</v>
      </c>
      <c r="D403" s="438">
        <v>1.0200000000000001E-2</v>
      </c>
      <c r="E403" s="438">
        <v>3.5000000000000005E-3</v>
      </c>
      <c r="F403" s="438">
        <v>3.4416666666666667E-3</v>
      </c>
      <c r="G403" s="438">
        <v>3.5250000000000004E-3</v>
      </c>
      <c r="H403" s="438">
        <v>3.4833333333333339E-3</v>
      </c>
      <c r="I403" s="438">
        <v>3.725E-3</v>
      </c>
      <c r="J403" s="438">
        <f t="shared" si="72"/>
        <v>-1.5000000000000005E-3</v>
      </c>
      <c r="K403" s="438">
        <f t="shared" si="64"/>
        <v>-1.4833333333333339E-3</v>
      </c>
      <c r="L403" s="438">
        <f t="shared" si="65"/>
        <v>6.4750000000000007E-3</v>
      </c>
      <c r="M403" s="446">
        <f t="shared" si="73"/>
        <v>0.36455792564935052</v>
      </c>
      <c r="N403" s="446">
        <f t="shared" si="74"/>
        <v>4.200000000000001E-2</v>
      </c>
      <c r="O403" s="446">
        <f t="shared" si="66"/>
        <v>4.1800000000000004E-2</v>
      </c>
      <c r="P403" s="447">
        <f t="shared" si="75"/>
        <v>0.32255792564935049</v>
      </c>
      <c r="Q403" s="446">
        <f t="shared" si="67"/>
        <v>0.32275792564935052</v>
      </c>
      <c r="R403" s="446">
        <f t="shared" si="68"/>
        <v>0.34106567724377701</v>
      </c>
      <c r="S403" s="446">
        <f t="shared" si="69"/>
        <v>4.4700000000000004E-2</v>
      </c>
      <c r="T403" s="447">
        <f t="shared" si="70"/>
        <v>0.29636567724377699</v>
      </c>
      <c r="V403" s="448"/>
      <c r="W403" s="448"/>
      <c r="X403" s="448"/>
      <c r="Y403" s="448"/>
      <c r="Z403" s="448"/>
      <c r="AA403" s="448"/>
      <c r="AB403" s="448"/>
      <c r="AC403" s="448"/>
      <c r="AD403" s="448"/>
      <c r="AF403" s="448"/>
      <c r="AG403" s="448"/>
      <c r="AH403" s="448"/>
      <c r="AI403" s="448"/>
      <c r="AJ403" s="448"/>
      <c r="AK403" s="448"/>
      <c r="AL403" s="448"/>
      <c r="AM403" s="448"/>
      <c r="AN403" s="448"/>
      <c r="AP403" s="448"/>
      <c r="AQ403" s="448"/>
      <c r="AR403" s="448"/>
      <c r="AS403" s="448"/>
      <c r="AT403" s="448"/>
      <c r="AU403" s="448"/>
      <c r="AV403" s="448"/>
      <c r="AW403" s="448"/>
      <c r="AX403" s="448"/>
    </row>
    <row r="404" spans="1:50" x14ac:dyDescent="0.4">
      <c r="A404" s="442" t="str">
        <f t="shared" si="71"/>
        <v>41959</v>
      </c>
      <c r="B404" s="442">
        <v>21641</v>
      </c>
      <c r="C404" s="455">
        <v>4.02E-2</v>
      </c>
      <c r="D404" s="438">
        <v>-2.7999999999999995E-3</v>
      </c>
      <c r="E404" s="438">
        <v>3.3E-3</v>
      </c>
      <c r="F404" s="438">
        <v>3.5250000000000004E-3</v>
      </c>
      <c r="G404" s="438">
        <v>3.6000000000000003E-3</v>
      </c>
      <c r="H404" s="438">
        <v>3.5625000000000006E-3</v>
      </c>
      <c r="I404" s="438">
        <v>3.7999999999999996E-3</v>
      </c>
      <c r="J404" s="438">
        <f t="shared" si="72"/>
        <v>3.6900000000000002E-2</v>
      </c>
      <c r="K404" s="438">
        <f t="shared" si="64"/>
        <v>3.6637499999999996E-2</v>
      </c>
      <c r="L404" s="438">
        <f t="shared" si="65"/>
        <v>-6.5999999999999991E-3</v>
      </c>
      <c r="M404" s="446">
        <f t="shared" si="73"/>
        <v>0.37313839050058473</v>
      </c>
      <c r="N404" s="446">
        <f t="shared" si="74"/>
        <v>3.9599999999999996E-2</v>
      </c>
      <c r="O404" s="446">
        <f t="shared" si="66"/>
        <v>4.275000000000001E-2</v>
      </c>
      <c r="P404" s="447">
        <f t="shared" si="75"/>
        <v>0.33353839050058476</v>
      </c>
      <c r="Q404" s="446">
        <f t="shared" si="67"/>
        <v>0.33038839050058472</v>
      </c>
      <c r="R404" s="446">
        <f t="shared" si="68"/>
        <v>0.27169141626806215</v>
      </c>
      <c r="S404" s="446">
        <f t="shared" si="69"/>
        <v>4.5599999999999995E-2</v>
      </c>
      <c r="T404" s="447">
        <f t="shared" si="70"/>
        <v>0.22609141626806215</v>
      </c>
      <c r="V404" s="448"/>
      <c r="W404" s="448"/>
      <c r="X404" s="448"/>
      <c r="Y404" s="448"/>
      <c r="Z404" s="448"/>
      <c r="AA404" s="448"/>
      <c r="AB404" s="448"/>
      <c r="AC404" s="448"/>
      <c r="AD404" s="448"/>
      <c r="AF404" s="448"/>
      <c r="AG404" s="448"/>
      <c r="AH404" s="448"/>
      <c r="AI404" s="448"/>
      <c r="AJ404" s="448"/>
      <c r="AK404" s="448"/>
      <c r="AL404" s="448"/>
      <c r="AM404" s="448"/>
      <c r="AN404" s="448"/>
      <c r="AP404" s="448"/>
      <c r="AQ404" s="448"/>
      <c r="AR404" s="448"/>
      <c r="AS404" s="448"/>
      <c r="AT404" s="448"/>
      <c r="AU404" s="448"/>
      <c r="AV404" s="448"/>
      <c r="AW404" s="448"/>
      <c r="AX404" s="448"/>
    </row>
    <row r="405" spans="1:50" x14ac:dyDescent="0.4">
      <c r="A405" s="442" t="str">
        <f t="shared" si="71"/>
        <v>51959</v>
      </c>
      <c r="B405" s="442">
        <v>21671</v>
      </c>
      <c r="C405" s="455">
        <v>2.4E-2</v>
      </c>
      <c r="D405" s="438">
        <v>-1.2E-2</v>
      </c>
      <c r="E405" s="438">
        <v>3.3E-3</v>
      </c>
      <c r="F405" s="438">
        <v>3.6416666666666667E-3</v>
      </c>
      <c r="G405" s="438">
        <v>3.7166666666666663E-3</v>
      </c>
      <c r="H405" s="438">
        <v>3.6791666666666665E-3</v>
      </c>
      <c r="I405" s="438">
        <v>3.9749999999999994E-3</v>
      </c>
      <c r="J405" s="438">
        <f t="shared" si="72"/>
        <v>2.07E-2</v>
      </c>
      <c r="K405" s="438">
        <f t="shared" si="64"/>
        <v>2.0320833333333333E-2</v>
      </c>
      <c r="L405" s="438">
        <f t="shared" si="65"/>
        <v>-1.5975E-2</v>
      </c>
      <c r="M405" s="446">
        <f t="shared" si="73"/>
        <v>0.37690336062729934</v>
      </c>
      <c r="N405" s="446">
        <f t="shared" si="74"/>
        <v>3.9599999999999996E-2</v>
      </c>
      <c r="O405" s="446">
        <f t="shared" si="66"/>
        <v>4.4149999999999995E-2</v>
      </c>
      <c r="P405" s="447">
        <f t="shared" si="75"/>
        <v>0.33730336062729938</v>
      </c>
      <c r="Q405" s="446">
        <f t="shared" si="67"/>
        <v>0.33275336062729932</v>
      </c>
      <c r="R405" s="446">
        <f t="shared" si="68"/>
        <v>0.23615812600634101</v>
      </c>
      <c r="S405" s="446">
        <f t="shared" si="69"/>
        <v>4.7699999999999992E-2</v>
      </c>
      <c r="T405" s="447">
        <f t="shared" si="70"/>
        <v>0.18845812600634101</v>
      </c>
      <c r="V405" s="448"/>
      <c r="W405" s="448"/>
      <c r="X405" s="448"/>
      <c r="Y405" s="448"/>
      <c r="Z405" s="448"/>
      <c r="AA405" s="448"/>
      <c r="AB405" s="448"/>
      <c r="AC405" s="448"/>
      <c r="AD405" s="448"/>
      <c r="AF405" s="448"/>
      <c r="AG405" s="448"/>
      <c r="AH405" s="448"/>
      <c r="AI405" s="448"/>
      <c r="AJ405" s="448"/>
      <c r="AK405" s="448"/>
      <c r="AL405" s="448"/>
      <c r="AM405" s="448"/>
      <c r="AN405" s="448"/>
      <c r="AP405" s="448"/>
      <c r="AQ405" s="448"/>
      <c r="AR405" s="448"/>
      <c r="AS405" s="448"/>
      <c r="AT405" s="448"/>
      <c r="AU405" s="448"/>
      <c r="AV405" s="448"/>
      <c r="AW405" s="448"/>
      <c r="AX405" s="448"/>
    </row>
    <row r="406" spans="1:50" x14ac:dyDescent="0.4">
      <c r="A406" s="442" t="str">
        <f t="shared" si="71"/>
        <v>61959</v>
      </c>
      <c r="B406" s="442">
        <v>21702</v>
      </c>
      <c r="C406" s="455">
        <v>-2.2000000000000001E-3</v>
      </c>
      <c r="D406" s="438">
        <v>-8.7999999999999988E-3</v>
      </c>
      <c r="E406" s="438">
        <v>3.5999999999999999E-3</v>
      </c>
      <c r="F406" s="438">
        <v>3.7166666666666663E-3</v>
      </c>
      <c r="G406" s="438">
        <v>3.7999999999999996E-3</v>
      </c>
      <c r="H406" s="438">
        <v>3.7583333333333331E-3</v>
      </c>
      <c r="I406" s="438">
        <v>4.0500000000000006E-3</v>
      </c>
      <c r="J406" s="438">
        <f t="shared" si="72"/>
        <v>-5.7999999999999996E-3</v>
      </c>
      <c r="K406" s="438">
        <f t="shared" si="64"/>
        <v>-5.9583333333333328E-3</v>
      </c>
      <c r="L406" s="438">
        <f t="shared" si="65"/>
        <v>-1.285E-2</v>
      </c>
      <c r="M406" s="446">
        <f t="shared" si="73"/>
        <v>0.33658349375806895</v>
      </c>
      <c r="N406" s="446">
        <f t="shared" si="74"/>
        <v>4.3200000000000002E-2</v>
      </c>
      <c r="O406" s="446">
        <f t="shared" si="66"/>
        <v>4.5100000000000001E-2</v>
      </c>
      <c r="P406" s="447">
        <f t="shared" si="75"/>
        <v>0.29338349375806894</v>
      </c>
      <c r="Q406" s="446">
        <f t="shared" si="67"/>
        <v>0.29148349375806892</v>
      </c>
      <c r="R406" s="446">
        <f t="shared" si="68"/>
        <v>0.20456147709151118</v>
      </c>
      <c r="S406" s="446">
        <f t="shared" si="69"/>
        <v>4.8600000000000004E-2</v>
      </c>
      <c r="T406" s="447">
        <f t="shared" si="70"/>
        <v>0.15596147709151117</v>
      </c>
      <c r="V406" s="448"/>
      <c r="W406" s="448"/>
      <c r="X406" s="448"/>
      <c r="Y406" s="448"/>
      <c r="Z406" s="448"/>
      <c r="AA406" s="448"/>
      <c r="AB406" s="448"/>
      <c r="AC406" s="448"/>
      <c r="AD406" s="448"/>
      <c r="AF406" s="448"/>
      <c r="AG406" s="448"/>
      <c r="AH406" s="448"/>
      <c r="AI406" s="448"/>
      <c r="AJ406" s="448"/>
      <c r="AK406" s="448"/>
      <c r="AL406" s="448"/>
      <c r="AM406" s="448"/>
      <c r="AN406" s="448"/>
      <c r="AP406" s="448"/>
      <c r="AQ406" s="448"/>
      <c r="AR406" s="448"/>
      <c r="AS406" s="448"/>
      <c r="AT406" s="448"/>
      <c r="AU406" s="448"/>
      <c r="AV406" s="448"/>
      <c r="AW406" s="448"/>
      <c r="AX406" s="448"/>
    </row>
    <row r="407" spans="1:50" x14ac:dyDescent="0.4">
      <c r="A407" s="442" t="str">
        <f t="shared" si="71"/>
        <v>71959</v>
      </c>
      <c r="B407" s="442">
        <v>21732</v>
      </c>
      <c r="C407" s="455">
        <v>3.6299999999999999E-2</v>
      </c>
      <c r="D407" s="438">
        <v>3.7100000000000001E-2</v>
      </c>
      <c r="E407" s="438">
        <v>3.5000000000000005E-3</v>
      </c>
      <c r="F407" s="438">
        <v>3.725E-3</v>
      </c>
      <c r="G407" s="438">
        <v>3.8166666666666666E-3</v>
      </c>
      <c r="H407" s="438">
        <v>3.7708333333333331E-3</v>
      </c>
      <c r="I407" s="438">
        <v>4.0666666666666663E-3</v>
      </c>
      <c r="J407" s="438">
        <f t="shared" si="72"/>
        <v>3.2799999999999996E-2</v>
      </c>
      <c r="K407" s="438">
        <f t="shared" si="64"/>
        <v>3.2529166666666665E-2</v>
      </c>
      <c r="L407" s="438">
        <f t="shared" si="65"/>
        <v>3.3033333333333331E-2</v>
      </c>
      <c r="M407" s="446">
        <f t="shared" si="73"/>
        <v>0.32558280656664507</v>
      </c>
      <c r="N407" s="446">
        <f t="shared" si="74"/>
        <v>4.200000000000001E-2</v>
      </c>
      <c r="O407" s="446">
        <f t="shared" si="66"/>
        <v>4.5249999999999999E-2</v>
      </c>
      <c r="P407" s="447">
        <f t="shared" si="75"/>
        <v>0.28358280656664503</v>
      </c>
      <c r="Q407" s="446">
        <f t="shared" si="67"/>
        <v>0.28033280656664505</v>
      </c>
      <c r="R407" s="446">
        <f t="shared" si="68"/>
        <v>0.23578069828035031</v>
      </c>
      <c r="S407" s="446">
        <f t="shared" si="69"/>
        <v>4.8799999999999996E-2</v>
      </c>
      <c r="T407" s="447">
        <f t="shared" si="70"/>
        <v>0.1869806982803503</v>
      </c>
      <c r="V407" s="448"/>
      <c r="W407" s="448"/>
      <c r="X407" s="448"/>
      <c r="Y407" s="448"/>
      <c r="Z407" s="448"/>
      <c r="AA407" s="448"/>
      <c r="AB407" s="448"/>
      <c r="AC407" s="448"/>
      <c r="AD407" s="448"/>
      <c r="AF407" s="448"/>
      <c r="AG407" s="448"/>
      <c r="AH407" s="448"/>
      <c r="AI407" s="448"/>
      <c r="AJ407" s="448"/>
      <c r="AK407" s="448"/>
      <c r="AL407" s="448"/>
      <c r="AM407" s="448"/>
      <c r="AN407" s="448"/>
      <c r="AP407" s="448"/>
      <c r="AQ407" s="448"/>
      <c r="AR407" s="448"/>
      <c r="AS407" s="448"/>
      <c r="AT407" s="448"/>
      <c r="AU407" s="448"/>
      <c r="AV407" s="448"/>
      <c r="AW407" s="448"/>
      <c r="AX407" s="448"/>
    </row>
    <row r="408" spans="1:50" x14ac:dyDescent="0.4">
      <c r="A408" s="442" t="str">
        <f t="shared" si="71"/>
        <v>81959</v>
      </c>
      <c r="B408" s="442">
        <v>21763</v>
      </c>
      <c r="C408" s="455">
        <v>-1.0200000000000001E-2</v>
      </c>
      <c r="D408" s="438">
        <v>1.7500000000000002E-2</v>
      </c>
      <c r="E408" s="438">
        <v>3.5000000000000005E-3</v>
      </c>
      <c r="F408" s="438">
        <v>3.6916666666666664E-3</v>
      </c>
      <c r="G408" s="438">
        <v>3.8166666666666666E-3</v>
      </c>
      <c r="H408" s="438">
        <v>3.7541666666666661E-3</v>
      </c>
      <c r="I408" s="438">
        <v>4.0749999999999996E-3</v>
      </c>
      <c r="J408" s="438">
        <f t="shared" si="72"/>
        <v>-1.37E-2</v>
      </c>
      <c r="K408" s="438">
        <f t="shared" si="64"/>
        <v>-1.3954166666666667E-2</v>
      </c>
      <c r="L408" s="438">
        <f t="shared" si="65"/>
        <v>1.3425000000000003E-2</v>
      </c>
      <c r="M408" s="446">
        <f t="shared" si="73"/>
        <v>0.28936896810108603</v>
      </c>
      <c r="N408" s="446">
        <f t="shared" si="74"/>
        <v>4.200000000000001E-2</v>
      </c>
      <c r="O408" s="446">
        <f t="shared" si="66"/>
        <v>4.5049999999999993E-2</v>
      </c>
      <c r="P408" s="447">
        <f t="shared" si="75"/>
        <v>0.24736896810108602</v>
      </c>
      <c r="Q408" s="446">
        <f t="shared" si="67"/>
        <v>0.24431896810108605</v>
      </c>
      <c r="R408" s="446">
        <f t="shared" si="68"/>
        <v>0.26588831219194242</v>
      </c>
      <c r="S408" s="446">
        <f t="shared" si="69"/>
        <v>4.8899999999999999E-2</v>
      </c>
      <c r="T408" s="447">
        <f t="shared" si="70"/>
        <v>0.21698831219194242</v>
      </c>
      <c r="V408" s="448"/>
      <c r="W408" s="448"/>
      <c r="X408" s="448"/>
      <c r="Y408" s="448"/>
      <c r="Z408" s="448"/>
      <c r="AA408" s="448"/>
      <c r="AB408" s="448"/>
      <c r="AC408" s="448"/>
      <c r="AD408" s="448"/>
      <c r="AF408" s="448"/>
      <c r="AG408" s="448"/>
      <c r="AH408" s="448"/>
      <c r="AI408" s="448"/>
      <c r="AJ408" s="448"/>
      <c r="AK408" s="448"/>
      <c r="AL408" s="448"/>
      <c r="AM408" s="448"/>
      <c r="AN408" s="448"/>
      <c r="AP408" s="448"/>
      <c r="AQ408" s="448"/>
      <c r="AR408" s="448"/>
      <c r="AS408" s="448"/>
      <c r="AT408" s="448"/>
      <c r="AU408" s="448"/>
      <c r="AV408" s="448"/>
      <c r="AW408" s="448"/>
      <c r="AX408" s="448"/>
    </row>
    <row r="409" spans="1:50" x14ac:dyDescent="0.4">
      <c r="A409" s="442" t="str">
        <f t="shared" si="71"/>
        <v>91959</v>
      </c>
      <c r="B409" s="442">
        <v>21794</v>
      </c>
      <c r="C409" s="455">
        <v>-4.4299999999999999E-2</v>
      </c>
      <c r="D409" s="438">
        <v>-3.9300000000000002E-2</v>
      </c>
      <c r="E409" s="438">
        <v>3.3999999999999998E-3</v>
      </c>
      <c r="F409" s="438">
        <v>3.7666666666666664E-3</v>
      </c>
      <c r="G409" s="438">
        <v>3.908333333333334E-3</v>
      </c>
      <c r="H409" s="438">
        <v>3.8375000000000002E-3</v>
      </c>
      <c r="I409" s="438">
        <v>4.1916666666666665E-3</v>
      </c>
      <c r="J409" s="438">
        <f t="shared" si="72"/>
        <v>-4.7699999999999999E-2</v>
      </c>
      <c r="K409" s="438">
        <f t="shared" si="64"/>
        <v>-4.81375E-2</v>
      </c>
      <c r="L409" s="438">
        <f t="shared" si="65"/>
        <v>-4.3491666666666665E-2</v>
      </c>
      <c r="M409" s="446">
        <f t="shared" si="73"/>
        <v>0.17345959700429314</v>
      </c>
      <c r="N409" s="446">
        <f t="shared" si="74"/>
        <v>4.0799999999999996E-2</v>
      </c>
      <c r="O409" s="446">
        <f t="shared" si="66"/>
        <v>4.6050000000000001E-2</v>
      </c>
      <c r="P409" s="447">
        <f t="shared" si="75"/>
        <v>0.13265959700429314</v>
      </c>
      <c r="Q409" s="446">
        <f t="shared" si="67"/>
        <v>0.12740959700429313</v>
      </c>
      <c r="R409" s="446">
        <f t="shared" si="68"/>
        <v>0.17706049315021311</v>
      </c>
      <c r="S409" s="446">
        <f t="shared" si="69"/>
        <v>5.0299999999999997E-2</v>
      </c>
      <c r="T409" s="447">
        <f t="shared" si="70"/>
        <v>0.12676049315021309</v>
      </c>
      <c r="V409" s="448"/>
      <c r="W409" s="448"/>
      <c r="X409" s="448"/>
      <c r="Y409" s="448"/>
      <c r="Z409" s="448"/>
      <c r="AA409" s="448"/>
      <c r="AB409" s="448"/>
      <c r="AC409" s="448"/>
      <c r="AD409" s="448"/>
      <c r="AF409" s="448"/>
      <c r="AG409" s="448"/>
      <c r="AH409" s="448"/>
      <c r="AI409" s="448"/>
      <c r="AJ409" s="448"/>
      <c r="AK409" s="448"/>
      <c r="AL409" s="448"/>
      <c r="AM409" s="448"/>
      <c r="AN409" s="448"/>
      <c r="AP409" s="448"/>
      <c r="AQ409" s="448"/>
      <c r="AR409" s="448"/>
      <c r="AS409" s="448"/>
      <c r="AT409" s="448"/>
      <c r="AU409" s="448"/>
      <c r="AV409" s="448"/>
      <c r="AW409" s="448"/>
      <c r="AX409" s="448"/>
    </row>
    <row r="410" spans="1:50" x14ac:dyDescent="0.4">
      <c r="A410" s="442" t="str">
        <f t="shared" si="71"/>
        <v>101959</v>
      </c>
      <c r="B410" s="442">
        <v>21824</v>
      </c>
      <c r="C410" s="455">
        <v>1.2800000000000001E-2</v>
      </c>
      <c r="D410" s="438">
        <v>1.5699999999999999E-2</v>
      </c>
      <c r="E410" s="438">
        <v>3.5000000000000005E-3</v>
      </c>
      <c r="F410" s="438">
        <v>3.8083333333333337E-3</v>
      </c>
      <c r="G410" s="438">
        <v>3.966666666666667E-3</v>
      </c>
      <c r="H410" s="438">
        <v>3.8875000000000003E-3</v>
      </c>
      <c r="I410" s="438">
        <v>4.1333333333333335E-3</v>
      </c>
      <c r="J410" s="438">
        <f t="shared" si="72"/>
        <v>9.2999999999999992E-3</v>
      </c>
      <c r="K410" s="438">
        <f t="shared" si="64"/>
        <v>8.9125000000000003E-3</v>
      </c>
      <c r="L410" s="438">
        <f t="shared" si="65"/>
        <v>1.1566666666666666E-2</v>
      </c>
      <c r="M410" s="446">
        <f t="shared" si="73"/>
        <v>0.15723454707492479</v>
      </c>
      <c r="N410" s="446">
        <f t="shared" si="74"/>
        <v>4.200000000000001E-2</v>
      </c>
      <c r="O410" s="446">
        <f t="shared" si="66"/>
        <v>4.6650000000000004E-2</v>
      </c>
      <c r="P410" s="447">
        <f t="shared" si="75"/>
        <v>0.11523454707492478</v>
      </c>
      <c r="Q410" s="446">
        <f t="shared" si="67"/>
        <v>0.11058454707492479</v>
      </c>
      <c r="R410" s="446">
        <f t="shared" si="68"/>
        <v>0.14889519785957228</v>
      </c>
      <c r="S410" s="446">
        <f t="shared" si="69"/>
        <v>4.9600000000000005E-2</v>
      </c>
      <c r="T410" s="447">
        <f t="shared" si="70"/>
        <v>9.9295197859572276E-2</v>
      </c>
      <c r="V410" s="448"/>
      <c r="W410" s="448"/>
      <c r="X410" s="448"/>
      <c r="Y410" s="448"/>
      <c r="Z410" s="448"/>
      <c r="AA410" s="448"/>
      <c r="AB410" s="448"/>
      <c r="AC410" s="448"/>
      <c r="AD410" s="448"/>
      <c r="AF410" s="448"/>
      <c r="AG410" s="448"/>
      <c r="AH410" s="448"/>
      <c r="AI410" s="448"/>
      <c r="AJ410" s="448"/>
      <c r="AK410" s="448"/>
      <c r="AL410" s="448"/>
      <c r="AM410" s="448"/>
      <c r="AN410" s="448"/>
      <c r="AP410" s="448"/>
      <c r="AQ410" s="448"/>
      <c r="AR410" s="448"/>
      <c r="AS410" s="448"/>
      <c r="AT410" s="448"/>
      <c r="AU410" s="448"/>
      <c r="AV410" s="448"/>
      <c r="AW410" s="448"/>
      <c r="AX410" s="448"/>
    </row>
    <row r="411" spans="1:50" x14ac:dyDescent="0.4">
      <c r="A411" s="442" t="str">
        <f t="shared" si="71"/>
        <v>111959</v>
      </c>
      <c r="B411" s="442">
        <v>21855</v>
      </c>
      <c r="C411" s="455">
        <v>1.8599999999999998E-2</v>
      </c>
      <c r="D411" s="438">
        <v>9.9999999999999829E-5</v>
      </c>
      <c r="E411" s="438">
        <v>3.5000000000000005E-3</v>
      </c>
      <c r="F411" s="438">
        <v>3.7999999999999996E-3</v>
      </c>
      <c r="G411" s="438">
        <v>3.9166666666666664E-3</v>
      </c>
      <c r="H411" s="438">
        <v>3.858333333333333E-3</v>
      </c>
      <c r="I411" s="438">
        <v>4.0833333333333338E-3</v>
      </c>
      <c r="J411" s="438">
        <f t="shared" si="72"/>
        <v>1.5099999999999999E-2</v>
      </c>
      <c r="K411" s="438">
        <f t="shared" si="64"/>
        <v>1.4741666666666665E-2</v>
      </c>
      <c r="L411" s="438">
        <f t="shared" si="65"/>
        <v>-3.9833333333333335E-3</v>
      </c>
      <c r="M411" s="446">
        <f t="shared" si="73"/>
        <v>0.14620683552170211</v>
      </c>
      <c r="N411" s="446">
        <f t="shared" si="74"/>
        <v>4.200000000000001E-2</v>
      </c>
      <c r="O411" s="446">
        <f t="shared" si="66"/>
        <v>4.6299999999999994E-2</v>
      </c>
      <c r="P411" s="447">
        <f t="shared" si="75"/>
        <v>0.1042068355217021</v>
      </c>
      <c r="Q411" s="446">
        <f t="shared" si="67"/>
        <v>9.9906835521702111E-2</v>
      </c>
      <c r="R411" s="446">
        <f t="shared" si="68"/>
        <v>0.11956551435190343</v>
      </c>
      <c r="S411" s="446">
        <f t="shared" si="69"/>
        <v>4.9000000000000002E-2</v>
      </c>
      <c r="T411" s="447">
        <f t="shared" si="70"/>
        <v>7.0565514351903433E-2</v>
      </c>
      <c r="V411" s="448"/>
      <c r="W411" s="448"/>
      <c r="X411" s="448"/>
      <c r="Y411" s="448"/>
      <c r="Z411" s="448"/>
      <c r="AA411" s="448"/>
      <c r="AB411" s="448"/>
      <c r="AC411" s="448"/>
      <c r="AD411" s="448"/>
      <c r="AF411" s="448"/>
      <c r="AG411" s="448"/>
      <c r="AH411" s="448"/>
      <c r="AI411" s="448"/>
      <c r="AJ411" s="448"/>
      <c r="AK411" s="448"/>
      <c r="AL411" s="448"/>
      <c r="AM411" s="448"/>
      <c r="AN411" s="448"/>
      <c r="AP411" s="448"/>
      <c r="AQ411" s="448"/>
      <c r="AR411" s="448"/>
      <c r="AS411" s="448"/>
      <c r="AT411" s="448"/>
      <c r="AU411" s="448"/>
      <c r="AV411" s="448"/>
      <c r="AW411" s="448"/>
      <c r="AX411" s="448"/>
    </row>
    <row r="412" spans="1:50" x14ac:dyDescent="0.4">
      <c r="A412" s="442" t="str">
        <f t="shared" si="71"/>
        <v>121959</v>
      </c>
      <c r="B412" s="442">
        <v>21885</v>
      </c>
      <c r="C412" s="455">
        <v>2.92E-2</v>
      </c>
      <c r="D412" s="438">
        <v>2.3E-2</v>
      </c>
      <c r="E412" s="438">
        <v>3.5999999999999999E-3</v>
      </c>
      <c r="F412" s="438">
        <v>3.8166666666666666E-3</v>
      </c>
      <c r="G412" s="438">
        <v>3.9500000000000004E-3</v>
      </c>
      <c r="H412" s="438">
        <v>3.8833333333333333E-3</v>
      </c>
      <c r="I412" s="438">
        <v>4.1333333333333335E-3</v>
      </c>
      <c r="J412" s="438">
        <f t="shared" si="72"/>
        <v>2.5600000000000001E-2</v>
      </c>
      <c r="K412" s="438">
        <f t="shared" si="64"/>
        <v>2.5316666666666668E-2</v>
      </c>
      <c r="L412" s="438">
        <f t="shared" si="65"/>
        <v>1.8866666666666667E-2</v>
      </c>
      <c r="M412" s="446">
        <f t="shared" si="73"/>
        <v>0.11976846238152405</v>
      </c>
      <c r="N412" s="446">
        <f t="shared" si="74"/>
        <v>4.3200000000000002E-2</v>
      </c>
      <c r="O412" s="446">
        <f t="shared" si="66"/>
        <v>4.6600000000000003E-2</v>
      </c>
      <c r="P412" s="447">
        <f t="shared" si="75"/>
        <v>7.6568462381524052E-2</v>
      </c>
      <c r="Q412" s="446">
        <f t="shared" si="67"/>
        <v>7.3168462381524052E-2</v>
      </c>
      <c r="R412" s="446">
        <f t="shared" si="68"/>
        <v>7.490898280806868E-2</v>
      </c>
      <c r="S412" s="446">
        <f t="shared" si="69"/>
        <v>4.9600000000000005E-2</v>
      </c>
      <c r="T412" s="447">
        <f t="shared" si="70"/>
        <v>2.5308982808068675E-2</v>
      </c>
      <c r="V412" s="448"/>
      <c r="W412" s="448"/>
      <c r="X412" s="448"/>
      <c r="Y412" s="448"/>
      <c r="Z412" s="448"/>
      <c r="AA412" s="448"/>
      <c r="AB412" s="448"/>
      <c r="AC412" s="448"/>
      <c r="AD412" s="448"/>
      <c r="AF412" s="448"/>
      <c r="AG412" s="448"/>
      <c r="AH412" s="448"/>
      <c r="AI412" s="448"/>
      <c r="AJ412" s="448"/>
      <c r="AK412" s="448"/>
      <c r="AL412" s="448"/>
      <c r="AM412" s="448"/>
      <c r="AN412" s="448"/>
      <c r="AP412" s="448"/>
      <c r="AQ412" s="448"/>
      <c r="AR412" s="448"/>
      <c r="AS412" s="448"/>
      <c r="AT412" s="448"/>
      <c r="AU412" s="448"/>
      <c r="AV412" s="448"/>
      <c r="AW412" s="448"/>
      <c r="AX412" s="448"/>
    </row>
    <row r="413" spans="1:50" x14ac:dyDescent="0.4">
      <c r="A413" s="442" t="str">
        <f t="shared" si="71"/>
        <v>11960</v>
      </c>
      <c r="B413" s="442">
        <v>21916</v>
      </c>
      <c r="C413" s="455">
        <v>-7.0000000000000007E-2</v>
      </c>
      <c r="D413" s="438">
        <v>-1.0800000000000001E-2</v>
      </c>
      <c r="E413" s="438">
        <v>3.5000000000000005E-3</v>
      </c>
      <c r="F413" s="438">
        <v>3.8416666666666673E-3</v>
      </c>
      <c r="G413" s="438">
        <v>3.9749999999999994E-3</v>
      </c>
      <c r="H413" s="438">
        <v>3.908333333333334E-3</v>
      </c>
      <c r="I413" s="438">
        <v>4.1833333333333332E-3</v>
      </c>
      <c r="J413" s="438">
        <f t="shared" si="72"/>
        <v>-7.350000000000001E-2</v>
      </c>
      <c r="K413" s="438">
        <f t="shared" ref="K413:K476" si="76">C413-H413</f>
        <v>-7.390833333333334E-2</v>
      </c>
      <c r="L413" s="438">
        <f t="shared" ref="L413:L476" si="77">$D413-I413</f>
        <v>-1.4983333333333335E-2</v>
      </c>
      <c r="M413" s="446">
        <f t="shared" si="73"/>
        <v>3.5894429538264161E-2</v>
      </c>
      <c r="N413" s="446">
        <f t="shared" si="74"/>
        <v>4.200000000000001E-2</v>
      </c>
      <c r="O413" s="446">
        <f t="shared" si="66"/>
        <v>4.6900000000000011E-2</v>
      </c>
      <c r="P413" s="447">
        <f t="shared" si="75"/>
        <v>-6.1055704617358486E-3</v>
      </c>
      <c r="Q413" s="446">
        <f t="shared" si="67"/>
        <v>-1.100557046173585E-2</v>
      </c>
      <c r="R413" s="446">
        <f t="shared" si="68"/>
        <v>4.9240147813046198E-2</v>
      </c>
      <c r="S413" s="446">
        <f t="shared" si="69"/>
        <v>5.0199999999999995E-2</v>
      </c>
      <c r="T413" s="447">
        <f t="shared" si="70"/>
        <v>-9.5985218695379682E-4</v>
      </c>
      <c r="V413" s="448"/>
      <c r="W413" s="448"/>
      <c r="X413" s="448"/>
      <c r="Y413" s="448"/>
      <c r="Z413" s="448"/>
      <c r="AA413" s="448"/>
      <c r="AB413" s="448"/>
      <c r="AC413" s="448"/>
      <c r="AD413" s="448"/>
      <c r="AF413" s="448"/>
      <c r="AG413" s="448"/>
      <c r="AH413" s="448"/>
      <c r="AI413" s="448"/>
      <c r="AJ413" s="448"/>
      <c r="AK413" s="448"/>
      <c r="AL413" s="448"/>
      <c r="AM413" s="448"/>
      <c r="AN413" s="448"/>
      <c r="AP413" s="448"/>
      <c r="AQ413" s="448"/>
      <c r="AR413" s="448"/>
      <c r="AS413" s="448"/>
      <c r="AT413" s="448"/>
      <c r="AU413" s="448"/>
      <c r="AV413" s="448"/>
      <c r="AW413" s="448"/>
      <c r="AX413" s="448"/>
    </row>
    <row r="414" spans="1:50" x14ac:dyDescent="0.4">
      <c r="A414" s="442" t="str">
        <f t="shared" si="71"/>
        <v>21960</v>
      </c>
      <c r="B414" s="442">
        <v>21947</v>
      </c>
      <c r="C414" s="455">
        <v>1.47E-2</v>
      </c>
      <c r="D414" s="438">
        <v>1.8099999999999998E-2</v>
      </c>
      <c r="E414" s="438">
        <v>3.7000000000000002E-3</v>
      </c>
      <c r="F414" s="438">
        <v>3.7999999999999996E-3</v>
      </c>
      <c r="G414" s="438">
        <v>3.9250000000000005E-3</v>
      </c>
      <c r="H414" s="438">
        <v>3.8624999999999996E-3</v>
      </c>
      <c r="I414" s="438">
        <v>4.1666666666666666E-3</v>
      </c>
      <c r="J414" s="438">
        <f t="shared" si="72"/>
        <v>1.0999999999999999E-2</v>
      </c>
      <c r="K414" s="438">
        <f t="shared" si="76"/>
        <v>1.08375E-2</v>
      </c>
      <c r="L414" s="438">
        <f t="shared" si="77"/>
        <v>1.3933333333333332E-2</v>
      </c>
      <c r="M414" s="446">
        <f t="shared" si="73"/>
        <v>4.5996693852599302E-2</v>
      </c>
      <c r="N414" s="446">
        <f t="shared" si="74"/>
        <v>4.4400000000000002E-2</v>
      </c>
      <c r="O414" s="446">
        <f t="shared" si="66"/>
        <v>4.6349999999999995E-2</v>
      </c>
      <c r="P414" s="447">
        <f t="shared" si="75"/>
        <v>1.5966938525992999E-3</v>
      </c>
      <c r="Q414" s="446">
        <f t="shared" si="67"/>
        <v>-3.5330614740069349E-4</v>
      </c>
      <c r="R414" s="446">
        <f t="shared" si="68"/>
        <v>4.6669992640077096E-2</v>
      </c>
      <c r="S414" s="446">
        <f t="shared" si="69"/>
        <v>0.05</v>
      </c>
      <c r="T414" s="447">
        <f t="shared" si="70"/>
        <v>-3.3300073599229069E-3</v>
      </c>
      <c r="V414" s="448"/>
      <c r="W414" s="448"/>
      <c r="X414" s="448"/>
      <c r="Y414" s="448"/>
      <c r="Z414" s="448"/>
      <c r="AA414" s="448"/>
      <c r="AB414" s="448"/>
      <c r="AC414" s="448"/>
      <c r="AD414" s="448"/>
      <c r="AF414" s="448"/>
      <c r="AG414" s="448"/>
      <c r="AH414" s="448"/>
      <c r="AI414" s="448"/>
      <c r="AJ414" s="448"/>
      <c r="AK414" s="448"/>
      <c r="AL414" s="448"/>
      <c r="AM414" s="448"/>
      <c r="AN414" s="448"/>
      <c r="AP414" s="448"/>
      <c r="AQ414" s="448"/>
      <c r="AR414" s="448"/>
      <c r="AS414" s="448"/>
      <c r="AT414" s="448"/>
      <c r="AU414" s="448"/>
      <c r="AV414" s="448"/>
      <c r="AW414" s="448"/>
      <c r="AX414" s="448"/>
    </row>
    <row r="415" spans="1:50" x14ac:dyDescent="0.4">
      <c r="A415" s="442" t="str">
        <f t="shared" si="71"/>
        <v>31960</v>
      </c>
      <c r="B415" s="442">
        <v>21976</v>
      </c>
      <c r="C415" s="455">
        <v>-1.23E-2</v>
      </c>
      <c r="D415" s="438">
        <v>1.41E-2</v>
      </c>
      <c r="E415" s="438">
        <v>3.5999999999999999E-3</v>
      </c>
      <c r="F415" s="438">
        <v>3.741666666666667E-3</v>
      </c>
      <c r="G415" s="438">
        <v>3.8500000000000001E-3</v>
      </c>
      <c r="H415" s="438">
        <v>3.7958333333333338E-3</v>
      </c>
      <c r="I415" s="438">
        <v>4.0916666666666671E-3</v>
      </c>
      <c r="J415" s="438">
        <f t="shared" si="72"/>
        <v>-1.5900000000000001E-2</v>
      </c>
      <c r="K415" s="438">
        <f t="shared" si="76"/>
        <v>-1.6095833333333334E-2</v>
      </c>
      <c r="L415" s="438">
        <f t="shared" si="77"/>
        <v>1.0008333333333333E-2</v>
      </c>
      <c r="M415" s="446">
        <f t="shared" si="73"/>
        <v>3.1068796924363706E-2</v>
      </c>
      <c r="N415" s="446">
        <f t="shared" si="74"/>
        <v>4.3200000000000002E-2</v>
      </c>
      <c r="O415" s="446">
        <f t="shared" si="66"/>
        <v>4.5550000000000007E-2</v>
      </c>
      <c r="P415" s="447">
        <f t="shared" si="75"/>
        <v>-1.2131203075636296E-2</v>
      </c>
      <c r="Q415" s="446">
        <f t="shared" si="67"/>
        <v>-1.4481203075636301E-2</v>
      </c>
      <c r="R415" s="446">
        <f t="shared" si="68"/>
        <v>5.0710789483569663E-2</v>
      </c>
      <c r="S415" s="446">
        <f t="shared" si="69"/>
        <v>4.9100000000000005E-2</v>
      </c>
      <c r="T415" s="447">
        <f t="shared" si="70"/>
        <v>1.6107894835696579E-3</v>
      </c>
      <c r="V415" s="448"/>
      <c r="W415" s="448"/>
      <c r="X415" s="448"/>
      <c r="Y415" s="448"/>
      <c r="Z415" s="448"/>
      <c r="AA415" s="448"/>
      <c r="AB415" s="448"/>
      <c r="AC415" s="448"/>
      <c r="AD415" s="448"/>
      <c r="AF415" s="448"/>
      <c r="AG415" s="448"/>
      <c r="AH415" s="448"/>
      <c r="AI415" s="448"/>
      <c r="AJ415" s="448"/>
      <c r="AK415" s="448"/>
      <c r="AL415" s="448"/>
      <c r="AM415" s="448"/>
      <c r="AN415" s="448"/>
      <c r="AP415" s="448"/>
      <c r="AQ415" s="448"/>
      <c r="AR415" s="448"/>
      <c r="AS415" s="448"/>
      <c r="AT415" s="448"/>
      <c r="AU415" s="448"/>
      <c r="AV415" s="448"/>
      <c r="AW415" s="448"/>
      <c r="AX415" s="448"/>
    </row>
    <row r="416" spans="1:50" x14ac:dyDescent="0.4">
      <c r="A416" s="442" t="str">
        <f t="shared" si="71"/>
        <v>41960</v>
      </c>
      <c r="B416" s="442">
        <v>22007</v>
      </c>
      <c r="C416" s="455">
        <v>-1.61E-2</v>
      </c>
      <c r="D416" s="438">
        <v>7.4999999999999997E-3</v>
      </c>
      <c r="E416" s="438">
        <v>3.2000000000000002E-3</v>
      </c>
      <c r="F416" s="438">
        <v>3.7083333333333334E-3</v>
      </c>
      <c r="G416" s="438">
        <v>3.8166666666666666E-3</v>
      </c>
      <c r="H416" s="438">
        <v>3.7624999999999998E-3</v>
      </c>
      <c r="I416" s="438">
        <v>3.9916666666666668E-3</v>
      </c>
      <c r="J416" s="438">
        <f t="shared" si="72"/>
        <v>-1.9300000000000001E-2</v>
      </c>
      <c r="K416" s="438">
        <f t="shared" si="76"/>
        <v>-1.9862499999999998E-2</v>
      </c>
      <c r="L416" s="438">
        <f t="shared" si="77"/>
        <v>3.5083333333333329E-3</v>
      </c>
      <c r="M416" s="446">
        <f t="shared" si="73"/>
        <v>-2.4736983951277214E-2</v>
      </c>
      <c r="N416" s="446">
        <f t="shared" si="74"/>
        <v>3.8400000000000004E-2</v>
      </c>
      <c r="O416" s="446">
        <f t="shared" si="66"/>
        <v>4.5149999999999996E-2</v>
      </c>
      <c r="P416" s="447">
        <f t="shared" si="75"/>
        <v>-6.3136983951277217E-2</v>
      </c>
      <c r="Q416" s="446">
        <f t="shared" si="67"/>
        <v>-6.988698395127721E-2</v>
      </c>
      <c r="R416" s="446">
        <f t="shared" si="68"/>
        <v>6.1563498199655342E-2</v>
      </c>
      <c r="S416" s="446">
        <f t="shared" si="69"/>
        <v>4.7899999999999998E-2</v>
      </c>
      <c r="T416" s="447">
        <f t="shared" si="70"/>
        <v>1.3663498199655344E-2</v>
      </c>
      <c r="V416" s="448"/>
      <c r="W416" s="448"/>
      <c r="X416" s="448"/>
      <c r="Y416" s="448"/>
      <c r="Z416" s="448"/>
      <c r="AA416" s="448"/>
      <c r="AB416" s="448"/>
      <c r="AC416" s="448"/>
      <c r="AD416" s="448"/>
      <c r="AF416" s="448"/>
      <c r="AG416" s="448"/>
      <c r="AH416" s="448"/>
      <c r="AI416" s="448"/>
      <c r="AJ416" s="448"/>
      <c r="AK416" s="448"/>
      <c r="AL416" s="448"/>
      <c r="AM416" s="448"/>
      <c r="AN416" s="448"/>
      <c r="AP416" s="448"/>
      <c r="AQ416" s="448"/>
      <c r="AR416" s="448"/>
      <c r="AS416" s="448"/>
      <c r="AT416" s="448"/>
      <c r="AU416" s="448"/>
      <c r="AV416" s="448"/>
      <c r="AW416" s="448"/>
      <c r="AX416" s="448"/>
    </row>
    <row r="417" spans="1:50" x14ac:dyDescent="0.4">
      <c r="A417" s="442" t="str">
        <f t="shared" si="71"/>
        <v>51960</v>
      </c>
      <c r="B417" s="442">
        <v>22037</v>
      </c>
      <c r="C417" s="455">
        <v>3.2599999999999997E-2</v>
      </c>
      <c r="D417" s="438">
        <v>2.3300000000000001E-2</v>
      </c>
      <c r="E417" s="438">
        <v>3.7000000000000002E-3</v>
      </c>
      <c r="F417" s="438">
        <v>3.7166666666666663E-3</v>
      </c>
      <c r="G417" s="438">
        <v>3.8416666666666673E-3</v>
      </c>
      <c r="H417" s="438">
        <v>3.7791666666666668E-3</v>
      </c>
      <c r="I417" s="438">
        <v>4.0500000000000006E-3</v>
      </c>
      <c r="J417" s="438">
        <f t="shared" si="72"/>
        <v>2.8899999999999995E-2</v>
      </c>
      <c r="K417" s="438">
        <f t="shared" si="76"/>
        <v>2.882083333333333E-2</v>
      </c>
      <c r="L417" s="438">
        <f t="shared" si="77"/>
        <v>1.925E-2</v>
      </c>
      <c r="M417" s="446">
        <f t="shared" si="73"/>
        <v>-1.6546298464931053E-2</v>
      </c>
      <c r="N417" s="446">
        <f t="shared" si="74"/>
        <v>4.4400000000000002E-2</v>
      </c>
      <c r="O417" s="446">
        <f t="shared" si="66"/>
        <v>4.5350000000000001E-2</v>
      </c>
      <c r="P417" s="447">
        <f t="shared" si="75"/>
        <v>-6.0946298464931055E-2</v>
      </c>
      <c r="Q417" s="446">
        <f t="shared" si="67"/>
        <v>-6.1896298464931054E-2</v>
      </c>
      <c r="R417" s="446">
        <f t="shared" si="68"/>
        <v>9.9491829663671538E-2</v>
      </c>
      <c r="S417" s="446">
        <f t="shared" si="69"/>
        <v>4.8600000000000004E-2</v>
      </c>
      <c r="T417" s="447">
        <f t="shared" si="70"/>
        <v>5.0891829663671534E-2</v>
      </c>
      <c r="V417" s="448"/>
      <c r="W417" s="448"/>
      <c r="X417" s="448"/>
      <c r="Y417" s="448"/>
      <c r="Z417" s="448"/>
      <c r="AA417" s="448"/>
      <c r="AB417" s="448"/>
      <c r="AC417" s="448"/>
      <c r="AD417" s="448"/>
      <c r="AF417" s="448"/>
      <c r="AG417" s="448"/>
      <c r="AH417" s="448"/>
      <c r="AI417" s="448"/>
      <c r="AJ417" s="448"/>
      <c r="AK417" s="448"/>
      <c r="AL417" s="448"/>
      <c r="AM417" s="448"/>
      <c r="AN417" s="448"/>
      <c r="AP417" s="448"/>
      <c r="AQ417" s="448"/>
      <c r="AR417" s="448"/>
      <c r="AS417" s="448"/>
      <c r="AT417" s="448"/>
      <c r="AU417" s="448"/>
      <c r="AV417" s="448"/>
      <c r="AW417" s="448"/>
      <c r="AX417" s="448"/>
    </row>
    <row r="418" spans="1:50" x14ac:dyDescent="0.4">
      <c r="A418" s="442" t="str">
        <f t="shared" si="71"/>
        <v>61960</v>
      </c>
      <c r="B418" s="442">
        <v>22068</v>
      </c>
      <c r="C418" s="455">
        <v>2.1100000000000001E-2</v>
      </c>
      <c r="D418" s="438">
        <v>4.0799999999999989E-2</v>
      </c>
      <c r="E418" s="438">
        <v>3.3999999999999998E-3</v>
      </c>
      <c r="F418" s="438">
        <v>3.7083333333333334E-3</v>
      </c>
      <c r="G418" s="438">
        <v>3.8333333333333331E-3</v>
      </c>
      <c r="H418" s="438">
        <v>3.7708333333333331E-3</v>
      </c>
      <c r="I418" s="438">
        <v>4.0333333333333332E-3</v>
      </c>
      <c r="J418" s="438">
        <f t="shared" si="72"/>
        <v>1.77E-2</v>
      </c>
      <c r="K418" s="438">
        <f t="shared" si="76"/>
        <v>1.7329166666666666E-2</v>
      </c>
      <c r="L418" s="438">
        <f t="shared" si="77"/>
        <v>3.6766666666666656E-2</v>
      </c>
      <c r="M418" s="446">
        <f t="shared" si="73"/>
        <v>6.4186957681489076E-3</v>
      </c>
      <c r="N418" s="446">
        <f t="shared" si="74"/>
        <v>4.0799999999999996E-2</v>
      </c>
      <c r="O418" s="446">
        <f t="shared" si="66"/>
        <v>4.5249999999999999E-2</v>
      </c>
      <c r="P418" s="447">
        <f t="shared" si="75"/>
        <v>-3.4381304231851088E-2</v>
      </c>
      <c r="Q418" s="446">
        <f t="shared" si="67"/>
        <v>-3.8831304231851091E-2</v>
      </c>
      <c r="R418" s="446">
        <f t="shared" si="68"/>
        <v>0.15451079127718859</v>
      </c>
      <c r="S418" s="446">
        <f t="shared" si="69"/>
        <v>4.8399999999999999E-2</v>
      </c>
      <c r="T418" s="447">
        <f t="shared" si="70"/>
        <v>0.10611079127718859</v>
      </c>
      <c r="V418" s="448"/>
      <c r="W418" s="448"/>
      <c r="X418" s="448"/>
      <c r="Y418" s="448"/>
      <c r="Z418" s="448"/>
      <c r="AA418" s="448"/>
      <c r="AB418" s="448"/>
      <c r="AC418" s="448"/>
      <c r="AD418" s="448"/>
      <c r="AF418" s="448"/>
      <c r="AG418" s="448"/>
      <c r="AH418" s="448"/>
      <c r="AI418" s="448"/>
      <c r="AJ418" s="448"/>
      <c r="AK418" s="448"/>
      <c r="AL418" s="448"/>
      <c r="AM418" s="448"/>
      <c r="AN418" s="448"/>
      <c r="AP418" s="448"/>
      <c r="AQ418" s="448"/>
      <c r="AR418" s="448"/>
      <c r="AS418" s="448"/>
      <c r="AT418" s="448"/>
      <c r="AU418" s="448"/>
      <c r="AV418" s="448"/>
      <c r="AW418" s="448"/>
      <c r="AX418" s="448"/>
    </row>
    <row r="419" spans="1:50" x14ac:dyDescent="0.4">
      <c r="A419" s="442" t="str">
        <f t="shared" si="71"/>
        <v>71960</v>
      </c>
      <c r="B419" s="442">
        <v>22098</v>
      </c>
      <c r="C419" s="455">
        <v>-2.3400000000000001E-2</v>
      </c>
      <c r="D419" s="438">
        <v>-0.01</v>
      </c>
      <c r="E419" s="438">
        <v>3.2000000000000002E-3</v>
      </c>
      <c r="F419" s="438">
        <v>3.6749999999999999E-3</v>
      </c>
      <c r="G419" s="438">
        <v>3.7999999999999996E-3</v>
      </c>
      <c r="H419" s="438">
        <v>3.7374999999999995E-3</v>
      </c>
      <c r="I419" s="438">
        <v>3.9916666666666668E-3</v>
      </c>
      <c r="J419" s="438">
        <f t="shared" si="72"/>
        <v>-2.6600000000000002E-2</v>
      </c>
      <c r="K419" s="438">
        <f t="shared" si="76"/>
        <v>-2.7137500000000002E-2</v>
      </c>
      <c r="L419" s="438">
        <f t="shared" si="77"/>
        <v>-1.3991666666666666E-2</v>
      </c>
      <c r="M419" s="446">
        <f t="shared" si="73"/>
        <v>-5.1559878136471782E-2</v>
      </c>
      <c r="N419" s="446">
        <f t="shared" si="74"/>
        <v>3.8400000000000004E-2</v>
      </c>
      <c r="O419" s="446">
        <f t="shared" si="66"/>
        <v>4.4849999999999994E-2</v>
      </c>
      <c r="P419" s="447">
        <f t="shared" si="75"/>
        <v>-8.9959878136471785E-2</v>
      </c>
      <c r="Q419" s="446">
        <f t="shared" si="67"/>
        <v>-9.6409878136471783E-2</v>
      </c>
      <c r="R419" s="446">
        <f t="shared" si="68"/>
        <v>0.10207856847403018</v>
      </c>
      <c r="S419" s="446">
        <f t="shared" si="69"/>
        <v>4.7899999999999998E-2</v>
      </c>
      <c r="T419" s="447">
        <f t="shared" si="70"/>
        <v>5.4178568474030186E-2</v>
      </c>
      <c r="V419" s="448"/>
      <c r="W419" s="448"/>
      <c r="X419" s="448"/>
      <c r="Y419" s="448"/>
      <c r="Z419" s="448"/>
      <c r="AA419" s="448"/>
      <c r="AB419" s="448"/>
      <c r="AC419" s="448"/>
      <c r="AD419" s="448"/>
      <c r="AF419" s="448"/>
      <c r="AG419" s="448"/>
      <c r="AH419" s="448"/>
      <c r="AI419" s="448"/>
      <c r="AJ419" s="448"/>
      <c r="AK419" s="448"/>
      <c r="AL419" s="448"/>
      <c r="AM419" s="448"/>
      <c r="AN419" s="448"/>
      <c r="AP419" s="448"/>
      <c r="AQ419" s="448"/>
      <c r="AR419" s="448"/>
      <c r="AS419" s="448"/>
      <c r="AT419" s="448"/>
      <c r="AU419" s="448"/>
      <c r="AV419" s="448"/>
      <c r="AW419" s="448"/>
      <c r="AX419" s="448"/>
    </row>
    <row r="420" spans="1:50" x14ac:dyDescent="0.4">
      <c r="A420" s="442" t="str">
        <f t="shared" si="71"/>
        <v>81960</v>
      </c>
      <c r="B420" s="442">
        <v>22129</v>
      </c>
      <c r="C420" s="455">
        <v>3.1699999999999999E-2</v>
      </c>
      <c r="D420" s="438">
        <v>5.0200000000000002E-2</v>
      </c>
      <c r="E420" s="438">
        <v>3.3999999999999998E-3</v>
      </c>
      <c r="F420" s="438">
        <v>3.5666666666666668E-3</v>
      </c>
      <c r="G420" s="438">
        <v>3.7000000000000006E-3</v>
      </c>
      <c r="H420" s="438">
        <v>3.6333333333333339E-3</v>
      </c>
      <c r="I420" s="438">
        <v>3.8666666666666667E-3</v>
      </c>
      <c r="J420" s="438">
        <f t="shared" si="72"/>
        <v>2.8299999999999999E-2</v>
      </c>
      <c r="K420" s="438">
        <f t="shared" si="76"/>
        <v>2.8066666666666663E-2</v>
      </c>
      <c r="L420" s="438">
        <f t="shared" si="77"/>
        <v>4.6333333333333337E-2</v>
      </c>
      <c r="M420" s="446">
        <f t="shared" si="73"/>
        <v>-1.141071557223472E-2</v>
      </c>
      <c r="N420" s="446">
        <f t="shared" si="74"/>
        <v>4.0799999999999996E-2</v>
      </c>
      <c r="O420" s="446">
        <f t="shared" si="66"/>
        <v>4.3600000000000007E-2</v>
      </c>
      <c r="P420" s="447">
        <f t="shared" si="75"/>
        <v>-5.2210715572234716E-2</v>
      </c>
      <c r="Q420" s="446">
        <f t="shared" si="67"/>
        <v>-5.5010715572234727E-2</v>
      </c>
      <c r="R420" s="446">
        <f t="shared" si="68"/>
        <v>0.13749672001123003</v>
      </c>
      <c r="S420" s="446">
        <f t="shared" si="69"/>
        <v>4.6399999999999997E-2</v>
      </c>
      <c r="T420" s="447">
        <f t="shared" si="70"/>
        <v>9.1096720011230037E-2</v>
      </c>
      <c r="V420" s="448"/>
      <c r="W420" s="448"/>
      <c r="X420" s="448"/>
      <c r="Y420" s="448"/>
      <c r="Z420" s="448"/>
      <c r="AA420" s="448"/>
      <c r="AB420" s="448"/>
      <c r="AC420" s="448"/>
      <c r="AD420" s="448"/>
      <c r="AF420" s="448"/>
      <c r="AG420" s="448"/>
      <c r="AH420" s="448"/>
      <c r="AI420" s="448"/>
      <c r="AJ420" s="448"/>
      <c r="AK420" s="448"/>
      <c r="AL420" s="448"/>
      <c r="AM420" s="448"/>
      <c r="AN420" s="448"/>
      <c r="AP420" s="448"/>
      <c r="AQ420" s="448"/>
      <c r="AR420" s="448"/>
      <c r="AS420" s="448"/>
      <c r="AT420" s="448"/>
      <c r="AU420" s="448"/>
      <c r="AV420" s="448"/>
      <c r="AW420" s="448"/>
      <c r="AX420" s="448"/>
    </row>
    <row r="421" spans="1:50" x14ac:dyDescent="0.4">
      <c r="A421" s="442" t="str">
        <f t="shared" si="71"/>
        <v>91960</v>
      </c>
      <c r="B421" s="442">
        <v>22160</v>
      </c>
      <c r="C421" s="455">
        <v>-5.8999999999999997E-2</v>
      </c>
      <c r="D421" s="438">
        <v>-5.1400000000000008E-2</v>
      </c>
      <c r="E421" s="438">
        <v>3.2000000000000002E-3</v>
      </c>
      <c r="F421" s="438">
        <v>3.5416666666666669E-3</v>
      </c>
      <c r="G421" s="438">
        <v>3.6749999999999999E-3</v>
      </c>
      <c r="H421" s="438">
        <v>3.6083333333333332E-3</v>
      </c>
      <c r="I421" s="438">
        <v>3.8083333333333337E-3</v>
      </c>
      <c r="J421" s="438">
        <f t="shared" si="72"/>
        <v>-6.2199999999999998E-2</v>
      </c>
      <c r="K421" s="438">
        <f t="shared" si="76"/>
        <v>-6.2608333333333335E-2</v>
      </c>
      <c r="L421" s="438">
        <f t="shared" si="77"/>
        <v>-5.5208333333333345E-2</v>
      </c>
      <c r="M421" s="446">
        <f t="shared" si="73"/>
        <v>-2.6616598674764846E-2</v>
      </c>
      <c r="N421" s="446">
        <f t="shared" si="74"/>
        <v>3.8400000000000004E-2</v>
      </c>
      <c r="O421" s="446">
        <f t="shared" si="66"/>
        <v>4.3299999999999998E-2</v>
      </c>
      <c r="P421" s="447">
        <f t="shared" si="75"/>
        <v>-6.501659867476485E-2</v>
      </c>
      <c r="Q421" s="446">
        <f t="shared" si="67"/>
        <v>-6.9916598674764852E-2</v>
      </c>
      <c r="R421" s="446">
        <f t="shared" si="68"/>
        <v>0.12316996835916827</v>
      </c>
      <c r="S421" s="446">
        <f t="shared" si="69"/>
        <v>4.5700000000000005E-2</v>
      </c>
      <c r="T421" s="447">
        <f t="shared" si="70"/>
        <v>7.7469968359168265E-2</v>
      </c>
      <c r="V421" s="448"/>
      <c r="W421" s="448"/>
      <c r="X421" s="448"/>
      <c r="Y421" s="448"/>
      <c r="Z421" s="448"/>
      <c r="AA421" s="448"/>
      <c r="AB421" s="448"/>
      <c r="AC421" s="448"/>
      <c r="AD421" s="448"/>
      <c r="AF421" s="448"/>
      <c r="AG421" s="448"/>
      <c r="AH421" s="448"/>
      <c r="AI421" s="448"/>
      <c r="AJ421" s="448"/>
      <c r="AK421" s="448"/>
      <c r="AL421" s="448"/>
      <c r="AM421" s="448"/>
      <c r="AN421" s="448"/>
      <c r="AP421" s="448"/>
      <c r="AQ421" s="448"/>
      <c r="AR421" s="448"/>
      <c r="AS421" s="448"/>
      <c r="AT421" s="448"/>
      <c r="AU421" s="448"/>
      <c r="AV421" s="448"/>
      <c r="AW421" s="448"/>
      <c r="AX421" s="448"/>
    </row>
    <row r="422" spans="1:50" x14ac:dyDescent="0.4">
      <c r="A422" s="442" t="str">
        <f t="shared" si="71"/>
        <v>101960</v>
      </c>
      <c r="B422" s="442">
        <v>22190</v>
      </c>
      <c r="C422" s="455">
        <v>-6.9999999999999999E-4</v>
      </c>
      <c r="D422" s="438">
        <v>-1.1999999999999997E-3</v>
      </c>
      <c r="E422" s="438">
        <v>3.3E-3</v>
      </c>
      <c r="F422" s="438">
        <v>3.5833333333333333E-3</v>
      </c>
      <c r="G422" s="438">
        <v>3.7000000000000006E-3</v>
      </c>
      <c r="H422" s="438">
        <v>3.6416666666666667E-3</v>
      </c>
      <c r="I422" s="438">
        <v>3.8416666666666673E-3</v>
      </c>
      <c r="J422" s="438">
        <f t="shared" si="72"/>
        <v>-4.0000000000000001E-3</v>
      </c>
      <c r="K422" s="438">
        <f t="shared" si="76"/>
        <v>-4.3416666666666664E-3</v>
      </c>
      <c r="L422" s="438">
        <f t="shared" si="77"/>
        <v>-5.0416666666666665E-3</v>
      </c>
      <c r="M422" s="446">
        <f t="shared" si="73"/>
        <v>-3.9591199699538504E-2</v>
      </c>
      <c r="N422" s="446">
        <f t="shared" si="74"/>
        <v>3.9599999999999996E-2</v>
      </c>
      <c r="O422" s="446">
        <f t="shared" si="66"/>
        <v>4.3700000000000003E-2</v>
      </c>
      <c r="P422" s="447">
        <f t="shared" si="75"/>
        <v>-7.91911996995385E-2</v>
      </c>
      <c r="Q422" s="446">
        <f t="shared" si="67"/>
        <v>-8.3291199699538507E-2</v>
      </c>
      <c r="R422" s="446">
        <f t="shared" si="68"/>
        <v>0.10448180013501696</v>
      </c>
      <c r="S422" s="446">
        <f t="shared" si="69"/>
        <v>4.6100000000000009E-2</v>
      </c>
      <c r="T422" s="447">
        <f t="shared" si="70"/>
        <v>5.8381800135016947E-2</v>
      </c>
      <c r="V422" s="448"/>
      <c r="W422" s="448"/>
      <c r="X422" s="448"/>
      <c r="Y422" s="448"/>
      <c r="Z422" s="448"/>
      <c r="AA422" s="448"/>
      <c r="AB422" s="448"/>
      <c r="AC422" s="448"/>
      <c r="AD422" s="448"/>
      <c r="AF422" s="448"/>
      <c r="AG422" s="448"/>
      <c r="AH422" s="448"/>
      <c r="AI422" s="448"/>
      <c r="AJ422" s="448"/>
      <c r="AK422" s="448"/>
      <c r="AL422" s="448"/>
      <c r="AM422" s="448"/>
      <c r="AN422" s="448"/>
      <c r="AP422" s="448"/>
      <c r="AQ422" s="448"/>
      <c r="AR422" s="448"/>
      <c r="AS422" s="448"/>
      <c r="AT422" s="448"/>
      <c r="AU422" s="448"/>
      <c r="AV422" s="448"/>
      <c r="AW422" s="448"/>
      <c r="AX422" s="448"/>
    </row>
    <row r="423" spans="1:50" x14ac:dyDescent="0.4">
      <c r="A423" s="442" t="str">
        <f t="shared" si="71"/>
        <v>111960</v>
      </c>
      <c r="B423" s="442">
        <v>22221</v>
      </c>
      <c r="C423" s="455">
        <v>4.65E-2</v>
      </c>
      <c r="D423" s="438">
        <v>3.8599999999999995E-2</v>
      </c>
      <c r="E423" s="438">
        <v>3.2000000000000002E-3</v>
      </c>
      <c r="F423" s="438">
        <v>3.5916666666666662E-3</v>
      </c>
      <c r="G423" s="438">
        <v>3.725E-3</v>
      </c>
      <c r="H423" s="438">
        <v>3.6583333333333333E-3</v>
      </c>
      <c r="I423" s="438">
        <v>3.8508333333333337E-3</v>
      </c>
      <c r="J423" s="438">
        <f t="shared" si="72"/>
        <v>4.3299999999999998E-2</v>
      </c>
      <c r="K423" s="438">
        <f t="shared" si="76"/>
        <v>4.2841666666666667E-2</v>
      </c>
      <c r="L423" s="438">
        <f t="shared" si="77"/>
        <v>3.4749166666666664E-2</v>
      </c>
      <c r="M423" s="446">
        <f t="shared" si="73"/>
        <v>-1.3285087851528599E-2</v>
      </c>
      <c r="N423" s="446">
        <f t="shared" si="74"/>
        <v>3.8400000000000004E-2</v>
      </c>
      <c r="O423" s="446">
        <f t="shared" si="66"/>
        <v>4.3900000000000002E-2</v>
      </c>
      <c r="P423" s="447">
        <f t="shared" si="75"/>
        <v>-5.1685087851528602E-2</v>
      </c>
      <c r="Q423" s="446">
        <f t="shared" si="67"/>
        <v>-5.71850878515286E-2</v>
      </c>
      <c r="R423" s="446">
        <f t="shared" si="68"/>
        <v>0.14700009761046773</v>
      </c>
      <c r="S423" s="446">
        <f t="shared" si="69"/>
        <v>4.6210000000000001E-2</v>
      </c>
      <c r="T423" s="447">
        <f t="shared" si="70"/>
        <v>0.10079009761046773</v>
      </c>
      <c r="V423" s="448"/>
      <c r="W423" s="448"/>
      <c r="X423" s="448"/>
      <c r="Y423" s="448"/>
      <c r="Z423" s="448"/>
      <c r="AA423" s="448"/>
      <c r="AB423" s="448"/>
      <c r="AC423" s="448"/>
      <c r="AD423" s="448"/>
      <c r="AF423" s="448"/>
      <c r="AG423" s="448"/>
      <c r="AH423" s="448"/>
      <c r="AI423" s="448"/>
      <c r="AJ423" s="448"/>
      <c r="AK423" s="448"/>
      <c r="AL423" s="448"/>
      <c r="AM423" s="448"/>
      <c r="AN423" s="448"/>
      <c r="AP423" s="448"/>
      <c r="AQ423" s="448"/>
      <c r="AR423" s="448"/>
      <c r="AS423" s="448"/>
      <c r="AT423" s="448"/>
      <c r="AU423" s="448"/>
      <c r="AV423" s="448"/>
      <c r="AW423" s="448"/>
      <c r="AX423" s="448"/>
    </row>
    <row r="424" spans="1:50" x14ac:dyDescent="0.4">
      <c r="A424" s="442" t="str">
        <f t="shared" si="71"/>
        <v>121960</v>
      </c>
      <c r="B424" s="442">
        <v>22251</v>
      </c>
      <c r="C424" s="455">
        <v>4.7899999999999998E-2</v>
      </c>
      <c r="D424" s="438">
        <v>7.2399999999999992E-2</v>
      </c>
      <c r="E424" s="438">
        <v>3.3E-3</v>
      </c>
      <c r="F424" s="438">
        <v>3.6249999999999998E-3</v>
      </c>
      <c r="G424" s="438">
        <v>3.7499999999999999E-3</v>
      </c>
      <c r="H424" s="438">
        <v>3.6875000000000002E-3</v>
      </c>
      <c r="I424" s="438">
        <v>3.875E-3</v>
      </c>
      <c r="J424" s="438">
        <f t="shared" si="72"/>
        <v>4.4600000000000001E-2</v>
      </c>
      <c r="K424" s="438">
        <f t="shared" si="76"/>
        <v>4.4212499999999995E-2</v>
      </c>
      <c r="L424" s="438">
        <f t="shared" si="77"/>
        <v>6.8524999999999989E-2</v>
      </c>
      <c r="M424" s="446">
        <f t="shared" si="73"/>
        <v>4.6429813839716783E-3</v>
      </c>
      <c r="N424" s="446">
        <f t="shared" si="74"/>
        <v>3.9599999999999996E-2</v>
      </c>
      <c r="O424" s="446">
        <f t="shared" ref="O424:O487" si="78">H424*12</f>
        <v>4.4250000000000005E-2</v>
      </c>
      <c r="P424" s="447">
        <f t="shared" si="75"/>
        <v>-3.4957018616028318E-2</v>
      </c>
      <c r="Q424" s="446">
        <f t="shared" ref="Q424:Q487" si="79">M424-O424</f>
        <v>-3.9607018616028326E-2</v>
      </c>
      <c r="R424" s="446">
        <f t="shared" ref="R424:R487" si="80">((1+D413)*(1+D414)*(1+D415)*(1+D416)*(1+D417)*(1+D418)*(1+D419)*(1+D420)*(1+D421)*(1+D422)*(1+D423)*(1+D424))-1</f>
        <v>0.20238798111189249</v>
      </c>
      <c r="S424" s="446">
        <f t="shared" ref="S424:S487" si="81">I424*12</f>
        <v>4.65E-2</v>
      </c>
      <c r="T424" s="447">
        <f t="shared" ref="T424:T487" si="82">R424-S424</f>
        <v>0.1558879811118925</v>
      </c>
      <c r="V424" s="448"/>
      <c r="W424" s="448"/>
      <c r="X424" s="448"/>
      <c r="Y424" s="448"/>
      <c r="Z424" s="448"/>
      <c r="AA424" s="448"/>
      <c r="AB424" s="448"/>
      <c r="AC424" s="448"/>
      <c r="AD424" s="448"/>
      <c r="AF424" s="448"/>
      <c r="AG424" s="448"/>
      <c r="AH424" s="448"/>
      <c r="AI424" s="448"/>
      <c r="AJ424" s="448"/>
      <c r="AK424" s="448"/>
      <c r="AL424" s="448"/>
      <c r="AM424" s="448"/>
      <c r="AN424" s="448"/>
      <c r="AP424" s="448"/>
      <c r="AQ424" s="448"/>
      <c r="AR424" s="448"/>
      <c r="AS424" s="448"/>
      <c r="AT424" s="448"/>
      <c r="AU424" s="448"/>
      <c r="AV424" s="448"/>
      <c r="AW424" s="448"/>
      <c r="AX424" s="448"/>
    </row>
    <row r="425" spans="1:50" x14ac:dyDescent="0.4">
      <c r="A425" s="442" t="str">
        <f t="shared" ref="A425:A488" si="83">MONTH(B425)&amp;YEAR(B425)</f>
        <v>11961</v>
      </c>
      <c r="B425" s="442">
        <v>22282</v>
      </c>
      <c r="C425" s="455">
        <v>6.4500000000000002E-2</v>
      </c>
      <c r="D425" s="438">
        <v>6.1900000000000004E-2</v>
      </c>
      <c r="E425" s="438">
        <v>3.3E-3</v>
      </c>
      <c r="F425" s="438">
        <v>3.6000000000000003E-3</v>
      </c>
      <c r="G425" s="438">
        <v>3.7333333333333333E-3</v>
      </c>
      <c r="H425" s="438">
        <v>3.666666666666667E-3</v>
      </c>
      <c r="I425" s="438">
        <v>3.8666666666666667E-3</v>
      </c>
      <c r="J425" s="438">
        <f t="shared" si="72"/>
        <v>6.1200000000000004E-2</v>
      </c>
      <c r="K425" s="438">
        <f t="shared" si="76"/>
        <v>6.0833333333333336E-2</v>
      </c>
      <c r="L425" s="438">
        <f t="shared" si="77"/>
        <v>5.803333333333334E-2</v>
      </c>
      <c r="M425" s="446">
        <f t="shared" si="73"/>
        <v>0.14993812224004044</v>
      </c>
      <c r="N425" s="446">
        <f t="shared" si="74"/>
        <v>3.9599999999999996E-2</v>
      </c>
      <c r="O425" s="446">
        <f t="shared" si="78"/>
        <v>4.4000000000000004E-2</v>
      </c>
      <c r="P425" s="447">
        <f t="shared" si="75"/>
        <v>0.11033812224004044</v>
      </c>
      <c r="Q425" s="446">
        <f t="shared" si="79"/>
        <v>0.10593812224004043</v>
      </c>
      <c r="R425" s="446">
        <f t="shared" si="80"/>
        <v>0.29075596152721284</v>
      </c>
      <c r="S425" s="446">
        <f t="shared" si="81"/>
        <v>4.6399999999999997E-2</v>
      </c>
      <c r="T425" s="447">
        <f t="shared" si="82"/>
        <v>0.24435596152721284</v>
      </c>
      <c r="V425" s="448"/>
      <c r="W425" s="448"/>
      <c r="X425" s="448"/>
      <c r="Y425" s="448"/>
      <c r="Z425" s="448"/>
      <c r="AA425" s="448"/>
      <c r="AB425" s="448"/>
      <c r="AC425" s="448"/>
      <c r="AD425" s="448"/>
      <c r="AF425" s="448"/>
      <c r="AG425" s="448"/>
      <c r="AH425" s="448"/>
      <c r="AI425" s="448"/>
      <c r="AJ425" s="448"/>
      <c r="AK425" s="448"/>
      <c r="AL425" s="448"/>
      <c r="AM425" s="448"/>
      <c r="AN425" s="448"/>
      <c r="AP425" s="448"/>
      <c r="AQ425" s="448"/>
      <c r="AR425" s="448"/>
      <c r="AS425" s="448"/>
      <c r="AT425" s="448"/>
      <c r="AU425" s="448"/>
      <c r="AV425" s="448"/>
      <c r="AW425" s="448"/>
      <c r="AX425" s="448"/>
    </row>
    <row r="426" spans="1:50" x14ac:dyDescent="0.4">
      <c r="A426" s="442" t="str">
        <f t="shared" si="83"/>
        <v>21961</v>
      </c>
      <c r="B426" s="442">
        <v>22313</v>
      </c>
      <c r="C426" s="455">
        <v>3.1899999999999998E-2</v>
      </c>
      <c r="D426" s="438">
        <v>3.5700000000000003E-2</v>
      </c>
      <c r="E426" s="438">
        <v>3.0000000000000001E-3</v>
      </c>
      <c r="F426" s="438">
        <v>3.5583333333333326E-3</v>
      </c>
      <c r="G426" s="438">
        <v>3.666666666666667E-3</v>
      </c>
      <c r="H426" s="438">
        <v>3.6124999999999994E-3</v>
      </c>
      <c r="I426" s="438">
        <v>3.8250000000000003E-3</v>
      </c>
      <c r="J426" s="438">
        <f t="shared" si="72"/>
        <v>2.8899999999999999E-2</v>
      </c>
      <c r="K426" s="438">
        <f t="shared" si="76"/>
        <v>2.82875E-2</v>
      </c>
      <c r="L426" s="438">
        <f t="shared" si="77"/>
        <v>3.1875000000000001E-2</v>
      </c>
      <c r="M426" s="446">
        <f t="shared" si="73"/>
        <v>0.1694305196999093</v>
      </c>
      <c r="N426" s="446">
        <f t="shared" si="74"/>
        <v>3.6000000000000004E-2</v>
      </c>
      <c r="O426" s="446">
        <f t="shared" si="78"/>
        <v>4.3349999999999993E-2</v>
      </c>
      <c r="P426" s="447">
        <f t="shared" si="75"/>
        <v>0.13343051969990929</v>
      </c>
      <c r="Q426" s="446">
        <f t="shared" si="79"/>
        <v>0.1260805196999093</v>
      </c>
      <c r="R426" s="446">
        <f t="shared" si="80"/>
        <v>0.31306939333438177</v>
      </c>
      <c r="S426" s="446">
        <f t="shared" si="81"/>
        <v>4.5900000000000003E-2</v>
      </c>
      <c r="T426" s="447">
        <f t="shared" si="82"/>
        <v>0.26716939333438178</v>
      </c>
      <c r="V426" s="448"/>
      <c r="W426" s="448"/>
      <c r="X426" s="448"/>
      <c r="Y426" s="448"/>
      <c r="Z426" s="448"/>
      <c r="AA426" s="448"/>
      <c r="AB426" s="448"/>
      <c r="AC426" s="448"/>
      <c r="AD426" s="448"/>
      <c r="AF426" s="448"/>
      <c r="AG426" s="448"/>
      <c r="AH426" s="448"/>
      <c r="AI426" s="448"/>
      <c r="AJ426" s="448"/>
      <c r="AK426" s="448"/>
      <c r="AL426" s="448"/>
      <c r="AM426" s="448"/>
      <c r="AN426" s="448"/>
      <c r="AP426" s="448"/>
      <c r="AQ426" s="448"/>
      <c r="AR426" s="448"/>
      <c r="AS426" s="448"/>
      <c r="AT426" s="448"/>
      <c r="AU426" s="448"/>
      <c r="AV426" s="448"/>
      <c r="AW426" s="448"/>
      <c r="AX426" s="448"/>
    </row>
    <row r="427" spans="1:50" x14ac:dyDescent="0.4">
      <c r="A427" s="442" t="str">
        <f t="shared" si="83"/>
        <v>31961</v>
      </c>
      <c r="B427" s="442">
        <v>22341</v>
      </c>
      <c r="C427" s="455">
        <v>2.7E-2</v>
      </c>
      <c r="D427" s="438">
        <v>3.1899999999999998E-2</v>
      </c>
      <c r="E427" s="438">
        <v>3.0999999999999999E-3</v>
      </c>
      <c r="F427" s="438">
        <v>3.5166666666666662E-3</v>
      </c>
      <c r="G427" s="438">
        <v>3.6083333333333332E-3</v>
      </c>
      <c r="H427" s="438">
        <v>3.5624999999999997E-3</v>
      </c>
      <c r="I427" s="438">
        <v>3.7333333333333333E-3</v>
      </c>
      <c r="J427" s="438">
        <f t="shared" si="72"/>
        <v>2.3900000000000001E-2</v>
      </c>
      <c r="K427" s="438">
        <f t="shared" si="76"/>
        <v>2.34375E-2</v>
      </c>
      <c r="L427" s="438">
        <f t="shared" si="77"/>
        <v>2.8166666666666666E-2</v>
      </c>
      <c r="M427" s="446">
        <f t="shared" si="73"/>
        <v>0.21596146981047526</v>
      </c>
      <c r="N427" s="446">
        <f t="shared" si="74"/>
        <v>3.7199999999999997E-2</v>
      </c>
      <c r="O427" s="446">
        <f t="shared" si="78"/>
        <v>4.2749999999999996E-2</v>
      </c>
      <c r="P427" s="447">
        <f t="shared" si="75"/>
        <v>0.17876146981047525</v>
      </c>
      <c r="Q427" s="446">
        <f t="shared" si="79"/>
        <v>0.17321146981047525</v>
      </c>
      <c r="R427" s="446">
        <f t="shared" si="80"/>
        <v>0.33611705648530577</v>
      </c>
      <c r="S427" s="446">
        <f t="shared" si="81"/>
        <v>4.48E-2</v>
      </c>
      <c r="T427" s="447">
        <f t="shared" si="82"/>
        <v>0.29131705648530576</v>
      </c>
      <c r="V427" s="448"/>
      <c r="W427" s="448"/>
      <c r="X427" s="448"/>
      <c r="Y427" s="448"/>
      <c r="Z427" s="448"/>
      <c r="AA427" s="448"/>
      <c r="AB427" s="448"/>
      <c r="AC427" s="448"/>
      <c r="AD427" s="448"/>
      <c r="AF427" s="448"/>
      <c r="AG427" s="448"/>
      <c r="AH427" s="448"/>
      <c r="AI427" s="448"/>
      <c r="AJ427" s="448"/>
      <c r="AK427" s="448"/>
      <c r="AL427" s="448"/>
      <c r="AM427" s="448"/>
      <c r="AN427" s="448"/>
      <c r="AP427" s="448"/>
      <c r="AQ427" s="448"/>
      <c r="AR427" s="448"/>
      <c r="AS427" s="448"/>
      <c r="AT427" s="448"/>
      <c r="AU427" s="448"/>
      <c r="AV427" s="448"/>
      <c r="AW427" s="448"/>
      <c r="AX427" s="448"/>
    </row>
    <row r="428" spans="1:50" x14ac:dyDescent="0.4">
      <c r="A428" s="442" t="str">
        <f t="shared" si="83"/>
        <v>41961</v>
      </c>
      <c r="B428" s="442">
        <v>22372</v>
      </c>
      <c r="C428" s="455">
        <v>5.1000000000000004E-3</v>
      </c>
      <c r="D428" s="438">
        <v>1.09E-2</v>
      </c>
      <c r="E428" s="438">
        <v>3.0999999999999999E-3</v>
      </c>
      <c r="F428" s="438">
        <v>3.5416666666666669E-3</v>
      </c>
      <c r="G428" s="438">
        <v>3.6416666666666667E-3</v>
      </c>
      <c r="H428" s="438">
        <v>3.5916666666666671E-3</v>
      </c>
      <c r="I428" s="438">
        <v>3.7333333333333333E-3</v>
      </c>
      <c r="J428" s="438">
        <f t="shared" si="72"/>
        <v>2.0000000000000005E-3</v>
      </c>
      <c r="K428" s="438">
        <f t="shared" si="76"/>
        <v>1.5083333333333333E-3</v>
      </c>
      <c r="L428" s="438">
        <f t="shared" si="77"/>
        <v>7.1666666666666667E-3</v>
      </c>
      <c r="M428" s="446">
        <f t="shared" si="73"/>
        <v>0.24216167629485663</v>
      </c>
      <c r="N428" s="446">
        <f t="shared" si="74"/>
        <v>3.7199999999999997E-2</v>
      </c>
      <c r="O428" s="446">
        <f t="shared" si="78"/>
        <v>4.3100000000000006E-2</v>
      </c>
      <c r="P428" s="447">
        <f t="shared" si="75"/>
        <v>0.20496167629485662</v>
      </c>
      <c r="Q428" s="446">
        <f t="shared" si="79"/>
        <v>0.19906167629485663</v>
      </c>
      <c r="R428" s="446">
        <f t="shared" si="80"/>
        <v>0.34062603712257622</v>
      </c>
      <c r="S428" s="446">
        <f t="shared" si="81"/>
        <v>4.48E-2</v>
      </c>
      <c r="T428" s="447">
        <f t="shared" si="82"/>
        <v>0.29582603712257621</v>
      </c>
      <c r="V428" s="448"/>
      <c r="W428" s="448"/>
      <c r="X428" s="448"/>
      <c r="Y428" s="448"/>
      <c r="Z428" s="448"/>
      <c r="AA428" s="448"/>
      <c r="AB428" s="448"/>
      <c r="AC428" s="448"/>
      <c r="AD428" s="448"/>
      <c r="AF428" s="448"/>
      <c r="AG428" s="448"/>
      <c r="AH428" s="448"/>
      <c r="AI428" s="448"/>
      <c r="AJ428" s="448"/>
      <c r="AK428" s="448"/>
      <c r="AL428" s="448"/>
      <c r="AM428" s="448"/>
      <c r="AN428" s="448"/>
      <c r="AP428" s="448"/>
      <c r="AQ428" s="448"/>
      <c r="AR428" s="448"/>
      <c r="AS428" s="448"/>
      <c r="AT428" s="448"/>
      <c r="AU428" s="448"/>
      <c r="AV428" s="448"/>
      <c r="AW428" s="448"/>
      <c r="AX428" s="448"/>
    </row>
    <row r="429" spans="1:50" x14ac:dyDescent="0.4">
      <c r="A429" s="442" t="str">
        <f t="shared" si="83"/>
        <v>51961</v>
      </c>
      <c r="B429" s="442">
        <v>22402</v>
      </c>
      <c r="C429" s="455">
        <v>2.3900000000000001E-2</v>
      </c>
      <c r="D429" s="438">
        <v>1.3299999999999999E-2</v>
      </c>
      <c r="E429" s="438">
        <v>3.3999999999999998E-3</v>
      </c>
      <c r="F429" s="438">
        <v>3.5583333333333326E-3</v>
      </c>
      <c r="G429" s="438">
        <v>3.6749999999999999E-3</v>
      </c>
      <c r="H429" s="438">
        <v>3.6166666666666665E-3</v>
      </c>
      <c r="I429" s="438">
        <v>3.7666666666666664E-3</v>
      </c>
      <c r="J429" s="438">
        <f t="shared" si="72"/>
        <v>2.0500000000000001E-2</v>
      </c>
      <c r="K429" s="438">
        <f t="shared" si="76"/>
        <v>2.0283333333333334E-2</v>
      </c>
      <c r="L429" s="438">
        <f t="shared" si="77"/>
        <v>9.5333333333333329E-3</v>
      </c>
      <c r="M429" s="446">
        <f t="shared" si="73"/>
        <v>0.23169604915582331</v>
      </c>
      <c r="N429" s="446">
        <f t="shared" si="74"/>
        <v>4.0799999999999996E-2</v>
      </c>
      <c r="O429" s="446">
        <f t="shared" si="78"/>
        <v>4.3399999999999994E-2</v>
      </c>
      <c r="P429" s="447">
        <f t="shared" si="75"/>
        <v>0.19089604915582331</v>
      </c>
      <c r="Q429" s="446">
        <f t="shared" si="79"/>
        <v>0.18829604915582332</v>
      </c>
      <c r="R429" s="446">
        <f t="shared" si="80"/>
        <v>0.32752503021235846</v>
      </c>
      <c r="S429" s="446">
        <f t="shared" si="81"/>
        <v>4.5199999999999997E-2</v>
      </c>
      <c r="T429" s="447">
        <f t="shared" si="82"/>
        <v>0.28232503021235844</v>
      </c>
      <c r="V429" s="448"/>
      <c r="W429" s="448"/>
      <c r="X429" s="448"/>
      <c r="Y429" s="448"/>
      <c r="Z429" s="448"/>
      <c r="AA429" s="448"/>
      <c r="AB429" s="448"/>
      <c r="AC429" s="448"/>
      <c r="AD429" s="448"/>
      <c r="AF429" s="448"/>
      <c r="AG429" s="448"/>
      <c r="AH429" s="448"/>
      <c r="AI429" s="448"/>
      <c r="AJ429" s="448"/>
      <c r="AK429" s="448"/>
      <c r="AL429" s="448"/>
      <c r="AM429" s="448"/>
      <c r="AN429" s="448"/>
      <c r="AP429" s="448"/>
      <c r="AQ429" s="448"/>
      <c r="AR429" s="448"/>
      <c r="AS429" s="448"/>
      <c r="AT429" s="448"/>
      <c r="AU429" s="448"/>
      <c r="AV429" s="448"/>
      <c r="AW429" s="448"/>
      <c r="AX429" s="448"/>
    </row>
    <row r="430" spans="1:50" x14ac:dyDescent="0.4">
      <c r="A430" s="442" t="str">
        <f t="shared" si="83"/>
        <v>61961</v>
      </c>
      <c r="B430" s="442">
        <v>22433</v>
      </c>
      <c r="C430" s="455">
        <v>-2.75E-2</v>
      </c>
      <c r="D430" s="438">
        <v>-2.2699999999999994E-2</v>
      </c>
      <c r="E430" s="438">
        <v>3.2000000000000002E-3</v>
      </c>
      <c r="F430" s="438">
        <v>3.6083333333333332E-3</v>
      </c>
      <c r="G430" s="438">
        <v>3.7083333333333334E-3</v>
      </c>
      <c r="H430" s="438">
        <v>3.6583333333333333E-3</v>
      </c>
      <c r="I430" s="438">
        <v>3.8083333333333337E-3</v>
      </c>
      <c r="J430" s="438">
        <f t="shared" si="72"/>
        <v>-3.0700000000000002E-2</v>
      </c>
      <c r="K430" s="438">
        <f t="shared" si="76"/>
        <v>-3.1158333333333333E-2</v>
      </c>
      <c r="L430" s="438">
        <f t="shared" si="77"/>
        <v>-2.6508333333333328E-2</v>
      </c>
      <c r="M430" s="446">
        <f t="shared" si="73"/>
        <v>0.17307257644113117</v>
      </c>
      <c r="N430" s="446">
        <f t="shared" si="74"/>
        <v>3.8400000000000004E-2</v>
      </c>
      <c r="O430" s="446">
        <f t="shared" si="78"/>
        <v>4.3900000000000002E-2</v>
      </c>
      <c r="P430" s="447">
        <f t="shared" si="75"/>
        <v>0.13467257644113118</v>
      </c>
      <c r="Q430" s="446">
        <f t="shared" si="79"/>
        <v>0.12917257644113117</v>
      </c>
      <c r="R430" s="446">
        <f t="shared" si="80"/>
        <v>0.24653171793479833</v>
      </c>
      <c r="S430" s="446">
        <f t="shared" si="81"/>
        <v>4.5700000000000005E-2</v>
      </c>
      <c r="T430" s="447">
        <f t="shared" si="82"/>
        <v>0.20083171793479832</v>
      </c>
      <c r="V430" s="448"/>
      <c r="W430" s="448"/>
      <c r="X430" s="448"/>
      <c r="Y430" s="448"/>
      <c r="Z430" s="448"/>
      <c r="AA430" s="448"/>
      <c r="AB430" s="448"/>
      <c r="AC430" s="448"/>
      <c r="AD430" s="448"/>
      <c r="AF430" s="448"/>
      <c r="AG430" s="448"/>
      <c r="AH430" s="448"/>
      <c r="AI430" s="448"/>
      <c r="AJ430" s="448"/>
      <c r="AK430" s="448"/>
      <c r="AL430" s="448"/>
      <c r="AM430" s="448"/>
      <c r="AN430" s="448"/>
      <c r="AP430" s="448"/>
      <c r="AQ430" s="448"/>
      <c r="AR430" s="448"/>
      <c r="AS430" s="448"/>
      <c r="AT430" s="448"/>
      <c r="AU430" s="448"/>
      <c r="AV430" s="448"/>
      <c r="AW430" s="448"/>
      <c r="AX430" s="448"/>
    </row>
    <row r="431" spans="1:50" x14ac:dyDescent="0.4">
      <c r="A431" s="442" t="str">
        <f t="shared" si="83"/>
        <v>71961</v>
      </c>
      <c r="B431" s="442">
        <v>22463</v>
      </c>
      <c r="C431" s="455">
        <v>3.4200000000000001E-2</v>
      </c>
      <c r="D431" s="438">
        <v>4.24E-2</v>
      </c>
      <c r="E431" s="438">
        <v>3.3E-3</v>
      </c>
      <c r="F431" s="438">
        <v>3.6749999999999999E-3</v>
      </c>
      <c r="G431" s="438">
        <v>3.7750000000000001E-3</v>
      </c>
      <c r="H431" s="438">
        <v>3.725E-3</v>
      </c>
      <c r="I431" s="438">
        <v>3.875E-3</v>
      </c>
      <c r="J431" s="438">
        <f t="shared" si="72"/>
        <v>3.09E-2</v>
      </c>
      <c r="K431" s="438">
        <f t="shared" si="76"/>
        <v>3.0475000000000002E-2</v>
      </c>
      <c r="L431" s="438">
        <f t="shared" si="77"/>
        <v>3.8525000000000004E-2</v>
      </c>
      <c r="M431" s="446">
        <f t="shared" si="73"/>
        <v>0.24226055555541426</v>
      </c>
      <c r="N431" s="446">
        <f t="shared" si="74"/>
        <v>3.9599999999999996E-2</v>
      </c>
      <c r="O431" s="446">
        <f t="shared" si="78"/>
        <v>4.4700000000000004E-2</v>
      </c>
      <c r="P431" s="447">
        <f t="shared" si="75"/>
        <v>0.20266055555541426</v>
      </c>
      <c r="Q431" s="446">
        <f t="shared" si="79"/>
        <v>0.19756055555541424</v>
      </c>
      <c r="R431" s="446">
        <f t="shared" si="80"/>
        <v>0.31250976037902434</v>
      </c>
      <c r="S431" s="446">
        <f t="shared" si="81"/>
        <v>4.65E-2</v>
      </c>
      <c r="T431" s="447">
        <f t="shared" si="82"/>
        <v>0.26600976037902435</v>
      </c>
      <c r="V431" s="448"/>
      <c r="W431" s="448"/>
      <c r="X431" s="448"/>
      <c r="Y431" s="448"/>
      <c r="Z431" s="448"/>
      <c r="AA431" s="448"/>
      <c r="AB431" s="448"/>
      <c r="AC431" s="448"/>
      <c r="AD431" s="448"/>
      <c r="AF431" s="448"/>
      <c r="AG431" s="448"/>
      <c r="AH431" s="448"/>
      <c r="AI431" s="448"/>
      <c r="AJ431" s="448"/>
      <c r="AK431" s="448"/>
      <c r="AL431" s="448"/>
      <c r="AM431" s="448"/>
      <c r="AN431" s="448"/>
      <c r="AP431" s="448"/>
      <c r="AQ431" s="448"/>
      <c r="AR431" s="448"/>
      <c r="AS431" s="448"/>
      <c r="AT431" s="448"/>
      <c r="AU431" s="448"/>
      <c r="AV431" s="448"/>
      <c r="AW431" s="448"/>
      <c r="AX431" s="448"/>
    </row>
    <row r="432" spans="1:50" x14ac:dyDescent="0.4">
      <c r="A432" s="442" t="str">
        <f t="shared" si="83"/>
        <v>81961</v>
      </c>
      <c r="B432" s="442">
        <v>22494</v>
      </c>
      <c r="C432" s="455">
        <v>2.4299999999999999E-2</v>
      </c>
      <c r="D432" s="438">
        <v>4.5400000000000003E-2</v>
      </c>
      <c r="E432" s="438">
        <v>3.3E-3</v>
      </c>
      <c r="F432" s="438">
        <v>3.7083333333333334E-3</v>
      </c>
      <c r="G432" s="438">
        <v>3.8083333333333337E-3</v>
      </c>
      <c r="H432" s="438">
        <v>3.7583333333333336E-3</v>
      </c>
      <c r="I432" s="438">
        <v>3.9416666666666671E-3</v>
      </c>
      <c r="J432" s="438">
        <f t="shared" si="72"/>
        <v>2.0999999999999998E-2</v>
      </c>
      <c r="K432" s="438">
        <f t="shared" si="76"/>
        <v>2.0541666666666666E-2</v>
      </c>
      <c r="L432" s="438">
        <f t="shared" si="77"/>
        <v>4.1458333333333333E-2</v>
      </c>
      <c r="M432" s="446">
        <f t="shared" si="73"/>
        <v>0.23335028308171979</v>
      </c>
      <c r="N432" s="446">
        <f t="shared" si="74"/>
        <v>3.9599999999999996E-2</v>
      </c>
      <c r="O432" s="446">
        <f t="shared" si="78"/>
        <v>4.5100000000000001E-2</v>
      </c>
      <c r="P432" s="447">
        <f t="shared" si="75"/>
        <v>0.19375028308171979</v>
      </c>
      <c r="Q432" s="446">
        <f t="shared" si="79"/>
        <v>0.18825028308171979</v>
      </c>
      <c r="R432" s="446">
        <f t="shared" si="80"/>
        <v>0.30651085840814329</v>
      </c>
      <c r="S432" s="446">
        <f t="shared" si="81"/>
        <v>4.7300000000000009E-2</v>
      </c>
      <c r="T432" s="447">
        <f t="shared" si="82"/>
        <v>0.25921085840814329</v>
      </c>
      <c r="V432" s="448"/>
      <c r="W432" s="448"/>
      <c r="X432" s="448"/>
      <c r="Y432" s="448"/>
      <c r="Z432" s="448"/>
      <c r="AA432" s="448"/>
      <c r="AB432" s="448"/>
      <c r="AC432" s="448"/>
      <c r="AD432" s="448"/>
      <c r="AF432" s="448"/>
      <c r="AG432" s="448"/>
      <c r="AH432" s="448"/>
      <c r="AI432" s="448"/>
      <c r="AJ432" s="448"/>
      <c r="AK432" s="448"/>
      <c r="AL432" s="448"/>
      <c r="AM432" s="448"/>
      <c r="AN432" s="448"/>
      <c r="AP432" s="448"/>
      <c r="AQ432" s="448"/>
      <c r="AR432" s="448"/>
      <c r="AS432" s="448"/>
      <c r="AT432" s="448"/>
      <c r="AU432" s="448"/>
      <c r="AV432" s="448"/>
      <c r="AW432" s="448"/>
      <c r="AX432" s="448"/>
    </row>
    <row r="433" spans="1:50" x14ac:dyDescent="0.4">
      <c r="A433" s="442" t="str">
        <f t="shared" si="83"/>
        <v>91961</v>
      </c>
      <c r="B433" s="442">
        <v>22525</v>
      </c>
      <c r="C433" s="455">
        <v>-1.84E-2</v>
      </c>
      <c r="D433" s="438">
        <v>-6.6999999999999994E-3</v>
      </c>
      <c r="E433" s="438">
        <v>3.2000000000000002E-3</v>
      </c>
      <c r="F433" s="438">
        <v>3.7083333333333334E-3</v>
      </c>
      <c r="G433" s="438">
        <v>3.8250000000000003E-3</v>
      </c>
      <c r="H433" s="438">
        <v>3.7666666666666669E-3</v>
      </c>
      <c r="I433" s="438">
        <v>3.9416666666666671E-3</v>
      </c>
      <c r="J433" s="438">
        <f t="shared" si="72"/>
        <v>-2.1600000000000001E-2</v>
      </c>
      <c r="K433" s="438">
        <f t="shared" si="76"/>
        <v>-2.2166666666666668E-2</v>
      </c>
      <c r="L433" s="438">
        <f t="shared" si="77"/>
        <v>-1.0641666666666667E-2</v>
      </c>
      <c r="M433" s="446">
        <f t="shared" si="73"/>
        <v>0.28656390847291857</v>
      </c>
      <c r="N433" s="446">
        <f t="shared" si="74"/>
        <v>3.8400000000000004E-2</v>
      </c>
      <c r="O433" s="446">
        <f t="shared" si="78"/>
        <v>4.5200000000000004E-2</v>
      </c>
      <c r="P433" s="447">
        <f t="shared" si="75"/>
        <v>0.24816390847291858</v>
      </c>
      <c r="Q433" s="446">
        <f t="shared" si="79"/>
        <v>0.24136390847291855</v>
      </c>
      <c r="R433" s="446">
        <f t="shared" si="80"/>
        <v>0.36807636059119608</v>
      </c>
      <c r="S433" s="446">
        <f t="shared" si="81"/>
        <v>4.7300000000000009E-2</v>
      </c>
      <c r="T433" s="447">
        <f t="shared" si="82"/>
        <v>0.32077636059119607</v>
      </c>
      <c r="V433" s="448"/>
      <c r="W433" s="448"/>
      <c r="X433" s="448"/>
      <c r="Y433" s="448"/>
      <c r="Z433" s="448"/>
      <c r="AA433" s="448"/>
      <c r="AB433" s="448"/>
      <c r="AC433" s="448"/>
      <c r="AD433" s="448"/>
      <c r="AF433" s="448"/>
      <c r="AG433" s="448"/>
      <c r="AH433" s="448"/>
      <c r="AI433" s="448"/>
      <c r="AJ433" s="448"/>
      <c r="AK433" s="448"/>
      <c r="AL433" s="448"/>
      <c r="AM433" s="448"/>
      <c r="AN433" s="448"/>
      <c r="AP433" s="448"/>
      <c r="AQ433" s="448"/>
      <c r="AR433" s="448"/>
      <c r="AS433" s="448"/>
      <c r="AT433" s="448"/>
      <c r="AU433" s="448"/>
      <c r="AV433" s="448"/>
      <c r="AW433" s="448"/>
      <c r="AX433" s="448"/>
    </row>
    <row r="434" spans="1:50" x14ac:dyDescent="0.4">
      <c r="A434" s="442" t="str">
        <f t="shared" si="83"/>
        <v>101961</v>
      </c>
      <c r="B434" s="442">
        <v>22555</v>
      </c>
      <c r="C434" s="455">
        <v>2.98E-2</v>
      </c>
      <c r="D434" s="438">
        <v>4.8000000000000001E-2</v>
      </c>
      <c r="E434" s="438">
        <v>3.3999999999999998E-3</v>
      </c>
      <c r="F434" s="438">
        <v>3.6833333333333336E-3</v>
      </c>
      <c r="G434" s="438">
        <v>3.7999999999999996E-3</v>
      </c>
      <c r="H434" s="438">
        <v>3.7416666666666666E-3</v>
      </c>
      <c r="I434" s="438">
        <v>3.9250000000000005E-3</v>
      </c>
      <c r="J434" s="438">
        <f t="shared" si="72"/>
        <v>2.64E-2</v>
      </c>
      <c r="K434" s="438">
        <f t="shared" si="76"/>
        <v>2.6058333333333333E-2</v>
      </c>
      <c r="L434" s="438">
        <f t="shared" si="77"/>
        <v>4.4075000000000003E-2</v>
      </c>
      <c r="M434" s="446">
        <f t="shared" si="73"/>
        <v>0.32583159506195503</v>
      </c>
      <c r="N434" s="446">
        <f t="shared" si="74"/>
        <v>4.0799999999999996E-2</v>
      </c>
      <c r="O434" s="446">
        <f t="shared" si="78"/>
        <v>4.4899999999999995E-2</v>
      </c>
      <c r="P434" s="447">
        <f t="shared" si="75"/>
        <v>0.28503159506195502</v>
      </c>
      <c r="Q434" s="446">
        <f t="shared" si="79"/>
        <v>0.28093159506195503</v>
      </c>
      <c r="R434" s="446">
        <f t="shared" si="80"/>
        <v>0.43546658580253617</v>
      </c>
      <c r="S434" s="446">
        <f t="shared" si="81"/>
        <v>4.7100000000000003E-2</v>
      </c>
      <c r="T434" s="447">
        <f t="shared" si="82"/>
        <v>0.38836658580253614</v>
      </c>
      <c r="V434" s="448"/>
      <c r="W434" s="448"/>
      <c r="X434" s="448"/>
      <c r="Y434" s="448"/>
      <c r="Z434" s="448"/>
      <c r="AA434" s="448"/>
      <c r="AB434" s="448"/>
      <c r="AC434" s="448"/>
      <c r="AD434" s="448"/>
      <c r="AF434" s="448"/>
      <c r="AG434" s="448"/>
      <c r="AH434" s="448"/>
      <c r="AI434" s="448"/>
      <c r="AJ434" s="448"/>
      <c r="AK434" s="448"/>
      <c r="AL434" s="448"/>
      <c r="AM434" s="448"/>
      <c r="AN434" s="448"/>
      <c r="AP434" s="448"/>
      <c r="AQ434" s="448"/>
      <c r="AR434" s="448"/>
      <c r="AS434" s="448"/>
      <c r="AT434" s="448"/>
      <c r="AU434" s="448"/>
      <c r="AV434" s="448"/>
      <c r="AW434" s="448"/>
      <c r="AX434" s="448"/>
    </row>
    <row r="435" spans="1:50" x14ac:dyDescent="0.4">
      <c r="A435" s="442" t="str">
        <f t="shared" si="83"/>
        <v>111961</v>
      </c>
      <c r="B435" s="442">
        <v>22586</v>
      </c>
      <c r="C435" s="455">
        <v>4.4699999999999997E-2</v>
      </c>
      <c r="D435" s="438">
        <v>3.3500000000000002E-2</v>
      </c>
      <c r="E435" s="438">
        <v>3.2000000000000002E-3</v>
      </c>
      <c r="F435" s="438">
        <v>3.6583333333333329E-3</v>
      </c>
      <c r="G435" s="438">
        <v>3.7833333333333334E-3</v>
      </c>
      <c r="H435" s="438">
        <v>3.7208333333333334E-3</v>
      </c>
      <c r="I435" s="438">
        <v>3.8999999999999994E-3</v>
      </c>
      <c r="J435" s="438">
        <f t="shared" si="72"/>
        <v>4.1499999999999995E-2</v>
      </c>
      <c r="K435" s="438">
        <f t="shared" si="76"/>
        <v>4.0979166666666664E-2</v>
      </c>
      <c r="L435" s="438">
        <f t="shared" si="77"/>
        <v>2.9600000000000001E-2</v>
      </c>
      <c r="M435" s="446">
        <f t="shared" si="73"/>
        <v>0.32355113938005209</v>
      </c>
      <c r="N435" s="446">
        <f t="shared" si="74"/>
        <v>3.8400000000000004E-2</v>
      </c>
      <c r="O435" s="446">
        <f t="shared" si="78"/>
        <v>4.4650000000000002E-2</v>
      </c>
      <c r="P435" s="447">
        <f t="shared" si="75"/>
        <v>0.2851511393800521</v>
      </c>
      <c r="Q435" s="446">
        <f t="shared" si="79"/>
        <v>0.27890113938005207</v>
      </c>
      <c r="R435" s="446">
        <f t="shared" si="80"/>
        <v>0.42841778974284761</v>
      </c>
      <c r="S435" s="446">
        <f t="shared" si="81"/>
        <v>4.6799999999999994E-2</v>
      </c>
      <c r="T435" s="447">
        <f t="shared" si="82"/>
        <v>0.3816177897428476</v>
      </c>
      <c r="V435" s="448"/>
      <c r="W435" s="448"/>
      <c r="X435" s="448"/>
      <c r="Y435" s="448"/>
      <c r="Z435" s="448"/>
      <c r="AA435" s="448"/>
      <c r="AB435" s="448"/>
      <c r="AC435" s="448"/>
      <c r="AD435" s="448"/>
      <c r="AF435" s="448"/>
      <c r="AG435" s="448"/>
      <c r="AH435" s="448"/>
      <c r="AI435" s="448"/>
      <c r="AJ435" s="448"/>
      <c r="AK435" s="448"/>
      <c r="AL435" s="448"/>
      <c r="AM435" s="448"/>
      <c r="AN435" s="448"/>
      <c r="AP435" s="448"/>
      <c r="AQ435" s="448"/>
      <c r="AR435" s="448"/>
      <c r="AS435" s="448"/>
      <c r="AT435" s="448"/>
      <c r="AU435" s="448"/>
      <c r="AV435" s="448"/>
      <c r="AW435" s="448"/>
      <c r="AX435" s="448"/>
    </row>
    <row r="436" spans="1:50" x14ac:dyDescent="0.4">
      <c r="A436" s="442" t="str">
        <f t="shared" si="83"/>
        <v>121961</v>
      </c>
      <c r="B436" s="442">
        <v>22616</v>
      </c>
      <c r="C436" s="455">
        <v>4.5999999999999999E-3</v>
      </c>
      <c r="D436" s="438">
        <v>-2.92E-2</v>
      </c>
      <c r="E436" s="438">
        <v>3.0999999999999999E-3</v>
      </c>
      <c r="F436" s="438">
        <v>3.6833333333333336E-3</v>
      </c>
      <c r="G436" s="438">
        <v>3.7999999999999996E-3</v>
      </c>
      <c r="H436" s="438">
        <v>3.7416666666666666E-3</v>
      </c>
      <c r="I436" s="438">
        <v>3.875E-3</v>
      </c>
      <c r="J436" s="438">
        <f t="shared" si="72"/>
        <v>1.5E-3</v>
      </c>
      <c r="K436" s="438">
        <f t="shared" si="76"/>
        <v>8.5833333333333334E-4</v>
      </c>
      <c r="L436" s="438">
        <f t="shared" si="77"/>
        <v>-3.3075E-2</v>
      </c>
      <c r="M436" s="446">
        <f t="shared" si="73"/>
        <v>0.26886103122549865</v>
      </c>
      <c r="N436" s="446">
        <f t="shared" si="74"/>
        <v>3.7199999999999997E-2</v>
      </c>
      <c r="O436" s="446">
        <f t="shared" si="78"/>
        <v>4.4899999999999995E-2</v>
      </c>
      <c r="P436" s="447">
        <f t="shared" si="75"/>
        <v>0.23166103122549864</v>
      </c>
      <c r="Q436" s="446">
        <f t="shared" si="79"/>
        <v>0.22396103122549865</v>
      </c>
      <c r="R436" s="446">
        <f t="shared" si="80"/>
        <v>0.29308839078921767</v>
      </c>
      <c r="S436" s="446">
        <f t="shared" si="81"/>
        <v>4.65E-2</v>
      </c>
      <c r="T436" s="447">
        <f t="shared" si="82"/>
        <v>0.24658839078921768</v>
      </c>
      <c r="V436" s="448"/>
      <c r="W436" s="448"/>
      <c r="X436" s="448"/>
      <c r="Y436" s="448"/>
      <c r="Z436" s="448"/>
      <c r="AA436" s="448"/>
      <c r="AB436" s="448"/>
      <c r="AC436" s="448"/>
      <c r="AD436" s="448"/>
      <c r="AF436" s="448"/>
      <c r="AG436" s="448"/>
      <c r="AH436" s="448"/>
      <c r="AI436" s="448"/>
      <c r="AJ436" s="448"/>
      <c r="AK436" s="448"/>
      <c r="AL436" s="448"/>
      <c r="AM436" s="448"/>
      <c r="AN436" s="448"/>
      <c r="AP436" s="448"/>
      <c r="AQ436" s="448"/>
      <c r="AR436" s="448"/>
      <c r="AS436" s="448"/>
      <c r="AT436" s="448"/>
      <c r="AU436" s="448"/>
      <c r="AV436" s="448"/>
      <c r="AW436" s="448"/>
      <c r="AX436" s="448"/>
    </row>
    <row r="437" spans="1:50" x14ac:dyDescent="0.4">
      <c r="A437" s="442" t="str">
        <f t="shared" si="83"/>
        <v>11962</v>
      </c>
      <c r="B437" s="442">
        <v>22647</v>
      </c>
      <c r="C437" s="455">
        <v>-3.6600000000000001E-2</v>
      </c>
      <c r="D437" s="438">
        <v>-3.6600000000000001E-2</v>
      </c>
      <c r="E437" s="438">
        <v>3.7000000000000002E-3</v>
      </c>
      <c r="F437" s="438">
        <v>3.6833333333333336E-3</v>
      </c>
      <c r="G437" s="438">
        <v>3.7916666666666667E-3</v>
      </c>
      <c r="H437" s="438">
        <v>3.7375000000000004E-3</v>
      </c>
      <c r="I437" s="438">
        <v>3.875E-3</v>
      </c>
      <c r="J437" s="438">
        <f t="shared" si="72"/>
        <v>-4.0300000000000002E-2</v>
      </c>
      <c r="K437" s="438">
        <f t="shared" si="76"/>
        <v>-4.0337499999999998E-2</v>
      </c>
      <c r="L437" s="438">
        <f t="shared" si="77"/>
        <v>-4.0474999999999997E-2</v>
      </c>
      <c r="M437" s="446">
        <f t="shared" si="73"/>
        <v>0.14835201266570741</v>
      </c>
      <c r="N437" s="446">
        <f t="shared" si="74"/>
        <v>4.4400000000000002E-2</v>
      </c>
      <c r="O437" s="446">
        <f t="shared" si="78"/>
        <v>4.4850000000000001E-2</v>
      </c>
      <c r="P437" s="447">
        <f t="shared" si="75"/>
        <v>0.10395201266570742</v>
      </c>
      <c r="Q437" s="446">
        <f t="shared" si="79"/>
        <v>0.10350201266570741</v>
      </c>
      <c r="R437" s="446">
        <f t="shared" si="80"/>
        <v>0.17314375712056851</v>
      </c>
      <c r="S437" s="446">
        <f t="shared" si="81"/>
        <v>4.65E-2</v>
      </c>
      <c r="T437" s="447">
        <f t="shared" si="82"/>
        <v>0.12664375712056852</v>
      </c>
      <c r="V437" s="448"/>
      <c r="W437" s="448"/>
      <c r="X437" s="448"/>
      <c r="Y437" s="448"/>
      <c r="Z437" s="448"/>
      <c r="AA437" s="448"/>
      <c r="AB437" s="448"/>
      <c r="AC437" s="448"/>
      <c r="AD437" s="448"/>
      <c r="AF437" s="448"/>
      <c r="AG437" s="448"/>
      <c r="AH437" s="448"/>
      <c r="AI437" s="448"/>
      <c r="AJ437" s="448"/>
      <c r="AK437" s="448"/>
      <c r="AL437" s="448"/>
      <c r="AM437" s="448"/>
      <c r="AN437" s="448"/>
      <c r="AP437" s="448"/>
      <c r="AQ437" s="448"/>
      <c r="AR437" s="448"/>
      <c r="AS437" s="448"/>
      <c r="AT437" s="448"/>
      <c r="AU437" s="448"/>
      <c r="AV437" s="448"/>
      <c r="AW437" s="448"/>
      <c r="AX437" s="448"/>
    </row>
    <row r="438" spans="1:50" x14ac:dyDescent="0.4">
      <c r="A438" s="442" t="str">
        <f t="shared" si="83"/>
        <v>21962</v>
      </c>
      <c r="B438" s="442">
        <v>22678</v>
      </c>
      <c r="C438" s="455">
        <v>2.0899999999999998E-2</v>
      </c>
      <c r="D438" s="438">
        <v>3.0000000000000006E-2</v>
      </c>
      <c r="E438" s="438">
        <v>3.2000000000000002E-3</v>
      </c>
      <c r="F438" s="438">
        <v>3.6833333333333336E-3</v>
      </c>
      <c r="G438" s="438">
        <v>3.7999999999999996E-3</v>
      </c>
      <c r="H438" s="438">
        <v>3.7416666666666666E-3</v>
      </c>
      <c r="I438" s="438">
        <v>3.8833333333333337E-3</v>
      </c>
      <c r="J438" s="438">
        <f t="shared" si="72"/>
        <v>1.7699999999999997E-2</v>
      </c>
      <c r="K438" s="438">
        <f t="shared" si="76"/>
        <v>1.7158333333333331E-2</v>
      </c>
      <c r="L438" s="438">
        <f t="shared" si="77"/>
        <v>2.6116666666666673E-2</v>
      </c>
      <c r="M438" s="446">
        <f t="shared" si="73"/>
        <v>0.13611064030470077</v>
      </c>
      <c r="N438" s="446">
        <f t="shared" si="74"/>
        <v>3.8400000000000004E-2</v>
      </c>
      <c r="O438" s="446">
        <f t="shared" si="78"/>
        <v>4.4899999999999995E-2</v>
      </c>
      <c r="P438" s="447">
        <f t="shared" si="75"/>
        <v>9.7710640304700766E-2</v>
      </c>
      <c r="Q438" s="446">
        <f t="shared" si="79"/>
        <v>9.1210640304700774E-2</v>
      </c>
      <c r="R438" s="446">
        <f t="shared" si="80"/>
        <v>0.16668733207896658</v>
      </c>
      <c r="S438" s="446">
        <f t="shared" si="81"/>
        <v>4.6600000000000003E-2</v>
      </c>
      <c r="T438" s="447">
        <f t="shared" si="82"/>
        <v>0.12008733207896657</v>
      </c>
      <c r="V438" s="448"/>
      <c r="W438" s="448"/>
      <c r="X438" s="448"/>
      <c r="Y438" s="448"/>
      <c r="Z438" s="448"/>
      <c r="AA438" s="448"/>
      <c r="AB438" s="448"/>
      <c r="AC438" s="448"/>
      <c r="AD438" s="448"/>
      <c r="AF438" s="448"/>
      <c r="AG438" s="448"/>
      <c r="AH438" s="448"/>
      <c r="AI438" s="448"/>
      <c r="AJ438" s="448"/>
      <c r="AK438" s="448"/>
      <c r="AL438" s="448"/>
      <c r="AM438" s="448"/>
      <c r="AN438" s="448"/>
      <c r="AP438" s="448"/>
      <c r="AQ438" s="448"/>
      <c r="AR438" s="448"/>
      <c r="AS438" s="448"/>
      <c r="AT438" s="448"/>
      <c r="AU438" s="448"/>
      <c r="AV438" s="448"/>
      <c r="AW438" s="448"/>
      <c r="AX438" s="448"/>
    </row>
    <row r="439" spans="1:50" x14ac:dyDescent="0.4">
      <c r="A439" s="442" t="str">
        <f t="shared" si="83"/>
        <v>31962</v>
      </c>
      <c r="B439" s="442">
        <v>22706</v>
      </c>
      <c r="C439" s="455">
        <v>-4.5999999999999999E-3</v>
      </c>
      <c r="D439" s="438">
        <v>8.0999999999999996E-3</v>
      </c>
      <c r="E439" s="438">
        <v>3.3E-3</v>
      </c>
      <c r="F439" s="438">
        <v>3.6583333333333329E-3</v>
      </c>
      <c r="G439" s="438">
        <v>3.7750000000000001E-3</v>
      </c>
      <c r="H439" s="438">
        <v>3.7166666666666663E-3</v>
      </c>
      <c r="I439" s="438">
        <v>3.8666666666666667E-3</v>
      </c>
      <c r="J439" s="438">
        <f t="shared" si="72"/>
        <v>-7.9000000000000008E-3</v>
      </c>
      <c r="K439" s="438">
        <f t="shared" si="76"/>
        <v>-8.3166666666666667E-3</v>
      </c>
      <c r="L439" s="438">
        <f t="shared" si="77"/>
        <v>4.2333333333333329E-3</v>
      </c>
      <c r="M439" s="446">
        <f t="shared" si="73"/>
        <v>0.10115338983378663</v>
      </c>
      <c r="N439" s="446">
        <f t="shared" si="74"/>
        <v>3.9599999999999996E-2</v>
      </c>
      <c r="O439" s="446">
        <f t="shared" si="78"/>
        <v>4.4599999999999994E-2</v>
      </c>
      <c r="P439" s="447">
        <f t="shared" si="75"/>
        <v>6.1553389833786637E-2</v>
      </c>
      <c r="Q439" s="446">
        <f t="shared" si="79"/>
        <v>5.6553389833786639E-2</v>
      </c>
      <c r="R439" s="446">
        <f t="shared" si="80"/>
        <v>0.1397785632995503</v>
      </c>
      <c r="S439" s="446">
        <f t="shared" si="81"/>
        <v>4.6399999999999997E-2</v>
      </c>
      <c r="T439" s="447">
        <f t="shared" si="82"/>
        <v>9.3378563299550299E-2</v>
      </c>
      <c r="V439" s="448"/>
      <c r="W439" s="448"/>
      <c r="X439" s="448"/>
      <c r="Y439" s="448"/>
      <c r="Z439" s="448"/>
      <c r="AA439" s="448"/>
      <c r="AB439" s="448"/>
      <c r="AC439" s="448"/>
      <c r="AD439" s="448"/>
      <c r="AF439" s="448"/>
      <c r="AG439" s="448"/>
      <c r="AH439" s="448"/>
      <c r="AI439" s="448"/>
      <c r="AJ439" s="448"/>
      <c r="AK439" s="448"/>
      <c r="AL439" s="448"/>
      <c r="AM439" s="448"/>
      <c r="AN439" s="448"/>
      <c r="AP439" s="448"/>
      <c r="AQ439" s="448"/>
      <c r="AR439" s="448"/>
      <c r="AS439" s="448"/>
      <c r="AT439" s="448"/>
      <c r="AU439" s="448"/>
      <c r="AV439" s="448"/>
      <c r="AW439" s="448"/>
      <c r="AX439" s="448"/>
    </row>
    <row r="440" spans="1:50" x14ac:dyDescent="0.4">
      <c r="A440" s="442" t="str">
        <f t="shared" si="83"/>
        <v>41962</v>
      </c>
      <c r="B440" s="442">
        <v>22737</v>
      </c>
      <c r="C440" s="455">
        <v>-6.0699999999999997E-2</v>
      </c>
      <c r="D440" s="438">
        <v>-3.5300000000000005E-2</v>
      </c>
      <c r="E440" s="438">
        <v>3.3E-3</v>
      </c>
      <c r="F440" s="438">
        <v>3.6083333333333332E-3</v>
      </c>
      <c r="G440" s="438">
        <v>3.741666666666667E-3</v>
      </c>
      <c r="H440" s="438">
        <v>3.6750000000000003E-3</v>
      </c>
      <c r="I440" s="438">
        <v>3.8250000000000003E-3</v>
      </c>
      <c r="J440" s="438">
        <f t="shared" si="72"/>
        <v>-6.4000000000000001E-2</v>
      </c>
      <c r="K440" s="438">
        <f t="shared" si="76"/>
        <v>-6.4375000000000002E-2</v>
      </c>
      <c r="L440" s="438">
        <f t="shared" si="77"/>
        <v>-3.9125000000000007E-2</v>
      </c>
      <c r="M440" s="446">
        <f t="shared" si="73"/>
        <v>2.9065146822083276E-2</v>
      </c>
      <c r="N440" s="446">
        <f t="shared" si="74"/>
        <v>3.9599999999999996E-2</v>
      </c>
      <c r="O440" s="446">
        <f t="shared" si="78"/>
        <v>4.41E-2</v>
      </c>
      <c r="P440" s="447">
        <f t="shared" si="75"/>
        <v>-1.053485317791672E-2</v>
      </c>
      <c r="Q440" s="446">
        <f t="shared" si="79"/>
        <v>-1.5034853177916724E-2</v>
      </c>
      <c r="R440" s="446">
        <f t="shared" si="80"/>
        <v>8.7688574552454046E-2</v>
      </c>
      <c r="S440" s="446">
        <f t="shared" si="81"/>
        <v>4.5900000000000003E-2</v>
      </c>
      <c r="T440" s="447">
        <f t="shared" si="82"/>
        <v>4.1788574552454043E-2</v>
      </c>
      <c r="V440" s="448"/>
      <c r="W440" s="448"/>
      <c r="X440" s="448"/>
      <c r="Y440" s="448"/>
      <c r="Z440" s="448"/>
      <c r="AA440" s="448"/>
      <c r="AB440" s="448"/>
      <c r="AC440" s="448"/>
      <c r="AD440" s="448"/>
      <c r="AF440" s="448"/>
      <c r="AG440" s="448"/>
      <c r="AH440" s="448"/>
      <c r="AI440" s="448"/>
      <c r="AJ440" s="448"/>
      <c r="AK440" s="448"/>
      <c r="AL440" s="448"/>
      <c r="AM440" s="448"/>
      <c r="AN440" s="448"/>
      <c r="AP440" s="448"/>
      <c r="AQ440" s="448"/>
      <c r="AR440" s="448"/>
      <c r="AS440" s="448"/>
      <c r="AT440" s="448"/>
      <c r="AU440" s="448"/>
      <c r="AV440" s="448"/>
      <c r="AW440" s="448"/>
      <c r="AX440" s="448"/>
    </row>
    <row r="441" spans="1:50" x14ac:dyDescent="0.4">
      <c r="A441" s="442" t="str">
        <f t="shared" si="83"/>
        <v>51962</v>
      </c>
      <c r="B441" s="442">
        <v>22767</v>
      </c>
      <c r="C441" s="455">
        <v>-8.1100000000000005E-2</v>
      </c>
      <c r="D441" s="438">
        <v>-9.1200000000000003E-2</v>
      </c>
      <c r="E441" s="438">
        <v>3.2000000000000002E-3</v>
      </c>
      <c r="F441" s="438">
        <v>3.5666666666666668E-3</v>
      </c>
      <c r="G441" s="438">
        <v>3.6916666666666664E-3</v>
      </c>
      <c r="H441" s="438">
        <v>3.6291666666666668E-3</v>
      </c>
      <c r="I441" s="438">
        <v>3.7583333333333331E-3</v>
      </c>
      <c r="J441" s="438">
        <f t="shared" si="72"/>
        <v>-8.43E-2</v>
      </c>
      <c r="K441" s="438">
        <f t="shared" si="76"/>
        <v>-8.4729166666666675E-2</v>
      </c>
      <c r="L441" s="438">
        <f t="shared" si="77"/>
        <v>-9.4958333333333339E-2</v>
      </c>
      <c r="M441" s="446">
        <f t="shared" si="73"/>
        <v>-7.6464534217391855E-2</v>
      </c>
      <c r="N441" s="446">
        <f t="shared" si="74"/>
        <v>3.8400000000000004E-2</v>
      </c>
      <c r="O441" s="446">
        <f t="shared" si="78"/>
        <v>4.3550000000000005E-2</v>
      </c>
      <c r="P441" s="447">
        <f t="shared" si="75"/>
        <v>-0.11486453421739186</v>
      </c>
      <c r="Q441" s="446">
        <f t="shared" si="79"/>
        <v>-0.12001453421739186</v>
      </c>
      <c r="R441" s="446">
        <f t="shared" si="80"/>
        <v>-2.4482999552678741E-2</v>
      </c>
      <c r="S441" s="446">
        <f t="shared" si="81"/>
        <v>4.5100000000000001E-2</v>
      </c>
      <c r="T441" s="447">
        <f t="shared" si="82"/>
        <v>-6.9582999552678743E-2</v>
      </c>
      <c r="V441" s="448"/>
      <c r="W441" s="448"/>
      <c r="X441" s="448"/>
      <c r="Y441" s="448"/>
      <c r="Z441" s="448"/>
      <c r="AA441" s="448"/>
      <c r="AB441" s="448"/>
      <c r="AC441" s="448"/>
      <c r="AD441" s="448"/>
      <c r="AF441" s="448"/>
      <c r="AG441" s="448"/>
      <c r="AH441" s="448"/>
      <c r="AI441" s="448"/>
      <c r="AJ441" s="448"/>
      <c r="AK441" s="448"/>
      <c r="AL441" s="448"/>
      <c r="AM441" s="448"/>
      <c r="AN441" s="448"/>
      <c r="AP441" s="448"/>
      <c r="AQ441" s="448"/>
      <c r="AR441" s="448"/>
      <c r="AS441" s="448"/>
      <c r="AT441" s="448"/>
      <c r="AU441" s="448"/>
      <c r="AV441" s="448"/>
      <c r="AW441" s="448"/>
      <c r="AX441" s="448"/>
    </row>
    <row r="442" spans="1:50" x14ac:dyDescent="0.4">
      <c r="A442" s="442" t="str">
        <f t="shared" si="83"/>
        <v>61962</v>
      </c>
      <c r="B442" s="442">
        <v>22798</v>
      </c>
      <c r="C442" s="455">
        <v>-8.0299999999999996E-2</v>
      </c>
      <c r="D442" s="438">
        <v>-5.4799999999999995E-2</v>
      </c>
      <c r="E442" s="438">
        <v>3.0000000000000001E-3</v>
      </c>
      <c r="F442" s="438">
        <v>3.5666666666666668E-3</v>
      </c>
      <c r="G442" s="438">
        <v>3.7000000000000006E-3</v>
      </c>
      <c r="H442" s="438">
        <v>3.6333333333333339E-3</v>
      </c>
      <c r="I442" s="438">
        <v>3.7333333333333333E-3</v>
      </c>
      <c r="J442" s="438">
        <f t="shared" si="72"/>
        <v>-8.3299999999999999E-2</v>
      </c>
      <c r="K442" s="438">
        <f t="shared" si="76"/>
        <v>-8.3933333333333332E-2</v>
      </c>
      <c r="L442" s="438">
        <f t="shared" si="77"/>
        <v>-5.8533333333333326E-2</v>
      </c>
      <c r="M442" s="446">
        <f t="shared" si="73"/>
        <v>-0.12660609986605198</v>
      </c>
      <c r="N442" s="446">
        <f t="shared" si="74"/>
        <v>3.6000000000000004E-2</v>
      </c>
      <c r="O442" s="446">
        <f t="shared" si="78"/>
        <v>4.3600000000000007E-2</v>
      </c>
      <c r="P442" s="447">
        <f t="shared" si="75"/>
        <v>-0.16260609986605198</v>
      </c>
      <c r="Q442" s="446">
        <f t="shared" si="79"/>
        <v>-0.17020609986605198</v>
      </c>
      <c r="R442" s="446">
        <f t="shared" si="80"/>
        <v>-5.6524435871474488E-2</v>
      </c>
      <c r="S442" s="446">
        <f t="shared" si="81"/>
        <v>4.48E-2</v>
      </c>
      <c r="T442" s="447">
        <f t="shared" si="82"/>
        <v>-0.10132443587147449</v>
      </c>
      <c r="V442" s="448"/>
      <c r="W442" s="448"/>
      <c r="X442" s="448"/>
      <c r="Y442" s="448"/>
      <c r="Z442" s="448"/>
      <c r="AA442" s="448"/>
      <c r="AB442" s="448"/>
      <c r="AC442" s="448"/>
      <c r="AD442" s="448"/>
      <c r="AF442" s="448"/>
      <c r="AG442" s="448"/>
      <c r="AH442" s="448"/>
      <c r="AI442" s="448"/>
      <c r="AJ442" s="448"/>
      <c r="AK442" s="448"/>
      <c r="AL442" s="448"/>
      <c r="AM442" s="448"/>
      <c r="AN442" s="448"/>
      <c r="AP442" s="448"/>
      <c r="AQ442" s="448"/>
      <c r="AR442" s="448"/>
      <c r="AS442" s="448"/>
      <c r="AT442" s="448"/>
      <c r="AU442" s="448"/>
      <c r="AV442" s="448"/>
      <c r="AW442" s="448"/>
      <c r="AX442" s="448"/>
    </row>
    <row r="443" spans="1:50" x14ac:dyDescent="0.4">
      <c r="A443" s="442" t="str">
        <f t="shared" si="83"/>
        <v>71962</v>
      </c>
      <c r="B443" s="442">
        <v>22828</v>
      </c>
      <c r="C443" s="455">
        <v>6.5199999999999994E-2</v>
      </c>
      <c r="D443" s="438">
        <v>6.8899999999999989E-2</v>
      </c>
      <c r="E443" s="438">
        <v>3.3999999999999998E-3</v>
      </c>
      <c r="F443" s="438">
        <v>3.6166666666666665E-3</v>
      </c>
      <c r="G443" s="438">
        <v>3.741666666666667E-3</v>
      </c>
      <c r="H443" s="438">
        <v>3.6791666666666665E-3</v>
      </c>
      <c r="I443" s="438">
        <v>3.7499999999999999E-3</v>
      </c>
      <c r="J443" s="438">
        <f t="shared" si="72"/>
        <v>6.1799999999999994E-2</v>
      </c>
      <c r="K443" s="438">
        <f t="shared" si="76"/>
        <v>6.152083333333333E-2</v>
      </c>
      <c r="L443" s="438">
        <f t="shared" si="77"/>
        <v>6.5149999999999986E-2</v>
      </c>
      <c r="M443" s="446">
        <f t="shared" si="73"/>
        <v>-0.10042624016371937</v>
      </c>
      <c r="N443" s="446">
        <f t="shared" si="74"/>
        <v>4.0799999999999996E-2</v>
      </c>
      <c r="O443" s="446">
        <f t="shared" si="78"/>
        <v>4.4149999999999995E-2</v>
      </c>
      <c r="P443" s="447">
        <f t="shared" si="75"/>
        <v>-0.14122624016371937</v>
      </c>
      <c r="Q443" s="446">
        <f t="shared" si="79"/>
        <v>-0.14457624016371937</v>
      </c>
      <c r="R443" s="446">
        <f t="shared" si="80"/>
        <v>-3.2539303053548463E-2</v>
      </c>
      <c r="S443" s="446">
        <f t="shared" si="81"/>
        <v>4.4999999999999998E-2</v>
      </c>
      <c r="T443" s="447">
        <f t="shared" si="82"/>
        <v>-7.7539303053548461E-2</v>
      </c>
      <c r="V443" s="448"/>
      <c r="W443" s="448"/>
      <c r="X443" s="448"/>
      <c r="Y443" s="448"/>
      <c r="Z443" s="448"/>
      <c r="AA443" s="448"/>
      <c r="AB443" s="448"/>
      <c r="AC443" s="448"/>
      <c r="AD443" s="448"/>
      <c r="AF443" s="448"/>
      <c r="AG443" s="448"/>
      <c r="AH443" s="448"/>
      <c r="AI443" s="448"/>
      <c r="AJ443" s="448"/>
      <c r="AK443" s="448"/>
      <c r="AL443" s="448"/>
      <c r="AM443" s="448"/>
      <c r="AN443" s="448"/>
      <c r="AP443" s="448"/>
      <c r="AQ443" s="448"/>
      <c r="AR443" s="448"/>
      <c r="AS443" s="448"/>
      <c r="AT443" s="448"/>
      <c r="AU443" s="448"/>
      <c r="AV443" s="448"/>
      <c r="AW443" s="448"/>
      <c r="AX443" s="448"/>
    </row>
    <row r="444" spans="1:50" x14ac:dyDescent="0.4">
      <c r="A444" s="442" t="str">
        <f t="shared" si="83"/>
        <v>81962</v>
      </c>
      <c r="B444" s="442">
        <v>22859</v>
      </c>
      <c r="C444" s="455">
        <v>2.0799999999999999E-2</v>
      </c>
      <c r="D444" s="438">
        <v>2.7099999999999999E-2</v>
      </c>
      <c r="E444" s="438">
        <v>3.3999999999999998E-3</v>
      </c>
      <c r="F444" s="438">
        <v>3.6249999999999998E-3</v>
      </c>
      <c r="G444" s="438">
        <v>3.741666666666667E-3</v>
      </c>
      <c r="H444" s="438">
        <v>3.6833333333333336E-3</v>
      </c>
      <c r="I444" s="438">
        <v>3.7750000000000001E-3</v>
      </c>
      <c r="J444" s="438">
        <f t="shared" si="72"/>
        <v>1.7399999999999999E-2</v>
      </c>
      <c r="K444" s="438">
        <f t="shared" si="76"/>
        <v>1.7116666666666665E-2</v>
      </c>
      <c r="L444" s="438">
        <f t="shared" si="77"/>
        <v>2.3324999999999999E-2</v>
      </c>
      <c r="M444" s="446">
        <f t="shared" si="73"/>
        <v>-0.10350005463157785</v>
      </c>
      <c r="N444" s="446">
        <f t="shared" si="74"/>
        <v>4.0799999999999996E-2</v>
      </c>
      <c r="O444" s="446">
        <f t="shared" si="78"/>
        <v>4.4200000000000003E-2</v>
      </c>
      <c r="P444" s="447">
        <f t="shared" si="75"/>
        <v>-0.14430005463157786</v>
      </c>
      <c r="Q444" s="446">
        <f t="shared" si="79"/>
        <v>-0.14770005463157787</v>
      </c>
      <c r="R444" s="446">
        <f t="shared" si="80"/>
        <v>-4.9474955200210391E-2</v>
      </c>
      <c r="S444" s="446">
        <f t="shared" si="81"/>
        <v>4.53E-2</v>
      </c>
      <c r="T444" s="447">
        <f t="shared" si="82"/>
        <v>-9.4774955200210398E-2</v>
      </c>
      <c r="V444" s="448"/>
      <c r="W444" s="448"/>
      <c r="X444" s="448"/>
      <c r="Y444" s="448"/>
      <c r="Z444" s="448"/>
      <c r="AA444" s="448"/>
      <c r="AB444" s="448"/>
      <c r="AC444" s="448"/>
      <c r="AD444" s="448"/>
      <c r="AF444" s="448"/>
      <c r="AG444" s="448"/>
      <c r="AH444" s="448"/>
      <c r="AI444" s="448"/>
      <c r="AJ444" s="448"/>
      <c r="AK444" s="448"/>
      <c r="AL444" s="448"/>
      <c r="AM444" s="448"/>
      <c r="AN444" s="448"/>
      <c r="AP444" s="448"/>
      <c r="AQ444" s="448"/>
      <c r="AR444" s="448"/>
      <c r="AS444" s="448"/>
      <c r="AT444" s="448"/>
      <c r="AU444" s="448"/>
      <c r="AV444" s="448"/>
      <c r="AW444" s="448"/>
      <c r="AX444" s="448"/>
    </row>
    <row r="445" spans="1:50" x14ac:dyDescent="0.4">
      <c r="A445" s="442" t="str">
        <f t="shared" si="83"/>
        <v>91962</v>
      </c>
      <c r="B445" s="442">
        <v>22890</v>
      </c>
      <c r="C445" s="455">
        <v>-4.65E-2</v>
      </c>
      <c r="D445" s="438">
        <v>-3.3399999999999999E-2</v>
      </c>
      <c r="E445" s="438">
        <v>3.0000000000000001E-3</v>
      </c>
      <c r="F445" s="438">
        <v>3.6000000000000003E-3</v>
      </c>
      <c r="G445" s="438">
        <v>3.7166666666666663E-3</v>
      </c>
      <c r="H445" s="438">
        <v>3.6583333333333333E-3</v>
      </c>
      <c r="I445" s="438">
        <v>3.7583333333333331E-3</v>
      </c>
      <c r="J445" s="438">
        <f t="shared" si="72"/>
        <v>-4.9500000000000002E-2</v>
      </c>
      <c r="K445" s="438">
        <f t="shared" si="76"/>
        <v>-5.0158333333333333E-2</v>
      </c>
      <c r="L445" s="438">
        <f t="shared" si="77"/>
        <v>-3.7158333333333335E-2</v>
      </c>
      <c r="M445" s="446">
        <f t="shared" si="73"/>
        <v>-0.12916391818582873</v>
      </c>
      <c r="N445" s="446">
        <f t="shared" si="74"/>
        <v>3.6000000000000004E-2</v>
      </c>
      <c r="O445" s="446">
        <f t="shared" si="78"/>
        <v>4.3900000000000002E-2</v>
      </c>
      <c r="P445" s="447">
        <f t="shared" si="75"/>
        <v>-0.16516391818582873</v>
      </c>
      <c r="Q445" s="446">
        <f t="shared" si="79"/>
        <v>-0.17306391818582872</v>
      </c>
      <c r="R445" s="446">
        <f t="shared" si="80"/>
        <v>-7.5025160270334568E-2</v>
      </c>
      <c r="S445" s="446">
        <f t="shared" si="81"/>
        <v>4.5100000000000001E-2</v>
      </c>
      <c r="T445" s="447">
        <f t="shared" si="82"/>
        <v>-0.12012516027033457</v>
      </c>
      <c r="V445" s="448"/>
      <c r="W445" s="448"/>
      <c r="X445" s="448"/>
      <c r="Y445" s="448"/>
      <c r="Z445" s="448"/>
      <c r="AA445" s="448"/>
      <c r="AB445" s="448"/>
      <c r="AC445" s="448"/>
      <c r="AD445" s="448"/>
      <c r="AF445" s="448"/>
      <c r="AG445" s="448"/>
      <c r="AH445" s="448"/>
      <c r="AI445" s="448"/>
      <c r="AJ445" s="448"/>
      <c r="AK445" s="448"/>
      <c r="AL445" s="448"/>
      <c r="AM445" s="448"/>
      <c r="AN445" s="448"/>
      <c r="AP445" s="448"/>
      <c r="AQ445" s="448"/>
      <c r="AR445" s="448"/>
      <c r="AS445" s="448"/>
      <c r="AT445" s="448"/>
      <c r="AU445" s="448"/>
      <c r="AV445" s="448"/>
      <c r="AW445" s="448"/>
      <c r="AX445" s="448"/>
    </row>
    <row r="446" spans="1:50" x14ac:dyDescent="0.4">
      <c r="A446" s="442" t="str">
        <f t="shared" si="83"/>
        <v>101962</v>
      </c>
      <c r="B446" s="442">
        <v>22920</v>
      </c>
      <c r="C446" s="455">
        <v>6.4000000000000003E-3</v>
      </c>
      <c r="D446" s="438">
        <v>-1.3999999999999998E-3</v>
      </c>
      <c r="E446" s="438">
        <v>3.5000000000000005E-3</v>
      </c>
      <c r="F446" s="438">
        <v>3.5666666666666668E-3</v>
      </c>
      <c r="G446" s="438">
        <v>3.6749999999999999E-3</v>
      </c>
      <c r="H446" s="438">
        <v>3.6208333333333331E-3</v>
      </c>
      <c r="I446" s="438">
        <v>3.741666666666667E-3</v>
      </c>
      <c r="J446" s="438">
        <f t="shared" si="72"/>
        <v>2.8999999999999998E-3</v>
      </c>
      <c r="K446" s="438">
        <f t="shared" si="76"/>
        <v>2.7791666666666672E-3</v>
      </c>
      <c r="L446" s="438">
        <f t="shared" si="77"/>
        <v>-5.1416666666666668E-3</v>
      </c>
      <c r="M446" s="446">
        <f t="shared" si="73"/>
        <v>-0.14895180351739923</v>
      </c>
      <c r="N446" s="446">
        <f t="shared" si="74"/>
        <v>4.200000000000001E-2</v>
      </c>
      <c r="O446" s="446">
        <f t="shared" si="78"/>
        <v>4.3449999999999996E-2</v>
      </c>
      <c r="P446" s="447">
        <f t="shared" si="75"/>
        <v>-0.19095180351739924</v>
      </c>
      <c r="Q446" s="446">
        <f t="shared" si="79"/>
        <v>-0.19240180351739922</v>
      </c>
      <c r="R446" s="446">
        <f t="shared" si="80"/>
        <v>-0.11862607351713372</v>
      </c>
      <c r="S446" s="446">
        <f t="shared" si="81"/>
        <v>4.4900000000000002E-2</v>
      </c>
      <c r="T446" s="447">
        <f t="shared" si="82"/>
        <v>-0.16352607351713372</v>
      </c>
      <c r="V446" s="448"/>
      <c r="W446" s="448"/>
      <c r="X446" s="448"/>
      <c r="Y446" s="448"/>
      <c r="Z446" s="448"/>
      <c r="AA446" s="448"/>
      <c r="AB446" s="448"/>
      <c r="AC446" s="448"/>
      <c r="AD446" s="448"/>
      <c r="AF446" s="448"/>
      <c r="AG446" s="448"/>
      <c r="AH446" s="448"/>
      <c r="AI446" s="448"/>
      <c r="AJ446" s="448"/>
      <c r="AK446" s="448"/>
      <c r="AL446" s="448"/>
      <c r="AM446" s="448"/>
      <c r="AN446" s="448"/>
      <c r="AP446" s="448"/>
      <c r="AQ446" s="448"/>
      <c r="AR446" s="448"/>
      <c r="AS446" s="448"/>
      <c r="AT446" s="448"/>
      <c r="AU446" s="448"/>
      <c r="AV446" s="448"/>
      <c r="AW446" s="448"/>
      <c r="AX446" s="448"/>
    </row>
    <row r="447" spans="1:50" x14ac:dyDescent="0.4">
      <c r="A447" s="442" t="str">
        <f t="shared" si="83"/>
        <v>111962</v>
      </c>
      <c r="B447" s="442">
        <v>22951</v>
      </c>
      <c r="C447" s="455">
        <v>0.1086</v>
      </c>
      <c r="D447" s="438">
        <v>7.6800000000000007E-2</v>
      </c>
      <c r="E447" s="438">
        <v>3.0999999999999999E-3</v>
      </c>
      <c r="F447" s="438">
        <v>3.5416666666666669E-3</v>
      </c>
      <c r="G447" s="438">
        <v>3.666666666666667E-3</v>
      </c>
      <c r="H447" s="438">
        <v>3.604166666666667E-3</v>
      </c>
      <c r="I447" s="438">
        <v>3.7083333333333334E-3</v>
      </c>
      <c r="J447" s="438">
        <f t="shared" si="72"/>
        <v>0.1055</v>
      </c>
      <c r="K447" s="438">
        <f t="shared" si="76"/>
        <v>0.10499583333333333</v>
      </c>
      <c r="L447" s="438">
        <f t="shared" si="77"/>
        <v>7.309166666666668E-2</v>
      </c>
      <c r="M447" s="446">
        <f t="shared" si="73"/>
        <v>-9.6896687450357843E-2</v>
      </c>
      <c r="N447" s="446">
        <f t="shared" si="74"/>
        <v>3.7199999999999997E-2</v>
      </c>
      <c r="O447" s="446">
        <f t="shared" si="78"/>
        <v>4.3250000000000004E-2</v>
      </c>
      <c r="P447" s="447">
        <f t="shared" si="75"/>
        <v>-0.13409668745035785</v>
      </c>
      <c r="Q447" s="446">
        <f t="shared" si="79"/>
        <v>-0.14014668745035785</v>
      </c>
      <c r="R447" s="446">
        <f t="shared" si="80"/>
        <v>-8.1699618735606827E-2</v>
      </c>
      <c r="S447" s="446">
        <f t="shared" si="81"/>
        <v>4.4499999999999998E-2</v>
      </c>
      <c r="T447" s="447">
        <f t="shared" si="82"/>
        <v>-0.12619961873560681</v>
      </c>
      <c r="V447" s="448"/>
      <c r="W447" s="448"/>
      <c r="X447" s="448"/>
      <c r="Y447" s="448"/>
      <c r="Z447" s="448"/>
      <c r="AA447" s="448"/>
      <c r="AB447" s="448"/>
      <c r="AC447" s="448"/>
      <c r="AD447" s="448"/>
      <c r="AF447" s="448"/>
      <c r="AG447" s="448"/>
      <c r="AH447" s="448"/>
      <c r="AI447" s="448"/>
      <c r="AJ447" s="448"/>
      <c r="AK447" s="448"/>
      <c r="AL447" s="448"/>
      <c r="AM447" s="448"/>
      <c r="AN447" s="448"/>
      <c r="AP447" s="448"/>
      <c r="AQ447" s="448"/>
      <c r="AR447" s="448"/>
      <c r="AS447" s="448"/>
      <c r="AT447" s="448"/>
      <c r="AU447" s="448"/>
      <c r="AV447" s="448"/>
      <c r="AW447" s="448"/>
      <c r="AX447" s="448"/>
    </row>
    <row r="448" spans="1:50" x14ac:dyDescent="0.4">
      <c r="A448" s="442" t="str">
        <f t="shared" si="83"/>
        <v>121962</v>
      </c>
      <c r="B448" s="442">
        <v>22981</v>
      </c>
      <c r="C448" s="455">
        <v>1.5299999999999999E-2</v>
      </c>
      <c r="D448" s="438">
        <v>3.1199999999999995E-2</v>
      </c>
      <c r="E448" s="438">
        <v>3.2000000000000002E-3</v>
      </c>
      <c r="F448" s="438">
        <v>3.5333333333333332E-3</v>
      </c>
      <c r="G448" s="438">
        <v>3.65E-3</v>
      </c>
      <c r="H448" s="438">
        <v>3.5916666666666662E-3</v>
      </c>
      <c r="I448" s="438">
        <v>3.7000000000000006E-3</v>
      </c>
      <c r="J448" s="438">
        <f t="shared" si="72"/>
        <v>1.21E-2</v>
      </c>
      <c r="K448" s="438">
        <f t="shared" si="76"/>
        <v>1.1708333333333333E-2</v>
      </c>
      <c r="L448" s="438">
        <f t="shared" si="77"/>
        <v>2.7499999999999993E-2</v>
      </c>
      <c r="M448" s="446">
        <f t="shared" si="73"/>
        <v>-8.7277729213963928E-2</v>
      </c>
      <c r="N448" s="446">
        <f t="shared" si="74"/>
        <v>3.8400000000000004E-2</v>
      </c>
      <c r="O448" s="446">
        <f t="shared" si="78"/>
        <v>4.3099999999999992E-2</v>
      </c>
      <c r="P448" s="447">
        <f t="shared" si="75"/>
        <v>-0.12567772921396392</v>
      </c>
      <c r="Q448" s="446">
        <f t="shared" si="79"/>
        <v>-0.13037772921396393</v>
      </c>
      <c r="R448" s="446">
        <f t="shared" si="80"/>
        <v>-2.4565973259330187E-2</v>
      </c>
      <c r="S448" s="446">
        <f t="shared" si="81"/>
        <v>4.4400000000000009E-2</v>
      </c>
      <c r="T448" s="447">
        <f t="shared" si="82"/>
        <v>-6.8965973259330196E-2</v>
      </c>
      <c r="V448" s="448"/>
      <c r="W448" s="448"/>
      <c r="X448" s="448"/>
      <c r="Y448" s="448"/>
      <c r="Z448" s="448"/>
      <c r="AA448" s="448"/>
      <c r="AB448" s="448"/>
      <c r="AC448" s="448"/>
      <c r="AD448" s="448"/>
      <c r="AF448" s="448"/>
      <c r="AG448" s="448"/>
      <c r="AH448" s="448"/>
      <c r="AI448" s="448"/>
      <c r="AJ448" s="448"/>
      <c r="AK448" s="448"/>
      <c r="AL448" s="448"/>
      <c r="AM448" s="448"/>
      <c r="AN448" s="448"/>
      <c r="AP448" s="448"/>
      <c r="AQ448" s="448"/>
      <c r="AR448" s="448"/>
      <c r="AS448" s="448"/>
      <c r="AT448" s="448"/>
      <c r="AU448" s="448"/>
      <c r="AV448" s="448"/>
      <c r="AW448" s="448"/>
      <c r="AX448" s="448"/>
    </row>
    <row r="449" spans="1:50" x14ac:dyDescent="0.4">
      <c r="A449" s="442" t="str">
        <f t="shared" si="83"/>
        <v>11963</v>
      </c>
      <c r="B449" s="442">
        <v>23012</v>
      </c>
      <c r="C449" s="455">
        <v>5.0599999999999999E-2</v>
      </c>
      <c r="D449" s="438">
        <v>5.5800000000000002E-2</v>
      </c>
      <c r="E449" s="438">
        <v>3.2000000000000002E-3</v>
      </c>
      <c r="F449" s="438">
        <v>3.5083333333333334E-3</v>
      </c>
      <c r="G449" s="438">
        <v>3.6416666666666667E-3</v>
      </c>
      <c r="H449" s="438">
        <v>3.5750000000000005E-3</v>
      </c>
      <c r="I449" s="438">
        <v>3.6583333333333329E-3</v>
      </c>
      <c r="J449" s="438">
        <f t="shared" si="72"/>
        <v>4.7399999999999998E-2</v>
      </c>
      <c r="K449" s="438">
        <f t="shared" si="76"/>
        <v>4.7024999999999997E-2</v>
      </c>
      <c r="L449" s="438">
        <f t="shared" si="77"/>
        <v>5.2141666666666669E-2</v>
      </c>
      <c r="M449" s="446">
        <f t="shared" si="73"/>
        <v>-4.6647107247149711E-3</v>
      </c>
      <c r="N449" s="446">
        <f t="shared" si="74"/>
        <v>3.8400000000000004E-2</v>
      </c>
      <c r="O449" s="446">
        <f t="shared" si="78"/>
        <v>4.2900000000000008E-2</v>
      </c>
      <c r="P449" s="447">
        <f t="shared" si="75"/>
        <v>-4.3064710724714975E-2</v>
      </c>
      <c r="Q449" s="446">
        <f t="shared" si="79"/>
        <v>-4.7564710724714979E-2</v>
      </c>
      <c r="R449" s="446">
        <f t="shared" si="80"/>
        <v>6.8988214067676079E-2</v>
      </c>
      <c r="S449" s="446">
        <f t="shared" si="81"/>
        <v>4.3899999999999995E-2</v>
      </c>
      <c r="T449" s="447">
        <f t="shared" si="82"/>
        <v>2.5088214067676085E-2</v>
      </c>
      <c r="V449" s="448"/>
      <c r="W449" s="448"/>
      <c r="X449" s="448"/>
      <c r="Y449" s="448"/>
      <c r="Z449" s="448"/>
      <c r="AA449" s="448"/>
      <c r="AB449" s="448"/>
      <c r="AC449" s="448"/>
      <c r="AD449" s="448"/>
      <c r="AF449" s="448"/>
      <c r="AG449" s="448"/>
      <c r="AH449" s="448"/>
      <c r="AI449" s="448"/>
      <c r="AJ449" s="448"/>
      <c r="AK449" s="448"/>
      <c r="AL449" s="448"/>
      <c r="AM449" s="448"/>
      <c r="AN449" s="448"/>
      <c r="AP449" s="448"/>
      <c r="AQ449" s="448"/>
      <c r="AR449" s="448"/>
      <c r="AS449" s="448"/>
      <c r="AT449" s="448"/>
      <c r="AU449" s="448"/>
      <c r="AV449" s="448"/>
      <c r="AW449" s="448"/>
      <c r="AX449" s="448"/>
    </row>
    <row r="450" spans="1:50" x14ac:dyDescent="0.4">
      <c r="A450" s="442" t="str">
        <f t="shared" si="83"/>
        <v>21963</v>
      </c>
      <c r="B450" s="442">
        <v>23043</v>
      </c>
      <c r="C450" s="455">
        <v>-2.3900000000000001E-2</v>
      </c>
      <c r="D450" s="438">
        <v>-2.06E-2</v>
      </c>
      <c r="E450" s="438">
        <v>2.8999999999999998E-3</v>
      </c>
      <c r="F450" s="438">
        <v>3.4916666666666668E-3</v>
      </c>
      <c r="G450" s="438">
        <v>3.6333333333333335E-3</v>
      </c>
      <c r="H450" s="438">
        <v>3.5625000000000001E-3</v>
      </c>
      <c r="I450" s="438">
        <v>3.6416666666666667E-3</v>
      </c>
      <c r="J450" s="438">
        <f t="shared" si="72"/>
        <v>-2.6800000000000001E-2</v>
      </c>
      <c r="K450" s="438">
        <f t="shared" si="76"/>
        <v>-2.7462500000000001E-2</v>
      </c>
      <c r="L450" s="438">
        <f t="shared" si="77"/>
        <v>-2.4241666666666668E-2</v>
      </c>
      <c r="M450" s="446">
        <f t="shared" si="73"/>
        <v>-4.8342858397878663E-2</v>
      </c>
      <c r="N450" s="446">
        <f t="shared" si="74"/>
        <v>3.4799999999999998E-2</v>
      </c>
      <c r="O450" s="446">
        <f t="shared" si="78"/>
        <v>4.2750000000000003E-2</v>
      </c>
      <c r="P450" s="447">
        <f t="shared" si="75"/>
        <v>-8.3142858397878661E-2</v>
      </c>
      <c r="Q450" s="446">
        <f t="shared" si="79"/>
        <v>-9.1092858397878673E-2</v>
      </c>
      <c r="R450" s="446">
        <f t="shared" si="80"/>
        <v>1.6472870735807943E-2</v>
      </c>
      <c r="S450" s="446">
        <f t="shared" si="81"/>
        <v>4.3700000000000003E-2</v>
      </c>
      <c r="T450" s="447">
        <f t="shared" si="82"/>
        <v>-2.722712926419206E-2</v>
      </c>
      <c r="V450" s="448"/>
      <c r="W450" s="448"/>
      <c r="X450" s="448"/>
      <c r="Y450" s="448"/>
      <c r="Z450" s="448"/>
      <c r="AA450" s="448"/>
      <c r="AB450" s="448"/>
      <c r="AC450" s="448"/>
      <c r="AD450" s="448"/>
      <c r="AF450" s="448"/>
      <c r="AG450" s="448"/>
      <c r="AH450" s="448"/>
      <c r="AI450" s="448"/>
      <c r="AJ450" s="448"/>
      <c r="AK450" s="448"/>
      <c r="AL450" s="448"/>
      <c r="AM450" s="448"/>
      <c r="AN450" s="448"/>
      <c r="AP450" s="448"/>
      <c r="AQ450" s="448"/>
      <c r="AR450" s="448"/>
      <c r="AS450" s="448"/>
      <c r="AT450" s="448"/>
      <c r="AU450" s="448"/>
      <c r="AV450" s="448"/>
      <c r="AW450" s="448"/>
      <c r="AX450" s="448"/>
    </row>
    <row r="451" spans="1:50" x14ac:dyDescent="0.4">
      <c r="A451" s="442" t="str">
        <f t="shared" si="83"/>
        <v>31963</v>
      </c>
      <c r="B451" s="442">
        <v>23071</v>
      </c>
      <c r="C451" s="455">
        <v>3.6999999999999998E-2</v>
      </c>
      <c r="D451" s="438">
        <v>1.8600000000000002E-2</v>
      </c>
      <c r="E451" s="438">
        <v>3.0999999999999999E-3</v>
      </c>
      <c r="F451" s="438">
        <v>3.4916666666666668E-3</v>
      </c>
      <c r="G451" s="438">
        <v>3.6166666666666665E-3</v>
      </c>
      <c r="H451" s="438">
        <v>3.5541666666666664E-3</v>
      </c>
      <c r="I451" s="438">
        <v>3.6416666666666667E-3</v>
      </c>
      <c r="J451" s="438">
        <f t="shared" si="72"/>
        <v>3.39E-2</v>
      </c>
      <c r="K451" s="438">
        <f t="shared" si="76"/>
        <v>3.3445833333333334E-2</v>
      </c>
      <c r="L451" s="438">
        <f t="shared" si="77"/>
        <v>1.4958333333333336E-2</v>
      </c>
      <c r="M451" s="446">
        <f t="shared" si="73"/>
        <v>-8.5709706234683436E-3</v>
      </c>
      <c r="N451" s="446">
        <f t="shared" si="74"/>
        <v>3.7199999999999997E-2</v>
      </c>
      <c r="O451" s="446">
        <f t="shared" si="78"/>
        <v>4.2649999999999993E-2</v>
      </c>
      <c r="P451" s="447">
        <f t="shared" si="75"/>
        <v>-4.5770970623468341E-2</v>
      </c>
      <c r="Q451" s="446">
        <f t="shared" si="79"/>
        <v>-5.1220970623468337E-2</v>
      </c>
      <c r="R451" s="446">
        <f t="shared" si="80"/>
        <v>2.7060079487643884E-2</v>
      </c>
      <c r="S451" s="446">
        <f t="shared" si="81"/>
        <v>4.3700000000000003E-2</v>
      </c>
      <c r="T451" s="447">
        <f t="shared" si="82"/>
        <v>-1.6639920512356118E-2</v>
      </c>
      <c r="V451" s="448"/>
      <c r="W451" s="448"/>
      <c r="X451" s="448"/>
      <c r="Y451" s="448"/>
      <c r="Z451" s="448"/>
      <c r="AA451" s="448"/>
      <c r="AB451" s="448"/>
      <c r="AC451" s="448"/>
      <c r="AD451" s="448"/>
      <c r="AF451" s="448"/>
      <c r="AG451" s="448"/>
      <c r="AH451" s="448"/>
      <c r="AI451" s="448"/>
      <c r="AJ451" s="448"/>
      <c r="AK451" s="448"/>
      <c r="AL451" s="448"/>
      <c r="AM451" s="448"/>
      <c r="AN451" s="448"/>
      <c r="AP451" s="448"/>
      <c r="AQ451" s="448"/>
      <c r="AR451" s="448"/>
      <c r="AS451" s="448"/>
      <c r="AT451" s="448"/>
      <c r="AU451" s="448"/>
      <c r="AV451" s="448"/>
      <c r="AW451" s="448"/>
      <c r="AX451" s="448"/>
    </row>
    <row r="452" spans="1:50" x14ac:dyDescent="0.4">
      <c r="A452" s="442" t="str">
        <f t="shared" si="83"/>
        <v>41963</v>
      </c>
      <c r="B452" s="442">
        <v>23102</v>
      </c>
      <c r="C452" s="455">
        <v>0.05</v>
      </c>
      <c r="D452" s="438">
        <v>2.3200000000000002E-2</v>
      </c>
      <c r="E452" s="438">
        <v>3.3999999999999998E-3</v>
      </c>
      <c r="F452" s="438">
        <v>3.5083333333333334E-3</v>
      </c>
      <c r="G452" s="438">
        <v>3.6249999999999998E-3</v>
      </c>
      <c r="H452" s="438">
        <v>3.5666666666666668E-3</v>
      </c>
      <c r="I452" s="438">
        <v>3.6416666666666667E-3</v>
      </c>
      <c r="J452" s="438">
        <f t="shared" si="72"/>
        <v>4.6600000000000003E-2</v>
      </c>
      <c r="K452" s="438">
        <f t="shared" si="76"/>
        <v>4.6433333333333333E-2</v>
      </c>
      <c r="L452" s="438">
        <f t="shared" si="77"/>
        <v>1.9558333333333334E-2</v>
      </c>
      <c r="M452" s="446">
        <f t="shared" si="73"/>
        <v>0.10827262945316551</v>
      </c>
      <c r="N452" s="446">
        <f t="shared" si="74"/>
        <v>4.0799999999999996E-2</v>
      </c>
      <c r="O452" s="446">
        <f t="shared" si="78"/>
        <v>4.2800000000000005E-2</v>
      </c>
      <c r="P452" s="447">
        <f t="shared" si="75"/>
        <v>6.7472629453165511E-2</v>
      </c>
      <c r="Q452" s="446">
        <f t="shared" si="79"/>
        <v>6.547262945316551E-2</v>
      </c>
      <c r="R452" s="446">
        <f t="shared" si="80"/>
        <v>8.934163297580322E-2</v>
      </c>
      <c r="S452" s="446">
        <f t="shared" si="81"/>
        <v>4.3700000000000003E-2</v>
      </c>
      <c r="T452" s="447">
        <f t="shared" si="82"/>
        <v>4.5641632975803217E-2</v>
      </c>
      <c r="V452" s="448"/>
      <c r="W452" s="448"/>
      <c r="X452" s="448"/>
      <c r="Y452" s="448"/>
      <c r="Z452" s="448"/>
      <c r="AA452" s="448"/>
      <c r="AB452" s="448"/>
      <c r="AC452" s="448"/>
      <c r="AD452" s="448"/>
      <c r="AF452" s="448"/>
      <c r="AG452" s="448"/>
      <c r="AH452" s="448"/>
      <c r="AI452" s="448"/>
      <c r="AJ452" s="448"/>
      <c r="AK452" s="448"/>
      <c r="AL452" s="448"/>
      <c r="AM452" s="448"/>
      <c r="AN452" s="448"/>
      <c r="AP452" s="448"/>
      <c r="AQ452" s="448"/>
      <c r="AR452" s="448"/>
      <c r="AS452" s="448"/>
      <c r="AT452" s="448"/>
      <c r="AU452" s="448"/>
      <c r="AV452" s="448"/>
      <c r="AW452" s="448"/>
      <c r="AX452" s="448"/>
    </row>
    <row r="453" spans="1:50" x14ac:dyDescent="0.4">
      <c r="A453" s="442" t="str">
        <f t="shared" si="83"/>
        <v>51963</v>
      </c>
      <c r="B453" s="442">
        <v>23132</v>
      </c>
      <c r="C453" s="455">
        <v>1.9300000000000001E-2</v>
      </c>
      <c r="D453" s="438">
        <v>7.000000000000001E-3</v>
      </c>
      <c r="E453" s="438">
        <v>3.3E-3</v>
      </c>
      <c r="F453" s="438">
        <v>3.5166666666666662E-3</v>
      </c>
      <c r="G453" s="438">
        <v>3.6333333333333335E-3</v>
      </c>
      <c r="H453" s="438">
        <v>3.5750000000000001E-3</v>
      </c>
      <c r="I453" s="438">
        <v>3.6416666666666667E-3</v>
      </c>
      <c r="J453" s="438">
        <f t="shared" si="72"/>
        <v>1.6E-2</v>
      </c>
      <c r="K453" s="438">
        <f t="shared" si="76"/>
        <v>1.5725000000000003E-2</v>
      </c>
      <c r="L453" s="438">
        <f t="shared" si="77"/>
        <v>3.3583333333333343E-3</v>
      </c>
      <c r="M453" s="446">
        <f t="shared" si="73"/>
        <v>0.22936368614823333</v>
      </c>
      <c r="N453" s="446">
        <f t="shared" si="74"/>
        <v>3.9599999999999996E-2</v>
      </c>
      <c r="O453" s="446">
        <f t="shared" si="78"/>
        <v>4.2900000000000001E-2</v>
      </c>
      <c r="P453" s="447">
        <f t="shared" si="75"/>
        <v>0.18976368614823333</v>
      </c>
      <c r="Q453" s="446">
        <f t="shared" si="79"/>
        <v>0.18646368614823333</v>
      </c>
      <c r="R453" s="446">
        <f t="shared" si="80"/>
        <v>0.20704998284180642</v>
      </c>
      <c r="S453" s="446">
        <f t="shared" si="81"/>
        <v>4.3700000000000003E-2</v>
      </c>
      <c r="T453" s="447">
        <f t="shared" si="82"/>
        <v>0.16334998284180641</v>
      </c>
      <c r="V453" s="448"/>
      <c r="W453" s="448"/>
      <c r="X453" s="448"/>
      <c r="Y453" s="448"/>
      <c r="Z453" s="448"/>
      <c r="AA453" s="448"/>
      <c r="AB453" s="448"/>
      <c r="AC453" s="448"/>
      <c r="AD453" s="448"/>
      <c r="AF453" s="448"/>
      <c r="AG453" s="448"/>
      <c r="AH453" s="448"/>
      <c r="AI453" s="448"/>
      <c r="AJ453" s="448"/>
      <c r="AK453" s="448"/>
      <c r="AL453" s="448"/>
      <c r="AM453" s="448"/>
      <c r="AN453" s="448"/>
      <c r="AP453" s="448"/>
      <c r="AQ453" s="448"/>
      <c r="AR453" s="448"/>
      <c r="AS453" s="448"/>
      <c r="AT453" s="448"/>
      <c r="AU453" s="448"/>
      <c r="AV453" s="448"/>
      <c r="AW453" s="448"/>
      <c r="AX453" s="448"/>
    </row>
    <row r="454" spans="1:50" x14ac:dyDescent="0.4">
      <c r="A454" s="442" t="str">
        <f t="shared" si="83"/>
        <v>61963</v>
      </c>
      <c r="B454" s="442">
        <v>23163</v>
      </c>
      <c r="C454" s="455">
        <v>-1.8800000000000001E-2</v>
      </c>
      <c r="D454" s="438">
        <v>-1.2299999999999998E-2</v>
      </c>
      <c r="E454" s="438">
        <v>3.0000000000000001E-3</v>
      </c>
      <c r="F454" s="438">
        <v>3.5250000000000004E-3</v>
      </c>
      <c r="G454" s="438">
        <v>3.6333333333333335E-3</v>
      </c>
      <c r="H454" s="438">
        <v>3.5791666666666667E-3</v>
      </c>
      <c r="I454" s="438">
        <v>3.6416666666666667E-3</v>
      </c>
      <c r="J454" s="438">
        <f t="shared" ref="J454:J517" si="84">C454-E454</f>
        <v>-2.18E-2</v>
      </c>
      <c r="K454" s="438">
        <f t="shared" si="76"/>
        <v>-2.2379166666666669E-2</v>
      </c>
      <c r="L454" s="438">
        <f t="shared" si="77"/>
        <v>-1.5941666666666666E-2</v>
      </c>
      <c r="M454" s="446">
        <f t="shared" si="73"/>
        <v>0.31157078269940941</v>
      </c>
      <c r="N454" s="446">
        <f t="shared" si="74"/>
        <v>3.6000000000000004E-2</v>
      </c>
      <c r="O454" s="446">
        <f t="shared" si="78"/>
        <v>4.2950000000000002E-2</v>
      </c>
      <c r="P454" s="447">
        <f t="shared" si="75"/>
        <v>0.27557078269940938</v>
      </c>
      <c r="Q454" s="446">
        <f t="shared" si="79"/>
        <v>0.26862078269940942</v>
      </c>
      <c r="R454" s="446">
        <f t="shared" si="80"/>
        <v>0.26132381300555663</v>
      </c>
      <c r="S454" s="446">
        <f t="shared" si="81"/>
        <v>4.3700000000000003E-2</v>
      </c>
      <c r="T454" s="447">
        <f t="shared" si="82"/>
        <v>0.21762381300555661</v>
      </c>
      <c r="V454" s="448"/>
      <c r="W454" s="448"/>
      <c r="X454" s="448"/>
      <c r="Y454" s="448"/>
      <c r="Z454" s="448"/>
      <c r="AA454" s="448"/>
      <c r="AB454" s="448"/>
      <c r="AC454" s="448"/>
      <c r="AD454" s="448"/>
      <c r="AF454" s="448"/>
      <c r="AG454" s="448"/>
      <c r="AH454" s="448"/>
      <c r="AI454" s="448"/>
      <c r="AJ454" s="448"/>
      <c r="AK454" s="448"/>
      <c r="AL454" s="448"/>
      <c r="AM454" s="448"/>
      <c r="AN454" s="448"/>
      <c r="AP454" s="448"/>
      <c r="AQ454" s="448"/>
      <c r="AR454" s="448"/>
      <c r="AS454" s="448"/>
      <c r="AT454" s="448"/>
      <c r="AU454" s="448"/>
      <c r="AV454" s="448"/>
      <c r="AW454" s="448"/>
      <c r="AX454" s="448"/>
    </row>
    <row r="455" spans="1:50" x14ac:dyDescent="0.4">
      <c r="A455" s="442" t="str">
        <f t="shared" si="83"/>
        <v>71963</v>
      </c>
      <c r="B455" s="442">
        <v>23193</v>
      </c>
      <c r="C455" s="455">
        <v>-2.2000000000000001E-3</v>
      </c>
      <c r="D455" s="438">
        <v>1.23E-2</v>
      </c>
      <c r="E455" s="438">
        <v>3.5999999999999999E-3</v>
      </c>
      <c r="F455" s="438">
        <v>3.5499999999999998E-3</v>
      </c>
      <c r="G455" s="438">
        <v>3.6583333333333329E-3</v>
      </c>
      <c r="H455" s="438">
        <v>3.6041666666666661E-3</v>
      </c>
      <c r="I455" s="438">
        <v>3.6583333333333329E-3</v>
      </c>
      <c r="J455" s="438">
        <f t="shared" si="84"/>
        <v>-5.7999999999999996E-3</v>
      </c>
      <c r="K455" s="438">
        <f t="shared" si="76"/>
        <v>-5.8041666666666658E-3</v>
      </c>
      <c r="L455" s="438">
        <f t="shared" si="77"/>
        <v>8.6416666666666673E-3</v>
      </c>
      <c r="M455" s="446">
        <f t="shared" si="73"/>
        <v>0.2285817940081396</v>
      </c>
      <c r="N455" s="446">
        <f t="shared" si="74"/>
        <v>4.3200000000000002E-2</v>
      </c>
      <c r="O455" s="446">
        <f t="shared" si="78"/>
        <v>4.3249999999999997E-2</v>
      </c>
      <c r="P455" s="447">
        <f t="shared" si="75"/>
        <v>0.18538179400813959</v>
      </c>
      <c r="Q455" s="446">
        <f t="shared" si="79"/>
        <v>0.18533179400813959</v>
      </c>
      <c r="R455" s="446">
        <f t="shared" si="80"/>
        <v>0.19453465797130187</v>
      </c>
      <c r="S455" s="446">
        <f t="shared" si="81"/>
        <v>4.3899999999999995E-2</v>
      </c>
      <c r="T455" s="447">
        <f t="shared" si="82"/>
        <v>0.15063465797130188</v>
      </c>
      <c r="V455" s="448"/>
      <c r="W455" s="448"/>
      <c r="X455" s="448"/>
      <c r="Y455" s="448"/>
      <c r="Z455" s="448"/>
      <c r="AA455" s="448"/>
      <c r="AB455" s="448"/>
      <c r="AC455" s="448"/>
      <c r="AD455" s="448"/>
      <c r="AF455" s="448"/>
      <c r="AG455" s="448"/>
      <c r="AH455" s="448"/>
      <c r="AI455" s="448"/>
      <c r="AJ455" s="448"/>
      <c r="AK455" s="448"/>
      <c r="AL455" s="448"/>
      <c r="AM455" s="448"/>
      <c r="AN455" s="448"/>
      <c r="AP455" s="448"/>
      <c r="AQ455" s="448"/>
      <c r="AR455" s="448"/>
      <c r="AS455" s="448"/>
      <c r="AT455" s="448"/>
      <c r="AU455" s="448"/>
      <c r="AV455" s="448"/>
      <c r="AW455" s="448"/>
      <c r="AX455" s="448"/>
    </row>
    <row r="456" spans="1:50" x14ac:dyDescent="0.4">
      <c r="A456" s="442" t="str">
        <f t="shared" si="83"/>
        <v>81963</v>
      </c>
      <c r="B456" s="442">
        <v>23224</v>
      </c>
      <c r="C456" s="455">
        <v>5.3499999999999999E-2</v>
      </c>
      <c r="D456" s="438">
        <v>4.2500000000000003E-2</v>
      </c>
      <c r="E456" s="438">
        <v>3.3E-3</v>
      </c>
      <c r="F456" s="438">
        <v>3.5750000000000001E-3</v>
      </c>
      <c r="G456" s="438">
        <v>3.666666666666667E-3</v>
      </c>
      <c r="H456" s="438">
        <v>3.6208333333333331E-3</v>
      </c>
      <c r="I456" s="438">
        <v>3.65E-3</v>
      </c>
      <c r="J456" s="438">
        <f t="shared" si="84"/>
        <v>5.0200000000000002E-2</v>
      </c>
      <c r="K456" s="438">
        <f t="shared" si="76"/>
        <v>4.9879166666666669E-2</v>
      </c>
      <c r="L456" s="438">
        <f t="shared" si="77"/>
        <v>3.8850000000000003E-2</v>
      </c>
      <c r="M456" s="446">
        <f t="shared" si="73"/>
        <v>0.2679378134674526</v>
      </c>
      <c r="N456" s="446">
        <f t="shared" si="74"/>
        <v>3.9599999999999996E-2</v>
      </c>
      <c r="O456" s="446">
        <f t="shared" si="78"/>
        <v>4.3449999999999996E-2</v>
      </c>
      <c r="P456" s="447">
        <f t="shared" si="75"/>
        <v>0.2283378134674526</v>
      </c>
      <c r="Q456" s="446">
        <f t="shared" si="79"/>
        <v>0.22448781346745261</v>
      </c>
      <c r="R456" s="446">
        <f t="shared" si="80"/>
        <v>0.21244511823102186</v>
      </c>
      <c r="S456" s="446">
        <f t="shared" si="81"/>
        <v>4.3799999999999999E-2</v>
      </c>
      <c r="T456" s="447">
        <f t="shared" si="82"/>
        <v>0.16864511823102185</v>
      </c>
      <c r="V456" s="448"/>
      <c r="W456" s="448"/>
      <c r="X456" s="448"/>
      <c r="Y456" s="448"/>
      <c r="Z456" s="448"/>
      <c r="AA456" s="448"/>
      <c r="AB456" s="448"/>
      <c r="AC456" s="448"/>
      <c r="AD456" s="448"/>
      <c r="AF456" s="448"/>
      <c r="AG456" s="448"/>
      <c r="AH456" s="448"/>
      <c r="AI456" s="448"/>
      <c r="AJ456" s="448"/>
      <c r="AK456" s="448"/>
      <c r="AL456" s="448"/>
      <c r="AM456" s="448"/>
      <c r="AN456" s="448"/>
      <c r="AP456" s="448"/>
      <c r="AQ456" s="448"/>
      <c r="AR456" s="448"/>
      <c r="AS456" s="448"/>
      <c r="AT456" s="448"/>
      <c r="AU456" s="448"/>
      <c r="AV456" s="448"/>
      <c r="AW456" s="448"/>
      <c r="AX456" s="448"/>
    </row>
    <row r="457" spans="1:50" x14ac:dyDescent="0.4">
      <c r="A457" s="442" t="str">
        <f t="shared" si="83"/>
        <v>91963</v>
      </c>
      <c r="B457" s="442">
        <v>23255</v>
      </c>
      <c r="C457" s="455">
        <v>-9.7000000000000003E-3</v>
      </c>
      <c r="D457" s="438">
        <v>-2.58E-2</v>
      </c>
      <c r="E457" s="438">
        <v>3.3999999999999998E-3</v>
      </c>
      <c r="F457" s="438">
        <v>3.5916666666666662E-3</v>
      </c>
      <c r="G457" s="438">
        <v>3.6749999999999999E-3</v>
      </c>
      <c r="H457" s="438">
        <v>3.633333333333333E-3</v>
      </c>
      <c r="I457" s="438">
        <v>3.666666666666667E-3</v>
      </c>
      <c r="J457" s="438">
        <f t="shared" si="84"/>
        <v>-1.3100000000000001E-2</v>
      </c>
      <c r="K457" s="438">
        <f t="shared" si="76"/>
        <v>-1.3333333333333332E-2</v>
      </c>
      <c r="L457" s="438">
        <f t="shared" si="77"/>
        <v>-2.9466666666666669E-2</v>
      </c>
      <c r="M457" s="446">
        <f t="shared" si="73"/>
        <v>0.31687343122896494</v>
      </c>
      <c r="N457" s="446">
        <f t="shared" si="74"/>
        <v>4.0799999999999996E-2</v>
      </c>
      <c r="O457" s="446">
        <f t="shared" si="78"/>
        <v>4.36E-2</v>
      </c>
      <c r="P457" s="447">
        <f t="shared" si="75"/>
        <v>0.27607343122896494</v>
      </c>
      <c r="Q457" s="446">
        <f t="shared" si="79"/>
        <v>0.27327343122896497</v>
      </c>
      <c r="R457" s="446">
        <f t="shared" si="80"/>
        <v>0.22197810281467167</v>
      </c>
      <c r="S457" s="446">
        <f t="shared" si="81"/>
        <v>4.4000000000000004E-2</v>
      </c>
      <c r="T457" s="447">
        <f t="shared" si="82"/>
        <v>0.17797810281467166</v>
      </c>
      <c r="V457" s="448"/>
      <c r="W457" s="448"/>
      <c r="X457" s="448"/>
      <c r="Y457" s="448"/>
      <c r="Z457" s="448"/>
      <c r="AA457" s="448"/>
      <c r="AB457" s="448"/>
      <c r="AC457" s="448"/>
      <c r="AD457" s="448"/>
      <c r="AF457" s="448"/>
      <c r="AG457" s="448"/>
      <c r="AH457" s="448"/>
      <c r="AI457" s="448"/>
      <c r="AJ457" s="448"/>
      <c r="AK457" s="448"/>
      <c r="AL457" s="448"/>
      <c r="AM457" s="448"/>
      <c r="AN457" s="448"/>
      <c r="AP457" s="448"/>
      <c r="AQ457" s="448"/>
      <c r="AR457" s="448"/>
      <c r="AS457" s="448"/>
      <c r="AT457" s="448"/>
      <c r="AU457" s="448"/>
      <c r="AV457" s="448"/>
      <c r="AW457" s="448"/>
      <c r="AX457" s="448"/>
    </row>
    <row r="458" spans="1:50" x14ac:dyDescent="0.4">
      <c r="A458" s="442" t="str">
        <f t="shared" si="83"/>
        <v>101963</v>
      </c>
      <c r="B458" s="442">
        <v>23285</v>
      </c>
      <c r="C458" s="455">
        <v>3.39E-2</v>
      </c>
      <c r="D458" s="438">
        <v>-3.3E-3</v>
      </c>
      <c r="E458" s="438">
        <v>3.3999999999999998E-3</v>
      </c>
      <c r="F458" s="438">
        <v>3.6000000000000003E-3</v>
      </c>
      <c r="G458" s="438">
        <v>3.6916666666666664E-3</v>
      </c>
      <c r="H458" s="438">
        <v>3.6458333333333338E-3</v>
      </c>
      <c r="I458" s="438">
        <v>3.6749999999999999E-3</v>
      </c>
      <c r="J458" s="438">
        <f t="shared" si="84"/>
        <v>3.0499999999999999E-2</v>
      </c>
      <c r="K458" s="438">
        <f t="shared" si="76"/>
        <v>3.0254166666666665E-2</v>
      </c>
      <c r="L458" s="438">
        <f t="shared" si="77"/>
        <v>-6.9750000000000003E-3</v>
      </c>
      <c r="M458" s="446">
        <f t="shared" si="73"/>
        <v>0.35285715475718105</v>
      </c>
      <c r="N458" s="446">
        <f t="shared" si="74"/>
        <v>4.0799999999999996E-2</v>
      </c>
      <c r="O458" s="446">
        <f t="shared" si="78"/>
        <v>4.3750000000000004E-2</v>
      </c>
      <c r="P458" s="447">
        <f t="shared" si="75"/>
        <v>0.31205715475718104</v>
      </c>
      <c r="Q458" s="446">
        <f t="shared" si="79"/>
        <v>0.30910715475718104</v>
      </c>
      <c r="R458" s="446">
        <f t="shared" si="80"/>
        <v>0.21965308940054351</v>
      </c>
      <c r="S458" s="446">
        <f t="shared" si="81"/>
        <v>4.41E-2</v>
      </c>
      <c r="T458" s="447">
        <f t="shared" si="82"/>
        <v>0.17555308940054351</v>
      </c>
      <c r="V458" s="448"/>
      <c r="W458" s="448"/>
      <c r="X458" s="448"/>
      <c r="Y458" s="448"/>
      <c r="Z458" s="448"/>
      <c r="AA458" s="448"/>
      <c r="AB458" s="448"/>
      <c r="AC458" s="448"/>
      <c r="AD458" s="448"/>
      <c r="AF458" s="448"/>
      <c r="AG458" s="448"/>
      <c r="AH458" s="448"/>
      <c r="AI458" s="448"/>
      <c r="AJ458" s="448"/>
      <c r="AK458" s="448"/>
      <c r="AL458" s="448"/>
      <c r="AM458" s="448"/>
      <c r="AN458" s="448"/>
      <c r="AP458" s="448"/>
      <c r="AQ458" s="448"/>
      <c r="AR458" s="448"/>
      <c r="AS458" s="448"/>
      <c r="AT458" s="448"/>
      <c r="AU458" s="448"/>
      <c r="AV458" s="448"/>
      <c r="AW458" s="448"/>
      <c r="AX458" s="448"/>
    </row>
    <row r="459" spans="1:50" x14ac:dyDescent="0.4">
      <c r="A459" s="442" t="str">
        <f t="shared" si="83"/>
        <v>111963</v>
      </c>
      <c r="B459" s="442">
        <v>23316</v>
      </c>
      <c r="C459" s="455">
        <v>-4.5999999999999999E-3</v>
      </c>
      <c r="D459" s="438">
        <v>-8.199999999999999E-3</v>
      </c>
      <c r="E459" s="438">
        <v>3.2000000000000002E-3</v>
      </c>
      <c r="F459" s="438">
        <v>3.6083333333333332E-3</v>
      </c>
      <c r="G459" s="438">
        <v>3.7000000000000006E-3</v>
      </c>
      <c r="H459" s="438">
        <v>3.6541666666666671E-3</v>
      </c>
      <c r="I459" s="438">
        <v>3.6833333333333336E-3</v>
      </c>
      <c r="J459" s="438">
        <f t="shared" si="84"/>
        <v>-7.7999999999999996E-3</v>
      </c>
      <c r="K459" s="438">
        <f t="shared" si="76"/>
        <v>-8.2541666666666666E-3</v>
      </c>
      <c r="L459" s="438">
        <f t="shared" si="77"/>
        <v>-1.1883333333333333E-2</v>
      </c>
      <c r="M459" s="446">
        <f t="shared" si="73"/>
        <v>0.21471586852363189</v>
      </c>
      <c r="N459" s="446">
        <f t="shared" si="74"/>
        <v>3.8400000000000004E-2</v>
      </c>
      <c r="O459" s="446">
        <f t="shared" si="78"/>
        <v>4.3850000000000007E-2</v>
      </c>
      <c r="P459" s="447">
        <f t="shared" si="75"/>
        <v>0.1763158685236319</v>
      </c>
      <c r="Q459" s="446">
        <f t="shared" si="79"/>
        <v>0.17086586852363189</v>
      </c>
      <c r="R459" s="446">
        <f t="shared" si="80"/>
        <v>0.12337661038954262</v>
      </c>
      <c r="S459" s="446">
        <f t="shared" si="81"/>
        <v>4.4200000000000003E-2</v>
      </c>
      <c r="T459" s="447">
        <f t="shared" si="82"/>
        <v>7.9176610389542615E-2</v>
      </c>
      <c r="V459" s="448"/>
      <c r="W459" s="448"/>
      <c r="X459" s="448"/>
      <c r="Y459" s="448"/>
      <c r="Z459" s="448"/>
      <c r="AA459" s="448"/>
      <c r="AB459" s="448"/>
      <c r="AC459" s="448"/>
      <c r="AD459" s="448"/>
      <c r="AF459" s="448"/>
      <c r="AG459" s="448"/>
      <c r="AH459" s="448"/>
      <c r="AI459" s="448"/>
      <c r="AJ459" s="448"/>
      <c r="AK459" s="448"/>
      <c r="AL459" s="448"/>
      <c r="AM459" s="448"/>
      <c r="AN459" s="448"/>
      <c r="AP459" s="448"/>
      <c r="AQ459" s="448"/>
      <c r="AR459" s="448"/>
      <c r="AS459" s="448"/>
      <c r="AT459" s="448"/>
      <c r="AU459" s="448"/>
      <c r="AV459" s="448"/>
      <c r="AW459" s="448"/>
      <c r="AX459" s="448"/>
    </row>
    <row r="460" spans="1:50" x14ac:dyDescent="0.4">
      <c r="A460" s="442" t="str">
        <f t="shared" si="83"/>
        <v>121963</v>
      </c>
      <c r="B460" s="442">
        <v>23346</v>
      </c>
      <c r="C460" s="455">
        <v>2.6200000000000001E-2</v>
      </c>
      <c r="D460" s="438">
        <v>3.1699999999999999E-2</v>
      </c>
      <c r="E460" s="438">
        <v>3.5999999999999999E-3</v>
      </c>
      <c r="F460" s="438">
        <v>3.6249999999999998E-3</v>
      </c>
      <c r="G460" s="438">
        <v>3.7166666666666663E-3</v>
      </c>
      <c r="H460" s="438">
        <v>3.6708333333333332E-3</v>
      </c>
      <c r="I460" s="438">
        <v>3.7166666666666663E-3</v>
      </c>
      <c r="J460" s="438">
        <f t="shared" si="84"/>
        <v>2.2600000000000002E-2</v>
      </c>
      <c r="K460" s="438">
        <f t="shared" si="76"/>
        <v>2.252916666666667E-2</v>
      </c>
      <c r="L460" s="438">
        <f t="shared" si="77"/>
        <v>2.7983333333333332E-2</v>
      </c>
      <c r="M460" s="446">
        <f t="shared" si="73"/>
        <v>0.2277567460641694</v>
      </c>
      <c r="N460" s="446">
        <f t="shared" si="74"/>
        <v>4.3200000000000002E-2</v>
      </c>
      <c r="O460" s="446">
        <f t="shared" si="78"/>
        <v>4.4049999999999999E-2</v>
      </c>
      <c r="P460" s="447">
        <f t="shared" si="75"/>
        <v>0.18455674606416939</v>
      </c>
      <c r="Q460" s="446">
        <f t="shared" si="79"/>
        <v>0.1837067460641694</v>
      </c>
      <c r="R460" s="446">
        <f t="shared" si="80"/>
        <v>0.12392130424640335</v>
      </c>
      <c r="S460" s="446">
        <f t="shared" si="81"/>
        <v>4.4599999999999994E-2</v>
      </c>
      <c r="T460" s="447">
        <f t="shared" si="82"/>
        <v>7.9321304246403351E-2</v>
      </c>
      <c r="V460" s="448"/>
      <c r="W460" s="448"/>
      <c r="X460" s="448"/>
      <c r="Y460" s="448"/>
      <c r="Z460" s="448"/>
      <c r="AA460" s="448"/>
      <c r="AB460" s="448"/>
      <c r="AC460" s="448"/>
      <c r="AD460" s="448"/>
      <c r="AF460" s="448"/>
      <c r="AG460" s="448"/>
      <c r="AH460" s="448"/>
      <c r="AI460" s="448"/>
      <c r="AJ460" s="448"/>
      <c r="AK460" s="448"/>
      <c r="AL460" s="448"/>
      <c r="AM460" s="448"/>
      <c r="AN460" s="448"/>
      <c r="AP460" s="448"/>
      <c r="AQ460" s="448"/>
      <c r="AR460" s="448"/>
      <c r="AS460" s="448"/>
      <c r="AT460" s="448"/>
      <c r="AU460" s="448"/>
      <c r="AV460" s="448"/>
      <c r="AW460" s="448"/>
      <c r="AX460" s="448"/>
    </row>
    <row r="461" spans="1:50" x14ac:dyDescent="0.4">
      <c r="A461" s="442" t="str">
        <f t="shared" si="83"/>
        <v>11964</v>
      </c>
      <c r="B461" s="442">
        <v>23377</v>
      </c>
      <c r="C461" s="455">
        <v>2.8299999999999999E-2</v>
      </c>
      <c r="D461" s="438">
        <v>1.2699999999999999E-2</v>
      </c>
      <c r="E461" s="438">
        <v>3.5000000000000005E-3</v>
      </c>
      <c r="F461" s="438">
        <v>3.6416666666666667E-3</v>
      </c>
      <c r="G461" s="438">
        <v>3.741666666666667E-3</v>
      </c>
      <c r="H461" s="438">
        <v>3.6916666666666669E-3</v>
      </c>
      <c r="I461" s="438">
        <v>3.741666666666667E-3</v>
      </c>
      <c r="J461" s="438">
        <f t="shared" si="84"/>
        <v>2.4799999999999999E-2</v>
      </c>
      <c r="K461" s="438">
        <f t="shared" si="76"/>
        <v>2.4608333333333333E-2</v>
      </c>
      <c r="L461" s="438">
        <f t="shared" si="77"/>
        <v>8.958333333333332E-3</v>
      </c>
      <c r="M461" s="446">
        <f t="shared" si="73"/>
        <v>0.2016964229752376</v>
      </c>
      <c r="N461" s="446">
        <f t="shared" si="74"/>
        <v>4.200000000000001E-2</v>
      </c>
      <c r="O461" s="446">
        <f t="shared" si="78"/>
        <v>4.4300000000000006E-2</v>
      </c>
      <c r="P461" s="447">
        <f t="shared" si="75"/>
        <v>0.15969642297523759</v>
      </c>
      <c r="Q461" s="446">
        <f t="shared" si="79"/>
        <v>0.15739642297523759</v>
      </c>
      <c r="R461" s="446">
        <f t="shared" si="80"/>
        <v>7.8040447821872139E-2</v>
      </c>
      <c r="S461" s="446">
        <f t="shared" si="81"/>
        <v>4.4900000000000002E-2</v>
      </c>
      <c r="T461" s="447">
        <f t="shared" si="82"/>
        <v>3.3140447821872136E-2</v>
      </c>
      <c r="V461" s="448"/>
      <c r="W461" s="448"/>
      <c r="X461" s="448"/>
      <c r="Y461" s="448"/>
      <c r="Z461" s="448"/>
      <c r="AA461" s="448"/>
      <c r="AB461" s="448"/>
      <c r="AC461" s="448"/>
      <c r="AD461" s="448"/>
      <c r="AF461" s="448"/>
      <c r="AG461" s="448"/>
      <c r="AH461" s="448"/>
      <c r="AI461" s="448"/>
      <c r="AJ461" s="448"/>
      <c r="AK461" s="448"/>
      <c r="AL461" s="448"/>
      <c r="AM461" s="448"/>
      <c r="AN461" s="448"/>
      <c r="AP461" s="448"/>
      <c r="AQ461" s="448"/>
      <c r="AR461" s="448"/>
      <c r="AS461" s="448"/>
      <c r="AT461" s="448"/>
      <c r="AU461" s="448"/>
      <c r="AV461" s="448"/>
      <c r="AW461" s="448"/>
      <c r="AX461" s="448"/>
    </row>
    <row r="462" spans="1:50" x14ac:dyDescent="0.4">
      <c r="A462" s="442" t="str">
        <f t="shared" si="83"/>
        <v>21964</v>
      </c>
      <c r="B462" s="442">
        <v>23408</v>
      </c>
      <c r="C462" s="455">
        <v>1.47E-2</v>
      </c>
      <c r="D462" s="438">
        <v>3.2000000000000002E-3</v>
      </c>
      <c r="E462" s="438">
        <v>3.2000000000000002E-3</v>
      </c>
      <c r="F462" s="438">
        <v>3.6333333333333335E-3</v>
      </c>
      <c r="G462" s="438">
        <v>3.7166666666666663E-3</v>
      </c>
      <c r="H462" s="438">
        <v>3.6749999999999999E-3</v>
      </c>
      <c r="I462" s="438">
        <v>3.7499999999999999E-3</v>
      </c>
      <c r="J462" s="438">
        <f t="shared" si="84"/>
        <v>1.15E-2</v>
      </c>
      <c r="K462" s="438">
        <f t="shared" si="76"/>
        <v>1.1025E-2</v>
      </c>
      <c r="L462" s="438">
        <f t="shared" si="77"/>
        <v>-5.4999999999999971E-4</v>
      </c>
      <c r="M462" s="446">
        <f t="shared" si="73"/>
        <v>0.24921766252737787</v>
      </c>
      <c r="N462" s="446">
        <f t="shared" si="74"/>
        <v>3.8400000000000004E-2</v>
      </c>
      <c r="O462" s="446">
        <f t="shared" si="78"/>
        <v>4.41E-2</v>
      </c>
      <c r="P462" s="447">
        <f t="shared" si="75"/>
        <v>0.21081766252737788</v>
      </c>
      <c r="Q462" s="446">
        <f t="shared" si="79"/>
        <v>0.20511766252737787</v>
      </c>
      <c r="R462" s="446">
        <f t="shared" si="80"/>
        <v>0.10423746911874776</v>
      </c>
      <c r="S462" s="446">
        <f t="shared" si="81"/>
        <v>4.4999999999999998E-2</v>
      </c>
      <c r="T462" s="447">
        <f t="shared" si="82"/>
        <v>5.9237469118747763E-2</v>
      </c>
      <c r="V462" s="448"/>
      <c r="W462" s="448"/>
      <c r="X462" s="448"/>
      <c r="Y462" s="448"/>
      <c r="Z462" s="448"/>
      <c r="AA462" s="448"/>
      <c r="AB462" s="448"/>
      <c r="AC462" s="448"/>
      <c r="AD462" s="448"/>
      <c r="AF462" s="448"/>
      <c r="AG462" s="448"/>
      <c r="AH462" s="448"/>
      <c r="AI462" s="448"/>
      <c r="AJ462" s="448"/>
      <c r="AK462" s="448"/>
      <c r="AL462" s="448"/>
      <c r="AM462" s="448"/>
      <c r="AN462" s="448"/>
      <c r="AP462" s="448"/>
      <c r="AQ462" s="448"/>
      <c r="AR462" s="448"/>
      <c r="AS462" s="448"/>
      <c r="AT462" s="448"/>
      <c r="AU462" s="448"/>
      <c r="AV462" s="448"/>
      <c r="AW462" s="448"/>
      <c r="AX462" s="448"/>
    </row>
    <row r="463" spans="1:50" x14ac:dyDescent="0.4">
      <c r="A463" s="442" t="str">
        <f t="shared" si="83"/>
        <v>31964</v>
      </c>
      <c r="B463" s="442">
        <v>23437</v>
      </c>
      <c r="C463" s="455">
        <v>1.6500000000000001E-2</v>
      </c>
      <c r="D463" s="438">
        <v>-3.5000000000000005E-3</v>
      </c>
      <c r="E463" s="438">
        <v>3.7000000000000002E-3</v>
      </c>
      <c r="F463" s="438">
        <v>3.65E-3</v>
      </c>
      <c r="G463" s="438">
        <v>3.725E-3</v>
      </c>
      <c r="H463" s="438">
        <v>3.6875000000000002E-3</v>
      </c>
      <c r="I463" s="438">
        <v>3.7583333333333331E-3</v>
      </c>
      <c r="J463" s="438">
        <f t="shared" si="84"/>
        <v>1.2800000000000001E-2</v>
      </c>
      <c r="K463" s="438">
        <f t="shared" si="76"/>
        <v>1.2812500000000001E-2</v>
      </c>
      <c r="L463" s="438">
        <f t="shared" si="77"/>
        <v>-7.2583333333333337E-3</v>
      </c>
      <c r="M463" s="446">
        <f t="shared" si="73"/>
        <v>0.22452242426140834</v>
      </c>
      <c r="N463" s="446">
        <f t="shared" si="74"/>
        <v>4.4400000000000002E-2</v>
      </c>
      <c r="O463" s="446">
        <f t="shared" si="78"/>
        <v>4.4250000000000005E-2</v>
      </c>
      <c r="P463" s="447">
        <f t="shared" si="75"/>
        <v>0.18012242426140834</v>
      </c>
      <c r="Q463" s="446">
        <f t="shared" si="79"/>
        <v>0.18027242426140833</v>
      </c>
      <c r="R463" s="446">
        <f t="shared" si="80"/>
        <v>8.0279440385659706E-2</v>
      </c>
      <c r="S463" s="446">
        <f t="shared" si="81"/>
        <v>4.5100000000000001E-2</v>
      </c>
      <c r="T463" s="447">
        <f t="shared" si="82"/>
        <v>3.5179440385659705E-2</v>
      </c>
      <c r="V463" s="448"/>
      <c r="W463" s="448"/>
      <c r="X463" s="448"/>
      <c r="Y463" s="448"/>
      <c r="Z463" s="448"/>
      <c r="AA463" s="448"/>
      <c r="AB463" s="448"/>
      <c r="AC463" s="448"/>
      <c r="AD463" s="448"/>
      <c r="AF463" s="448"/>
      <c r="AG463" s="448"/>
      <c r="AH463" s="448"/>
      <c r="AI463" s="448"/>
      <c r="AJ463" s="448"/>
      <c r="AK463" s="448"/>
      <c r="AL463" s="448"/>
      <c r="AM463" s="448"/>
      <c r="AN463" s="448"/>
      <c r="AP463" s="448"/>
      <c r="AQ463" s="448"/>
      <c r="AR463" s="448"/>
      <c r="AS463" s="448"/>
      <c r="AT463" s="448"/>
      <c r="AU463" s="448"/>
      <c r="AV463" s="448"/>
      <c r="AW463" s="448"/>
      <c r="AX463" s="448"/>
    </row>
    <row r="464" spans="1:50" x14ac:dyDescent="0.4">
      <c r="A464" s="442" t="str">
        <f t="shared" si="83"/>
        <v>41964</v>
      </c>
      <c r="B464" s="442">
        <v>23468</v>
      </c>
      <c r="C464" s="455">
        <v>7.4999999999999997E-3</v>
      </c>
      <c r="D464" s="438">
        <v>6.6999999999999994E-3</v>
      </c>
      <c r="E464" s="438">
        <v>3.5000000000000005E-3</v>
      </c>
      <c r="F464" s="438">
        <v>3.666666666666667E-3</v>
      </c>
      <c r="G464" s="438">
        <v>3.741666666666667E-3</v>
      </c>
      <c r="H464" s="438">
        <v>3.7041666666666672E-3</v>
      </c>
      <c r="I464" s="438">
        <v>3.7666666666666664E-3</v>
      </c>
      <c r="J464" s="438">
        <f t="shared" si="84"/>
        <v>3.9999999999999992E-3</v>
      </c>
      <c r="K464" s="438">
        <f t="shared" si="76"/>
        <v>3.7958333333333325E-3</v>
      </c>
      <c r="L464" s="438">
        <f t="shared" si="77"/>
        <v>2.9333333333333329E-3</v>
      </c>
      <c r="M464" s="446">
        <f t="shared" ref="M464:M527" si="85">((1+C453)*(1+C454)*(1+C455)*(1+C456)*(1+C457)*(1+C458)*(1+C459)*(1+C460)*(1+C461)*(1+C462)*(1+C463)*(1+C464))-1</f>
        <v>0.17495842137463646</v>
      </c>
      <c r="N464" s="446">
        <f t="shared" ref="N464:N527" si="86">E464*12</f>
        <v>4.200000000000001E-2</v>
      </c>
      <c r="O464" s="446">
        <f t="shared" si="78"/>
        <v>4.4450000000000003E-2</v>
      </c>
      <c r="P464" s="447">
        <f t="shared" ref="P464:P527" si="87">M464-N464</f>
        <v>0.13295842137463645</v>
      </c>
      <c r="Q464" s="446">
        <f t="shared" si="79"/>
        <v>0.13050842137463647</v>
      </c>
      <c r="R464" s="446">
        <f t="shared" si="80"/>
        <v>6.285898420273961E-2</v>
      </c>
      <c r="S464" s="446">
        <f t="shared" si="81"/>
        <v>4.5199999999999997E-2</v>
      </c>
      <c r="T464" s="447">
        <f t="shared" si="82"/>
        <v>1.7658984202739612E-2</v>
      </c>
      <c r="V464" s="448"/>
      <c r="W464" s="448"/>
      <c r="X464" s="448"/>
      <c r="Y464" s="448"/>
      <c r="Z464" s="448"/>
      <c r="AA464" s="448"/>
      <c r="AB464" s="448"/>
      <c r="AC464" s="448"/>
      <c r="AD464" s="448"/>
      <c r="AF464" s="448"/>
      <c r="AG464" s="448"/>
      <c r="AH464" s="448"/>
      <c r="AI464" s="448"/>
      <c r="AJ464" s="448"/>
      <c r="AK464" s="448"/>
      <c r="AL464" s="448"/>
      <c r="AM464" s="448"/>
      <c r="AN464" s="448"/>
      <c r="AP464" s="448"/>
      <c r="AQ464" s="448"/>
      <c r="AR464" s="448"/>
      <c r="AS464" s="448"/>
      <c r="AT464" s="448"/>
      <c r="AU464" s="448"/>
      <c r="AV464" s="448"/>
      <c r="AW464" s="448"/>
      <c r="AX464" s="448"/>
    </row>
    <row r="465" spans="1:50" x14ac:dyDescent="0.4">
      <c r="A465" s="442" t="str">
        <f t="shared" si="83"/>
        <v>51964</v>
      </c>
      <c r="B465" s="442">
        <v>23498</v>
      </c>
      <c r="C465" s="455">
        <v>1.6199999999999999E-2</v>
      </c>
      <c r="D465" s="438">
        <v>3.2000000000000002E-3</v>
      </c>
      <c r="E465" s="438">
        <v>3.2000000000000002E-3</v>
      </c>
      <c r="F465" s="438">
        <v>3.6749999999999999E-3</v>
      </c>
      <c r="G465" s="438">
        <v>3.7499999999999999E-3</v>
      </c>
      <c r="H465" s="438">
        <v>3.7124999999999997E-3</v>
      </c>
      <c r="I465" s="438">
        <v>3.7750000000000001E-3</v>
      </c>
      <c r="J465" s="438">
        <f t="shared" si="84"/>
        <v>1.2999999999999999E-2</v>
      </c>
      <c r="K465" s="438">
        <f t="shared" si="76"/>
        <v>1.2487499999999999E-2</v>
      </c>
      <c r="L465" s="438">
        <f t="shared" si="77"/>
        <v>-5.7499999999999999E-4</v>
      </c>
      <c r="M465" s="446">
        <f t="shared" si="85"/>
        <v>0.1713850169733202</v>
      </c>
      <c r="N465" s="446">
        <f t="shared" si="86"/>
        <v>3.8400000000000004E-2</v>
      </c>
      <c r="O465" s="446">
        <f t="shared" si="78"/>
        <v>4.4549999999999992E-2</v>
      </c>
      <c r="P465" s="447">
        <f t="shared" si="87"/>
        <v>0.13298501697332021</v>
      </c>
      <c r="Q465" s="446">
        <f t="shared" si="79"/>
        <v>0.12683501697332022</v>
      </c>
      <c r="R465" s="446">
        <f t="shared" si="80"/>
        <v>5.8848195583106833E-2</v>
      </c>
      <c r="S465" s="446">
        <f t="shared" si="81"/>
        <v>4.53E-2</v>
      </c>
      <c r="T465" s="447">
        <f t="shared" si="82"/>
        <v>1.3548195583106833E-2</v>
      </c>
      <c r="V465" s="448"/>
      <c r="W465" s="448"/>
      <c r="X465" s="448"/>
      <c r="Y465" s="448"/>
      <c r="Z465" s="448"/>
      <c r="AA465" s="448"/>
      <c r="AB465" s="448"/>
      <c r="AC465" s="448"/>
      <c r="AD465" s="448"/>
      <c r="AF465" s="448"/>
      <c r="AG465" s="448"/>
      <c r="AH465" s="448"/>
      <c r="AI465" s="448"/>
      <c r="AJ465" s="448"/>
      <c r="AK465" s="448"/>
      <c r="AL465" s="448"/>
      <c r="AM465" s="448"/>
      <c r="AN465" s="448"/>
      <c r="AP465" s="448"/>
      <c r="AQ465" s="448"/>
      <c r="AR465" s="448"/>
      <c r="AS465" s="448"/>
      <c r="AT465" s="448"/>
      <c r="AU465" s="448"/>
      <c r="AV465" s="448"/>
      <c r="AW465" s="448"/>
      <c r="AX465" s="448"/>
    </row>
    <row r="466" spans="1:50" x14ac:dyDescent="0.4">
      <c r="A466" s="442" t="str">
        <f t="shared" si="83"/>
        <v>61964</v>
      </c>
      <c r="B466" s="442">
        <v>23529</v>
      </c>
      <c r="C466" s="455">
        <v>1.78E-2</v>
      </c>
      <c r="D466" s="438">
        <v>2.3399999999999997E-2</v>
      </c>
      <c r="E466" s="438">
        <v>3.8E-3</v>
      </c>
      <c r="F466" s="438">
        <v>3.6749999999999999E-3</v>
      </c>
      <c r="G466" s="438">
        <v>3.7583333333333331E-3</v>
      </c>
      <c r="H466" s="438">
        <v>3.7166666666666663E-3</v>
      </c>
      <c r="I466" s="438">
        <v>3.7916666666666667E-3</v>
      </c>
      <c r="J466" s="438">
        <f t="shared" si="84"/>
        <v>1.4E-2</v>
      </c>
      <c r="K466" s="438">
        <f t="shared" si="76"/>
        <v>1.4083333333333333E-2</v>
      </c>
      <c r="L466" s="438">
        <f t="shared" si="77"/>
        <v>1.9608333333333332E-2</v>
      </c>
      <c r="M466" s="446">
        <f t="shared" si="85"/>
        <v>0.2150791584543883</v>
      </c>
      <c r="N466" s="446">
        <f t="shared" si="86"/>
        <v>4.5600000000000002E-2</v>
      </c>
      <c r="O466" s="446">
        <f t="shared" si="78"/>
        <v>4.4599999999999994E-2</v>
      </c>
      <c r="P466" s="447">
        <f t="shared" si="87"/>
        <v>0.1694791584543883</v>
      </c>
      <c r="Q466" s="446">
        <f t="shared" si="79"/>
        <v>0.1704791584543883</v>
      </c>
      <c r="R466" s="446">
        <f t="shared" si="80"/>
        <v>9.7119817110207007E-2</v>
      </c>
      <c r="S466" s="446">
        <f t="shared" si="81"/>
        <v>4.5499999999999999E-2</v>
      </c>
      <c r="T466" s="447">
        <f t="shared" si="82"/>
        <v>5.1619817110207009E-2</v>
      </c>
      <c r="V466" s="448"/>
      <c r="W466" s="448"/>
      <c r="X466" s="448"/>
      <c r="Y466" s="448"/>
      <c r="Z466" s="448"/>
      <c r="AA466" s="448"/>
      <c r="AB466" s="448"/>
      <c r="AC466" s="448"/>
      <c r="AD466" s="448"/>
      <c r="AF466" s="448"/>
      <c r="AG466" s="448"/>
      <c r="AH466" s="448"/>
      <c r="AI466" s="448"/>
      <c r="AJ466" s="448"/>
      <c r="AK466" s="448"/>
      <c r="AL466" s="448"/>
      <c r="AM466" s="448"/>
      <c r="AN466" s="448"/>
      <c r="AP466" s="448"/>
      <c r="AQ466" s="448"/>
      <c r="AR466" s="448"/>
      <c r="AS466" s="448"/>
      <c r="AT466" s="448"/>
      <c r="AU466" s="448"/>
      <c r="AV466" s="448"/>
      <c r="AW466" s="448"/>
      <c r="AX466" s="448"/>
    </row>
    <row r="467" spans="1:50" x14ac:dyDescent="0.4">
      <c r="A467" s="442" t="str">
        <f t="shared" si="83"/>
        <v>71964</v>
      </c>
      <c r="B467" s="442">
        <v>23559</v>
      </c>
      <c r="C467" s="455">
        <v>1.95E-2</v>
      </c>
      <c r="D467" s="438">
        <v>4.7100000000000003E-2</v>
      </c>
      <c r="E467" s="438">
        <v>3.5000000000000005E-3</v>
      </c>
      <c r="F467" s="438">
        <v>3.666666666666667E-3</v>
      </c>
      <c r="G467" s="438">
        <v>3.7499999999999999E-3</v>
      </c>
      <c r="H467" s="438">
        <v>3.7083333333333334E-3</v>
      </c>
      <c r="I467" s="438">
        <v>3.7833333333333334E-3</v>
      </c>
      <c r="J467" s="438">
        <f t="shared" si="84"/>
        <v>1.6E-2</v>
      </c>
      <c r="K467" s="438">
        <f t="shared" si="76"/>
        <v>1.5791666666666666E-2</v>
      </c>
      <c r="L467" s="438">
        <f t="shared" si="77"/>
        <v>4.331666666666667E-2</v>
      </c>
      <c r="M467" s="446">
        <f t="shared" si="85"/>
        <v>0.24150451197058431</v>
      </c>
      <c r="N467" s="446">
        <f t="shared" si="86"/>
        <v>4.200000000000001E-2</v>
      </c>
      <c r="O467" s="446">
        <f t="shared" si="78"/>
        <v>4.4499999999999998E-2</v>
      </c>
      <c r="P467" s="447">
        <f t="shared" si="87"/>
        <v>0.1995045119705843</v>
      </c>
      <c r="Q467" s="446">
        <f t="shared" si="79"/>
        <v>0.19700451197058433</v>
      </c>
      <c r="R467" s="446">
        <f t="shared" si="80"/>
        <v>0.13483568161226711</v>
      </c>
      <c r="S467" s="446">
        <f t="shared" si="81"/>
        <v>4.5400000000000003E-2</v>
      </c>
      <c r="T467" s="447">
        <f t="shared" si="82"/>
        <v>8.9435681612267115E-2</v>
      </c>
      <c r="V467" s="448"/>
      <c r="W467" s="448"/>
      <c r="X467" s="448"/>
      <c r="Y467" s="448"/>
      <c r="Z467" s="448"/>
      <c r="AA467" s="448"/>
      <c r="AB467" s="448"/>
      <c r="AC467" s="448"/>
      <c r="AD467" s="448"/>
      <c r="AF467" s="448"/>
      <c r="AG467" s="448"/>
      <c r="AH467" s="448"/>
      <c r="AI467" s="448"/>
      <c r="AJ467" s="448"/>
      <c r="AK467" s="448"/>
      <c r="AL467" s="448"/>
      <c r="AM467" s="448"/>
      <c r="AN467" s="448"/>
      <c r="AP467" s="448"/>
      <c r="AQ467" s="448"/>
      <c r="AR467" s="448"/>
      <c r="AS467" s="448"/>
      <c r="AT467" s="448"/>
      <c r="AU467" s="448"/>
      <c r="AV467" s="448"/>
      <c r="AW467" s="448"/>
      <c r="AX467" s="448"/>
    </row>
    <row r="468" spans="1:50" x14ac:dyDescent="0.4">
      <c r="A468" s="442" t="str">
        <f t="shared" si="83"/>
        <v>81964</v>
      </c>
      <c r="B468" s="442">
        <v>23590</v>
      </c>
      <c r="C468" s="455">
        <v>-1.18E-2</v>
      </c>
      <c r="D468" s="438">
        <v>3.1000000000000003E-3</v>
      </c>
      <c r="E468" s="438">
        <v>3.5000000000000005E-3</v>
      </c>
      <c r="F468" s="438">
        <v>3.6749999999999999E-3</v>
      </c>
      <c r="G468" s="438">
        <v>3.741666666666667E-3</v>
      </c>
      <c r="H468" s="438">
        <v>3.7083333333333334E-3</v>
      </c>
      <c r="I468" s="438">
        <v>3.7833333333333334E-3</v>
      </c>
      <c r="J468" s="438">
        <f t="shared" si="84"/>
        <v>-1.5300000000000001E-2</v>
      </c>
      <c r="K468" s="438">
        <f t="shared" si="76"/>
        <v>-1.5508333333333332E-2</v>
      </c>
      <c r="L468" s="438">
        <f t="shared" si="77"/>
        <v>-6.833333333333331E-4</v>
      </c>
      <c r="M468" s="446">
        <f t="shared" si="85"/>
        <v>0.16455126599841585</v>
      </c>
      <c r="N468" s="446">
        <f t="shared" si="86"/>
        <v>4.200000000000001E-2</v>
      </c>
      <c r="O468" s="446">
        <f t="shared" si="78"/>
        <v>4.4499999999999998E-2</v>
      </c>
      <c r="P468" s="447">
        <f t="shared" si="87"/>
        <v>0.12255126599841584</v>
      </c>
      <c r="Q468" s="446">
        <f t="shared" si="79"/>
        <v>0.12005126599841585</v>
      </c>
      <c r="R468" s="446">
        <f t="shared" si="80"/>
        <v>9.1945968561405689E-2</v>
      </c>
      <c r="S468" s="446">
        <f t="shared" si="81"/>
        <v>4.5400000000000003E-2</v>
      </c>
      <c r="T468" s="447">
        <f t="shared" si="82"/>
        <v>4.6545968561405686E-2</v>
      </c>
      <c r="V468" s="448"/>
      <c r="W468" s="448"/>
      <c r="X468" s="448"/>
      <c r="Y468" s="448"/>
      <c r="Z468" s="448"/>
      <c r="AA468" s="448"/>
      <c r="AB468" s="448"/>
      <c r="AC468" s="448"/>
      <c r="AD468" s="448"/>
      <c r="AF468" s="448"/>
      <c r="AG468" s="448"/>
      <c r="AH468" s="448"/>
      <c r="AI468" s="448"/>
      <c r="AJ468" s="448"/>
      <c r="AK468" s="448"/>
      <c r="AL468" s="448"/>
      <c r="AM468" s="448"/>
      <c r="AN468" s="448"/>
      <c r="AP468" s="448"/>
      <c r="AQ468" s="448"/>
      <c r="AR468" s="448"/>
      <c r="AS468" s="448"/>
      <c r="AT468" s="448"/>
      <c r="AU468" s="448"/>
      <c r="AV468" s="448"/>
      <c r="AW468" s="448"/>
      <c r="AX468" s="448"/>
    </row>
    <row r="469" spans="1:50" x14ac:dyDescent="0.4">
      <c r="A469" s="442" t="str">
        <f t="shared" si="83"/>
        <v>91964</v>
      </c>
      <c r="B469" s="442">
        <v>23621</v>
      </c>
      <c r="C469" s="455">
        <v>3.0099999999999998E-2</v>
      </c>
      <c r="D469" s="438">
        <v>1.7000000000000001E-2</v>
      </c>
      <c r="E469" s="438">
        <v>3.3999999999999998E-3</v>
      </c>
      <c r="F469" s="438">
        <v>3.6833333333333336E-3</v>
      </c>
      <c r="G469" s="438">
        <v>3.7333333333333333E-3</v>
      </c>
      <c r="H469" s="438">
        <v>3.7083333333333334E-3</v>
      </c>
      <c r="I469" s="438">
        <v>3.7750000000000001E-3</v>
      </c>
      <c r="J469" s="438">
        <f t="shared" si="84"/>
        <v>2.6699999999999998E-2</v>
      </c>
      <c r="K469" s="438">
        <f t="shared" si="76"/>
        <v>2.6391666666666664E-2</v>
      </c>
      <c r="L469" s="438">
        <f t="shared" si="77"/>
        <v>1.3225000000000001E-2</v>
      </c>
      <c r="M469" s="446">
        <f t="shared" si="85"/>
        <v>0.21135439675347678</v>
      </c>
      <c r="N469" s="446">
        <f t="shared" si="86"/>
        <v>4.0799999999999996E-2</v>
      </c>
      <c r="O469" s="446">
        <f t="shared" si="78"/>
        <v>4.4499999999999998E-2</v>
      </c>
      <c r="P469" s="447">
        <f t="shared" si="87"/>
        <v>0.17055439675347678</v>
      </c>
      <c r="Q469" s="446">
        <f t="shared" si="79"/>
        <v>0.1668543967534768</v>
      </c>
      <c r="R469" s="446">
        <f t="shared" si="80"/>
        <v>0.1399189591736294</v>
      </c>
      <c r="S469" s="446">
        <f t="shared" si="81"/>
        <v>4.53E-2</v>
      </c>
      <c r="T469" s="447">
        <f t="shared" si="82"/>
        <v>9.4618959173629391E-2</v>
      </c>
      <c r="V469" s="448"/>
      <c r="W469" s="448"/>
      <c r="X469" s="448"/>
      <c r="Y469" s="448"/>
      <c r="Z469" s="448"/>
      <c r="AA469" s="448"/>
      <c r="AB469" s="448"/>
      <c r="AC469" s="448"/>
      <c r="AD469" s="448"/>
      <c r="AF469" s="448"/>
      <c r="AG469" s="448"/>
      <c r="AH469" s="448"/>
      <c r="AI469" s="448"/>
      <c r="AJ469" s="448"/>
      <c r="AK469" s="448"/>
      <c r="AL469" s="448"/>
      <c r="AM469" s="448"/>
      <c r="AN469" s="448"/>
      <c r="AP469" s="448"/>
      <c r="AQ469" s="448"/>
      <c r="AR469" s="448"/>
      <c r="AS469" s="448"/>
      <c r="AT469" s="448"/>
      <c r="AU469" s="448"/>
      <c r="AV469" s="448"/>
      <c r="AW469" s="448"/>
      <c r="AX469" s="448"/>
    </row>
    <row r="470" spans="1:50" x14ac:dyDescent="0.4">
      <c r="A470" s="442" t="str">
        <f t="shared" si="83"/>
        <v>101964</v>
      </c>
      <c r="B470" s="442">
        <v>23651</v>
      </c>
      <c r="C470" s="455">
        <v>9.5999999999999992E-3</v>
      </c>
      <c r="D470" s="438">
        <v>1.6500000000000001E-2</v>
      </c>
      <c r="E470" s="438">
        <v>3.3999999999999998E-3</v>
      </c>
      <c r="F470" s="438">
        <v>3.6833333333333336E-3</v>
      </c>
      <c r="G470" s="438">
        <v>3.741666666666667E-3</v>
      </c>
      <c r="H470" s="438">
        <v>3.7125000000000001E-3</v>
      </c>
      <c r="I470" s="438">
        <v>3.7583333333333331E-3</v>
      </c>
      <c r="J470" s="438">
        <f t="shared" si="84"/>
        <v>6.1999999999999989E-3</v>
      </c>
      <c r="K470" s="438">
        <f t="shared" si="76"/>
        <v>5.8874999999999986E-3</v>
      </c>
      <c r="L470" s="438">
        <f t="shared" si="77"/>
        <v>1.2741666666666669E-2</v>
      </c>
      <c r="M470" s="446">
        <f t="shared" si="85"/>
        <v>0.18288364344937658</v>
      </c>
      <c r="N470" s="446">
        <f t="shared" si="86"/>
        <v>4.0799999999999996E-2</v>
      </c>
      <c r="O470" s="446">
        <f t="shared" si="78"/>
        <v>4.4549999999999999E-2</v>
      </c>
      <c r="P470" s="447">
        <f t="shared" si="87"/>
        <v>0.14208364344937657</v>
      </c>
      <c r="Q470" s="446">
        <f t="shared" si="79"/>
        <v>0.13833364344937657</v>
      </c>
      <c r="R470" s="446">
        <f t="shared" si="80"/>
        <v>0.1625640834754627</v>
      </c>
      <c r="S470" s="446">
        <f t="shared" si="81"/>
        <v>4.5100000000000001E-2</v>
      </c>
      <c r="T470" s="447">
        <f t="shared" si="82"/>
        <v>0.11746408347546269</v>
      </c>
      <c r="V470" s="448"/>
      <c r="W470" s="448"/>
      <c r="X470" s="448"/>
      <c r="Y470" s="448"/>
      <c r="Z470" s="448"/>
      <c r="AA470" s="448"/>
      <c r="AB470" s="448"/>
      <c r="AC470" s="448"/>
      <c r="AD470" s="448"/>
      <c r="AF470" s="448"/>
      <c r="AG470" s="448"/>
      <c r="AH470" s="448"/>
      <c r="AI470" s="448"/>
      <c r="AJ470" s="448"/>
      <c r="AK470" s="448"/>
      <c r="AL470" s="448"/>
      <c r="AM470" s="448"/>
      <c r="AN470" s="448"/>
      <c r="AP470" s="448"/>
      <c r="AQ470" s="448"/>
      <c r="AR470" s="448"/>
      <c r="AS470" s="448"/>
      <c r="AT470" s="448"/>
      <c r="AU470" s="448"/>
      <c r="AV470" s="448"/>
      <c r="AW470" s="448"/>
      <c r="AX470" s="448"/>
    </row>
    <row r="471" spans="1:50" x14ac:dyDescent="0.4">
      <c r="A471" s="442" t="str">
        <f t="shared" si="83"/>
        <v>111964</v>
      </c>
      <c r="B471" s="442">
        <v>23682</v>
      </c>
      <c r="C471" s="455">
        <v>5.0000000000000001E-4</v>
      </c>
      <c r="D471" s="438">
        <v>1.14E-2</v>
      </c>
      <c r="E471" s="438">
        <v>3.5000000000000005E-3</v>
      </c>
      <c r="F471" s="438">
        <v>3.6916666666666664E-3</v>
      </c>
      <c r="G471" s="438">
        <v>3.741666666666667E-3</v>
      </c>
      <c r="H471" s="438">
        <v>3.7166666666666672E-3</v>
      </c>
      <c r="I471" s="438">
        <v>3.7750000000000001E-3</v>
      </c>
      <c r="J471" s="438">
        <f t="shared" si="84"/>
        <v>-3.0000000000000005E-3</v>
      </c>
      <c r="K471" s="438">
        <f t="shared" si="76"/>
        <v>-3.2166666666666672E-3</v>
      </c>
      <c r="L471" s="438">
        <f t="shared" si="77"/>
        <v>7.6249999999999998E-3</v>
      </c>
      <c r="M471" s="446">
        <f t="shared" si="85"/>
        <v>0.18894422872322814</v>
      </c>
      <c r="N471" s="446">
        <f t="shared" si="86"/>
        <v>4.200000000000001E-2</v>
      </c>
      <c r="O471" s="446">
        <f t="shared" si="78"/>
        <v>4.4600000000000008E-2</v>
      </c>
      <c r="P471" s="447">
        <f t="shared" si="87"/>
        <v>0.14694422872322813</v>
      </c>
      <c r="Q471" s="446">
        <f t="shared" si="79"/>
        <v>0.14434422872322814</v>
      </c>
      <c r="R471" s="446">
        <f t="shared" si="80"/>
        <v>0.18553873162642009</v>
      </c>
      <c r="S471" s="446">
        <f t="shared" si="81"/>
        <v>4.53E-2</v>
      </c>
      <c r="T471" s="447">
        <f t="shared" si="82"/>
        <v>0.14023873162642009</v>
      </c>
      <c r="V471" s="448"/>
      <c r="W471" s="448"/>
      <c r="X471" s="448"/>
      <c r="Y471" s="448"/>
      <c r="Z471" s="448"/>
      <c r="AA471" s="448"/>
      <c r="AB471" s="448"/>
      <c r="AC471" s="448"/>
      <c r="AD471" s="448"/>
      <c r="AF471" s="448"/>
      <c r="AG471" s="448"/>
      <c r="AH471" s="448"/>
      <c r="AI471" s="448"/>
      <c r="AJ471" s="448"/>
      <c r="AK471" s="448"/>
      <c r="AL471" s="448"/>
      <c r="AM471" s="448"/>
      <c r="AN471" s="448"/>
      <c r="AP471" s="448"/>
      <c r="AQ471" s="448"/>
      <c r="AR471" s="448"/>
      <c r="AS471" s="448"/>
      <c r="AT471" s="448"/>
      <c r="AU471" s="448"/>
      <c r="AV471" s="448"/>
      <c r="AW471" s="448"/>
      <c r="AX471" s="448"/>
    </row>
    <row r="472" spans="1:50" x14ac:dyDescent="0.4">
      <c r="A472" s="442" t="str">
        <f t="shared" si="83"/>
        <v>121964</v>
      </c>
      <c r="B472" s="442">
        <v>23712</v>
      </c>
      <c r="C472" s="455">
        <v>5.5999999999999999E-3</v>
      </c>
      <c r="D472" s="438">
        <v>8.6E-3</v>
      </c>
      <c r="E472" s="438">
        <v>3.5000000000000005E-3</v>
      </c>
      <c r="F472" s="438">
        <v>3.7000000000000006E-3</v>
      </c>
      <c r="G472" s="438">
        <v>3.7499999999999999E-3</v>
      </c>
      <c r="H472" s="438">
        <v>3.7250000000000004E-3</v>
      </c>
      <c r="I472" s="438">
        <v>3.7833333333333334E-3</v>
      </c>
      <c r="J472" s="438">
        <f t="shared" si="84"/>
        <v>2.0999999999999994E-3</v>
      </c>
      <c r="K472" s="438">
        <f t="shared" si="76"/>
        <v>1.8749999999999995E-3</v>
      </c>
      <c r="L472" s="438">
        <f t="shared" si="77"/>
        <v>4.816666666666667E-3</v>
      </c>
      <c r="M472" s="446">
        <f t="shared" si="85"/>
        <v>0.16507729137017924</v>
      </c>
      <c r="N472" s="446">
        <f t="shared" si="86"/>
        <v>4.200000000000001E-2</v>
      </c>
      <c r="O472" s="446">
        <f t="shared" si="78"/>
        <v>4.4700000000000004E-2</v>
      </c>
      <c r="P472" s="447">
        <f t="shared" si="87"/>
        <v>0.12307729137017923</v>
      </c>
      <c r="Q472" s="446">
        <f t="shared" si="79"/>
        <v>0.12037729137017923</v>
      </c>
      <c r="R472" s="446">
        <f t="shared" si="80"/>
        <v>0.15899424708578724</v>
      </c>
      <c r="S472" s="446">
        <f t="shared" si="81"/>
        <v>4.5400000000000003E-2</v>
      </c>
      <c r="T472" s="447">
        <f t="shared" si="82"/>
        <v>0.11359424708578725</v>
      </c>
      <c r="V472" s="448"/>
      <c r="W472" s="448"/>
      <c r="X472" s="448"/>
      <c r="Y472" s="448"/>
      <c r="Z472" s="448"/>
      <c r="AA472" s="448"/>
      <c r="AB472" s="448"/>
      <c r="AC472" s="448"/>
      <c r="AD472" s="448"/>
      <c r="AF472" s="448"/>
      <c r="AG472" s="448"/>
      <c r="AH472" s="448"/>
      <c r="AI472" s="448"/>
      <c r="AJ472" s="448"/>
      <c r="AK472" s="448"/>
      <c r="AL472" s="448"/>
      <c r="AM472" s="448"/>
      <c r="AN472" s="448"/>
      <c r="AP472" s="448"/>
      <c r="AQ472" s="448"/>
      <c r="AR472" s="448"/>
      <c r="AS472" s="448"/>
      <c r="AT472" s="448"/>
      <c r="AU472" s="448"/>
      <c r="AV472" s="448"/>
      <c r="AW472" s="448"/>
      <c r="AX472" s="448"/>
    </row>
    <row r="473" spans="1:50" x14ac:dyDescent="0.4">
      <c r="A473" s="442" t="str">
        <f t="shared" si="83"/>
        <v>11965</v>
      </c>
      <c r="B473" s="442">
        <v>23743</v>
      </c>
      <c r="C473" s="455">
        <v>3.4500000000000003E-2</v>
      </c>
      <c r="D473" s="438">
        <v>3.7100000000000001E-2</v>
      </c>
      <c r="E473" s="438">
        <v>3.3E-3</v>
      </c>
      <c r="F473" s="438">
        <v>3.6916666666666664E-3</v>
      </c>
      <c r="G473" s="438">
        <v>3.7333333333333333E-3</v>
      </c>
      <c r="H473" s="438">
        <v>3.7124999999999997E-3</v>
      </c>
      <c r="I473" s="438">
        <v>3.7750000000000001E-3</v>
      </c>
      <c r="J473" s="438">
        <f t="shared" si="84"/>
        <v>3.1200000000000002E-2</v>
      </c>
      <c r="K473" s="438">
        <f t="shared" si="76"/>
        <v>3.0787500000000002E-2</v>
      </c>
      <c r="L473" s="438">
        <f t="shared" si="77"/>
        <v>3.3325E-2</v>
      </c>
      <c r="M473" s="446">
        <f t="shared" si="85"/>
        <v>0.17210197211169009</v>
      </c>
      <c r="N473" s="446">
        <f t="shared" si="86"/>
        <v>3.9599999999999996E-2</v>
      </c>
      <c r="O473" s="446">
        <f t="shared" si="78"/>
        <v>4.4549999999999992E-2</v>
      </c>
      <c r="P473" s="447">
        <f t="shared" si="87"/>
        <v>0.1325019721116901</v>
      </c>
      <c r="Q473" s="446">
        <f t="shared" si="79"/>
        <v>0.12755197211169012</v>
      </c>
      <c r="R473" s="446">
        <f t="shared" si="80"/>
        <v>0.18691906157072191</v>
      </c>
      <c r="S473" s="446">
        <f t="shared" si="81"/>
        <v>4.53E-2</v>
      </c>
      <c r="T473" s="447">
        <f t="shared" si="82"/>
        <v>0.1416190615707219</v>
      </c>
      <c r="V473" s="448"/>
      <c r="W473" s="448"/>
      <c r="X473" s="448"/>
      <c r="Y473" s="448"/>
      <c r="Z473" s="448"/>
      <c r="AA473" s="448"/>
      <c r="AB473" s="448"/>
      <c r="AC473" s="448"/>
      <c r="AD473" s="448"/>
      <c r="AF473" s="448"/>
      <c r="AG473" s="448"/>
      <c r="AH473" s="448"/>
      <c r="AI473" s="448"/>
      <c r="AJ473" s="448"/>
      <c r="AK473" s="448"/>
      <c r="AL473" s="448"/>
      <c r="AM473" s="448"/>
      <c r="AN473" s="448"/>
      <c r="AP473" s="448"/>
      <c r="AQ473" s="448"/>
      <c r="AR473" s="448"/>
      <c r="AS473" s="448"/>
      <c r="AT473" s="448"/>
      <c r="AU473" s="448"/>
      <c r="AV473" s="448"/>
      <c r="AW473" s="448"/>
      <c r="AX473" s="448"/>
    </row>
    <row r="474" spans="1:50" x14ac:dyDescent="0.4">
      <c r="A474" s="442" t="str">
        <f t="shared" si="83"/>
        <v>21965</v>
      </c>
      <c r="B474" s="442">
        <v>23774</v>
      </c>
      <c r="C474" s="455">
        <v>3.0999999999999999E-3</v>
      </c>
      <c r="D474" s="438">
        <v>8.9999999999999998E-4</v>
      </c>
      <c r="E474" s="438">
        <v>3.2000000000000002E-3</v>
      </c>
      <c r="F474" s="438">
        <v>3.6749999999999999E-3</v>
      </c>
      <c r="G474" s="438">
        <v>3.7166666666666663E-3</v>
      </c>
      <c r="H474" s="438">
        <v>3.6958333333333331E-3</v>
      </c>
      <c r="I474" s="438">
        <v>3.7583333333333331E-3</v>
      </c>
      <c r="J474" s="438">
        <f t="shared" si="84"/>
        <v>-1.0000000000000026E-4</v>
      </c>
      <c r="K474" s="438">
        <f t="shared" si="76"/>
        <v>-5.958333333333332E-4</v>
      </c>
      <c r="L474" s="438">
        <f t="shared" si="77"/>
        <v>-2.8583333333333334E-3</v>
      </c>
      <c r="M474" s="446">
        <f t="shared" si="85"/>
        <v>0.15870256058464216</v>
      </c>
      <c r="N474" s="446">
        <f t="shared" si="86"/>
        <v>3.8400000000000004E-2</v>
      </c>
      <c r="O474" s="446">
        <f t="shared" si="78"/>
        <v>4.4350000000000001E-2</v>
      </c>
      <c r="P474" s="447">
        <f t="shared" si="87"/>
        <v>0.12030256058464216</v>
      </c>
      <c r="Q474" s="446">
        <f t="shared" si="79"/>
        <v>0.11435256058464216</v>
      </c>
      <c r="R474" s="446">
        <f t="shared" si="80"/>
        <v>0.1841978555882533</v>
      </c>
      <c r="S474" s="446">
        <f t="shared" si="81"/>
        <v>4.5100000000000001E-2</v>
      </c>
      <c r="T474" s="447">
        <f t="shared" si="82"/>
        <v>0.1390978555882533</v>
      </c>
      <c r="V474" s="448"/>
      <c r="W474" s="448"/>
      <c r="X474" s="448"/>
      <c r="Y474" s="448"/>
      <c r="Z474" s="448"/>
      <c r="AA474" s="448"/>
      <c r="AB474" s="448"/>
      <c r="AC474" s="448"/>
      <c r="AD474" s="448"/>
      <c r="AF474" s="448"/>
      <c r="AG474" s="448"/>
      <c r="AH474" s="448"/>
      <c r="AI474" s="448"/>
      <c r="AJ474" s="448"/>
      <c r="AK474" s="448"/>
      <c r="AL474" s="448"/>
      <c r="AM474" s="448"/>
      <c r="AN474" s="448"/>
      <c r="AP474" s="448"/>
      <c r="AQ474" s="448"/>
      <c r="AR474" s="448"/>
      <c r="AS474" s="448"/>
      <c r="AT474" s="448"/>
      <c r="AU474" s="448"/>
      <c r="AV474" s="448"/>
      <c r="AW474" s="448"/>
      <c r="AX474" s="448"/>
    </row>
    <row r="475" spans="1:50" x14ac:dyDescent="0.4">
      <c r="A475" s="442" t="str">
        <f t="shared" si="83"/>
        <v>31965</v>
      </c>
      <c r="B475" s="442">
        <v>23802</v>
      </c>
      <c r="C475" s="455">
        <v>-1.3299999999999999E-2</v>
      </c>
      <c r="D475" s="438">
        <v>6.9999999999999988E-4</v>
      </c>
      <c r="E475" s="438">
        <v>3.8E-3</v>
      </c>
      <c r="F475" s="438">
        <v>3.6833333333333336E-3</v>
      </c>
      <c r="G475" s="438">
        <v>3.7333333333333333E-3</v>
      </c>
      <c r="H475" s="438">
        <v>3.7083333333333334E-3</v>
      </c>
      <c r="I475" s="438">
        <v>3.7499999999999999E-3</v>
      </c>
      <c r="J475" s="438">
        <f t="shared" si="84"/>
        <v>-1.7100000000000001E-2</v>
      </c>
      <c r="K475" s="438">
        <f t="shared" si="76"/>
        <v>-1.7008333333333334E-2</v>
      </c>
      <c r="L475" s="438">
        <f t="shared" si="77"/>
        <v>-3.0499999999999998E-3</v>
      </c>
      <c r="M475" s="446">
        <f t="shared" si="85"/>
        <v>0.12473371030877178</v>
      </c>
      <c r="N475" s="446">
        <f t="shared" si="86"/>
        <v>4.5600000000000002E-2</v>
      </c>
      <c r="O475" s="446">
        <f t="shared" si="78"/>
        <v>4.4499999999999998E-2</v>
      </c>
      <c r="P475" s="447">
        <f t="shared" si="87"/>
        <v>7.9133710308771782E-2</v>
      </c>
      <c r="Q475" s="446">
        <f t="shared" si="79"/>
        <v>8.0233710308771786E-2</v>
      </c>
      <c r="R475" s="446">
        <f t="shared" si="80"/>
        <v>0.18918895543117387</v>
      </c>
      <c r="S475" s="446">
        <f t="shared" si="81"/>
        <v>4.4999999999999998E-2</v>
      </c>
      <c r="T475" s="447">
        <f t="shared" si="82"/>
        <v>0.14418895543117388</v>
      </c>
      <c r="V475" s="448"/>
      <c r="W475" s="448"/>
      <c r="X475" s="448"/>
      <c r="Y475" s="448"/>
      <c r="Z475" s="448"/>
      <c r="AA475" s="448"/>
      <c r="AB475" s="448"/>
      <c r="AC475" s="448"/>
      <c r="AD475" s="448"/>
      <c r="AF475" s="448"/>
      <c r="AG475" s="448"/>
      <c r="AH475" s="448"/>
      <c r="AI475" s="448"/>
      <c r="AJ475" s="448"/>
      <c r="AK475" s="448"/>
      <c r="AL475" s="448"/>
      <c r="AM475" s="448"/>
      <c r="AN475" s="448"/>
      <c r="AP475" s="448"/>
      <c r="AQ475" s="448"/>
      <c r="AR475" s="448"/>
      <c r="AS475" s="448"/>
      <c r="AT475" s="448"/>
      <c r="AU475" s="448"/>
      <c r="AV475" s="448"/>
      <c r="AW475" s="448"/>
      <c r="AX475" s="448"/>
    </row>
    <row r="476" spans="1:50" x14ac:dyDescent="0.4">
      <c r="A476" s="442" t="str">
        <f t="shared" si="83"/>
        <v>41965</v>
      </c>
      <c r="B476" s="442">
        <v>23833</v>
      </c>
      <c r="C476" s="455">
        <v>3.56E-2</v>
      </c>
      <c r="D476" s="438">
        <v>1.09E-2</v>
      </c>
      <c r="E476" s="438">
        <v>3.3E-3</v>
      </c>
      <c r="F476" s="438">
        <v>3.6916666666666664E-3</v>
      </c>
      <c r="G476" s="438">
        <v>3.7333333333333333E-3</v>
      </c>
      <c r="H476" s="438">
        <v>3.7124999999999997E-3</v>
      </c>
      <c r="I476" s="438">
        <v>3.741666666666667E-3</v>
      </c>
      <c r="J476" s="438">
        <f t="shared" si="84"/>
        <v>3.2300000000000002E-2</v>
      </c>
      <c r="K476" s="438">
        <f t="shared" si="76"/>
        <v>3.1887499999999999E-2</v>
      </c>
      <c r="L476" s="438">
        <f t="shared" si="77"/>
        <v>7.1583333333333325E-3</v>
      </c>
      <c r="M476" s="446">
        <f t="shared" si="85"/>
        <v>0.15610345448711049</v>
      </c>
      <c r="N476" s="446">
        <f t="shared" si="86"/>
        <v>3.9599999999999996E-2</v>
      </c>
      <c r="O476" s="446">
        <f t="shared" si="78"/>
        <v>4.4549999999999992E-2</v>
      </c>
      <c r="P476" s="447">
        <f t="shared" si="87"/>
        <v>0.1165034544871105</v>
      </c>
      <c r="Q476" s="446">
        <f t="shared" si="79"/>
        <v>0.1115534544871105</v>
      </c>
      <c r="R476" s="446">
        <f t="shared" si="80"/>
        <v>0.19415030798189514</v>
      </c>
      <c r="S476" s="446">
        <f t="shared" si="81"/>
        <v>4.4900000000000002E-2</v>
      </c>
      <c r="T476" s="447">
        <f t="shared" si="82"/>
        <v>0.14925030798189515</v>
      </c>
      <c r="V476" s="448"/>
      <c r="W476" s="448"/>
      <c r="X476" s="448"/>
      <c r="Y476" s="448"/>
      <c r="Z476" s="448"/>
      <c r="AA476" s="448"/>
      <c r="AB476" s="448"/>
      <c r="AC476" s="448"/>
      <c r="AD476" s="448"/>
      <c r="AF476" s="448"/>
      <c r="AG476" s="448"/>
      <c r="AH476" s="448"/>
      <c r="AI476" s="448"/>
      <c r="AJ476" s="448"/>
      <c r="AK476" s="448"/>
      <c r="AL476" s="448"/>
      <c r="AM476" s="448"/>
      <c r="AN476" s="448"/>
      <c r="AP476" s="448"/>
      <c r="AQ476" s="448"/>
      <c r="AR476" s="448"/>
      <c r="AS476" s="448"/>
      <c r="AT476" s="448"/>
      <c r="AU476" s="448"/>
      <c r="AV476" s="448"/>
      <c r="AW476" s="448"/>
      <c r="AX476" s="448"/>
    </row>
    <row r="477" spans="1:50" x14ac:dyDescent="0.4">
      <c r="A477" s="442" t="str">
        <f t="shared" si="83"/>
        <v>51965</v>
      </c>
      <c r="B477" s="442">
        <v>23863</v>
      </c>
      <c r="C477" s="455">
        <v>-3.0000000000000001E-3</v>
      </c>
      <c r="D477" s="438">
        <v>-8.3999999999999995E-3</v>
      </c>
      <c r="E477" s="438">
        <v>3.3E-3</v>
      </c>
      <c r="F477" s="438">
        <v>3.7000000000000006E-3</v>
      </c>
      <c r="G477" s="438">
        <v>3.741666666666667E-3</v>
      </c>
      <c r="H477" s="438">
        <v>3.7208333333333338E-3</v>
      </c>
      <c r="I477" s="438">
        <v>3.7499999999999999E-3</v>
      </c>
      <c r="J477" s="438">
        <f t="shared" si="84"/>
        <v>-6.3E-3</v>
      </c>
      <c r="K477" s="438">
        <f t="shared" ref="K477:K540" si="88">C477-H477</f>
        <v>-6.7208333333333339E-3</v>
      </c>
      <c r="L477" s="438">
        <f t="shared" ref="L477:L540" si="89">$D477-I477</f>
        <v>-1.2149999999999999E-2</v>
      </c>
      <c r="M477" s="446">
        <f t="shared" si="85"/>
        <v>0.13426013001736781</v>
      </c>
      <c r="N477" s="446">
        <f t="shared" si="86"/>
        <v>3.9599999999999996E-2</v>
      </c>
      <c r="O477" s="446">
        <f t="shared" si="78"/>
        <v>4.4650000000000009E-2</v>
      </c>
      <c r="P477" s="447">
        <f t="shared" si="87"/>
        <v>9.4660130017367811E-2</v>
      </c>
      <c r="Q477" s="446">
        <f t="shared" si="79"/>
        <v>8.9610130017367798E-2</v>
      </c>
      <c r="R477" s="446">
        <f t="shared" si="80"/>
        <v>0.18034234987524611</v>
      </c>
      <c r="S477" s="446">
        <f t="shared" si="81"/>
        <v>4.4999999999999998E-2</v>
      </c>
      <c r="T477" s="447">
        <f t="shared" si="82"/>
        <v>0.13534234987524613</v>
      </c>
      <c r="V477" s="448"/>
      <c r="W477" s="448"/>
      <c r="X477" s="448"/>
      <c r="Y477" s="448"/>
      <c r="Z477" s="448"/>
      <c r="AA477" s="448"/>
      <c r="AB477" s="448"/>
      <c r="AC477" s="448"/>
      <c r="AD477" s="448"/>
      <c r="AF477" s="448"/>
      <c r="AG477" s="448"/>
      <c r="AH477" s="448"/>
      <c r="AI477" s="448"/>
      <c r="AJ477" s="448"/>
      <c r="AK477" s="448"/>
      <c r="AL477" s="448"/>
      <c r="AM477" s="448"/>
      <c r="AN477" s="448"/>
      <c r="AP477" s="448"/>
      <c r="AQ477" s="448"/>
      <c r="AR477" s="448"/>
      <c r="AS477" s="448"/>
      <c r="AT477" s="448"/>
      <c r="AU477" s="448"/>
      <c r="AV477" s="448"/>
      <c r="AW477" s="448"/>
      <c r="AX477" s="448"/>
    </row>
    <row r="478" spans="1:50" x14ac:dyDescent="0.4">
      <c r="A478" s="442" t="str">
        <f t="shared" si="83"/>
        <v>61965</v>
      </c>
      <c r="B478" s="442">
        <v>23894</v>
      </c>
      <c r="C478" s="455">
        <v>-4.7300000000000002E-2</v>
      </c>
      <c r="D478" s="438">
        <v>-3.4000000000000002E-2</v>
      </c>
      <c r="E478" s="438">
        <v>3.8E-3</v>
      </c>
      <c r="F478" s="438">
        <v>3.7166666666666663E-3</v>
      </c>
      <c r="G478" s="438">
        <v>3.7666666666666664E-3</v>
      </c>
      <c r="H478" s="438">
        <v>3.7416666666666666E-3</v>
      </c>
      <c r="I478" s="438">
        <v>3.7666666666666664E-3</v>
      </c>
      <c r="J478" s="438">
        <f t="shared" si="84"/>
        <v>-5.11E-2</v>
      </c>
      <c r="K478" s="438">
        <f t="shared" si="88"/>
        <v>-5.1041666666666666E-2</v>
      </c>
      <c r="L478" s="438">
        <f t="shared" si="89"/>
        <v>-3.7766666666666671E-2</v>
      </c>
      <c r="M478" s="446">
        <f t="shared" si="85"/>
        <v>6.1711167093285724E-2</v>
      </c>
      <c r="N478" s="446">
        <f t="shared" si="86"/>
        <v>4.5600000000000002E-2</v>
      </c>
      <c r="O478" s="446">
        <f t="shared" si="78"/>
        <v>4.4899999999999995E-2</v>
      </c>
      <c r="P478" s="447">
        <f t="shared" si="87"/>
        <v>1.6111167093285722E-2</v>
      </c>
      <c r="Q478" s="446">
        <f t="shared" si="79"/>
        <v>1.6811167093285728E-2</v>
      </c>
      <c r="R478" s="446">
        <f t="shared" si="80"/>
        <v>0.11413983777553982</v>
      </c>
      <c r="S478" s="446">
        <f t="shared" si="81"/>
        <v>4.5199999999999997E-2</v>
      </c>
      <c r="T478" s="447">
        <f t="shared" si="82"/>
        <v>6.8939837775539831E-2</v>
      </c>
      <c r="V478" s="448"/>
      <c r="W478" s="448"/>
      <c r="X478" s="448"/>
      <c r="Y478" s="448"/>
      <c r="Z478" s="448"/>
      <c r="AA478" s="448"/>
      <c r="AB478" s="448"/>
      <c r="AC478" s="448"/>
      <c r="AD478" s="448"/>
      <c r="AF478" s="448"/>
      <c r="AG478" s="448"/>
      <c r="AH478" s="448"/>
      <c r="AI478" s="448"/>
      <c r="AJ478" s="448"/>
      <c r="AK478" s="448"/>
      <c r="AL478" s="448"/>
      <c r="AM478" s="448"/>
      <c r="AN478" s="448"/>
      <c r="AP478" s="448"/>
      <c r="AQ478" s="448"/>
      <c r="AR478" s="448"/>
      <c r="AS478" s="448"/>
      <c r="AT478" s="448"/>
      <c r="AU478" s="448"/>
      <c r="AV478" s="448"/>
      <c r="AW478" s="448"/>
      <c r="AX478" s="448"/>
    </row>
    <row r="479" spans="1:50" x14ac:dyDescent="0.4">
      <c r="A479" s="442" t="str">
        <f t="shared" si="83"/>
        <v>71965</v>
      </c>
      <c r="B479" s="442">
        <v>23924</v>
      </c>
      <c r="C479" s="455">
        <v>1.47E-2</v>
      </c>
      <c r="D479" s="438">
        <v>1.0500000000000001E-2</v>
      </c>
      <c r="E479" s="438">
        <v>3.3999999999999998E-3</v>
      </c>
      <c r="F479" s="438">
        <v>3.7333333333333333E-3</v>
      </c>
      <c r="G479" s="438">
        <v>3.7999999999999996E-3</v>
      </c>
      <c r="H479" s="438">
        <v>3.7666666666666664E-3</v>
      </c>
      <c r="I479" s="438">
        <v>3.7833333333333334E-3</v>
      </c>
      <c r="J479" s="438">
        <f t="shared" si="84"/>
        <v>1.1299999999999999E-2</v>
      </c>
      <c r="K479" s="438">
        <f t="shared" si="88"/>
        <v>1.0933333333333333E-2</v>
      </c>
      <c r="L479" s="438">
        <f t="shared" si="89"/>
        <v>6.7166666666666677E-3</v>
      </c>
      <c r="M479" s="446">
        <f t="shared" si="85"/>
        <v>5.6712428886274591E-2</v>
      </c>
      <c r="N479" s="446">
        <f t="shared" si="86"/>
        <v>4.0799999999999996E-2</v>
      </c>
      <c r="O479" s="446">
        <f t="shared" si="78"/>
        <v>4.5199999999999997E-2</v>
      </c>
      <c r="P479" s="447">
        <f t="shared" si="87"/>
        <v>1.5912428886274595E-2</v>
      </c>
      <c r="Q479" s="446">
        <f t="shared" si="79"/>
        <v>1.1512428886274594E-2</v>
      </c>
      <c r="R479" s="446">
        <f t="shared" si="80"/>
        <v>7.5196548631633719E-2</v>
      </c>
      <c r="S479" s="446">
        <f t="shared" si="81"/>
        <v>4.5400000000000003E-2</v>
      </c>
      <c r="T479" s="447">
        <f t="shared" si="82"/>
        <v>2.9796548631633717E-2</v>
      </c>
      <c r="V479" s="448"/>
      <c r="W479" s="448"/>
      <c r="X479" s="448"/>
      <c r="Y479" s="448"/>
      <c r="Z479" s="448"/>
      <c r="AA479" s="448"/>
      <c r="AB479" s="448"/>
      <c r="AC479" s="448"/>
      <c r="AD479" s="448"/>
      <c r="AF479" s="448"/>
      <c r="AG479" s="448"/>
      <c r="AH479" s="448"/>
      <c r="AI479" s="448"/>
      <c r="AJ479" s="448"/>
      <c r="AK479" s="448"/>
      <c r="AL479" s="448"/>
      <c r="AM479" s="448"/>
      <c r="AN479" s="448"/>
      <c r="AP479" s="448"/>
      <c r="AQ479" s="448"/>
      <c r="AR479" s="448"/>
      <c r="AS479" s="448"/>
      <c r="AT479" s="448"/>
      <c r="AU479" s="448"/>
      <c r="AV479" s="448"/>
      <c r="AW479" s="448"/>
      <c r="AX479" s="448"/>
    </row>
    <row r="480" spans="1:50" x14ac:dyDescent="0.4">
      <c r="A480" s="442" t="str">
        <f t="shared" si="83"/>
        <v>81965</v>
      </c>
      <c r="B480" s="442">
        <v>23955</v>
      </c>
      <c r="C480" s="455">
        <v>2.7199999999999998E-2</v>
      </c>
      <c r="D480" s="438">
        <v>9.7000000000000003E-3</v>
      </c>
      <c r="E480" s="438">
        <v>3.7000000000000002E-3</v>
      </c>
      <c r="F480" s="438">
        <v>3.741666666666667E-3</v>
      </c>
      <c r="G480" s="438">
        <v>3.8250000000000003E-3</v>
      </c>
      <c r="H480" s="438">
        <v>3.7833333333333334E-3</v>
      </c>
      <c r="I480" s="438">
        <v>3.8166666666666666E-3</v>
      </c>
      <c r="J480" s="438">
        <f t="shared" si="84"/>
        <v>2.35E-2</v>
      </c>
      <c r="K480" s="438">
        <f t="shared" si="88"/>
        <v>2.3416666666666665E-2</v>
      </c>
      <c r="L480" s="438">
        <f t="shared" si="89"/>
        <v>5.8833333333333342E-3</v>
      </c>
      <c r="M480" s="446">
        <f t="shared" si="85"/>
        <v>9.841631952234442E-2</v>
      </c>
      <c r="N480" s="446">
        <f t="shared" si="86"/>
        <v>4.4400000000000002E-2</v>
      </c>
      <c r="O480" s="446">
        <f t="shared" si="78"/>
        <v>4.5400000000000003E-2</v>
      </c>
      <c r="P480" s="447">
        <f t="shared" si="87"/>
        <v>5.4016319522344418E-2</v>
      </c>
      <c r="Q480" s="446">
        <f t="shared" si="79"/>
        <v>5.3016319522344417E-2</v>
      </c>
      <c r="R480" s="446">
        <f t="shared" si="80"/>
        <v>8.227091531588071E-2</v>
      </c>
      <c r="S480" s="446">
        <f t="shared" si="81"/>
        <v>4.58E-2</v>
      </c>
      <c r="T480" s="447">
        <f t="shared" si="82"/>
        <v>3.647091531588071E-2</v>
      </c>
      <c r="V480" s="448"/>
      <c r="W480" s="448"/>
      <c r="X480" s="448"/>
      <c r="Y480" s="448"/>
      <c r="Z480" s="448"/>
      <c r="AA480" s="448"/>
      <c r="AB480" s="448"/>
      <c r="AC480" s="448"/>
      <c r="AD480" s="448"/>
      <c r="AF480" s="448"/>
      <c r="AG480" s="448"/>
      <c r="AH480" s="448"/>
      <c r="AI480" s="448"/>
      <c r="AJ480" s="448"/>
      <c r="AK480" s="448"/>
      <c r="AL480" s="448"/>
      <c r="AM480" s="448"/>
      <c r="AN480" s="448"/>
      <c r="AP480" s="448"/>
      <c r="AQ480" s="448"/>
      <c r="AR480" s="448"/>
      <c r="AS480" s="448"/>
      <c r="AT480" s="448"/>
      <c r="AU480" s="448"/>
      <c r="AV480" s="448"/>
      <c r="AW480" s="448"/>
      <c r="AX480" s="448"/>
    </row>
    <row r="481" spans="1:50" x14ac:dyDescent="0.4">
      <c r="A481" s="442" t="str">
        <f t="shared" si="83"/>
        <v>91965</v>
      </c>
      <c r="B481" s="442">
        <v>23986</v>
      </c>
      <c r="C481" s="455">
        <v>3.3399999999999999E-2</v>
      </c>
      <c r="D481" s="438">
        <v>1.9400000000000001E-2</v>
      </c>
      <c r="E481" s="438">
        <v>3.5000000000000005E-3</v>
      </c>
      <c r="F481" s="438">
        <v>3.7666666666666664E-3</v>
      </c>
      <c r="G481" s="438">
        <v>3.858333333333333E-3</v>
      </c>
      <c r="H481" s="438">
        <v>3.8124999999999999E-3</v>
      </c>
      <c r="I481" s="438">
        <v>3.858333333333333E-3</v>
      </c>
      <c r="J481" s="438">
        <f t="shared" si="84"/>
        <v>2.9899999999999999E-2</v>
      </c>
      <c r="K481" s="438">
        <f t="shared" si="88"/>
        <v>2.9587499999999999E-2</v>
      </c>
      <c r="L481" s="438">
        <f t="shared" si="89"/>
        <v>1.5541666666666667E-2</v>
      </c>
      <c r="M481" s="446">
        <f t="shared" si="85"/>
        <v>0.10193517580272937</v>
      </c>
      <c r="N481" s="446">
        <f t="shared" si="86"/>
        <v>4.200000000000001E-2</v>
      </c>
      <c r="O481" s="446">
        <f t="shared" si="78"/>
        <v>4.5749999999999999E-2</v>
      </c>
      <c r="P481" s="447">
        <f t="shared" si="87"/>
        <v>5.9935175802729362E-2</v>
      </c>
      <c r="Q481" s="446">
        <f t="shared" si="79"/>
        <v>5.6185175802729373E-2</v>
      </c>
      <c r="R481" s="446">
        <f t="shared" si="80"/>
        <v>8.4824946974443538E-2</v>
      </c>
      <c r="S481" s="446">
        <f t="shared" si="81"/>
        <v>4.6299999999999994E-2</v>
      </c>
      <c r="T481" s="447">
        <f t="shared" si="82"/>
        <v>3.8524946974443544E-2</v>
      </c>
      <c r="V481" s="448"/>
      <c r="W481" s="448"/>
      <c r="X481" s="448"/>
      <c r="Y481" s="448"/>
      <c r="Z481" s="448"/>
      <c r="AA481" s="448"/>
      <c r="AB481" s="448"/>
      <c r="AC481" s="448"/>
      <c r="AD481" s="448"/>
      <c r="AF481" s="448"/>
      <c r="AG481" s="448"/>
      <c r="AH481" s="448"/>
      <c r="AI481" s="448"/>
      <c r="AJ481" s="448"/>
      <c r="AK481" s="448"/>
      <c r="AL481" s="448"/>
      <c r="AM481" s="448"/>
      <c r="AN481" s="448"/>
      <c r="AP481" s="448"/>
      <c r="AQ481" s="448"/>
      <c r="AR481" s="448"/>
      <c r="AS481" s="448"/>
      <c r="AT481" s="448"/>
      <c r="AU481" s="448"/>
      <c r="AV481" s="448"/>
      <c r="AW481" s="448"/>
      <c r="AX481" s="448"/>
    </row>
    <row r="482" spans="1:50" x14ac:dyDescent="0.4">
      <c r="A482" s="442" t="str">
        <f t="shared" si="83"/>
        <v>101965</v>
      </c>
      <c r="B482" s="442">
        <v>24016</v>
      </c>
      <c r="C482" s="455">
        <v>2.8899999999999999E-2</v>
      </c>
      <c r="D482" s="438">
        <v>1.2900000000000002E-2</v>
      </c>
      <c r="E482" s="438">
        <v>3.3999999999999998E-3</v>
      </c>
      <c r="F482" s="438">
        <v>3.7999999999999996E-3</v>
      </c>
      <c r="G482" s="438">
        <v>3.8833333333333337E-3</v>
      </c>
      <c r="H482" s="438">
        <v>3.8416666666666664E-3</v>
      </c>
      <c r="I482" s="438">
        <v>3.8833333333333337E-3</v>
      </c>
      <c r="J482" s="438">
        <f t="shared" si="84"/>
        <v>2.5499999999999998E-2</v>
      </c>
      <c r="K482" s="438">
        <f t="shared" si="88"/>
        <v>2.5058333333333332E-2</v>
      </c>
      <c r="L482" s="438">
        <f t="shared" si="89"/>
        <v>9.0166666666666676E-3</v>
      </c>
      <c r="M482" s="446">
        <f t="shared" si="85"/>
        <v>0.12300029950814961</v>
      </c>
      <c r="N482" s="446">
        <f t="shared" si="86"/>
        <v>4.0799999999999996E-2</v>
      </c>
      <c r="O482" s="446">
        <f t="shared" si="78"/>
        <v>4.6099999999999995E-2</v>
      </c>
      <c r="P482" s="447">
        <f t="shared" si="87"/>
        <v>8.220029950814961E-2</v>
      </c>
      <c r="Q482" s="446">
        <f t="shared" si="79"/>
        <v>7.6900299508149611E-2</v>
      </c>
      <c r="R482" s="446">
        <f t="shared" si="80"/>
        <v>8.0982969788897075E-2</v>
      </c>
      <c r="S482" s="446">
        <f t="shared" si="81"/>
        <v>4.6600000000000003E-2</v>
      </c>
      <c r="T482" s="447">
        <f t="shared" si="82"/>
        <v>3.4382969788897072E-2</v>
      </c>
      <c r="V482" s="448"/>
      <c r="W482" s="448"/>
      <c r="X482" s="448"/>
      <c r="Y482" s="448"/>
      <c r="Z482" s="448"/>
      <c r="AA482" s="448"/>
      <c r="AB482" s="448"/>
      <c r="AC482" s="448"/>
      <c r="AD482" s="448"/>
      <c r="AF482" s="448"/>
      <c r="AG482" s="448"/>
      <c r="AH482" s="448"/>
      <c r="AI482" s="448"/>
      <c r="AJ482" s="448"/>
      <c r="AK482" s="448"/>
      <c r="AL482" s="448"/>
      <c r="AM482" s="448"/>
      <c r="AN482" s="448"/>
      <c r="AP482" s="448"/>
      <c r="AQ482" s="448"/>
      <c r="AR482" s="448"/>
      <c r="AS482" s="448"/>
      <c r="AT482" s="448"/>
      <c r="AU482" s="448"/>
      <c r="AV482" s="448"/>
      <c r="AW482" s="448"/>
      <c r="AX482" s="448"/>
    </row>
    <row r="483" spans="1:50" x14ac:dyDescent="0.4">
      <c r="A483" s="442" t="str">
        <f t="shared" si="83"/>
        <v>111965</v>
      </c>
      <c r="B483" s="442">
        <v>24047</v>
      </c>
      <c r="C483" s="455">
        <v>-3.0999999999999999E-3</v>
      </c>
      <c r="D483" s="438">
        <v>-1.1599999999999999E-2</v>
      </c>
      <c r="E483" s="438">
        <v>3.7000000000000002E-3</v>
      </c>
      <c r="F483" s="438">
        <v>3.8333333333333331E-3</v>
      </c>
      <c r="G483" s="438">
        <v>3.908333333333334E-3</v>
      </c>
      <c r="H483" s="438">
        <v>3.8708333333333333E-3</v>
      </c>
      <c r="I483" s="438">
        <v>3.9250000000000005E-3</v>
      </c>
      <c r="J483" s="438">
        <f t="shared" si="84"/>
        <v>-6.8000000000000005E-3</v>
      </c>
      <c r="K483" s="438">
        <f t="shared" si="88"/>
        <v>-6.9708333333333332E-3</v>
      </c>
      <c r="L483" s="438">
        <f t="shared" si="89"/>
        <v>-1.5525000000000001E-2</v>
      </c>
      <c r="M483" s="446">
        <f t="shared" si="85"/>
        <v>0.11895951882026434</v>
      </c>
      <c r="N483" s="446">
        <f t="shared" si="86"/>
        <v>4.4400000000000002E-2</v>
      </c>
      <c r="O483" s="446">
        <f t="shared" si="78"/>
        <v>4.6449999999999998E-2</v>
      </c>
      <c r="P483" s="447">
        <f t="shared" si="87"/>
        <v>7.4559518820264348E-2</v>
      </c>
      <c r="Q483" s="446">
        <f t="shared" si="79"/>
        <v>7.2509518820264351E-2</v>
      </c>
      <c r="R483" s="446">
        <f t="shared" si="80"/>
        <v>5.6400600493716979E-2</v>
      </c>
      <c r="S483" s="446">
        <f t="shared" si="81"/>
        <v>4.7100000000000003E-2</v>
      </c>
      <c r="T483" s="447">
        <f t="shared" si="82"/>
        <v>9.3006004937169762E-3</v>
      </c>
      <c r="V483" s="448"/>
      <c r="W483" s="448"/>
      <c r="X483" s="448"/>
      <c r="Y483" s="448"/>
      <c r="Z483" s="448"/>
      <c r="AA483" s="448"/>
      <c r="AB483" s="448"/>
      <c r="AC483" s="448"/>
      <c r="AD483" s="448"/>
      <c r="AF483" s="448"/>
      <c r="AG483" s="448"/>
      <c r="AH483" s="448"/>
      <c r="AI483" s="448"/>
      <c r="AJ483" s="448"/>
      <c r="AK483" s="448"/>
      <c r="AL483" s="448"/>
      <c r="AM483" s="448"/>
      <c r="AN483" s="448"/>
      <c r="AP483" s="448"/>
      <c r="AQ483" s="448"/>
      <c r="AR483" s="448"/>
      <c r="AS483" s="448"/>
      <c r="AT483" s="448"/>
      <c r="AU483" s="448"/>
      <c r="AV483" s="448"/>
      <c r="AW483" s="448"/>
      <c r="AX483" s="448"/>
    </row>
    <row r="484" spans="1:50" x14ac:dyDescent="0.4">
      <c r="A484" s="442" t="str">
        <f t="shared" si="83"/>
        <v>121965</v>
      </c>
      <c r="B484" s="442">
        <v>24077</v>
      </c>
      <c r="C484" s="455">
        <v>1.06E-2</v>
      </c>
      <c r="D484" s="438">
        <v>-7.9999999999999993E-4</v>
      </c>
      <c r="E484" s="438">
        <v>3.7000000000000002E-3</v>
      </c>
      <c r="F484" s="438">
        <v>3.8999999999999994E-3</v>
      </c>
      <c r="G484" s="438">
        <v>4.0000000000000001E-3</v>
      </c>
      <c r="H484" s="438">
        <v>3.9499999999999995E-3</v>
      </c>
      <c r="I484" s="438">
        <v>4.0249999999999999E-3</v>
      </c>
      <c r="J484" s="438">
        <f t="shared" si="84"/>
        <v>6.8999999999999999E-3</v>
      </c>
      <c r="K484" s="438">
        <f t="shared" si="88"/>
        <v>6.6500000000000005E-3</v>
      </c>
      <c r="L484" s="438">
        <f t="shared" si="89"/>
        <v>-4.8249999999999994E-3</v>
      </c>
      <c r="M484" s="446">
        <f t="shared" si="85"/>
        <v>0.12452316002362673</v>
      </c>
      <c r="N484" s="446">
        <f t="shared" si="86"/>
        <v>4.4400000000000002E-2</v>
      </c>
      <c r="O484" s="446">
        <f t="shared" si="78"/>
        <v>4.7399999999999998E-2</v>
      </c>
      <c r="P484" s="447">
        <f t="shared" si="87"/>
        <v>8.0123160023626738E-2</v>
      </c>
      <c r="Q484" s="446">
        <f t="shared" si="79"/>
        <v>7.7123160023626736E-2</v>
      </c>
      <c r="R484" s="446">
        <f t="shared" si="80"/>
        <v>4.6555106100854671E-2</v>
      </c>
      <c r="S484" s="446">
        <f t="shared" si="81"/>
        <v>4.8299999999999996E-2</v>
      </c>
      <c r="T484" s="447">
        <f t="shared" si="82"/>
        <v>-1.744893899145325E-3</v>
      </c>
      <c r="V484" s="448"/>
      <c r="W484" s="448"/>
      <c r="X484" s="448"/>
      <c r="Y484" s="448"/>
      <c r="Z484" s="448"/>
      <c r="AA484" s="448"/>
      <c r="AB484" s="448"/>
      <c r="AC484" s="448"/>
      <c r="AD484" s="448"/>
      <c r="AF484" s="448"/>
      <c r="AG484" s="448"/>
      <c r="AH484" s="448"/>
      <c r="AI484" s="448"/>
      <c r="AJ484" s="448"/>
      <c r="AK484" s="448"/>
      <c r="AL484" s="448"/>
      <c r="AM484" s="448"/>
      <c r="AN484" s="448"/>
      <c r="AP484" s="448"/>
      <c r="AQ484" s="448"/>
      <c r="AR484" s="448"/>
      <c r="AS484" s="448"/>
      <c r="AT484" s="448"/>
      <c r="AU484" s="448"/>
      <c r="AV484" s="448"/>
      <c r="AW484" s="448"/>
      <c r="AX484" s="448"/>
    </row>
    <row r="485" spans="1:50" x14ac:dyDescent="0.4">
      <c r="A485" s="442" t="str">
        <f t="shared" si="83"/>
        <v>11966</v>
      </c>
      <c r="B485" s="442">
        <v>24108</v>
      </c>
      <c r="C485" s="455">
        <v>6.1999999999999998E-3</v>
      </c>
      <c r="D485" s="438">
        <v>-2.9699999999999997E-2</v>
      </c>
      <c r="E485" s="438">
        <v>3.8E-3</v>
      </c>
      <c r="F485" s="438">
        <v>3.9500000000000004E-3</v>
      </c>
      <c r="G485" s="438">
        <v>4.0249999999999999E-3</v>
      </c>
      <c r="H485" s="438">
        <v>3.9875000000000006E-3</v>
      </c>
      <c r="I485" s="438">
        <v>4.0500000000000006E-3</v>
      </c>
      <c r="J485" s="438">
        <f t="shared" si="84"/>
        <v>2.3999999999999998E-3</v>
      </c>
      <c r="K485" s="438">
        <f t="shared" si="88"/>
        <v>2.2124999999999992E-3</v>
      </c>
      <c r="L485" s="438">
        <f t="shared" si="89"/>
        <v>-3.3749999999999995E-2</v>
      </c>
      <c r="M485" s="446">
        <f t="shared" si="85"/>
        <v>9.3760467487455701E-2</v>
      </c>
      <c r="N485" s="446">
        <f t="shared" si="86"/>
        <v>4.5600000000000002E-2</v>
      </c>
      <c r="O485" s="446">
        <f t="shared" si="78"/>
        <v>4.7850000000000004E-2</v>
      </c>
      <c r="P485" s="447">
        <f t="shared" si="87"/>
        <v>4.8160467487455699E-2</v>
      </c>
      <c r="Q485" s="446">
        <f t="shared" si="79"/>
        <v>4.5910467487455697E-2</v>
      </c>
      <c r="R485" s="446">
        <f t="shared" si="80"/>
        <v>-2.0853900829563288E-2</v>
      </c>
      <c r="S485" s="446">
        <f t="shared" si="81"/>
        <v>4.8600000000000004E-2</v>
      </c>
      <c r="T485" s="447">
        <f t="shared" si="82"/>
        <v>-6.9453900829563292E-2</v>
      </c>
      <c r="V485" s="448"/>
      <c r="W485" s="448"/>
      <c r="X485" s="448"/>
      <c r="Y485" s="448"/>
      <c r="Z485" s="448"/>
      <c r="AA485" s="448"/>
      <c r="AB485" s="448"/>
      <c r="AC485" s="448"/>
      <c r="AD485" s="448"/>
      <c r="AF485" s="448"/>
      <c r="AG485" s="448"/>
      <c r="AH485" s="448"/>
      <c r="AI485" s="448"/>
      <c r="AJ485" s="448"/>
      <c r="AK485" s="448"/>
      <c r="AL485" s="448"/>
      <c r="AM485" s="448"/>
      <c r="AN485" s="448"/>
      <c r="AP485" s="448"/>
      <c r="AQ485" s="448"/>
      <c r="AR485" s="448"/>
      <c r="AS485" s="448"/>
      <c r="AT485" s="448"/>
      <c r="AU485" s="448"/>
      <c r="AV485" s="448"/>
      <c r="AW485" s="448"/>
      <c r="AX485" s="448"/>
    </row>
    <row r="486" spans="1:50" x14ac:dyDescent="0.4">
      <c r="A486" s="442" t="str">
        <f t="shared" si="83"/>
        <v>21966</v>
      </c>
      <c r="B486" s="442">
        <v>24139</v>
      </c>
      <c r="C486" s="455">
        <v>-1.3100000000000001E-2</v>
      </c>
      <c r="D486" s="438">
        <v>-4.1399999999999999E-2</v>
      </c>
      <c r="E486" s="438">
        <v>3.3999999999999998E-3</v>
      </c>
      <c r="F486" s="438">
        <v>3.9833333333333335E-3</v>
      </c>
      <c r="G486" s="438">
        <v>4.0833333333333338E-3</v>
      </c>
      <c r="H486" s="438">
        <v>4.0333333333333341E-3</v>
      </c>
      <c r="I486" s="438">
        <v>4.0999999999999995E-3</v>
      </c>
      <c r="J486" s="438">
        <f t="shared" si="84"/>
        <v>-1.6500000000000001E-2</v>
      </c>
      <c r="K486" s="438">
        <f t="shared" si="88"/>
        <v>-1.7133333333333334E-2</v>
      </c>
      <c r="L486" s="438">
        <f t="shared" si="89"/>
        <v>-4.5499999999999999E-2</v>
      </c>
      <c r="M486" s="446">
        <f t="shared" si="85"/>
        <v>7.6096306812252212E-2</v>
      </c>
      <c r="N486" s="446">
        <f t="shared" si="86"/>
        <v>4.0799999999999996E-2</v>
      </c>
      <c r="O486" s="446">
        <f t="shared" si="78"/>
        <v>4.8400000000000012E-2</v>
      </c>
      <c r="P486" s="447">
        <f t="shared" si="87"/>
        <v>3.5296306812252216E-2</v>
      </c>
      <c r="Q486" s="446">
        <f t="shared" si="79"/>
        <v>2.76963068122522E-2</v>
      </c>
      <c r="R486" s="446">
        <f t="shared" si="80"/>
        <v>-6.2234538250793392E-2</v>
      </c>
      <c r="S486" s="446">
        <f t="shared" si="81"/>
        <v>4.9199999999999994E-2</v>
      </c>
      <c r="T486" s="447">
        <f t="shared" si="82"/>
        <v>-0.11143453825079339</v>
      </c>
      <c r="V486" s="448"/>
      <c r="W486" s="448"/>
      <c r="X486" s="448"/>
      <c r="Y486" s="448"/>
      <c r="Z486" s="448"/>
      <c r="AA486" s="448"/>
      <c r="AB486" s="448"/>
      <c r="AC486" s="448"/>
      <c r="AD486" s="448"/>
      <c r="AF486" s="448"/>
      <c r="AG486" s="448"/>
      <c r="AH486" s="448"/>
      <c r="AI486" s="448"/>
      <c r="AJ486" s="448"/>
      <c r="AK486" s="448"/>
      <c r="AL486" s="448"/>
      <c r="AM486" s="448"/>
      <c r="AN486" s="448"/>
      <c r="AP486" s="448"/>
      <c r="AQ486" s="448"/>
      <c r="AR486" s="448"/>
      <c r="AS486" s="448"/>
      <c r="AT486" s="448"/>
      <c r="AU486" s="448"/>
      <c r="AV486" s="448"/>
      <c r="AW486" s="448"/>
      <c r="AX486" s="448"/>
    </row>
    <row r="487" spans="1:50" x14ac:dyDescent="0.4">
      <c r="A487" s="442" t="str">
        <f t="shared" si="83"/>
        <v>31966</v>
      </c>
      <c r="B487" s="442">
        <v>24167</v>
      </c>
      <c r="C487" s="455">
        <v>-2.0500000000000001E-2</v>
      </c>
      <c r="D487" s="438">
        <v>-4.5000000000000005E-3</v>
      </c>
      <c r="E487" s="438">
        <v>4.0000000000000001E-3</v>
      </c>
      <c r="F487" s="438">
        <v>4.0999999999999995E-3</v>
      </c>
      <c r="G487" s="438">
        <v>4.208333333333333E-3</v>
      </c>
      <c r="H487" s="438">
        <v>4.1541666666666663E-3</v>
      </c>
      <c r="I487" s="438">
        <v>4.2833333333333326E-3</v>
      </c>
      <c r="J487" s="438">
        <f t="shared" si="84"/>
        <v>-2.4500000000000001E-2</v>
      </c>
      <c r="K487" s="438">
        <f t="shared" si="88"/>
        <v>-2.4654166666666668E-2</v>
      </c>
      <c r="L487" s="438">
        <f t="shared" si="89"/>
        <v>-8.783333333333334E-3</v>
      </c>
      <c r="M487" s="446">
        <f t="shared" si="85"/>
        <v>6.8243977422317803E-2</v>
      </c>
      <c r="N487" s="446">
        <f t="shared" si="86"/>
        <v>4.8000000000000001E-2</v>
      </c>
      <c r="O487" s="446">
        <f t="shared" si="78"/>
        <v>4.9849999999999992E-2</v>
      </c>
      <c r="P487" s="447">
        <f t="shared" si="87"/>
        <v>2.0243977422317802E-2</v>
      </c>
      <c r="Q487" s="446">
        <f t="shared" si="79"/>
        <v>1.8393977422317812E-2</v>
      </c>
      <c r="R487" s="446">
        <f t="shared" si="80"/>
        <v>-6.7107507573363478E-2</v>
      </c>
      <c r="S487" s="446">
        <f t="shared" si="81"/>
        <v>5.1399999999999987E-2</v>
      </c>
      <c r="T487" s="447">
        <f t="shared" si="82"/>
        <v>-0.11850750757336347</v>
      </c>
      <c r="V487" s="448"/>
      <c r="W487" s="448"/>
      <c r="X487" s="448"/>
      <c r="Y487" s="448"/>
      <c r="Z487" s="448"/>
      <c r="AA487" s="448"/>
      <c r="AB487" s="448"/>
      <c r="AC487" s="448"/>
      <c r="AD487" s="448"/>
      <c r="AF487" s="448"/>
      <c r="AG487" s="448"/>
      <c r="AH487" s="448"/>
      <c r="AI487" s="448"/>
      <c r="AJ487" s="448"/>
      <c r="AK487" s="448"/>
      <c r="AL487" s="448"/>
      <c r="AM487" s="448"/>
      <c r="AN487" s="448"/>
      <c r="AP487" s="448"/>
      <c r="AQ487" s="448"/>
      <c r="AR487" s="448"/>
      <c r="AS487" s="448"/>
      <c r="AT487" s="448"/>
      <c r="AU487" s="448"/>
      <c r="AV487" s="448"/>
      <c r="AW487" s="448"/>
      <c r="AX487" s="448"/>
    </row>
    <row r="488" spans="1:50" x14ac:dyDescent="0.4">
      <c r="A488" s="442" t="str">
        <f t="shared" si="83"/>
        <v>41966</v>
      </c>
      <c r="B488" s="442">
        <v>24198</v>
      </c>
      <c r="C488" s="455">
        <v>2.1999999999999999E-2</v>
      </c>
      <c r="D488" s="438">
        <v>1.72E-2</v>
      </c>
      <c r="E488" s="438">
        <v>3.5999999999999999E-3</v>
      </c>
      <c r="F488" s="438">
        <v>4.1083333333333336E-3</v>
      </c>
      <c r="G488" s="438">
        <v>4.2500000000000003E-3</v>
      </c>
      <c r="H488" s="438">
        <v>4.179166666666667E-3</v>
      </c>
      <c r="I488" s="438">
        <v>4.3750000000000004E-3</v>
      </c>
      <c r="J488" s="438">
        <f t="shared" si="84"/>
        <v>1.84E-2</v>
      </c>
      <c r="K488" s="438">
        <f t="shared" si="88"/>
        <v>1.7820833333333331E-2</v>
      </c>
      <c r="L488" s="438">
        <f t="shared" si="89"/>
        <v>1.2825E-2</v>
      </c>
      <c r="M488" s="446">
        <f t="shared" si="85"/>
        <v>5.4215280924689635E-2</v>
      </c>
      <c r="N488" s="446">
        <f t="shared" si="86"/>
        <v>4.3200000000000002E-2</v>
      </c>
      <c r="O488" s="446">
        <f t="shared" ref="O488:O551" si="90">H488*12</f>
        <v>5.015E-2</v>
      </c>
      <c r="P488" s="447">
        <f t="shared" si="87"/>
        <v>1.1015280924689633E-2</v>
      </c>
      <c r="Q488" s="446">
        <f t="shared" ref="Q488:Q551" si="91">M488-O488</f>
        <v>4.0652809246896349E-3</v>
      </c>
      <c r="R488" s="446">
        <f t="shared" ref="R488:R551" si="92">((1+D477)*(1+D478)*(1+D479)*(1+D480)*(1+D481)*(1+D482)*(1+D483)*(1+D484)*(1+D485)*(1+D486)*(1+D487)*(1+D488))-1</f>
        <v>-6.1293655854807949E-2</v>
      </c>
      <c r="S488" s="446">
        <f t="shared" ref="S488:S551" si="93">I488*12</f>
        <v>5.2500000000000005E-2</v>
      </c>
      <c r="T488" s="447">
        <f t="shared" ref="T488:T551" si="94">R488-S488</f>
        <v>-0.11379365585480795</v>
      </c>
      <c r="V488" s="448"/>
      <c r="W488" s="448"/>
      <c r="X488" s="448"/>
      <c r="Y488" s="448"/>
      <c r="Z488" s="448"/>
      <c r="AA488" s="448"/>
      <c r="AB488" s="448"/>
      <c r="AC488" s="448"/>
      <c r="AD488" s="448"/>
      <c r="AF488" s="448"/>
      <c r="AG488" s="448"/>
      <c r="AH488" s="448"/>
      <c r="AI488" s="448"/>
      <c r="AJ488" s="448"/>
      <c r="AK488" s="448"/>
      <c r="AL488" s="448"/>
      <c r="AM488" s="448"/>
      <c r="AN488" s="448"/>
      <c r="AP488" s="448"/>
      <c r="AQ488" s="448"/>
      <c r="AR488" s="448"/>
      <c r="AS488" s="448"/>
      <c r="AT488" s="448"/>
      <c r="AU488" s="448"/>
      <c r="AV488" s="448"/>
      <c r="AW488" s="448"/>
      <c r="AX488" s="448"/>
    </row>
    <row r="489" spans="1:50" x14ac:dyDescent="0.4">
      <c r="A489" s="442" t="str">
        <f t="shared" ref="A489:A552" si="95">MONTH(B489)&amp;YEAR(B489)</f>
        <v>51966</v>
      </c>
      <c r="B489" s="442">
        <v>24228</v>
      </c>
      <c r="C489" s="455">
        <v>-4.9200000000000001E-2</v>
      </c>
      <c r="D489" s="438">
        <v>-2.9600000000000001E-2</v>
      </c>
      <c r="E489" s="438">
        <v>4.1000000000000003E-3</v>
      </c>
      <c r="F489" s="438">
        <v>4.15E-3</v>
      </c>
      <c r="G489" s="438">
        <v>4.2500000000000003E-3</v>
      </c>
      <c r="H489" s="438">
        <v>4.2000000000000006E-3</v>
      </c>
      <c r="I489" s="438">
        <v>4.3750000000000004E-3</v>
      </c>
      <c r="J489" s="438">
        <f t="shared" si="84"/>
        <v>-5.33E-2</v>
      </c>
      <c r="K489" s="438">
        <f t="shared" si="88"/>
        <v>-5.3400000000000003E-2</v>
      </c>
      <c r="L489" s="438">
        <f t="shared" si="89"/>
        <v>-3.3975000000000005E-2</v>
      </c>
      <c r="M489" s="446">
        <f t="shared" si="85"/>
        <v>5.3639810463337323E-3</v>
      </c>
      <c r="N489" s="446">
        <f t="shared" si="86"/>
        <v>4.9200000000000008E-2</v>
      </c>
      <c r="O489" s="446">
        <f t="shared" si="90"/>
        <v>5.0400000000000007E-2</v>
      </c>
      <c r="P489" s="447">
        <f t="shared" si="87"/>
        <v>-4.3836018953666275E-2</v>
      </c>
      <c r="Q489" s="446">
        <f t="shared" si="91"/>
        <v>-4.5036018953666275E-2</v>
      </c>
      <c r="R489" s="446">
        <f t="shared" si="92"/>
        <v>-8.1362811256056267E-2</v>
      </c>
      <c r="S489" s="446">
        <f t="shared" si="93"/>
        <v>5.2500000000000005E-2</v>
      </c>
      <c r="T489" s="447">
        <f t="shared" si="94"/>
        <v>-0.13386281125605626</v>
      </c>
      <c r="V489" s="448"/>
      <c r="W489" s="448"/>
      <c r="X489" s="448"/>
      <c r="Y489" s="448"/>
      <c r="Z489" s="448"/>
      <c r="AA489" s="448"/>
      <c r="AB489" s="448"/>
      <c r="AC489" s="448"/>
      <c r="AD489" s="448"/>
      <c r="AF489" s="448"/>
      <c r="AG489" s="448"/>
      <c r="AH489" s="448"/>
      <c r="AI489" s="448"/>
      <c r="AJ489" s="448"/>
      <c r="AK489" s="448"/>
      <c r="AL489" s="448"/>
      <c r="AM489" s="448"/>
      <c r="AN489" s="448"/>
      <c r="AP489" s="448"/>
      <c r="AQ489" s="448"/>
      <c r="AR489" s="448"/>
      <c r="AS489" s="448"/>
      <c r="AT489" s="448"/>
      <c r="AU489" s="448"/>
      <c r="AV489" s="448"/>
      <c r="AW489" s="448"/>
      <c r="AX489" s="448"/>
    </row>
    <row r="490" spans="1:50" x14ac:dyDescent="0.4">
      <c r="A490" s="442" t="str">
        <f t="shared" si="95"/>
        <v>61966</v>
      </c>
      <c r="B490" s="442">
        <v>24259</v>
      </c>
      <c r="C490" s="455">
        <v>-1.46E-2</v>
      </c>
      <c r="D490" s="438">
        <v>-1.8099999999999998E-2</v>
      </c>
      <c r="E490" s="438">
        <v>3.8999999999999994E-3</v>
      </c>
      <c r="F490" s="438">
        <v>4.2250000000000005E-3</v>
      </c>
      <c r="G490" s="438">
        <v>4.3E-3</v>
      </c>
      <c r="H490" s="438">
        <v>4.2624999999999998E-3</v>
      </c>
      <c r="I490" s="438">
        <v>4.5000000000000005E-3</v>
      </c>
      <c r="J490" s="438">
        <f t="shared" si="84"/>
        <v>-1.8499999999999999E-2</v>
      </c>
      <c r="K490" s="438">
        <f t="shared" si="88"/>
        <v>-1.8862500000000001E-2</v>
      </c>
      <c r="L490" s="438">
        <f t="shared" si="89"/>
        <v>-2.2599999999999999E-2</v>
      </c>
      <c r="M490" s="446">
        <f t="shared" si="85"/>
        <v>3.9871593285460083E-2</v>
      </c>
      <c r="N490" s="446">
        <f t="shared" si="86"/>
        <v>4.6799999999999994E-2</v>
      </c>
      <c r="O490" s="446">
        <f t="shared" si="90"/>
        <v>5.1150000000000001E-2</v>
      </c>
      <c r="P490" s="447">
        <f t="shared" si="87"/>
        <v>-6.9284067145399114E-3</v>
      </c>
      <c r="Q490" s="446">
        <f t="shared" si="91"/>
        <v>-1.1278406714539918E-2</v>
      </c>
      <c r="R490" s="446">
        <f t="shared" si="92"/>
        <v>-6.6242385478594068E-2</v>
      </c>
      <c r="S490" s="446">
        <f t="shared" si="93"/>
        <v>5.4000000000000006E-2</v>
      </c>
      <c r="T490" s="447">
        <f t="shared" si="94"/>
        <v>-0.12024238547859407</v>
      </c>
      <c r="V490" s="448"/>
      <c r="W490" s="448"/>
      <c r="X490" s="448"/>
      <c r="Y490" s="448"/>
      <c r="Z490" s="448"/>
      <c r="AA490" s="448"/>
      <c r="AB490" s="448"/>
      <c r="AC490" s="448"/>
      <c r="AD490" s="448"/>
      <c r="AF490" s="448"/>
      <c r="AG490" s="448"/>
      <c r="AH490" s="448"/>
      <c r="AI490" s="448"/>
      <c r="AJ490" s="448"/>
      <c r="AK490" s="448"/>
      <c r="AL490" s="448"/>
      <c r="AM490" s="448"/>
      <c r="AN490" s="448"/>
      <c r="AP490" s="448"/>
      <c r="AQ490" s="448"/>
      <c r="AR490" s="448"/>
      <c r="AS490" s="448"/>
      <c r="AT490" s="448"/>
      <c r="AU490" s="448"/>
      <c r="AV490" s="448"/>
      <c r="AW490" s="448"/>
      <c r="AX490" s="448"/>
    </row>
    <row r="491" spans="1:50" x14ac:dyDescent="0.4">
      <c r="A491" s="442" t="str">
        <f t="shared" si="95"/>
        <v>71966</v>
      </c>
      <c r="B491" s="442">
        <v>24289</v>
      </c>
      <c r="C491" s="455">
        <v>-1.2E-2</v>
      </c>
      <c r="D491" s="438">
        <v>9.0000000000000019E-4</v>
      </c>
      <c r="E491" s="438">
        <v>3.8E-3</v>
      </c>
      <c r="F491" s="438">
        <v>4.3E-3</v>
      </c>
      <c r="G491" s="438">
        <v>4.3750000000000004E-3</v>
      </c>
      <c r="H491" s="438">
        <v>4.3374999999999993E-3</v>
      </c>
      <c r="I491" s="438">
        <v>4.5416666666666669E-3</v>
      </c>
      <c r="J491" s="438">
        <f t="shared" si="84"/>
        <v>-1.5800000000000002E-2</v>
      </c>
      <c r="K491" s="438">
        <f t="shared" si="88"/>
        <v>-1.6337499999999998E-2</v>
      </c>
      <c r="L491" s="438">
        <f t="shared" si="89"/>
        <v>-3.6416666666666667E-3</v>
      </c>
      <c r="M491" s="446">
        <f t="shared" si="85"/>
        <v>1.2509248217241087E-2</v>
      </c>
      <c r="N491" s="446">
        <f t="shared" si="86"/>
        <v>4.5600000000000002E-2</v>
      </c>
      <c r="O491" s="446">
        <f t="shared" si="90"/>
        <v>5.2049999999999992E-2</v>
      </c>
      <c r="P491" s="447">
        <f t="shared" si="87"/>
        <v>-3.3090751782758915E-2</v>
      </c>
      <c r="Q491" s="446">
        <f t="shared" si="91"/>
        <v>-3.9540751782758905E-2</v>
      </c>
      <c r="R491" s="446">
        <f t="shared" si="92"/>
        <v>-7.5113313830306394E-2</v>
      </c>
      <c r="S491" s="446">
        <f t="shared" si="93"/>
        <v>5.4500000000000007E-2</v>
      </c>
      <c r="T491" s="447">
        <f t="shared" si="94"/>
        <v>-0.12961331383030639</v>
      </c>
      <c r="V491" s="448"/>
      <c r="W491" s="448"/>
      <c r="X491" s="448"/>
      <c r="Y491" s="448"/>
      <c r="Z491" s="448"/>
      <c r="AA491" s="448"/>
      <c r="AB491" s="448"/>
      <c r="AC491" s="448"/>
      <c r="AD491" s="448"/>
      <c r="AF491" s="448"/>
      <c r="AG491" s="448"/>
      <c r="AH491" s="448"/>
      <c r="AI491" s="448"/>
      <c r="AJ491" s="448"/>
      <c r="AK491" s="448"/>
      <c r="AL491" s="448"/>
      <c r="AM491" s="448"/>
      <c r="AN491" s="448"/>
      <c r="AP491" s="448"/>
      <c r="AQ491" s="448"/>
      <c r="AR491" s="448"/>
      <c r="AS491" s="448"/>
      <c r="AT491" s="448"/>
      <c r="AU491" s="448"/>
      <c r="AV491" s="448"/>
      <c r="AW491" s="448"/>
      <c r="AX491" s="448"/>
    </row>
    <row r="492" spans="1:50" x14ac:dyDescent="0.4">
      <c r="A492" s="442" t="str">
        <f t="shared" si="95"/>
        <v>81966</v>
      </c>
      <c r="B492" s="442">
        <v>24320</v>
      </c>
      <c r="C492" s="455">
        <v>-7.2499999999999995E-2</v>
      </c>
      <c r="D492" s="438">
        <v>-8.7499999999999994E-2</v>
      </c>
      <c r="E492" s="438">
        <v>4.3E-3</v>
      </c>
      <c r="F492" s="438">
        <v>4.4249999999999992E-3</v>
      </c>
      <c r="G492" s="438">
        <v>4.4833333333333331E-3</v>
      </c>
      <c r="H492" s="438">
        <v>4.4541666666666662E-3</v>
      </c>
      <c r="I492" s="438">
        <v>4.6500000000000005E-3</v>
      </c>
      <c r="J492" s="438">
        <f t="shared" si="84"/>
        <v>-7.6799999999999993E-2</v>
      </c>
      <c r="K492" s="438">
        <f t="shared" si="88"/>
        <v>-7.6954166666666657E-2</v>
      </c>
      <c r="L492" s="438">
        <f t="shared" si="89"/>
        <v>-9.2149999999999996E-2</v>
      </c>
      <c r="M492" s="446">
        <f t="shared" si="85"/>
        <v>-8.5764867872380024E-2</v>
      </c>
      <c r="N492" s="446">
        <f t="shared" si="86"/>
        <v>5.16E-2</v>
      </c>
      <c r="O492" s="446">
        <f t="shared" si="90"/>
        <v>5.3449999999999998E-2</v>
      </c>
      <c r="P492" s="447">
        <f t="shared" si="87"/>
        <v>-0.13736486787238003</v>
      </c>
      <c r="Q492" s="446">
        <f t="shared" si="91"/>
        <v>-0.13921486787238002</v>
      </c>
      <c r="R492" s="446">
        <f t="shared" si="92"/>
        <v>-0.16414865689824198</v>
      </c>
      <c r="S492" s="446">
        <f t="shared" si="93"/>
        <v>5.5800000000000002E-2</v>
      </c>
      <c r="T492" s="447">
        <f t="shared" si="94"/>
        <v>-0.219948656898242</v>
      </c>
      <c r="V492" s="448"/>
      <c r="W492" s="448"/>
      <c r="X492" s="448"/>
      <c r="Y492" s="448"/>
      <c r="Z492" s="448"/>
      <c r="AA492" s="448"/>
      <c r="AB492" s="448"/>
      <c r="AC492" s="448"/>
      <c r="AD492" s="448"/>
      <c r="AF492" s="448"/>
      <c r="AG492" s="448"/>
      <c r="AH492" s="448"/>
      <c r="AI492" s="448"/>
      <c r="AJ492" s="448"/>
      <c r="AK492" s="448"/>
      <c r="AL492" s="448"/>
      <c r="AM492" s="448"/>
      <c r="AN492" s="448"/>
      <c r="AP492" s="448"/>
      <c r="AQ492" s="448"/>
      <c r="AR492" s="448"/>
      <c r="AS492" s="448"/>
      <c r="AT492" s="448"/>
      <c r="AU492" s="448"/>
      <c r="AV492" s="448"/>
      <c r="AW492" s="448"/>
      <c r="AX492" s="448"/>
    </row>
    <row r="493" spans="1:50" x14ac:dyDescent="0.4">
      <c r="A493" s="442" t="str">
        <f t="shared" si="95"/>
        <v>91966</v>
      </c>
      <c r="B493" s="442">
        <v>24351</v>
      </c>
      <c r="C493" s="455">
        <v>-5.3E-3</v>
      </c>
      <c r="D493" s="438">
        <v>4.7500000000000001E-2</v>
      </c>
      <c r="E493" s="438">
        <v>4.1000000000000003E-3</v>
      </c>
      <c r="F493" s="438">
        <v>4.5750000000000001E-3</v>
      </c>
      <c r="G493" s="438">
        <v>4.6500000000000005E-3</v>
      </c>
      <c r="H493" s="438">
        <v>4.6125000000000003E-3</v>
      </c>
      <c r="I493" s="438">
        <v>4.8416666666666669E-3</v>
      </c>
      <c r="J493" s="438">
        <f t="shared" si="84"/>
        <v>-9.4000000000000004E-3</v>
      </c>
      <c r="K493" s="438">
        <f t="shared" si="88"/>
        <v>-9.9125000000000012E-3</v>
      </c>
      <c r="L493" s="438">
        <f t="shared" si="89"/>
        <v>4.2658333333333333E-2</v>
      </c>
      <c r="M493" s="446">
        <f t="shared" si="85"/>
        <v>-0.12000223928068188</v>
      </c>
      <c r="N493" s="446">
        <f t="shared" si="86"/>
        <v>4.9200000000000008E-2</v>
      </c>
      <c r="O493" s="446">
        <f t="shared" si="90"/>
        <v>5.5350000000000003E-2</v>
      </c>
      <c r="P493" s="447">
        <f t="shared" si="87"/>
        <v>-0.1692022392806819</v>
      </c>
      <c r="Q493" s="446">
        <f t="shared" si="91"/>
        <v>-0.17535223928068189</v>
      </c>
      <c r="R493" s="446">
        <f t="shared" si="92"/>
        <v>-0.1411082186589252</v>
      </c>
      <c r="S493" s="446">
        <f t="shared" si="93"/>
        <v>5.8099999999999999E-2</v>
      </c>
      <c r="T493" s="447">
        <f t="shared" si="94"/>
        <v>-0.19920821865892518</v>
      </c>
      <c r="V493" s="448"/>
      <c r="W493" s="448"/>
      <c r="X493" s="448"/>
      <c r="Y493" s="448"/>
      <c r="Z493" s="448"/>
      <c r="AA493" s="448"/>
      <c r="AB493" s="448"/>
      <c r="AC493" s="448"/>
      <c r="AD493" s="448"/>
      <c r="AF493" s="448"/>
      <c r="AG493" s="448"/>
      <c r="AH493" s="448"/>
      <c r="AI493" s="448"/>
      <c r="AJ493" s="448"/>
      <c r="AK493" s="448"/>
      <c r="AL493" s="448"/>
      <c r="AM493" s="448"/>
      <c r="AN493" s="448"/>
      <c r="AP493" s="448"/>
      <c r="AQ493" s="448"/>
      <c r="AR493" s="448"/>
      <c r="AS493" s="448"/>
      <c r="AT493" s="448"/>
      <c r="AU493" s="448"/>
      <c r="AV493" s="448"/>
      <c r="AW493" s="448"/>
      <c r="AX493" s="448"/>
    </row>
    <row r="494" spans="1:50" x14ac:dyDescent="0.4">
      <c r="A494" s="442" t="str">
        <f t="shared" si="95"/>
        <v>101966</v>
      </c>
      <c r="B494" s="442">
        <v>24381</v>
      </c>
      <c r="C494" s="455">
        <v>4.9399999999999999E-2</v>
      </c>
      <c r="D494" s="438">
        <v>9.7000000000000017E-2</v>
      </c>
      <c r="E494" s="438">
        <v>4.0000000000000001E-3</v>
      </c>
      <c r="F494" s="438">
        <v>4.5083333333333338E-3</v>
      </c>
      <c r="G494" s="438">
        <v>4.5833333333333334E-3</v>
      </c>
      <c r="H494" s="438">
        <v>4.5458333333333331E-3</v>
      </c>
      <c r="I494" s="438">
        <v>4.783333333333333E-3</v>
      </c>
      <c r="J494" s="438">
        <f t="shared" si="84"/>
        <v>4.5399999999999996E-2</v>
      </c>
      <c r="K494" s="438">
        <f t="shared" si="88"/>
        <v>4.4854166666666667E-2</v>
      </c>
      <c r="L494" s="438">
        <f t="shared" si="89"/>
        <v>9.2216666666666683E-2</v>
      </c>
      <c r="M494" s="446">
        <f t="shared" si="85"/>
        <v>-0.10246899591908598</v>
      </c>
      <c r="N494" s="446">
        <f t="shared" si="86"/>
        <v>4.8000000000000001E-2</v>
      </c>
      <c r="O494" s="446">
        <f t="shared" si="90"/>
        <v>5.4550000000000001E-2</v>
      </c>
      <c r="P494" s="447">
        <f t="shared" si="87"/>
        <v>-0.15046899591908597</v>
      </c>
      <c r="Q494" s="446">
        <f t="shared" si="91"/>
        <v>-0.15701899591908597</v>
      </c>
      <c r="R494" s="446">
        <f t="shared" si="92"/>
        <v>-6.9795355779288082E-2</v>
      </c>
      <c r="S494" s="446">
        <f t="shared" si="93"/>
        <v>5.7399999999999993E-2</v>
      </c>
      <c r="T494" s="447">
        <f t="shared" si="94"/>
        <v>-0.12719535577928809</v>
      </c>
      <c r="V494" s="448"/>
      <c r="W494" s="448"/>
      <c r="X494" s="448"/>
      <c r="Y494" s="448"/>
      <c r="Z494" s="448"/>
      <c r="AA494" s="448"/>
      <c r="AB494" s="448"/>
      <c r="AC494" s="448"/>
      <c r="AD494" s="448"/>
      <c r="AF494" s="448"/>
      <c r="AG494" s="448"/>
      <c r="AH494" s="448"/>
      <c r="AI494" s="448"/>
      <c r="AJ494" s="448"/>
      <c r="AK494" s="448"/>
      <c r="AL494" s="448"/>
      <c r="AM494" s="448"/>
      <c r="AN494" s="448"/>
      <c r="AP494" s="448"/>
      <c r="AQ494" s="448"/>
      <c r="AR494" s="448"/>
      <c r="AS494" s="448"/>
      <c r="AT494" s="448"/>
      <c r="AU494" s="448"/>
      <c r="AV494" s="448"/>
      <c r="AW494" s="448"/>
      <c r="AX494" s="448"/>
    </row>
    <row r="495" spans="1:50" x14ac:dyDescent="0.4">
      <c r="A495" s="442" t="str">
        <f t="shared" si="95"/>
        <v>111966</v>
      </c>
      <c r="B495" s="442">
        <v>24412</v>
      </c>
      <c r="C495" s="455">
        <v>9.4999999999999998E-3</v>
      </c>
      <c r="D495" s="438">
        <v>-7.6E-3</v>
      </c>
      <c r="E495" s="438">
        <v>3.8E-3</v>
      </c>
      <c r="F495" s="438">
        <v>4.4583333333333332E-3</v>
      </c>
      <c r="G495" s="438">
        <v>4.5500000000000002E-3</v>
      </c>
      <c r="H495" s="438">
        <v>4.5041666666666667E-3</v>
      </c>
      <c r="I495" s="438">
        <v>4.6916666666666669E-3</v>
      </c>
      <c r="J495" s="438">
        <f t="shared" si="84"/>
        <v>5.7000000000000002E-3</v>
      </c>
      <c r="K495" s="438">
        <f t="shared" si="88"/>
        <v>4.995833333333333E-3</v>
      </c>
      <c r="L495" s="438">
        <f t="shared" si="89"/>
        <v>-1.2291666666666666E-2</v>
      </c>
      <c r="M495" s="446">
        <f t="shared" si="85"/>
        <v>-9.1124938690257284E-2</v>
      </c>
      <c r="N495" s="446">
        <f t="shared" si="86"/>
        <v>4.5600000000000002E-2</v>
      </c>
      <c r="O495" s="446">
        <f t="shared" si="90"/>
        <v>5.4050000000000001E-2</v>
      </c>
      <c r="P495" s="447">
        <f t="shared" si="87"/>
        <v>-0.13672493869025729</v>
      </c>
      <c r="Q495" s="446">
        <f t="shared" si="91"/>
        <v>-0.14517493869025727</v>
      </c>
      <c r="R495" s="446">
        <f t="shared" si="92"/>
        <v>-6.6030869157593597E-2</v>
      </c>
      <c r="S495" s="446">
        <f t="shared" si="93"/>
        <v>5.6300000000000003E-2</v>
      </c>
      <c r="T495" s="447">
        <f t="shared" si="94"/>
        <v>-0.1223308691575936</v>
      </c>
      <c r="V495" s="448"/>
      <c r="W495" s="448"/>
      <c r="X495" s="448"/>
      <c r="Y495" s="448"/>
      <c r="Z495" s="448"/>
      <c r="AA495" s="448"/>
      <c r="AB495" s="448"/>
      <c r="AC495" s="448"/>
      <c r="AD495" s="448"/>
      <c r="AF495" s="448"/>
      <c r="AG495" s="448"/>
      <c r="AH495" s="448"/>
      <c r="AI495" s="448"/>
      <c r="AJ495" s="448"/>
      <c r="AK495" s="448"/>
      <c r="AL495" s="448"/>
      <c r="AM495" s="448"/>
      <c r="AN495" s="448"/>
      <c r="AP495" s="448"/>
      <c r="AQ495" s="448"/>
      <c r="AR495" s="448"/>
      <c r="AS495" s="448"/>
      <c r="AT495" s="448"/>
      <c r="AU495" s="448"/>
      <c r="AV495" s="448"/>
      <c r="AW495" s="448"/>
      <c r="AX495" s="448"/>
    </row>
    <row r="496" spans="1:50" x14ac:dyDescent="0.4">
      <c r="A496" s="442" t="str">
        <f t="shared" si="95"/>
        <v>121966</v>
      </c>
      <c r="B496" s="442">
        <v>24442</v>
      </c>
      <c r="C496" s="455">
        <v>2.0000000000000001E-4</v>
      </c>
      <c r="D496" s="438">
        <v>2.2099999999999998E-2</v>
      </c>
      <c r="E496" s="438">
        <v>3.8999999999999994E-3</v>
      </c>
      <c r="F496" s="438">
        <v>4.4916666666666664E-3</v>
      </c>
      <c r="G496" s="438">
        <v>4.5666666666666668E-3</v>
      </c>
      <c r="H496" s="438">
        <v>4.5291666666666666E-3</v>
      </c>
      <c r="I496" s="438">
        <v>4.725E-3</v>
      </c>
      <c r="J496" s="438">
        <f t="shared" si="84"/>
        <v>-3.6999999999999993E-3</v>
      </c>
      <c r="K496" s="438">
        <f t="shared" si="88"/>
        <v>-4.3291666666666669E-3</v>
      </c>
      <c r="L496" s="438">
        <f t="shared" si="89"/>
        <v>1.7374999999999998E-2</v>
      </c>
      <c r="M496" s="446">
        <f t="shared" si="85"/>
        <v>-0.10047809586185941</v>
      </c>
      <c r="N496" s="446">
        <f t="shared" si="86"/>
        <v>4.6799999999999994E-2</v>
      </c>
      <c r="O496" s="446">
        <f t="shared" si="90"/>
        <v>5.4349999999999996E-2</v>
      </c>
      <c r="P496" s="447">
        <f t="shared" si="87"/>
        <v>-0.14727809586185941</v>
      </c>
      <c r="Q496" s="446">
        <f t="shared" si="91"/>
        <v>-0.15482809586185942</v>
      </c>
      <c r="R496" s="446">
        <f t="shared" si="92"/>
        <v>-4.4625852047614489E-2</v>
      </c>
      <c r="S496" s="446">
        <f t="shared" si="93"/>
        <v>5.67E-2</v>
      </c>
      <c r="T496" s="447">
        <f t="shared" si="94"/>
        <v>-0.10132585204761449</v>
      </c>
      <c r="V496" s="448"/>
      <c r="W496" s="448"/>
      <c r="X496" s="448"/>
      <c r="Y496" s="448"/>
      <c r="Z496" s="448"/>
      <c r="AA496" s="448"/>
      <c r="AB496" s="448"/>
      <c r="AC496" s="448"/>
      <c r="AD496" s="448"/>
      <c r="AF496" s="448"/>
      <c r="AG496" s="448"/>
      <c r="AH496" s="448"/>
      <c r="AI496" s="448"/>
      <c r="AJ496" s="448"/>
      <c r="AK496" s="448"/>
      <c r="AL496" s="448"/>
      <c r="AM496" s="448"/>
      <c r="AN496" s="448"/>
      <c r="AP496" s="448"/>
      <c r="AQ496" s="448"/>
      <c r="AR496" s="448"/>
      <c r="AS496" s="448"/>
      <c r="AT496" s="448"/>
      <c r="AU496" s="448"/>
      <c r="AV496" s="448"/>
      <c r="AW496" s="448"/>
      <c r="AX496" s="448"/>
    </row>
    <row r="497" spans="1:50" x14ac:dyDescent="0.4">
      <c r="A497" s="442" t="str">
        <f t="shared" si="95"/>
        <v>11967</v>
      </c>
      <c r="B497" s="442">
        <v>24473</v>
      </c>
      <c r="C497" s="455">
        <v>7.9799999999999996E-2</v>
      </c>
      <c r="D497" s="438">
        <v>2.7100000000000003E-2</v>
      </c>
      <c r="E497" s="438">
        <v>4.0000000000000001E-3</v>
      </c>
      <c r="F497" s="438">
        <v>4.3333333333333331E-3</v>
      </c>
      <c r="G497" s="438">
        <v>4.4166666666666668E-3</v>
      </c>
      <c r="H497" s="438">
        <v>4.3750000000000004E-3</v>
      </c>
      <c r="I497" s="438">
        <v>4.5500000000000002E-3</v>
      </c>
      <c r="J497" s="438">
        <f t="shared" si="84"/>
        <v>7.5799999999999992E-2</v>
      </c>
      <c r="K497" s="438">
        <f t="shared" si="88"/>
        <v>7.5424999999999992E-2</v>
      </c>
      <c r="L497" s="438">
        <f t="shared" si="89"/>
        <v>2.2550000000000001E-2</v>
      </c>
      <c r="M497" s="446">
        <f t="shared" si="85"/>
        <v>-3.4681224320846304E-2</v>
      </c>
      <c r="N497" s="446">
        <f t="shared" si="86"/>
        <v>4.8000000000000001E-2</v>
      </c>
      <c r="O497" s="446">
        <f t="shared" si="90"/>
        <v>5.2500000000000005E-2</v>
      </c>
      <c r="P497" s="447">
        <f t="shared" si="87"/>
        <v>-8.2681224320846305E-2</v>
      </c>
      <c r="Q497" s="446">
        <f t="shared" si="91"/>
        <v>-8.7181224320846309E-2</v>
      </c>
      <c r="R497" s="446">
        <f t="shared" si="92"/>
        <v>1.1300409524781063E-2</v>
      </c>
      <c r="S497" s="446">
        <f t="shared" si="93"/>
        <v>5.4600000000000003E-2</v>
      </c>
      <c r="T497" s="447">
        <f t="shared" si="94"/>
        <v>-4.329959047521894E-2</v>
      </c>
      <c r="V497" s="448"/>
      <c r="W497" s="448"/>
      <c r="X497" s="448"/>
      <c r="Y497" s="448"/>
      <c r="Z497" s="448"/>
      <c r="AA497" s="448"/>
      <c r="AB497" s="448"/>
      <c r="AC497" s="448"/>
      <c r="AD497" s="448"/>
      <c r="AF497" s="448"/>
      <c r="AG497" s="448"/>
      <c r="AH497" s="448"/>
      <c r="AI497" s="448"/>
      <c r="AJ497" s="448"/>
      <c r="AK497" s="448"/>
      <c r="AL497" s="448"/>
      <c r="AM497" s="448"/>
      <c r="AN497" s="448"/>
      <c r="AP497" s="448"/>
      <c r="AQ497" s="448"/>
      <c r="AR497" s="448"/>
      <c r="AS497" s="448"/>
      <c r="AT497" s="448"/>
      <c r="AU497" s="448"/>
      <c r="AV497" s="448"/>
      <c r="AW497" s="448"/>
      <c r="AX497" s="448"/>
    </row>
    <row r="498" spans="1:50" x14ac:dyDescent="0.4">
      <c r="A498" s="442" t="str">
        <f t="shared" si="95"/>
        <v>21967</v>
      </c>
      <c r="B498" s="442">
        <v>24504</v>
      </c>
      <c r="C498" s="455">
        <v>7.1999999999999998E-3</v>
      </c>
      <c r="D498" s="438">
        <v>-1.5699999999999999E-2</v>
      </c>
      <c r="E498" s="438">
        <v>3.3999999999999998E-3</v>
      </c>
      <c r="F498" s="438">
        <v>4.1916666666666665E-3</v>
      </c>
      <c r="G498" s="438">
        <v>4.3166666666666666E-3</v>
      </c>
      <c r="H498" s="438">
        <v>4.2541666666666665E-3</v>
      </c>
      <c r="I498" s="438">
        <v>4.4000000000000003E-3</v>
      </c>
      <c r="J498" s="438">
        <f t="shared" si="84"/>
        <v>3.8E-3</v>
      </c>
      <c r="K498" s="438">
        <f t="shared" si="88"/>
        <v>2.9458333333333333E-3</v>
      </c>
      <c r="L498" s="438">
        <f t="shared" si="89"/>
        <v>-2.01E-2</v>
      </c>
      <c r="M498" s="446">
        <f t="shared" si="85"/>
        <v>-1.4825138449646724E-2</v>
      </c>
      <c r="N498" s="446">
        <f t="shared" si="86"/>
        <v>4.0799999999999996E-2</v>
      </c>
      <c r="O498" s="446">
        <f t="shared" si="90"/>
        <v>5.1049999999999998E-2</v>
      </c>
      <c r="P498" s="447">
        <f t="shared" si="87"/>
        <v>-5.562513844964672E-2</v>
      </c>
      <c r="Q498" s="446">
        <f t="shared" si="91"/>
        <v>-6.5875138449646722E-2</v>
      </c>
      <c r="R498" s="446">
        <f t="shared" si="92"/>
        <v>3.8413303875695748E-2</v>
      </c>
      <c r="S498" s="446">
        <f t="shared" si="93"/>
        <v>5.28E-2</v>
      </c>
      <c r="T498" s="447">
        <f t="shared" si="94"/>
        <v>-1.4386696124304252E-2</v>
      </c>
      <c r="V498" s="448"/>
      <c r="W498" s="448"/>
      <c r="X498" s="448"/>
      <c r="Y498" s="448"/>
      <c r="Z498" s="448"/>
      <c r="AA498" s="448"/>
      <c r="AB498" s="448"/>
      <c r="AC498" s="448"/>
      <c r="AD498" s="448"/>
      <c r="AF498" s="448"/>
      <c r="AG498" s="448"/>
      <c r="AH498" s="448"/>
      <c r="AI498" s="448"/>
      <c r="AJ498" s="448"/>
      <c r="AK498" s="448"/>
      <c r="AL498" s="448"/>
      <c r="AM498" s="448"/>
      <c r="AN498" s="448"/>
      <c r="AP498" s="448"/>
      <c r="AQ498" s="448"/>
      <c r="AR498" s="448"/>
      <c r="AS498" s="448"/>
      <c r="AT498" s="448"/>
      <c r="AU498" s="448"/>
      <c r="AV498" s="448"/>
      <c r="AW498" s="448"/>
      <c r="AX498" s="448"/>
    </row>
    <row r="499" spans="1:50" x14ac:dyDescent="0.4">
      <c r="A499" s="442" t="str">
        <f t="shared" si="95"/>
        <v>31967</v>
      </c>
      <c r="B499" s="442">
        <v>24532</v>
      </c>
      <c r="C499" s="455">
        <v>4.0899999999999999E-2</v>
      </c>
      <c r="D499" s="438">
        <v>1.9700000000000002E-2</v>
      </c>
      <c r="E499" s="438">
        <v>3.8999999999999994E-3</v>
      </c>
      <c r="F499" s="438">
        <v>4.2750000000000002E-3</v>
      </c>
      <c r="G499" s="438">
        <v>4.3583333333333339E-3</v>
      </c>
      <c r="H499" s="438">
        <v>4.3166666666666666E-3</v>
      </c>
      <c r="I499" s="438">
        <v>4.5333333333333337E-3</v>
      </c>
      <c r="J499" s="438">
        <f t="shared" si="84"/>
        <v>3.6999999999999998E-2</v>
      </c>
      <c r="K499" s="438">
        <f t="shared" si="88"/>
        <v>3.6583333333333329E-2</v>
      </c>
      <c r="L499" s="438">
        <f t="shared" si="89"/>
        <v>1.5166666666666669E-2</v>
      </c>
      <c r="M499" s="446">
        <f t="shared" si="85"/>
        <v>4.6930590492866076E-2</v>
      </c>
      <c r="N499" s="446">
        <f t="shared" si="86"/>
        <v>4.6799999999999994E-2</v>
      </c>
      <c r="O499" s="446">
        <f t="shared" si="90"/>
        <v>5.1799999999999999E-2</v>
      </c>
      <c r="P499" s="447">
        <f t="shared" si="87"/>
        <v>1.3059049286608115E-4</v>
      </c>
      <c r="Q499" s="446">
        <f t="shared" si="91"/>
        <v>-4.8694095071339233E-3</v>
      </c>
      <c r="R499" s="446">
        <f t="shared" si="92"/>
        <v>6.3656500213005396E-2</v>
      </c>
      <c r="S499" s="446">
        <f t="shared" si="93"/>
        <v>5.4400000000000004E-2</v>
      </c>
      <c r="T499" s="447">
        <f t="shared" si="94"/>
        <v>9.2565002130053919E-3</v>
      </c>
      <c r="V499" s="448"/>
      <c r="W499" s="448"/>
      <c r="X499" s="448"/>
      <c r="Y499" s="448"/>
      <c r="Z499" s="448"/>
      <c r="AA499" s="448"/>
      <c r="AB499" s="448"/>
      <c r="AC499" s="448"/>
      <c r="AD499" s="448"/>
      <c r="AF499" s="448"/>
      <c r="AG499" s="448"/>
      <c r="AH499" s="448"/>
      <c r="AI499" s="448"/>
      <c r="AJ499" s="448"/>
      <c r="AK499" s="448"/>
      <c r="AL499" s="448"/>
      <c r="AM499" s="448"/>
      <c r="AN499" s="448"/>
      <c r="AP499" s="448"/>
      <c r="AQ499" s="448"/>
      <c r="AR499" s="448"/>
      <c r="AS499" s="448"/>
      <c r="AT499" s="448"/>
      <c r="AU499" s="448"/>
      <c r="AV499" s="448"/>
      <c r="AW499" s="448"/>
      <c r="AX499" s="448"/>
    </row>
    <row r="500" spans="1:50" x14ac:dyDescent="0.4">
      <c r="A500" s="442" t="str">
        <f t="shared" si="95"/>
        <v>41967</v>
      </c>
      <c r="B500" s="442">
        <v>24563</v>
      </c>
      <c r="C500" s="455">
        <v>4.3700000000000003E-2</v>
      </c>
      <c r="D500" s="438">
        <v>2.0199999999999999E-2</v>
      </c>
      <c r="E500" s="438">
        <v>3.5000000000000005E-3</v>
      </c>
      <c r="F500" s="438">
        <v>4.2583333333333336E-3</v>
      </c>
      <c r="G500" s="438">
        <v>4.3833333333333328E-3</v>
      </c>
      <c r="H500" s="438">
        <v>4.3208333333333328E-3</v>
      </c>
      <c r="I500" s="438">
        <v>4.5166666666666662E-3</v>
      </c>
      <c r="J500" s="438">
        <f t="shared" si="84"/>
        <v>4.02E-2</v>
      </c>
      <c r="K500" s="438">
        <f t="shared" si="88"/>
        <v>3.9379166666666673E-2</v>
      </c>
      <c r="L500" s="438">
        <f t="shared" si="89"/>
        <v>1.5683333333333334E-2</v>
      </c>
      <c r="M500" s="446">
        <f t="shared" si="85"/>
        <v>6.9159938647167074E-2</v>
      </c>
      <c r="N500" s="446">
        <f t="shared" si="86"/>
        <v>4.200000000000001E-2</v>
      </c>
      <c r="O500" s="446">
        <f t="shared" si="90"/>
        <v>5.1849999999999993E-2</v>
      </c>
      <c r="P500" s="447">
        <f t="shared" si="87"/>
        <v>2.7159938647167065E-2</v>
      </c>
      <c r="Q500" s="446">
        <f t="shared" si="91"/>
        <v>1.7309938647167081E-2</v>
      </c>
      <c r="R500" s="446">
        <f t="shared" si="92"/>
        <v>6.6793513092123558E-2</v>
      </c>
      <c r="S500" s="446">
        <f t="shared" si="93"/>
        <v>5.4199999999999998E-2</v>
      </c>
      <c r="T500" s="447">
        <f t="shared" si="94"/>
        <v>1.2593513092123559E-2</v>
      </c>
      <c r="V500" s="448"/>
      <c r="W500" s="448"/>
      <c r="X500" s="448"/>
      <c r="Y500" s="448"/>
      <c r="Z500" s="448"/>
      <c r="AA500" s="448"/>
      <c r="AB500" s="448"/>
      <c r="AC500" s="448"/>
      <c r="AD500" s="448"/>
      <c r="AF500" s="448"/>
      <c r="AG500" s="448"/>
      <c r="AH500" s="448"/>
      <c r="AI500" s="448"/>
      <c r="AJ500" s="448"/>
      <c r="AK500" s="448"/>
      <c r="AL500" s="448"/>
      <c r="AM500" s="448"/>
      <c r="AN500" s="448"/>
      <c r="AP500" s="448"/>
      <c r="AQ500" s="448"/>
      <c r="AR500" s="448"/>
      <c r="AS500" s="448"/>
      <c r="AT500" s="448"/>
      <c r="AU500" s="448"/>
      <c r="AV500" s="448"/>
      <c r="AW500" s="448"/>
      <c r="AX500" s="448"/>
    </row>
    <row r="501" spans="1:50" x14ac:dyDescent="0.4">
      <c r="A501" s="442" t="str">
        <f t="shared" si="95"/>
        <v>51967</v>
      </c>
      <c r="B501" s="442">
        <v>24593</v>
      </c>
      <c r="C501" s="455">
        <v>-4.7699999999999999E-2</v>
      </c>
      <c r="D501" s="438">
        <v>-5.0600000000000006E-2</v>
      </c>
      <c r="E501" s="438">
        <v>4.3E-3</v>
      </c>
      <c r="F501" s="438">
        <v>4.3666666666666671E-3</v>
      </c>
      <c r="G501" s="438">
        <v>4.5166666666666662E-3</v>
      </c>
      <c r="H501" s="438">
        <v>4.4416666666666667E-3</v>
      </c>
      <c r="I501" s="438">
        <v>4.7166666666666668E-3</v>
      </c>
      <c r="J501" s="438">
        <f t="shared" si="84"/>
        <v>-5.1999999999999998E-2</v>
      </c>
      <c r="K501" s="438">
        <f t="shared" si="88"/>
        <v>-5.2141666666666669E-2</v>
      </c>
      <c r="L501" s="438">
        <f t="shared" si="89"/>
        <v>-5.5316666666666674E-2</v>
      </c>
      <c r="M501" s="446">
        <f t="shared" si="85"/>
        <v>7.0846665517140694E-2</v>
      </c>
      <c r="N501" s="446">
        <f t="shared" si="86"/>
        <v>5.16E-2</v>
      </c>
      <c r="O501" s="446">
        <f t="shared" si="90"/>
        <v>5.33E-2</v>
      </c>
      <c r="P501" s="447">
        <f t="shared" si="87"/>
        <v>1.9246665517140694E-2</v>
      </c>
      <c r="Q501" s="446">
        <f t="shared" si="91"/>
        <v>1.7546665517140694E-2</v>
      </c>
      <c r="R501" s="446">
        <f t="shared" si="92"/>
        <v>4.3707503431226424E-2</v>
      </c>
      <c r="S501" s="446">
        <f t="shared" si="93"/>
        <v>5.6599999999999998E-2</v>
      </c>
      <c r="T501" s="447">
        <f t="shared" si="94"/>
        <v>-1.2892496568773573E-2</v>
      </c>
      <c r="V501" s="448"/>
      <c r="W501" s="448"/>
      <c r="X501" s="448"/>
      <c r="Y501" s="448"/>
      <c r="Z501" s="448"/>
      <c r="AA501" s="448"/>
      <c r="AB501" s="448"/>
      <c r="AC501" s="448"/>
      <c r="AD501" s="448"/>
      <c r="AF501" s="448"/>
      <c r="AG501" s="448"/>
      <c r="AH501" s="448"/>
      <c r="AI501" s="448"/>
      <c r="AJ501" s="448"/>
      <c r="AK501" s="448"/>
      <c r="AL501" s="448"/>
      <c r="AM501" s="448"/>
      <c r="AN501" s="448"/>
      <c r="AP501" s="448"/>
      <c r="AQ501" s="448"/>
      <c r="AR501" s="448"/>
      <c r="AS501" s="448"/>
      <c r="AT501" s="448"/>
      <c r="AU501" s="448"/>
      <c r="AV501" s="448"/>
      <c r="AW501" s="448"/>
      <c r="AX501" s="448"/>
    </row>
    <row r="502" spans="1:50" x14ac:dyDescent="0.4">
      <c r="A502" s="442" t="str">
        <f t="shared" si="95"/>
        <v>61967</v>
      </c>
      <c r="B502" s="442">
        <v>24624</v>
      </c>
      <c r="C502" s="455">
        <v>1.9E-2</v>
      </c>
      <c r="D502" s="438">
        <v>-1.3100000000000001E-2</v>
      </c>
      <c r="E502" s="438">
        <v>3.8999999999999994E-3</v>
      </c>
      <c r="F502" s="438">
        <v>4.5333333333333337E-3</v>
      </c>
      <c r="G502" s="438">
        <v>4.6916666666666669E-3</v>
      </c>
      <c r="H502" s="438">
        <v>4.6125000000000003E-3</v>
      </c>
      <c r="I502" s="438">
        <v>4.8666666666666667E-3</v>
      </c>
      <c r="J502" s="438">
        <f t="shared" si="84"/>
        <v>1.5100000000000001E-2</v>
      </c>
      <c r="K502" s="438">
        <f t="shared" si="88"/>
        <v>1.4387499999999999E-2</v>
      </c>
      <c r="L502" s="438">
        <f t="shared" si="89"/>
        <v>-1.7966666666666666E-2</v>
      </c>
      <c r="M502" s="446">
        <f t="shared" si="85"/>
        <v>0.10736021124616002</v>
      </c>
      <c r="N502" s="446">
        <f t="shared" si="86"/>
        <v>4.6799999999999994E-2</v>
      </c>
      <c r="O502" s="446">
        <f t="shared" si="90"/>
        <v>5.5350000000000003E-2</v>
      </c>
      <c r="P502" s="447">
        <f t="shared" si="87"/>
        <v>6.0560211246160026E-2</v>
      </c>
      <c r="Q502" s="446">
        <f t="shared" si="91"/>
        <v>5.2010211246160017E-2</v>
      </c>
      <c r="R502" s="446">
        <f t="shared" si="92"/>
        <v>4.9022237637516675E-2</v>
      </c>
      <c r="S502" s="446">
        <f t="shared" si="93"/>
        <v>5.8400000000000001E-2</v>
      </c>
      <c r="T502" s="447">
        <f t="shared" si="94"/>
        <v>-9.3777623624833259E-3</v>
      </c>
      <c r="V502" s="448"/>
      <c r="W502" s="448"/>
      <c r="X502" s="448"/>
      <c r="Y502" s="448"/>
      <c r="Z502" s="448"/>
      <c r="AA502" s="448"/>
      <c r="AB502" s="448"/>
      <c r="AC502" s="448"/>
      <c r="AD502" s="448"/>
      <c r="AF502" s="448"/>
      <c r="AG502" s="448"/>
      <c r="AH502" s="448"/>
      <c r="AI502" s="448"/>
      <c r="AJ502" s="448"/>
      <c r="AK502" s="448"/>
      <c r="AL502" s="448"/>
      <c r="AM502" s="448"/>
      <c r="AN502" s="448"/>
      <c r="AP502" s="448"/>
      <c r="AQ502" s="448"/>
      <c r="AR502" s="448"/>
      <c r="AS502" s="448"/>
      <c r="AT502" s="448"/>
      <c r="AU502" s="448"/>
      <c r="AV502" s="448"/>
      <c r="AW502" s="448"/>
      <c r="AX502" s="448"/>
    </row>
    <row r="503" spans="1:50" x14ac:dyDescent="0.4">
      <c r="A503" s="442" t="str">
        <f t="shared" si="95"/>
        <v>71967</v>
      </c>
      <c r="B503" s="442">
        <v>24654</v>
      </c>
      <c r="C503" s="455">
        <v>4.6800000000000001E-2</v>
      </c>
      <c r="D503" s="438">
        <v>2.0399999999999995E-2</v>
      </c>
      <c r="E503" s="438">
        <v>4.3E-3</v>
      </c>
      <c r="F503" s="438">
        <v>4.6500000000000005E-3</v>
      </c>
      <c r="G503" s="438">
        <v>4.7666666666666664E-3</v>
      </c>
      <c r="H503" s="438">
        <v>4.7083333333333335E-3</v>
      </c>
      <c r="I503" s="438">
        <v>4.9500000000000004E-3</v>
      </c>
      <c r="J503" s="438">
        <f t="shared" si="84"/>
        <v>4.2500000000000003E-2</v>
      </c>
      <c r="K503" s="438">
        <f t="shared" si="88"/>
        <v>4.2091666666666666E-2</v>
      </c>
      <c r="L503" s="438">
        <f t="shared" si="89"/>
        <v>1.5449999999999995E-2</v>
      </c>
      <c r="M503" s="446">
        <f t="shared" si="85"/>
        <v>0.17326383515433186</v>
      </c>
      <c r="N503" s="446">
        <f t="shared" si="86"/>
        <v>5.16E-2</v>
      </c>
      <c r="O503" s="446">
        <f t="shared" si="90"/>
        <v>5.6500000000000002E-2</v>
      </c>
      <c r="P503" s="447">
        <f t="shared" si="87"/>
        <v>0.12166383515433185</v>
      </c>
      <c r="Q503" s="446">
        <f t="shared" si="91"/>
        <v>0.11676383515433186</v>
      </c>
      <c r="R503" s="446">
        <f t="shared" si="92"/>
        <v>6.9459777485584739E-2</v>
      </c>
      <c r="S503" s="446">
        <f t="shared" si="93"/>
        <v>5.9400000000000008E-2</v>
      </c>
      <c r="T503" s="447">
        <f t="shared" si="94"/>
        <v>1.0059777485584731E-2</v>
      </c>
      <c r="V503" s="448"/>
      <c r="W503" s="448"/>
      <c r="X503" s="448"/>
      <c r="Y503" s="448"/>
      <c r="Z503" s="448"/>
      <c r="AA503" s="448"/>
      <c r="AB503" s="448"/>
      <c r="AC503" s="448"/>
      <c r="AD503" s="448"/>
      <c r="AF503" s="448"/>
      <c r="AG503" s="448"/>
      <c r="AH503" s="448"/>
      <c r="AI503" s="448"/>
      <c r="AJ503" s="448"/>
      <c r="AK503" s="448"/>
      <c r="AL503" s="448"/>
      <c r="AM503" s="448"/>
      <c r="AN503" s="448"/>
      <c r="AP503" s="448"/>
      <c r="AQ503" s="448"/>
      <c r="AR503" s="448"/>
      <c r="AS503" s="448"/>
      <c r="AT503" s="448"/>
      <c r="AU503" s="448"/>
      <c r="AV503" s="448"/>
      <c r="AW503" s="448"/>
      <c r="AX503" s="448"/>
    </row>
    <row r="504" spans="1:50" x14ac:dyDescent="0.4">
      <c r="A504" s="442" t="str">
        <f t="shared" si="95"/>
        <v>81967</v>
      </c>
      <c r="B504" s="442">
        <v>24685</v>
      </c>
      <c r="C504" s="455">
        <v>-7.0000000000000001E-3</v>
      </c>
      <c r="D504" s="438">
        <v>-6.5000000000000006E-3</v>
      </c>
      <c r="E504" s="438">
        <v>4.1999999999999997E-3</v>
      </c>
      <c r="F504" s="438">
        <v>4.6833333333333336E-3</v>
      </c>
      <c r="G504" s="438">
        <v>4.7999999999999996E-3</v>
      </c>
      <c r="H504" s="438">
        <v>4.7416666666666666E-3</v>
      </c>
      <c r="I504" s="438">
        <v>4.9666666666666661E-3</v>
      </c>
      <c r="J504" s="438">
        <f t="shared" si="84"/>
        <v>-1.12E-2</v>
      </c>
      <c r="K504" s="438">
        <f t="shared" si="88"/>
        <v>-1.1741666666666668E-2</v>
      </c>
      <c r="L504" s="438">
        <f t="shared" si="89"/>
        <v>-1.1466666666666667E-2</v>
      </c>
      <c r="M504" s="446">
        <f t="shared" si="85"/>
        <v>0.25611966394420738</v>
      </c>
      <c r="N504" s="446">
        <f t="shared" si="86"/>
        <v>5.04E-2</v>
      </c>
      <c r="O504" s="446">
        <f t="shared" si="90"/>
        <v>5.6899999999999999E-2</v>
      </c>
      <c r="P504" s="447">
        <f t="shared" si="87"/>
        <v>0.20571966394420738</v>
      </c>
      <c r="Q504" s="446">
        <f t="shared" si="91"/>
        <v>0.19921966394420737</v>
      </c>
      <c r="R504" s="446">
        <f t="shared" si="92"/>
        <v>0.16439264540485321</v>
      </c>
      <c r="S504" s="446">
        <f t="shared" si="93"/>
        <v>5.9599999999999993E-2</v>
      </c>
      <c r="T504" s="447">
        <f t="shared" si="94"/>
        <v>0.10479264540485322</v>
      </c>
      <c r="V504" s="448"/>
      <c r="W504" s="448"/>
      <c r="X504" s="448"/>
      <c r="Y504" s="448"/>
      <c r="Z504" s="448"/>
      <c r="AA504" s="448"/>
      <c r="AB504" s="448"/>
      <c r="AC504" s="448"/>
      <c r="AD504" s="448"/>
      <c r="AF504" s="448"/>
      <c r="AG504" s="448"/>
      <c r="AH504" s="448"/>
      <c r="AI504" s="448"/>
      <c r="AJ504" s="448"/>
      <c r="AK504" s="448"/>
      <c r="AL504" s="448"/>
      <c r="AM504" s="448"/>
      <c r="AN504" s="448"/>
      <c r="AP504" s="448"/>
      <c r="AQ504" s="448"/>
      <c r="AR504" s="448"/>
      <c r="AS504" s="448"/>
      <c r="AT504" s="448"/>
      <c r="AU504" s="448"/>
      <c r="AV504" s="448"/>
      <c r="AW504" s="448"/>
      <c r="AX504" s="448"/>
    </row>
    <row r="505" spans="1:50" x14ac:dyDescent="0.4">
      <c r="A505" s="442" t="str">
        <f t="shared" si="95"/>
        <v>91967</v>
      </c>
      <c r="B505" s="442">
        <v>24716</v>
      </c>
      <c r="C505" s="455">
        <v>3.4200000000000001E-2</v>
      </c>
      <c r="D505" s="438">
        <v>-3.7000000000000002E-3</v>
      </c>
      <c r="E505" s="438">
        <v>4.0000000000000001E-3</v>
      </c>
      <c r="F505" s="438">
        <v>4.7083333333333335E-3</v>
      </c>
      <c r="G505" s="438">
        <v>4.8916666666666666E-3</v>
      </c>
      <c r="H505" s="438">
        <v>4.8000000000000004E-3</v>
      </c>
      <c r="I505" s="438">
        <v>5.0416666666666665E-3</v>
      </c>
      <c r="J505" s="438">
        <f t="shared" si="84"/>
        <v>3.0200000000000001E-2</v>
      </c>
      <c r="K505" s="438">
        <f t="shared" si="88"/>
        <v>2.9400000000000003E-2</v>
      </c>
      <c r="L505" s="438">
        <f t="shared" si="89"/>
        <v>-8.7416666666666667E-3</v>
      </c>
      <c r="M505" s="446">
        <f t="shared" si="85"/>
        <v>0.30600076048165148</v>
      </c>
      <c r="N505" s="446">
        <f t="shared" si="86"/>
        <v>4.8000000000000001E-2</v>
      </c>
      <c r="O505" s="446">
        <f t="shared" si="90"/>
        <v>5.7600000000000005E-2</v>
      </c>
      <c r="P505" s="447">
        <f t="shared" si="87"/>
        <v>0.25800076048165149</v>
      </c>
      <c r="Q505" s="446">
        <f t="shared" si="91"/>
        <v>0.24840076048165147</v>
      </c>
      <c r="R505" s="446">
        <f t="shared" si="92"/>
        <v>0.10747913376310758</v>
      </c>
      <c r="S505" s="446">
        <f t="shared" si="93"/>
        <v>6.0499999999999998E-2</v>
      </c>
      <c r="T505" s="447">
        <f t="shared" si="94"/>
        <v>4.6979133763107583E-2</v>
      </c>
      <c r="V505" s="448"/>
      <c r="W505" s="448"/>
      <c r="X505" s="448"/>
      <c r="Y505" s="448"/>
      <c r="Z505" s="448"/>
      <c r="AA505" s="448"/>
      <c r="AB505" s="448"/>
      <c r="AC505" s="448"/>
      <c r="AD505" s="448"/>
      <c r="AF505" s="448"/>
      <c r="AG505" s="448"/>
      <c r="AH505" s="448"/>
      <c r="AI505" s="448"/>
      <c r="AJ505" s="448"/>
      <c r="AK505" s="448"/>
      <c r="AL505" s="448"/>
      <c r="AM505" s="448"/>
      <c r="AN505" s="448"/>
      <c r="AP505" s="448"/>
      <c r="AQ505" s="448"/>
      <c r="AR505" s="448"/>
      <c r="AS505" s="448"/>
      <c r="AT505" s="448"/>
      <c r="AU505" s="448"/>
      <c r="AV505" s="448"/>
      <c r="AW505" s="448"/>
      <c r="AX505" s="448"/>
    </row>
    <row r="506" spans="1:50" x14ac:dyDescent="0.4">
      <c r="A506" s="442" t="str">
        <f t="shared" si="95"/>
        <v>101967</v>
      </c>
      <c r="B506" s="442">
        <v>24746</v>
      </c>
      <c r="C506" s="455">
        <v>-2.76E-2</v>
      </c>
      <c r="D506" s="438">
        <v>-5.7200000000000001E-2</v>
      </c>
      <c r="E506" s="438">
        <v>4.4999999999999997E-3</v>
      </c>
      <c r="F506" s="438">
        <v>4.8500000000000001E-3</v>
      </c>
      <c r="G506" s="438">
        <v>5.0083333333333334E-3</v>
      </c>
      <c r="H506" s="438">
        <v>4.9291666666666668E-3</v>
      </c>
      <c r="I506" s="438">
        <v>5.1500000000000001E-3</v>
      </c>
      <c r="J506" s="438">
        <f t="shared" si="84"/>
        <v>-3.2099999999999997E-2</v>
      </c>
      <c r="K506" s="438">
        <f t="shared" si="88"/>
        <v>-3.2529166666666665E-2</v>
      </c>
      <c r="L506" s="438">
        <f t="shared" si="89"/>
        <v>-6.2350000000000003E-2</v>
      </c>
      <c r="M506" s="446">
        <f t="shared" si="85"/>
        <v>0.21017261243792484</v>
      </c>
      <c r="N506" s="446">
        <f t="shared" si="86"/>
        <v>5.3999999999999992E-2</v>
      </c>
      <c r="O506" s="446">
        <f t="shared" si="90"/>
        <v>5.9150000000000001E-2</v>
      </c>
      <c r="P506" s="447">
        <f t="shared" si="87"/>
        <v>0.15617261243792485</v>
      </c>
      <c r="Q506" s="446">
        <f t="shared" si="91"/>
        <v>0.15102261243792484</v>
      </c>
      <c r="R506" s="446">
        <f t="shared" si="92"/>
        <v>-4.8193867537048352E-2</v>
      </c>
      <c r="S506" s="446">
        <f t="shared" si="93"/>
        <v>6.1800000000000001E-2</v>
      </c>
      <c r="T506" s="447">
        <f t="shared" si="94"/>
        <v>-0.10999386753704835</v>
      </c>
      <c r="V506" s="448"/>
      <c r="W506" s="448"/>
      <c r="X506" s="448"/>
      <c r="Y506" s="448"/>
      <c r="Z506" s="448"/>
      <c r="AA506" s="448"/>
      <c r="AB506" s="448"/>
      <c r="AC506" s="448"/>
      <c r="AD506" s="448"/>
      <c r="AF506" s="448"/>
      <c r="AG506" s="448"/>
      <c r="AH506" s="448"/>
      <c r="AI506" s="448"/>
      <c r="AJ506" s="448"/>
      <c r="AK506" s="448"/>
      <c r="AL506" s="448"/>
      <c r="AM506" s="448"/>
      <c r="AN506" s="448"/>
      <c r="AP506" s="448"/>
      <c r="AQ506" s="448"/>
      <c r="AR506" s="448"/>
      <c r="AS506" s="448"/>
      <c r="AT506" s="448"/>
      <c r="AU506" s="448"/>
      <c r="AV506" s="448"/>
      <c r="AW506" s="448"/>
      <c r="AX506" s="448"/>
    </row>
    <row r="507" spans="1:50" x14ac:dyDescent="0.4">
      <c r="A507" s="442" t="str">
        <f t="shared" si="95"/>
        <v>111967</v>
      </c>
      <c r="B507" s="442">
        <v>24777</v>
      </c>
      <c r="C507" s="455">
        <v>6.4999999999999997E-3</v>
      </c>
      <c r="D507" s="438">
        <v>2.9300000000000003E-2</v>
      </c>
      <c r="E507" s="438">
        <v>4.4999999999999997E-3</v>
      </c>
      <c r="F507" s="438">
        <v>5.058333333333334E-3</v>
      </c>
      <c r="G507" s="438">
        <v>5.1916666666666665E-3</v>
      </c>
      <c r="H507" s="438">
        <v>5.1249999999999993E-3</v>
      </c>
      <c r="I507" s="438">
        <v>5.4000000000000003E-3</v>
      </c>
      <c r="J507" s="438">
        <f t="shared" si="84"/>
        <v>2E-3</v>
      </c>
      <c r="K507" s="438">
        <f t="shared" si="88"/>
        <v>1.3750000000000004E-3</v>
      </c>
      <c r="L507" s="438">
        <f t="shared" si="89"/>
        <v>2.3900000000000005E-2</v>
      </c>
      <c r="M507" s="446">
        <f t="shared" si="85"/>
        <v>0.2065762599492531</v>
      </c>
      <c r="N507" s="446">
        <f t="shared" si="86"/>
        <v>5.3999999999999992E-2</v>
      </c>
      <c r="O507" s="446">
        <f t="shared" si="90"/>
        <v>6.1499999999999992E-2</v>
      </c>
      <c r="P507" s="447">
        <f t="shared" si="87"/>
        <v>0.15257625994925311</v>
      </c>
      <c r="Q507" s="446">
        <f t="shared" si="91"/>
        <v>0.14507625994925311</v>
      </c>
      <c r="R507" s="446">
        <f t="shared" si="92"/>
        <v>-1.2803252575457336E-2</v>
      </c>
      <c r="S507" s="446">
        <f t="shared" si="93"/>
        <v>6.4799999999999996E-2</v>
      </c>
      <c r="T507" s="447">
        <f t="shared" si="94"/>
        <v>-7.7603252575457332E-2</v>
      </c>
      <c r="V507" s="448"/>
      <c r="W507" s="448"/>
      <c r="X507" s="448"/>
      <c r="Y507" s="448"/>
      <c r="Z507" s="448"/>
      <c r="AA507" s="448"/>
      <c r="AB507" s="448"/>
      <c r="AC507" s="448"/>
      <c r="AD507" s="448"/>
      <c r="AF507" s="448"/>
      <c r="AG507" s="448"/>
      <c r="AH507" s="448"/>
      <c r="AI507" s="448"/>
      <c r="AJ507" s="448"/>
      <c r="AK507" s="448"/>
      <c r="AL507" s="448"/>
      <c r="AM507" s="448"/>
      <c r="AN507" s="448"/>
      <c r="AP507" s="448"/>
      <c r="AQ507" s="448"/>
      <c r="AR507" s="448"/>
      <c r="AS507" s="448"/>
      <c r="AT507" s="448"/>
      <c r="AU507" s="448"/>
      <c r="AV507" s="448"/>
      <c r="AW507" s="448"/>
      <c r="AX507" s="448"/>
    </row>
    <row r="508" spans="1:50" x14ac:dyDescent="0.4">
      <c r="A508" s="442" t="str">
        <f t="shared" si="95"/>
        <v>121967</v>
      </c>
      <c r="B508" s="442">
        <v>24807</v>
      </c>
      <c r="C508" s="455">
        <v>2.7799999999999998E-2</v>
      </c>
      <c r="D508" s="438">
        <v>2.86E-2</v>
      </c>
      <c r="E508" s="438">
        <v>4.4000000000000003E-3</v>
      </c>
      <c r="F508" s="438">
        <v>5.1583333333333333E-3</v>
      </c>
      <c r="G508" s="438">
        <v>5.2916666666666667E-3</v>
      </c>
      <c r="H508" s="438">
        <v>5.2249999999999996E-3</v>
      </c>
      <c r="I508" s="438">
        <v>5.5583333333333327E-3</v>
      </c>
      <c r="J508" s="438">
        <f t="shared" si="84"/>
        <v>2.3399999999999997E-2</v>
      </c>
      <c r="K508" s="438">
        <f t="shared" si="88"/>
        <v>2.2574999999999998E-2</v>
      </c>
      <c r="L508" s="438">
        <f t="shared" si="89"/>
        <v>2.3041666666666669E-2</v>
      </c>
      <c r="M508" s="446">
        <f t="shared" si="85"/>
        <v>0.23987110575469139</v>
      </c>
      <c r="N508" s="446">
        <f t="shared" si="86"/>
        <v>5.28E-2</v>
      </c>
      <c r="O508" s="446">
        <f t="shared" si="90"/>
        <v>6.2699999999999992E-2</v>
      </c>
      <c r="P508" s="447">
        <f t="shared" si="87"/>
        <v>0.18707110575469138</v>
      </c>
      <c r="Q508" s="446">
        <f t="shared" si="91"/>
        <v>0.17717110575469142</v>
      </c>
      <c r="R508" s="446">
        <f t="shared" si="92"/>
        <v>-6.5252182752328913E-3</v>
      </c>
      <c r="S508" s="446">
        <f t="shared" si="93"/>
        <v>6.6699999999999995E-2</v>
      </c>
      <c r="T508" s="447">
        <f t="shared" si="94"/>
        <v>-7.3225218275232887E-2</v>
      </c>
      <c r="V508" s="448"/>
      <c r="W508" s="448"/>
      <c r="X508" s="448"/>
      <c r="Y508" s="448"/>
      <c r="Z508" s="448"/>
      <c r="AA508" s="448"/>
      <c r="AB508" s="448"/>
      <c r="AC508" s="448"/>
      <c r="AD508" s="448"/>
      <c r="AF508" s="448"/>
      <c r="AG508" s="448"/>
      <c r="AH508" s="448"/>
      <c r="AI508" s="448"/>
      <c r="AJ508" s="448"/>
      <c r="AK508" s="448"/>
      <c r="AL508" s="448"/>
      <c r="AM508" s="448"/>
      <c r="AN508" s="448"/>
      <c r="AP508" s="448"/>
      <c r="AQ508" s="448"/>
      <c r="AR508" s="448"/>
      <c r="AS508" s="448"/>
      <c r="AT508" s="448"/>
      <c r="AU508" s="448"/>
      <c r="AV508" s="448"/>
      <c r="AW508" s="448"/>
      <c r="AX508" s="448"/>
    </row>
    <row r="509" spans="1:50" x14ac:dyDescent="0.4">
      <c r="A509" s="442" t="str">
        <f t="shared" si="95"/>
        <v>11968</v>
      </c>
      <c r="B509" s="442">
        <v>24838</v>
      </c>
      <c r="C509" s="455">
        <v>-4.2500000000000003E-2</v>
      </c>
      <c r="D509" s="438">
        <v>8.199999999999999E-3</v>
      </c>
      <c r="E509" s="438">
        <v>5.0000000000000001E-3</v>
      </c>
      <c r="F509" s="438">
        <v>5.1416666666666668E-3</v>
      </c>
      <c r="G509" s="438">
        <v>5.241666666666667E-3</v>
      </c>
      <c r="H509" s="438">
        <v>5.1916666666666665E-3</v>
      </c>
      <c r="I509" s="438">
        <v>5.45E-3</v>
      </c>
      <c r="J509" s="438">
        <f t="shared" si="84"/>
        <v>-4.7500000000000001E-2</v>
      </c>
      <c r="K509" s="438">
        <f t="shared" si="88"/>
        <v>-4.7691666666666667E-2</v>
      </c>
      <c r="L509" s="438">
        <f t="shared" si="89"/>
        <v>2.749999999999999E-3</v>
      </c>
      <c r="M509" s="446">
        <f t="shared" si="85"/>
        <v>9.9441177773770262E-2</v>
      </c>
      <c r="N509" s="446">
        <f t="shared" si="86"/>
        <v>0.06</v>
      </c>
      <c r="O509" s="446">
        <f t="shared" si="90"/>
        <v>6.2299999999999994E-2</v>
      </c>
      <c r="P509" s="447">
        <f t="shared" si="87"/>
        <v>3.9441177773770264E-2</v>
      </c>
      <c r="Q509" s="446">
        <f t="shared" si="91"/>
        <v>3.7141177773770268E-2</v>
      </c>
      <c r="R509" s="446">
        <f t="shared" si="92"/>
        <v>-2.4806469735264014E-2</v>
      </c>
      <c r="S509" s="446">
        <f t="shared" si="93"/>
        <v>6.54E-2</v>
      </c>
      <c r="T509" s="447">
        <f t="shared" si="94"/>
        <v>-9.0206469735264014E-2</v>
      </c>
      <c r="V509" s="448"/>
      <c r="W509" s="448"/>
      <c r="X509" s="448"/>
      <c r="Y509" s="448"/>
      <c r="Z509" s="448"/>
      <c r="AA509" s="448"/>
      <c r="AB509" s="448"/>
      <c r="AC509" s="448"/>
      <c r="AD509" s="448"/>
      <c r="AF509" s="448"/>
      <c r="AG509" s="448"/>
      <c r="AH509" s="448"/>
      <c r="AI509" s="448"/>
      <c r="AJ509" s="448"/>
      <c r="AK509" s="448"/>
      <c r="AL509" s="448"/>
      <c r="AM509" s="448"/>
      <c r="AN509" s="448"/>
      <c r="AP509" s="448"/>
      <c r="AQ509" s="448"/>
      <c r="AR509" s="448"/>
      <c r="AS509" s="448"/>
      <c r="AT509" s="448"/>
      <c r="AU509" s="448"/>
      <c r="AV509" s="448"/>
      <c r="AW509" s="448"/>
      <c r="AX509" s="448"/>
    </row>
    <row r="510" spans="1:50" x14ac:dyDescent="0.4">
      <c r="A510" s="442" t="str">
        <f t="shared" si="95"/>
        <v>21968</v>
      </c>
      <c r="B510" s="442">
        <v>24869</v>
      </c>
      <c r="C510" s="455">
        <v>-2.6100000000000002E-2</v>
      </c>
      <c r="D510" s="438">
        <v>-2.3300000000000001E-2</v>
      </c>
      <c r="E510" s="438">
        <v>4.1999999999999997E-3</v>
      </c>
      <c r="F510" s="438">
        <v>5.0833333333333329E-3</v>
      </c>
      <c r="G510" s="438">
        <v>5.2249999999999996E-3</v>
      </c>
      <c r="H510" s="438">
        <v>5.1541666666666663E-3</v>
      </c>
      <c r="I510" s="438">
        <v>5.3083333333333342E-3</v>
      </c>
      <c r="J510" s="438">
        <f t="shared" si="84"/>
        <v>-3.0300000000000001E-2</v>
      </c>
      <c r="K510" s="438">
        <f t="shared" si="88"/>
        <v>-3.1254166666666666E-2</v>
      </c>
      <c r="L510" s="438">
        <f t="shared" si="89"/>
        <v>-2.8608333333333336E-2</v>
      </c>
      <c r="M510" s="446">
        <f t="shared" si="85"/>
        <v>6.309150420360865E-2</v>
      </c>
      <c r="N510" s="446">
        <f t="shared" si="86"/>
        <v>5.04E-2</v>
      </c>
      <c r="O510" s="446">
        <f t="shared" si="90"/>
        <v>6.1849999999999995E-2</v>
      </c>
      <c r="P510" s="447">
        <f t="shared" si="87"/>
        <v>1.269150420360865E-2</v>
      </c>
      <c r="Q510" s="446">
        <f t="shared" si="91"/>
        <v>1.2415042036086552E-3</v>
      </c>
      <c r="R510" s="446">
        <f t="shared" si="92"/>
        <v>-3.233615664983458E-2</v>
      </c>
      <c r="S510" s="446">
        <f t="shared" si="93"/>
        <v>6.3700000000000007E-2</v>
      </c>
      <c r="T510" s="447">
        <f t="shared" si="94"/>
        <v>-9.6036156649834586E-2</v>
      </c>
      <c r="V510" s="448"/>
      <c r="W510" s="448"/>
      <c r="X510" s="448"/>
      <c r="Y510" s="448"/>
      <c r="Z510" s="448"/>
      <c r="AA510" s="448"/>
      <c r="AB510" s="448"/>
      <c r="AC510" s="448"/>
      <c r="AD510" s="448"/>
      <c r="AF510" s="448"/>
      <c r="AG510" s="448"/>
      <c r="AH510" s="448"/>
      <c r="AI510" s="448"/>
      <c r="AJ510" s="448"/>
      <c r="AK510" s="448"/>
      <c r="AL510" s="448"/>
      <c r="AM510" s="448"/>
      <c r="AN510" s="448"/>
      <c r="AP510" s="448"/>
      <c r="AQ510" s="448"/>
      <c r="AR510" s="448"/>
      <c r="AS510" s="448"/>
      <c r="AT510" s="448"/>
      <c r="AU510" s="448"/>
      <c r="AV510" s="448"/>
      <c r="AW510" s="448"/>
      <c r="AX510" s="448"/>
    </row>
    <row r="511" spans="1:50" x14ac:dyDescent="0.4">
      <c r="A511" s="442" t="str">
        <f t="shared" si="95"/>
        <v>31968</v>
      </c>
      <c r="B511" s="442">
        <v>24898</v>
      </c>
      <c r="C511" s="455">
        <v>1.0999999999999999E-2</v>
      </c>
      <c r="D511" s="438">
        <v>-3.9900000000000005E-2</v>
      </c>
      <c r="E511" s="438">
        <v>4.3E-3</v>
      </c>
      <c r="F511" s="438">
        <v>5.0916666666666662E-3</v>
      </c>
      <c r="G511" s="438">
        <v>5.2333333333333329E-3</v>
      </c>
      <c r="H511" s="438">
        <v>5.1624999999999996E-3</v>
      </c>
      <c r="I511" s="438">
        <v>5.3416666666666664E-3</v>
      </c>
      <c r="J511" s="438">
        <f t="shared" si="84"/>
        <v>6.6999999999999994E-3</v>
      </c>
      <c r="K511" s="438">
        <f t="shared" si="88"/>
        <v>5.8374999999999998E-3</v>
      </c>
      <c r="L511" s="438">
        <f t="shared" si="89"/>
        <v>-4.5241666666666673E-2</v>
      </c>
      <c r="M511" s="446">
        <f t="shared" si="85"/>
        <v>3.2554050100728871E-2</v>
      </c>
      <c r="N511" s="446">
        <f t="shared" si="86"/>
        <v>5.16E-2</v>
      </c>
      <c r="O511" s="446">
        <f t="shared" si="90"/>
        <v>6.1949999999999991E-2</v>
      </c>
      <c r="P511" s="447">
        <f t="shared" si="87"/>
        <v>-1.9045949899271129E-2</v>
      </c>
      <c r="Q511" s="446">
        <f t="shared" si="91"/>
        <v>-2.939594989927112E-2</v>
      </c>
      <c r="R511" s="446">
        <f t="shared" si="92"/>
        <v>-8.8894718053845856E-2</v>
      </c>
      <c r="S511" s="446">
        <f t="shared" si="93"/>
        <v>6.409999999999999E-2</v>
      </c>
      <c r="T511" s="447">
        <f t="shared" si="94"/>
        <v>-0.15299471805384585</v>
      </c>
      <c r="V511" s="448"/>
      <c r="W511" s="448"/>
      <c r="X511" s="448"/>
      <c r="Y511" s="448"/>
      <c r="Z511" s="448"/>
      <c r="AA511" s="448"/>
      <c r="AB511" s="448"/>
      <c r="AC511" s="448"/>
      <c r="AD511" s="448"/>
      <c r="AF511" s="448"/>
      <c r="AG511" s="448"/>
      <c r="AH511" s="448"/>
      <c r="AI511" s="448"/>
      <c r="AJ511" s="448"/>
      <c r="AK511" s="448"/>
      <c r="AL511" s="448"/>
      <c r="AM511" s="448"/>
      <c r="AN511" s="448"/>
      <c r="AP511" s="448"/>
      <c r="AQ511" s="448"/>
      <c r="AR511" s="448"/>
      <c r="AS511" s="448"/>
      <c r="AT511" s="448"/>
      <c r="AU511" s="448"/>
      <c r="AV511" s="448"/>
      <c r="AW511" s="448"/>
      <c r="AX511" s="448"/>
    </row>
    <row r="512" spans="1:50" x14ac:dyDescent="0.4">
      <c r="A512" s="442" t="str">
        <f t="shared" si="95"/>
        <v>41968</v>
      </c>
      <c r="B512" s="442">
        <v>24929</v>
      </c>
      <c r="C512" s="455">
        <v>8.3400000000000002E-2</v>
      </c>
      <c r="D512" s="438">
        <v>2.75E-2</v>
      </c>
      <c r="E512" s="438">
        <v>4.8999999999999998E-3</v>
      </c>
      <c r="F512" s="438">
        <v>5.1749999999999999E-3</v>
      </c>
      <c r="G512" s="438">
        <v>5.3166666666666666E-3</v>
      </c>
      <c r="H512" s="438">
        <v>5.2458333333333333E-3</v>
      </c>
      <c r="I512" s="438">
        <v>5.4833333333333331E-3</v>
      </c>
      <c r="J512" s="438">
        <f t="shared" si="84"/>
        <v>7.85E-2</v>
      </c>
      <c r="K512" s="438">
        <f t="shared" si="88"/>
        <v>7.8154166666666663E-2</v>
      </c>
      <c r="L512" s="438">
        <f t="shared" si="89"/>
        <v>2.2016666666666667E-2</v>
      </c>
      <c r="M512" s="446">
        <f t="shared" si="85"/>
        <v>7.1830083241476661E-2</v>
      </c>
      <c r="N512" s="446">
        <f t="shared" si="86"/>
        <v>5.8799999999999998E-2</v>
      </c>
      <c r="O512" s="446">
        <f t="shared" si="90"/>
        <v>6.2950000000000006E-2</v>
      </c>
      <c r="P512" s="447">
        <f t="shared" si="87"/>
        <v>1.3030083241476663E-2</v>
      </c>
      <c r="Q512" s="446">
        <f t="shared" si="91"/>
        <v>8.8800832414766551E-3</v>
      </c>
      <c r="R512" s="446">
        <f t="shared" si="92"/>
        <v>-8.2375340913866113E-2</v>
      </c>
      <c r="S512" s="446">
        <f t="shared" si="93"/>
        <v>6.5799999999999997E-2</v>
      </c>
      <c r="T512" s="447">
        <f t="shared" si="94"/>
        <v>-0.14817534091386611</v>
      </c>
      <c r="V512" s="448"/>
      <c r="W512" s="448"/>
      <c r="X512" s="448"/>
      <c r="Y512" s="448"/>
      <c r="Z512" s="448"/>
      <c r="AA512" s="448"/>
      <c r="AB512" s="448"/>
      <c r="AC512" s="448"/>
      <c r="AD512" s="448"/>
      <c r="AF512" s="448"/>
      <c r="AG512" s="448"/>
      <c r="AH512" s="448"/>
      <c r="AI512" s="448"/>
      <c r="AJ512" s="448"/>
      <c r="AK512" s="448"/>
      <c r="AL512" s="448"/>
      <c r="AM512" s="448"/>
      <c r="AN512" s="448"/>
      <c r="AP512" s="448"/>
      <c r="AQ512" s="448"/>
      <c r="AR512" s="448"/>
      <c r="AS512" s="448"/>
      <c r="AT512" s="448"/>
      <c r="AU512" s="448"/>
      <c r="AV512" s="448"/>
      <c r="AW512" s="448"/>
      <c r="AX512" s="448"/>
    </row>
    <row r="513" spans="1:50" x14ac:dyDescent="0.4">
      <c r="A513" s="442" t="str">
        <f t="shared" si="95"/>
        <v>51968</v>
      </c>
      <c r="B513" s="442">
        <v>24959</v>
      </c>
      <c r="C513" s="455">
        <v>1.61E-2</v>
      </c>
      <c r="D513" s="438">
        <v>-6.1999999999999998E-3</v>
      </c>
      <c r="E513" s="438">
        <v>4.5999999999999999E-3</v>
      </c>
      <c r="F513" s="438">
        <v>5.2249999999999996E-3</v>
      </c>
      <c r="G513" s="438">
        <v>5.4000000000000003E-3</v>
      </c>
      <c r="H513" s="438">
        <v>5.3125000000000004E-3</v>
      </c>
      <c r="I513" s="438">
        <v>5.5166666666666662E-3</v>
      </c>
      <c r="J513" s="438">
        <f t="shared" si="84"/>
        <v>1.15E-2</v>
      </c>
      <c r="K513" s="438">
        <f t="shared" si="88"/>
        <v>1.0787499999999998E-2</v>
      </c>
      <c r="L513" s="438">
        <f t="shared" si="89"/>
        <v>-1.1716666666666667E-2</v>
      </c>
      <c r="M513" s="446">
        <f t="shared" si="85"/>
        <v>0.14363808419790436</v>
      </c>
      <c r="N513" s="446">
        <f t="shared" si="86"/>
        <v>5.5199999999999999E-2</v>
      </c>
      <c r="O513" s="446">
        <f t="shared" si="90"/>
        <v>6.3750000000000001E-2</v>
      </c>
      <c r="P513" s="447">
        <f t="shared" si="87"/>
        <v>8.843808419790436E-2</v>
      </c>
      <c r="Q513" s="446">
        <f t="shared" si="91"/>
        <v>7.9888084197904358E-2</v>
      </c>
      <c r="R513" s="446">
        <f t="shared" si="92"/>
        <v>-3.9461358542448144E-2</v>
      </c>
      <c r="S513" s="446">
        <f t="shared" si="93"/>
        <v>6.6199999999999995E-2</v>
      </c>
      <c r="T513" s="447">
        <f t="shared" si="94"/>
        <v>-0.10566135854244814</v>
      </c>
      <c r="V513" s="448"/>
      <c r="W513" s="448"/>
      <c r="X513" s="448"/>
      <c r="Y513" s="448"/>
      <c r="Z513" s="448"/>
      <c r="AA513" s="448"/>
      <c r="AB513" s="448"/>
      <c r="AC513" s="448"/>
      <c r="AD513" s="448"/>
      <c r="AF513" s="448"/>
      <c r="AG513" s="448"/>
      <c r="AH513" s="448"/>
      <c r="AI513" s="448"/>
      <c r="AJ513" s="448"/>
      <c r="AK513" s="448"/>
      <c r="AL513" s="448"/>
      <c r="AM513" s="448"/>
      <c r="AN513" s="448"/>
      <c r="AP513" s="448"/>
      <c r="AQ513" s="448"/>
      <c r="AR513" s="448"/>
      <c r="AS513" s="448"/>
      <c r="AT513" s="448"/>
      <c r="AU513" s="448"/>
      <c r="AV513" s="448"/>
      <c r="AW513" s="448"/>
      <c r="AX513" s="448"/>
    </row>
    <row r="514" spans="1:50" x14ac:dyDescent="0.4">
      <c r="A514" s="442" t="str">
        <f t="shared" si="95"/>
        <v>61968</v>
      </c>
      <c r="B514" s="442">
        <v>24990</v>
      </c>
      <c r="C514" s="455">
        <v>1.0500000000000001E-2</v>
      </c>
      <c r="D514" s="438">
        <v>8.0700000000000008E-2</v>
      </c>
      <c r="E514" s="438">
        <v>4.1999999999999997E-3</v>
      </c>
      <c r="F514" s="438">
        <v>5.2333333333333329E-3</v>
      </c>
      <c r="G514" s="438">
        <v>5.416666666666666E-3</v>
      </c>
      <c r="H514" s="438">
        <v>5.3249999999999999E-3</v>
      </c>
      <c r="I514" s="438">
        <v>5.5166666666666662E-3</v>
      </c>
      <c r="J514" s="438">
        <f t="shared" si="84"/>
        <v>6.3000000000000009E-3</v>
      </c>
      <c r="K514" s="438">
        <f t="shared" si="88"/>
        <v>5.1750000000000008E-3</v>
      </c>
      <c r="L514" s="438">
        <f t="shared" si="89"/>
        <v>7.5183333333333338E-2</v>
      </c>
      <c r="M514" s="446">
        <f t="shared" si="85"/>
        <v>0.13409841421195567</v>
      </c>
      <c r="N514" s="446">
        <f t="shared" si="86"/>
        <v>5.04E-2</v>
      </c>
      <c r="O514" s="446">
        <f t="shared" si="90"/>
        <v>6.3899999999999998E-2</v>
      </c>
      <c r="P514" s="447">
        <f t="shared" si="87"/>
        <v>8.3698414211955674E-2</v>
      </c>
      <c r="Q514" s="446">
        <f t="shared" si="91"/>
        <v>7.0198414211955676E-2</v>
      </c>
      <c r="R514" s="446">
        <f t="shared" si="92"/>
        <v>5.1833123744225773E-2</v>
      </c>
      <c r="S514" s="446">
        <f t="shared" si="93"/>
        <v>6.6199999999999995E-2</v>
      </c>
      <c r="T514" s="447">
        <f t="shared" si="94"/>
        <v>-1.4366876255774222E-2</v>
      </c>
      <c r="V514" s="448"/>
      <c r="W514" s="448"/>
      <c r="X514" s="448"/>
      <c r="Y514" s="448"/>
      <c r="Z514" s="448"/>
      <c r="AA514" s="448"/>
      <c r="AB514" s="448"/>
      <c r="AC514" s="448"/>
      <c r="AD514" s="448"/>
      <c r="AF514" s="448"/>
      <c r="AG514" s="448"/>
      <c r="AH514" s="448"/>
      <c r="AI514" s="448"/>
      <c r="AJ514" s="448"/>
      <c r="AK514" s="448"/>
      <c r="AL514" s="448"/>
      <c r="AM514" s="448"/>
      <c r="AN514" s="448"/>
      <c r="AP514" s="448"/>
      <c r="AQ514" s="448"/>
      <c r="AR514" s="448"/>
      <c r="AS514" s="448"/>
      <c r="AT514" s="448"/>
      <c r="AU514" s="448"/>
      <c r="AV514" s="448"/>
      <c r="AW514" s="448"/>
      <c r="AX514" s="448"/>
    </row>
    <row r="515" spans="1:50" x14ac:dyDescent="0.4">
      <c r="A515" s="442" t="str">
        <f t="shared" si="95"/>
        <v>71968</v>
      </c>
      <c r="B515" s="442">
        <v>25020</v>
      </c>
      <c r="C515" s="455">
        <v>-1.72E-2</v>
      </c>
      <c r="D515" s="438">
        <v>-6.9999999999999993E-3</v>
      </c>
      <c r="E515" s="438">
        <v>4.7999999999999996E-3</v>
      </c>
      <c r="F515" s="438">
        <v>5.1999999999999998E-3</v>
      </c>
      <c r="G515" s="438">
        <v>5.3749999999999996E-3</v>
      </c>
      <c r="H515" s="438">
        <v>5.2875000000000005E-3</v>
      </c>
      <c r="I515" s="438">
        <v>5.4416666666666667E-3</v>
      </c>
      <c r="J515" s="438">
        <f t="shared" si="84"/>
        <v>-2.1999999999999999E-2</v>
      </c>
      <c r="K515" s="438">
        <f t="shared" si="88"/>
        <v>-2.2487500000000001E-2</v>
      </c>
      <c r="L515" s="438">
        <f t="shared" si="89"/>
        <v>-1.2441666666666667E-2</v>
      </c>
      <c r="M515" s="446">
        <f t="shared" si="85"/>
        <v>6.4761101917758301E-2</v>
      </c>
      <c r="N515" s="446">
        <f t="shared" si="86"/>
        <v>5.7599999999999998E-2</v>
      </c>
      <c r="O515" s="446">
        <f t="shared" si="90"/>
        <v>6.3450000000000006E-2</v>
      </c>
      <c r="P515" s="447">
        <f t="shared" si="87"/>
        <v>7.161101917758303E-3</v>
      </c>
      <c r="Q515" s="446">
        <f t="shared" si="91"/>
        <v>1.311101917758295E-3</v>
      </c>
      <c r="R515" s="446">
        <f t="shared" si="92"/>
        <v>2.3589074753053829E-2</v>
      </c>
      <c r="S515" s="446">
        <f t="shared" si="93"/>
        <v>6.5299999999999997E-2</v>
      </c>
      <c r="T515" s="447">
        <f t="shared" si="94"/>
        <v>-4.1710925246946168E-2</v>
      </c>
      <c r="V515" s="448"/>
      <c r="W515" s="448"/>
      <c r="X515" s="448"/>
      <c r="Y515" s="448"/>
      <c r="Z515" s="448"/>
      <c r="AA515" s="448"/>
      <c r="AB515" s="448"/>
      <c r="AC515" s="448"/>
      <c r="AD515" s="448"/>
      <c r="AF515" s="448"/>
      <c r="AG515" s="448"/>
      <c r="AH515" s="448"/>
      <c r="AI515" s="448"/>
      <c r="AJ515" s="448"/>
      <c r="AK515" s="448"/>
      <c r="AL515" s="448"/>
      <c r="AM515" s="448"/>
      <c r="AN515" s="448"/>
      <c r="AP515" s="448"/>
      <c r="AQ515" s="448"/>
      <c r="AR515" s="448"/>
      <c r="AS515" s="448"/>
      <c r="AT515" s="448"/>
      <c r="AU515" s="448"/>
      <c r="AV515" s="448"/>
      <c r="AW515" s="448"/>
      <c r="AX515" s="448"/>
    </row>
    <row r="516" spans="1:50" x14ac:dyDescent="0.4">
      <c r="A516" s="442" t="str">
        <f t="shared" si="95"/>
        <v>81968</v>
      </c>
      <c r="B516" s="442">
        <v>25051</v>
      </c>
      <c r="C516" s="455">
        <v>1.6400000000000001E-2</v>
      </c>
      <c r="D516" s="438">
        <v>4.0000000000000024E-4</v>
      </c>
      <c r="E516" s="438">
        <v>4.1999999999999997E-3</v>
      </c>
      <c r="F516" s="438">
        <v>5.0166666666666658E-3</v>
      </c>
      <c r="G516" s="438">
        <v>5.2083333333333339E-3</v>
      </c>
      <c r="H516" s="438">
        <v>5.1124999999999999E-3</v>
      </c>
      <c r="I516" s="438">
        <v>5.2250000000000005E-3</v>
      </c>
      <c r="J516" s="438">
        <f t="shared" si="84"/>
        <v>1.2200000000000003E-2</v>
      </c>
      <c r="K516" s="438">
        <f t="shared" si="88"/>
        <v>1.1287500000000002E-2</v>
      </c>
      <c r="L516" s="438">
        <f t="shared" si="89"/>
        <v>-4.8250000000000003E-3</v>
      </c>
      <c r="M516" s="446">
        <f t="shared" si="85"/>
        <v>8.9852149032436879E-2</v>
      </c>
      <c r="N516" s="446">
        <f t="shared" si="86"/>
        <v>5.04E-2</v>
      </c>
      <c r="O516" s="446">
        <f t="shared" si="90"/>
        <v>6.1350000000000002E-2</v>
      </c>
      <c r="P516" s="447">
        <f t="shared" si="87"/>
        <v>3.9452149032436878E-2</v>
      </c>
      <c r="Q516" s="446">
        <f t="shared" si="91"/>
        <v>2.8502149032436877E-2</v>
      </c>
      <c r="R516" s="446">
        <f t="shared" si="92"/>
        <v>3.069804769295903E-2</v>
      </c>
      <c r="S516" s="446">
        <f t="shared" si="93"/>
        <v>6.2700000000000006E-2</v>
      </c>
      <c r="T516" s="447">
        <f t="shared" si="94"/>
        <v>-3.2001952307040976E-2</v>
      </c>
      <c r="V516" s="448"/>
      <c r="W516" s="448"/>
      <c r="X516" s="448"/>
      <c r="Y516" s="448"/>
      <c r="Z516" s="448"/>
      <c r="AA516" s="448"/>
      <c r="AB516" s="448"/>
      <c r="AC516" s="448"/>
      <c r="AD516" s="448"/>
      <c r="AF516" s="448"/>
      <c r="AG516" s="448"/>
      <c r="AH516" s="448"/>
      <c r="AI516" s="448"/>
      <c r="AJ516" s="448"/>
      <c r="AK516" s="448"/>
      <c r="AL516" s="448"/>
      <c r="AM516" s="448"/>
      <c r="AN516" s="448"/>
      <c r="AP516" s="448"/>
      <c r="AQ516" s="448"/>
      <c r="AR516" s="448"/>
      <c r="AS516" s="448"/>
      <c r="AT516" s="448"/>
      <c r="AU516" s="448"/>
      <c r="AV516" s="448"/>
      <c r="AW516" s="448"/>
      <c r="AX516" s="448"/>
    </row>
    <row r="517" spans="1:50" x14ac:dyDescent="0.4">
      <c r="A517" s="442" t="str">
        <f t="shared" si="95"/>
        <v>91968</v>
      </c>
      <c r="B517" s="442">
        <v>25082</v>
      </c>
      <c r="C517" s="455">
        <v>0.04</v>
      </c>
      <c r="D517" s="438">
        <v>0.01</v>
      </c>
      <c r="E517" s="438">
        <v>4.4000000000000003E-3</v>
      </c>
      <c r="F517" s="438">
        <v>4.9750000000000003E-3</v>
      </c>
      <c r="G517" s="438">
        <v>5.1916666666666665E-3</v>
      </c>
      <c r="H517" s="438">
        <v>5.0833333333333329E-3</v>
      </c>
      <c r="I517" s="438">
        <v>5.2250000000000005E-3</v>
      </c>
      <c r="J517" s="438">
        <f t="shared" si="84"/>
        <v>3.56E-2</v>
      </c>
      <c r="K517" s="438">
        <f t="shared" si="88"/>
        <v>3.4916666666666665E-2</v>
      </c>
      <c r="L517" s="438">
        <f t="shared" si="89"/>
        <v>4.7749999999999997E-3</v>
      </c>
      <c r="M517" s="446">
        <f t="shared" si="85"/>
        <v>9.5964257390962926E-2</v>
      </c>
      <c r="N517" s="446">
        <f t="shared" si="86"/>
        <v>5.28E-2</v>
      </c>
      <c r="O517" s="446">
        <f t="shared" si="90"/>
        <v>6.0999999999999999E-2</v>
      </c>
      <c r="P517" s="447">
        <f t="shared" si="87"/>
        <v>4.3164257390962926E-2</v>
      </c>
      <c r="Q517" s="446">
        <f t="shared" si="91"/>
        <v>3.4964257390962927E-2</v>
      </c>
      <c r="R517" s="446">
        <f t="shared" si="92"/>
        <v>4.4871051058806399E-2</v>
      </c>
      <c r="S517" s="446">
        <f t="shared" si="93"/>
        <v>6.2700000000000006E-2</v>
      </c>
      <c r="T517" s="447">
        <f t="shared" si="94"/>
        <v>-1.7828948941193606E-2</v>
      </c>
      <c r="V517" s="448"/>
      <c r="W517" s="448"/>
      <c r="X517" s="448"/>
      <c r="Y517" s="448"/>
      <c r="Z517" s="448"/>
      <c r="AA517" s="448"/>
      <c r="AB517" s="448"/>
      <c r="AC517" s="448"/>
      <c r="AD517" s="448"/>
      <c r="AF517" s="448"/>
      <c r="AG517" s="448"/>
      <c r="AH517" s="448"/>
      <c r="AI517" s="448"/>
      <c r="AJ517" s="448"/>
      <c r="AK517" s="448"/>
      <c r="AL517" s="448"/>
      <c r="AM517" s="448"/>
      <c r="AN517" s="448"/>
      <c r="AP517" s="448"/>
      <c r="AQ517" s="448"/>
      <c r="AR517" s="448"/>
      <c r="AS517" s="448"/>
      <c r="AT517" s="448"/>
      <c r="AU517" s="448"/>
      <c r="AV517" s="448"/>
      <c r="AW517" s="448"/>
      <c r="AX517" s="448"/>
    </row>
    <row r="518" spans="1:50" x14ac:dyDescent="0.4">
      <c r="A518" s="442" t="str">
        <f t="shared" si="95"/>
        <v>101968</v>
      </c>
      <c r="B518" s="442">
        <v>25112</v>
      </c>
      <c r="C518" s="455">
        <v>8.6999999999999994E-3</v>
      </c>
      <c r="D518" s="438">
        <v>8.6E-3</v>
      </c>
      <c r="E518" s="438">
        <v>4.4999999999999997E-3</v>
      </c>
      <c r="F518" s="438">
        <v>5.0749999999999997E-3</v>
      </c>
      <c r="G518" s="438">
        <v>5.2666666666666669E-3</v>
      </c>
      <c r="H518" s="438">
        <v>5.1708333333333337E-3</v>
      </c>
      <c r="I518" s="438">
        <v>5.3333333333333332E-3</v>
      </c>
      <c r="J518" s="438">
        <f t="shared" ref="J518:J581" si="96">C518-E518</f>
        <v>4.1999999999999997E-3</v>
      </c>
      <c r="K518" s="438">
        <f t="shared" si="88"/>
        <v>3.5291666666666657E-3</v>
      </c>
      <c r="L518" s="438">
        <f t="shared" si="89"/>
        <v>3.2666666666666669E-3</v>
      </c>
      <c r="M518" s="446">
        <f t="shared" si="85"/>
        <v>0.1368769502573679</v>
      </c>
      <c r="N518" s="446">
        <f t="shared" si="86"/>
        <v>5.3999999999999992E-2</v>
      </c>
      <c r="O518" s="446">
        <f t="shared" si="90"/>
        <v>6.2050000000000008E-2</v>
      </c>
      <c r="P518" s="447">
        <f t="shared" si="87"/>
        <v>8.287695025736791E-2</v>
      </c>
      <c r="Q518" s="446">
        <f t="shared" si="91"/>
        <v>7.4826950257367894E-2</v>
      </c>
      <c r="R518" s="446">
        <f t="shared" si="92"/>
        <v>0.11779480494050931</v>
      </c>
      <c r="S518" s="446">
        <f t="shared" si="93"/>
        <v>6.4000000000000001E-2</v>
      </c>
      <c r="T518" s="447">
        <f t="shared" si="94"/>
        <v>5.3794804940509311E-2</v>
      </c>
      <c r="V518" s="448"/>
      <c r="W518" s="448"/>
      <c r="X518" s="448"/>
      <c r="Y518" s="448"/>
      <c r="Z518" s="448"/>
      <c r="AA518" s="448"/>
      <c r="AB518" s="448"/>
      <c r="AC518" s="448"/>
      <c r="AD518" s="448"/>
      <c r="AF518" s="448"/>
      <c r="AG518" s="448"/>
      <c r="AH518" s="448"/>
      <c r="AI518" s="448"/>
      <c r="AJ518" s="448"/>
      <c r="AK518" s="448"/>
      <c r="AL518" s="448"/>
      <c r="AM518" s="448"/>
      <c r="AN518" s="448"/>
      <c r="AP518" s="448"/>
      <c r="AQ518" s="448"/>
      <c r="AR518" s="448"/>
      <c r="AS518" s="448"/>
      <c r="AT518" s="448"/>
      <c r="AU518" s="448"/>
      <c r="AV518" s="448"/>
      <c r="AW518" s="448"/>
      <c r="AX518" s="448"/>
    </row>
    <row r="519" spans="1:50" x14ac:dyDescent="0.4">
      <c r="A519" s="442" t="str">
        <f t="shared" si="95"/>
        <v>111968</v>
      </c>
      <c r="B519" s="442">
        <v>25143</v>
      </c>
      <c r="C519" s="455">
        <v>5.3100000000000001E-2</v>
      </c>
      <c r="D519" s="438">
        <v>7.8099999999999989E-2</v>
      </c>
      <c r="E519" s="438">
        <v>4.3E-3</v>
      </c>
      <c r="F519" s="438">
        <v>5.1583333333333333E-3</v>
      </c>
      <c r="G519" s="438">
        <v>5.3749999999999996E-3</v>
      </c>
      <c r="H519" s="438">
        <v>5.266666666666666E-3</v>
      </c>
      <c r="I519" s="438">
        <v>5.4916666666666673E-3</v>
      </c>
      <c r="J519" s="438">
        <f t="shared" si="96"/>
        <v>4.8800000000000003E-2</v>
      </c>
      <c r="K519" s="438">
        <f t="shared" si="88"/>
        <v>4.7833333333333339E-2</v>
      </c>
      <c r="L519" s="438">
        <f t="shared" si="89"/>
        <v>7.2608333333333316E-2</v>
      </c>
      <c r="M519" s="446">
        <f t="shared" si="85"/>
        <v>0.18951327999605971</v>
      </c>
      <c r="N519" s="446">
        <f t="shared" si="86"/>
        <v>5.16E-2</v>
      </c>
      <c r="O519" s="446">
        <f t="shared" si="90"/>
        <v>6.3199999999999992E-2</v>
      </c>
      <c r="P519" s="447">
        <f t="shared" si="87"/>
        <v>0.13791327999605971</v>
      </c>
      <c r="Q519" s="446">
        <f t="shared" si="91"/>
        <v>0.12631327999605974</v>
      </c>
      <c r="R519" s="446">
        <f t="shared" si="92"/>
        <v>0.17079041990319954</v>
      </c>
      <c r="S519" s="446">
        <f t="shared" si="93"/>
        <v>6.5900000000000014E-2</v>
      </c>
      <c r="T519" s="447">
        <f t="shared" si="94"/>
        <v>0.10489041990319953</v>
      </c>
      <c r="V519" s="448"/>
      <c r="W519" s="448"/>
      <c r="X519" s="448"/>
      <c r="Y519" s="448"/>
      <c r="Z519" s="448"/>
      <c r="AA519" s="448"/>
      <c r="AB519" s="448"/>
      <c r="AC519" s="448"/>
      <c r="AD519" s="448"/>
      <c r="AF519" s="448"/>
      <c r="AG519" s="448"/>
      <c r="AH519" s="448"/>
      <c r="AI519" s="448"/>
      <c r="AJ519" s="448"/>
      <c r="AK519" s="448"/>
      <c r="AL519" s="448"/>
      <c r="AM519" s="448"/>
      <c r="AN519" s="448"/>
      <c r="AP519" s="448"/>
      <c r="AQ519" s="448"/>
      <c r="AR519" s="448"/>
      <c r="AS519" s="448"/>
      <c r="AT519" s="448"/>
      <c r="AU519" s="448"/>
      <c r="AV519" s="448"/>
      <c r="AW519" s="448"/>
      <c r="AX519" s="448"/>
    </row>
    <row r="520" spans="1:50" x14ac:dyDescent="0.4">
      <c r="A520" s="442" t="str">
        <f t="shared" si="95"/>
        <v>121968</v>
      </c>
      <c r="B520" s="442">
        <v>25173</v>
      </c>
      <c r="C520" s="455">
        <v>-4.02E-2</v>
      </c>
      <c r="D520" s="438">
        <v>-3.0899999999999997E-2</v>
      </c>
      <c r="E520" s="438">
        <v>4.8999999999999998E-3</v>
      </c>
      <c r="F520" s="438">
        <v>5.3749999999999996E-3</v>
      </c>
      <c r="G520" s="438">
        <v>5.5500000000000002E-3</v>
      </c>
      <c r="H520" s="438">
        <v>5.4625000000000003E-3</v>
      </c>
      <c r="I520" s="438">
        <v>5.7250000000000001E-3</v>
      </c>
      <c r="J520" s="438">
        <f t="shared" si="96"/>
        <v>-4.5100000000000001E-2</v>
      </c>
      <c r="K520" s="438">
        <f t="shared" si="88"/>
        <v>-4.5662500000000002E-2</v>
      </c>
      <c r="L520" s="438">
        <f t="shared" si="89"/>
        <v>-3.6624999999999998E-2</v>
      </c>
      <c r="M520" s="446">
        <f t="shared" si="85"/>
        <v>0.11081421107240508</v>
      </c>
      <c r="N520" s="446">
        <f t="shared" si="86"/>
        <v>5.8799999999999998E-2</v>
      </c>
      <c r="O520" s="446">
        <f t="shared" si="90"/>
        <v>6.5549999999999997E-2</v>
      </c>
      <c r="P520" s="447">
        <f t="shared" si="87"/>
        <v>5.201421107240508E-2</v>
      </c>
      <c r="Q520" s="446">
        <f t="shared" si="91"/>
        <v>4.5264211072405081E-2</v>
      </c>
      <c r="R520" s="446">
        <f t="shared" si="92"/>
        <v>0.10306532755997488</v>
      </c>
      <c r="S520" s="446">
        <f t="shared" si="93"/>
        <v>6.8699999999999997E-2</v>
      </c>
      <c r="T520" s="447">
        <f t="shared" si="94"/>
        <v>3.4365327559974887E-2</v>
      </c>
      <c r="V520" s="448"/>
      <c r="W520" s="448"/>
      <c r="X520" s="448"/>
      <c r="Y520" s="448"/>
      <c r="Z520" s="448"/>
      <c r="AA520" s="448"/>
      <c r="AB520" s="448"/>
      <c r="AC520" s="448"/>
      <c r="AD520" s="448"/>
      <c r="AF520" s="448"/>
      <c r="AG520" s="448"/>
      <c r="AH520" s="448"/>
      <c r="AI520" s="448"/>
      <c r="AJ520" s="448"/>
      <c r="AK520" s="448"/>
      <c r="AL520" s="448"/>
      <c r="AM520" s="448"/>
      <c r="AN520" s="448"/>
      <c r="AP520" s="448"/>
      <c r="AQ520" s="448"/>
      <c r="AR520" s="448"/>
      <c r="AS520" s="448"/>
      <c r="AT520" s="448"/>
      <c r="AU520" s="448"/>
      <c r="AV520" s="448"/>
      <c r="AW520" s="448"/>
      <c r="AX520" s="448"/>
    </row>
    <row r="521" spans="1:50" x14ac:dyDescent="0.4">
      <c r="A521" s="442" t="str">
        <f t="shared" si="95"/>
        <v>11969</v>
      </c>
      <c r="B521" s="442">
        <v>25204</v>
      </c>
      <c r="C521" s="455">
        <v>-6.7999999999999996E-3</v>
      </c>
      <c r="D521" s="438">
        <v>1.6899999999999998E-2</v>
      </c>
      <c r="E521" s="438">
        <v>5.0000000000000001E-3</v>
      </c>
      <c r="F521" s="438">
        <v>5.4916666666666673E-3</v>
      </c>
      <c r="G521" s="438">
        <v>5.6083333333333341E-3</v>
      </c>
      <c r="H521" s="438">
        <v>5.5500000000000002E-3</v>
      </c>
      <c r="I521" s="438">
        <v>5.8666666666666667E-3</v>
      </c>
      <c r="J521" s="438">
        <f t="shared" si="96"/>
        <v>-1.18E-2</v>
      </c>
      <c r="K521" s="438">
        <f t="shared" si="88"/>
        <v>-1.235E-2</v>
      </c>
      <c r="L521" s="438">
        <f t="shared" si="89"/>
        <v>1.1033333333333332E-2</v>
      </c>
      <c r="M521" s="446">
        <f t="shared" si="85"/>
        <v>0.15223046938601881</v>
      </c>
      <c r="N521" s="446">
        <f t="shared" si="86"/>
        <v>0.06</v>
      </c>
      <c r="O521" s="446">
        <f t="shared" si="90"/>
        <v>6.6600000000000006E-2</v>
      </c>
      <c r="P521" s="447">
        <f t="shared" si="87"/>
        <v>9.223046938601881E-2</v>
      </c>
      <c r="Q521" s="446">
        <f t="shared" si="91"/>
        <v>8.5630469386018801E-2</v>
      </c>
      <c r="R521" s="446">
        <f t="shared" si="92"/>
        <v>0.11258394326099808</v>
      </c>
      <c r="S521" s="446">
        <f t="shared" si="93"/>
        <v>7.0400000000000004E-2</v>
      </c>
      <c r="T521" s="447">
        <f t="shared" si="94"/>
        <v>4.2183943260998072E-2</v>
      </c>
      <c r="V521" s="448"/>
      <c r="W521" s="448"/>
      <c r="X521" s="448"/>
      <c r="Y521" s="448"/>
      <c r="Z521" s="448"/>
      <c r="AA521" s="448"/>
      <c r="AB521" s="448"/>
      <c r="AC521" s="448"/>
      <c r="AD521" s="448"/>
      <c r="AF521" s="448"/>
      <c r="AG521" s="448"/>
      <c r="AH521" s="448"/>
      <c r="AI521" s="448"/>
      <c r="AJ521" s="448"/>
      <c r="AK521" s="448"/>
      <c r="AL521" s="448"/>
      <c r="AM521" s="448"/>
      <c r="AN521" s="448"/>
      <c r="AP521" s="448"/>
      <c r="AQ521" s="448"/>
      <c r="AR521" s="448"/>
      <c r="AS521" s="448"/>
      <c r="AT521" s="448"/>
      <c r="AU521" s="448"/>
      <c r="AV521" s="448"/>
      <c r="AW521" s="448"/>
      <c r="AX521" s="448"/>
    </row>
    <row r="522" spans="1:50" x14ac:dyDescent="0.4">
      <c r="A522" s="442" t="str">
        <f t="shared" si="95"/>
        <v>21969</v>
      </c>
      <c r="B522" s="442">
        <v>25235</v>
      </c>
      <c r="C522" s="455">
        <v>-4.2599999999999999E-2</v>
      </c>
      <c r="D522" s="438">
        <v>-5.3200000000000004E-2</v>
      </c>
      <c r="E522" s="438">
        <v>4.5999999999999999E-3</v>
      </c>
      <c r="F522" s="438">
        <v>5.5500000000000002E-3</v>
      </c>
      <c r="G522" s="438">
        <v>5.6416666666666664E-3</v>
      </c>
      <c r="H522" s="438">
        <v>5.5958333333333329E-3</v>
      </c>
      <c r="I522" s="438">
        <v>5.9416666666666663E-3</v>
      </c>
      <c r="J522" s="438">
        <f t="shared" si="96"/>
        <v>-4.7199999999999999E-2</v>
      </c>
      <c r="K522" s="438">
        <f t="shared" si="88"/>
        <v>-4.8195833333333334E-2</v>
      </c>
      <c r="L522" s="438">
        <f t="shared" si="89"/>
        <v>-5.9141666666666669E-2</v>
      </c>
      <c r="M522" s="446">
        <f t="shared" si="85"/>
        <v>0.13270916047866765</v>
      </c>
      <c r="N522" s="446">
        <f t="shared" si="86"/>
        <v>5.5199999999999999E-2</v>
      </c>
      <c r="O522" s="446">
        <f t="shared" si="90"/>
        <v>6.7149999999999987E-2</v>
      </c>
      <c r="P522" s="447">
        <f t="shared" si="87"/>
        <v>7.7509160478667655E-2</v>
      </c>
      <c r="Q522" s="446">
        <f t="shared" si="91"/>
        <v>6.5559160478667666E-2</v>
      </c>
      <c r="R522" s="446">
        <f t="shared" si="92"/>
        <v>7.8524088747326193E-2</v>
      </c>
      <c r="S522" s="446">
        <f t="shared" si="93"/>
        <v>7.1300000000000002E-2</v>
      </c>
      <c r="T522" s="447">
        <f t="shared" si="94"/>
        <v>7.2240887473261906E-3</v>
      </c>
      <c r="V522" s="448"/>
      <c r="W522" s="448"/>
      <c r="X522" s="448"/>
      <c r="Y522" s="448"/>
      <c r="Z522" s="448"/>
      <c r="AA522" s="448"/>
      <c r="AB522" s="448"/>
      <c r="AC522" s="448"/>
      <c r="AD522" s="448"/>
      <c r="AF522" s="448"/>
      <c r="AG522" s="448"/>
      <c r="AH522" s="448"/>
      <c r="AI522" s="448"/>
      <c r="AJ522" s="448"/>
      <c r="AK522" s="448"/>
      <c r="AL522" s="448"/>
      <c r="AM522" s="448"/>
      <c r="AN522" s="448"/>
      <c r="AP522" s="448"/>
      <c r="AQ522" s="448"/>
      <c r="AR522" s="448"/>
      <c r="AS522" s="448"/>
      <c r="AT522" s="448"/>
      <c r="AU522" s="448"/>
      <c r="AV522" s="448"/>
      <c r="AW522" s="448"/>
      <c r="AX522" s="448"/>
    </row>
    <row r="523" spans="1:50" x14ac:dyDescent="0.4">
      <c r="A523" s="442" t="str">
        <f t="shared" si="95"/>
        <v>31969</v>
      </c>
      <c r="B523" s="442">
        <v>25263</v>
      </c>
      <c r="C523" s="455">
        <v>3.5900000000000001E-2</v>
      </c>
      <c r="D523" s="438">
        <v>-9.6000000000000009E-3</v>
      </c>
      <c r="E523" s="438">
        <v>4.7000000000000002E-3</v>
      </c>
      <c r="F523" s="438">
        <v>5.7083333333333326E-3</v>
      </c>
      <c r="G523" s="438">
        <v>5.7916666666666672E-3</v>
      </c>
      <c r="H523" s="438">
        <v>5.7499999999999999E-3</v>
      </c>
      <c r="I523" s="438">
        <v>6.0583333333333331E-3</v>
      </c>
      <c r="J523" s="438">
        <f t="shared" si="96"/>
        <v>3.1200000000000002E-2</v>
      </c>
      <c r="K523" s="438">
        <f t="shared" si="88"/>
        <v>3.0150000000000003E-2</v>
      </c>
      <c r="L523" s="438">
        <f t="shared" si="89"/>
        <v>-1.5658333333333333E-2</v>
      </c>
      <c r="M523" s="446">
        <f t="shared" si="85"/>
        <v>0.16060674514327555</v>
      </c>
      <c r="N523" s="446">
        <f t="shared" si="86"/>
        <v>5.6400000000000006E-2</v>
      </c>
      <c r="O523" s="446">
        <f t="shared" si="90"/>
        <v>6.9000000000000006E-2</v>
      </c>
      <c r="P523" s="447">
        <f t="shared" si="87"/>
        <v>0.10420674514327555</v>
      </c>
      <c r="Q523" s="446">
        <f t="shared" si="91"/>
        <v>9.1606745143275548E-2</v>
      </c>
      <c r="R523" s="446">
        <f t="shared" si="92"/>
        <v>0.11256145973893505</v>
      </c>
      <c r="S523" s="446">
        <f t="shared" si="93"/>
        <v>7.2700000000000001E-2</v>
      </c>
      <c r="T523" s="447">
        <f t="shared" si="94"/>
        <v>3.9861459738935054E-2</v>
      </c>
      <c r="V523" s="448"/>
      <c r="W523" s="448"/>
      <c r="X523" s="448"/>
      <c r="Y523" s="448"/>
      <c r="Z523" s="448"/>
      <c r="AA523" s="448"/>
      <c r="AB523" s="448"/>
      <c r="AC523" s="448"/>
      <c r="AD523" s="448"/>
      <c r="AF523" s="448"/>
      <c r="AG523" s="448"/>
      <c r="AH523" s="448"/>
      <c r="AI523" s="448"/>
      <c r="AJ523" s="448"/>
      <c r="AK523" s="448"/>
      <c r="AL523" s="448"/>
      <c r="AM523" s="448"/>
      <c r="AN523" s="448"/>
      <c r="AP523" s="448"/>
      <c r="AQ523" s="448"/>
      <c r="AR523" s="448"/>
      <c r="AS523" s="448"/>
      <c r="AT523" s="448"/>
      <c r="AU523" s="448"/>
      <c r="AV523" s="448"/>
      <c r="AW523" s="448"/>
      <c r="AX523" s="448"/>
    </row>
    <row r="524" spans="1:50" x14ac:dyDescent="0.4">
      <c r="A524" s="442" t="str">
        <f t="shared" si="95"/>
        <v>41969</v>
      </c>
      <c r="B524" s="442">
        <v>25294</v>
      </c>
      <c r="C524" s="455">
        <v>2.29E-2</v>
      </c>
      <c r="D524" s="438">
        <v>1.3899999999999999E-2</v>
      </c>
      <c r="E524" s="438">
        <v>5.4999999999999997E-3</v>
      </c>
      <c r="F524" s="438">
        <v>5.7416666666666658E-3</v>
      </c>
      <c r="G524" s="438">
        <v>5.8499999999999993E-3</v>
      </c>
      <c r="H524" s="438">
        <v>5.7958333333333334E-3</v>
      </c>
      <c r="I524" s="438">
        <v>6.083333333333333E-3</v>
      </c>
      <c r="J524" s="438">
        <f t="shared" si="96"/>
        <v>1.7399999999999999E-2</v>
      </c>
      <c r="K524" s="438">
        <f t="shared" si="88"/>
        <v>1.7104166666666667E-2</v>
      </c>
      <c r="L524" s="438">
        <f t="shared" si="89"/>
        <v>7.8166666666666662E-3</v>
      </c>
      <c r="M524" s="446">
        <f t="shared" si="85"/>
        <v>9.57953106950864E-2</v>
      </c>
      <c r="N524" s="446">
        <f t="shared" si="86"/>
        <v>6.6000000000000003E-2</v>
      </c>
      <c r="O524" s="446">
        <f t="shared" si="90"/>
        <v>6.9550000000000001E-2</v>
      </c>
      <c r="P524" s="447">
        <f t="shared" si="87"/>
        <v>2.9795310695086397E-2</v>
      </c>
      <c r="Q524" s="446">
        <f t="shared" si="91"/>
        <v>2.6245310695086399E-2</v>
      </c>
      <c r="R524" s="446">
        <f t="shared" si="92"/>
        <v>9.7835585429981942E-2</v>
      </c>
      <c r="S524" s="446">
        <f t="shared" si="93"/>
        <v>7.2999999999999995E-2</v>
      </c>
      <c r="T524" s="447">
        <f t="shared" si="94"/>
        <v>2.4835585429981946E-2</v>
      </c>
      <c r="V524" s="448"/>
      <c r="W524" s="448"/>
      <c r="X524" s="448"/>
      <c r="Y524" s="448"/>
      <c r="Z524" s="448"/>
      <c r="AA524" s="448"/>
      <c r="AB524" s="448"/>
      <c r="AC524" s="448"/>
      <c r="AD524" s="448"/>
      <c r="AF524" s="448"/>
      <c r="AG524" s="448"/>
      <c r="AH524" s="448"/>
      <c r="AI524" s="448"/>
      <c r="AJ524" s="448"/>
      <c r="AK524" s="448"/>
      <c r="AL524" s="448"/>
      <c r="AM524" s="448"/>
      <c r="AN524" s="448"/>
      <c r="AP524" s="448"/>
      <c r="AQ524" s="448"/>
      <c r="AR524" s="448"/>
      <c r="AS524" s="448"/>
      <c r="AT524" s="448"/>
      <c r="AU524" s="448"/>
      <c r="AV524" s="448"/>
      <c r="AW524" s="448"/>
      <c r="AX524" s="448"/>
    </row>
    <row r="525" spans="1:50" x14ac:dyDescent="0.4">
      <c r="A525" s="442" t="str">
        <f t="shared" si="95"/>
        <v>51969</v>
      </c>
      <c r="B525" s="442">
        <v>25324</v>
      </c>
      <c r="C525" s="455">
        <v>2.5999999999999999E-3</v>
      </c>
      <c r="D525" s="438">
        <v>-5.9999999999999984E-4</v>
      </c>
      <c r="E525" s="438">
        <v>4.7000000000000002E-3</v>
      </c>
      <c r="F525" s="438">
        <v>5.6583333333333329E-3</v>
      </c>
      <c r="G525" s="438">
        <v>5.7999999999999996E-3</v>
      </c>
      <c r="H525" s="438">
        <v>5.7291666666666663E-3</v>
      </c>
      <c r="I525" s="438">
        <v>5.966666666666667E-3</v>
      </c>
      <c r="J525" s="438">
        <f t="shared" si="96"/>
        <v>-2.1000000000000003E-3</v>
      </c>
      <c r="K525" s="438">
        <f t="shared" si="88"/>
        <v>-3.1291666666666664E-3</v>
      </c>
      <c r="L525" s="438">
        <f t="shared" si="89"/>
        <v>-6.5666666666666668E-3</v>
      </c>
      <c r="M525" s="446">
        <f t="shared" si="85"/>
        <v>8.1236471314726666E-2</v>
      </c>
      <c r="N525" s="446">
        <f t="shared" si="86"/>
        <v>5.6400000000000006E-2</v>
      </c>
      <c r="O525" s="446">
        <f t="shared" si="90"/>
        <v>6.8749999999999992E-2</v>
      </c>
      <c r="P525" s="447">
        <f t="shared" si="87"/>
        <v>2.483647131472666E-2</v>
      </c>
      <c r="Q525" s="446">
        <f t="shared" si="91"/>
        <v>1.2486471314726674E-2</v>
      </c>
      <c r="R525" s="446">
        <f t="shared" si="92"/>
        <v>0.1040218193587481</v>
      </c>
      <c r="S525" s="446">
        <f t="shared" si="93"/>
        <v>7.1599999999999997E-2</v>
      </c>
      <c r="T525" s="447">
        <f t="shared" si="94"/>
        <v>3.2421819358748105E-2</v>
      </c>
      <c r="V525" s="448"/>
      <c r="W525" s="448"/>
      <c r="X525" s="448"/>
      <c r="Y525" s="448"/>
      <c r="Z525" s="448"/>
      <c r="AA525" s="448"/>
      <c r="AB525" s="448"/>
      <c r="AC525" s="448"/>
      <c r="AD525" s="448"/>
      <c r="AF525" s="448"/>
      <c r="AG525" s="448"/>
      <c r="AH525" s="448"/>
      <c r="AI525" s="448"/>
      <c r="AJ525" s="448"/>
      <c r="AK525" s="448"/>
      <c r="AL525" s="448"/>
      <c r="AM525" s="448"/>
      <c r="AN525" s="448"/>
      <c r="AP525" s="448"/>
      <c r="AQ525" s="448"/>
      <c r="AR525" s="448"/>
      <c r="AS525" s="448"/>
      <c r="AT525" s="448"/>
      <c r="AU525" s="448"/>
      <c r="AV525" s="448"/>
      <c r="AW525" s="448"/>
      <c r="AX525" s="448"/>
    </row>
    <row r="526" spans="1:50" x14ac:dyDescent="0.4">
      <c r="A526" s="442" t="str">
        <f t="shared" si="95"/>
        <v>61969</v>
      </c>
      <c r="B526" s="442">
        <v>25355</v>
      </c>
      <c r="C526" s="455">
        <v>-5.4199999999999998E-2</v>
      </c>
      <c r="D526" s="438">
        <v>-5.16E-2</v>
      </c>
      <c r="E526" s="438">
        <v>5.4999999999999997E-3</v>
      </c>
      <c r="F526" s="438">
        <v>5.816666666666667E-3</v>
      </c>
      <c r="G526" s="438">
        <v>5.9333333333333339E-3</v>
      </c>
      <c r="H526" s="438">
        <v>5.875E-3</v>
      </c>
      <c r="I526" s="438">
        <v>6.1750000000000008E-3</v>
      </c>
      <c r="J526" s="438">
        <f t="shared" si="96"/>
        <v>-5.9699999999999996E-2</v>
      </c>
      <c r="K526" s="438">
        <f t="shared" si="88"/>
        <v>-6.0074999999999996E-2</v>
      </c>
      <c r="L526" s="438">
        <f t="shared" si="89"/>
        <v>-5.7775E-2</v>
      </c>
      <c r="M526" s="446">
        <f t="shared" si="85"/>
        <v>1.200737710981592E-2</v>
      </c>
      <c r="N526" s="446">
        <f t="shared" si="86"/>
        <v>6.6000000000000003E-2</v>
      </c>
      <c r="O526" s="446">
        <f t="shared" si="90"/>
        <v>7.0500000000000007E-2</v>
      </c>
      <c r="P526" s="447">
        <f t="shared" si="87"/>
        <v>-5.3992622890184083E-2</v>
      </c>
      <c r="Q526" s="446">
        <f t="shared" si="91"/>
        <v>-5.8492622890184087E-2</v>
      </c>
      <c r="R526" s="446">
        <f t="shared" si="92"/>
        <v>-3.1133253002834649E-2</v>
      </c>
      <c r="S526" s="446">
        <f t="shared" si="93"/>
        <v>7.4100000000000013E-2</v>
      </c>
      <c r="T526" s="447">
        <f t="shared" si="94"/>
        <v>-0.10523325300283466</v>
      </c>
      <c r="V526" s="448"/>
      <c r="W526" s="448"/>
      <c r="X526" s="448"/>
      <c r="Y526" s="448"/>
      <c r="Z526" s="448"/>
      <c r="AA526" s="448"/>
      <c r="AB526" s="448"/>
      <c r="AC526" s="448"/>
      <c r="AD526" s="448"/>
      <c r="AF526" s="448"/>
      <c r="AG526" s="448"/>
      <c r="AH526" s="448"/>
      <c r="AI526" s="448"/>
      <c r="AJ526" s="448"/>
      <c r="AK526" s="448"/>
      <c r="AL526" s="448"/>
      <c r="AM526" s="448"/>
      <c r="AN526" s="448"/>
      <c r="AP526" s="448"/>
      <c r="AQ526" s="448"/>
      <c r="AR526" s="448"/>
      <c r="AS526" s="448"/>
      <c r="AT526" s="448"/>
      <c r="AU526" s="448"/>
      <c r="AV526" s="448"/>
      <c r="AW526" s="448"/>
      <c r="AX526" s="448"/>
    </row>
    <row r="527" spans="1:50" x14ac:dyDescent="0.4">
      <c r="A527" s="442" t="str">
        <f t="shared" si="95"/>
        <v>71969</v>
      </c>
      <c r="B527" s="442">
        <v>25385</v>
      </c>
      <c r="C527" s="455">
        <v>-5.8700000000000002E-2</v>
      </c>
      <c r="D527" s="438">
        <v>-3.6299999999999999E-2</v>
      </c>
      <c r="E527" s="438">
        <v>5.1999999999999998E-3</v>
      </c>
      <c r="F527" s="438">
        <v>5.8999999999999999E-3</v>
      </c>
      <c r="G527" s="438">
        <v>6.0333333333333341E-3</v>
      </c>
      <c r="H527" s="438">
        <v>5.966666666666667E-3</v>
      </c>
      <c r="I527" s="438">
        <v>6.2666666666666669E-3</v>
      </c>
      <c r="J527" s="438">
        <f t="shared" si="96"/>
        <v>-6.3899999999999998E-2</v>
      </c>
      <c r="K527" s="438">
        <f t="shared" si="88"/>
        <v>-6.4666666666666664E-2</v>
      </c>
      <c r="L527" s="438">
        <f t="shared" si="89"/>
        <v>-4.2566666666666669E-2</v>
      </c>
      <c r="M527" s="446">
        <f t="shared" si="85"/>
        <v>-3.0725942131187289E-2</v>
      </c>
      <c r="N527" s="446">
        <f t="shared" si="86"/>
        <v>6.2399999999999997E-2</v>
      </c>
      <c r="O527" s="446">
        <f t="shared" si="90"/>
        <v>7.1599999999999997E-2</v>
      </c>
      <c r="P527" s="447">
        <f t="shared" si="87"/>
        <v>-9.3125942131187286E-2</v>
      </c>
      <c r="Q527" s="446">
        <f t="shared" si="91"/>
        <v>-0.10232594213118729</v>
      </c>
      <c r="R527" s="446">
        <f t="shared" si="92"/>
        <v>-5.9721164067303212E-2</v>
      </c>
      <c r="S527" s="446">
        <f t="shared" si="93"/>
        <v>7.5200000000000003E-2</v>
      </c>
      <c r="T527" s="447">
        <f t="shared" si="94"/>
        <v>-0.1349211640673032</v>
      </c>
      <c r="V527" s="448"/>
      <c r="W527" s="448"/>
      <c r="X527" s="448"/>
      <c r="Y527" s="448"/>
      <c r="Z527" s="448"/>
      <c r="AA527" s="448"/>
      <c r="AB527" s="448"/>
      <c r="AC527" s="448"/>
      <c r="AD527" s="448"/>
      <c r="AF527" s="448"/>
      <c r="AG527" s="448"/>
      <c r="AH527" s="448"/>
      <c r="AI527" s="448"/>
      <c r="AJ527" s="448"/>
      <c r="AK527" s="448"/>
      <c r="AL527" s="448"/>
      <c r="AM527" s="448"/>
      <c r="AN527" s="448"/>
      <c r="AP527" s="448"/>
      <c r="AQ527" s="448"/>
      <c r="AR527" s="448"/>
      <c r="AS527" s="448"/>
      <c r="AT527" s="448"/>
      <c r="AU527" s="448"/>
      <c r="AV527" s="448"/>
      <c r="AW527" s="448"/>
      <c r="AX527" s="448"/>
    </row>
    <row r="528" spans="1:50" x14ac:dyDescent="0.4">
      <c r="A528" s="442" t="str">
        <f t="shared" si="95"/>
        <v>81969</v>
      </c>
      <c r="B528" s="442">
        <v>25416</v>
      </c>
      <c r="C528" s="455">
        <v>4.5400000000000003E-2</v>
      </c>
      <c r="D528" s="438">
        <v>-1.1399999999999999E-2</v>
      </c>
      <c r="E528" s="438">
        <v>4.7999999999999996E-3</v>
      </c>
      <c r="F528" s="438">
        <v>5.8083333333333329E-3</v>
      </c>
      <c r="G528" s="438">
        <v>6.025E-3</v>
      </c>
      <c r="H528" s="438">
        <v>5.9166666666666664E-3</v>
      </c>
      <c r="I528" s="438">
        <v>6.1999999999999998E-3</v>
      </c>
      <c r="J528" s="438">
        <f t="shared" si="96"/>
        <v>4.0600000000000004E-2</v>
      </c>
      <c r="K528" s="438">
        <f t="shared" si="88"/>
        <v>3.9483333333333336E-2</v>
      </c>
      <c r="L528" s="438">
        <f t="shared" si="89"/>
        <v>-1.7599999999999998E-2</v>
      </c>
      <c r="M528" s="446">
        <f t="shared" ref="M528:M591" si="97">((1+C517)*(1+C518)*(1+C519)*(1+C520)*(1+C521)*(1+C522)*(1+C523)*(1+C524)*(1+C525)*(1+C526)*(1+C527)*(1+C528))-1</f>
        <v>-3.0705429987629707E-3</v>
      </c>
      <c r="N528" s="446">
        <f t="shared" ref="N528:N591" si="98">E528*12</f>
        <v>5.7599999999999998E-2</v>
      </c>
      <c r="O528" s="446">
        <f t="shared" si="90"/>
        <v>7.0999999999999994E-2</v>
      </c>
      <c r="P528" s="447">
        <f t="shared" ref="P528:P591" si="99">M528-N528</f>
        <v>-6.0670542998762969E-2</v>
      </c>
      <c r="Q528" s="446">
        <f t="shared" si="91"/>
        <v>-7.4070542998762964E-2</v>
      </c>
      <c r="R528" s="446">
        <f t="shared" si="92"/>
        <v>-7.0812017989739906E-2</v>
      </c>
      <c r="S528" s="446">
        <f t="shared" si="93"/>
        <v>7.4399999999999994E-2</v>
      </c>
      <c r="T528" s="447">
        <f t="shared" si="94"/>
        <v>-0.1452120179897399</v>
      </c>
      <c r="V528" s="448"/>
      <c r="W528" s="448"/>
      <c r="X528" s="448"/>
      <c r="Y528" s="448"/>
      <c r="Z528" s="448"/>
      <c r="AA528" s="448"/>
      <c r="AB528" s="448"/>
      <c r="AC528" s="448"/>
      <c r="AD528" s="448"/>
      <c r="AF528" s="448"/>
      <c r="AG528" s="448"/>
      <c r="AH528" s="448"/>
      <c r="AI528" s="448"/>
      <c r="AJ528" s="448"/>
      <c r="AK528" s="448"/>
      <c r="AL528" s="448"/>
      <c r="AM528" s="448"/>
      <c r="AN528" s="448"/>
      <c r="AP528" s="448"/>
      <c r="AQ528" s="448"/>
      <c r="AR528" s="448"/>
      <c r="AS528" s="448"/>
      <c r="AT528" s="448"/>
      <c r="AU528" s="448"/>
      <c r="AV528" s="448"/>
      <c r="AW528" s="448"/>
      <c r="AX528" s="448"/>
    </row>
    <row r="529" spans="1:50" x14ac:dyDescent="0.4">
      <c r="A529" s="442" t="str">
        <f t="shared" si="95"/>
        <v>91969</v>
      </c>
      <c r="B529" s="442">
        <v>25447</v>
      </c>
      <c r="C529" s="455">
        <v>-2.3599999999999999E-2</v>
      </c>
      <c r="D529" s="438">
        <v>-3.7200000000000004E-2</v>
      </c>
      <c r="E529" s="438">
        <v>5.4999999999999997E-3</v>
      </c>
      <c r="F529" s="438">
        <v>5.9499999999999996E-3</v>
      </c>
      <c r="G529" s="438">
        <v>6.1333333333333344E-3</v>
      </c>
      <c r="H529" s="438">
        <v>6.0416666666666674E-3</v>
      </c>
      <c r="I529" s="438">
        <v>6.3583333333333339E-3</v>
      </c>
      <c r="J529" s="438">
        <f t="shared" si="96"/>
        <v>-2.9100000000000001E-2</v>
      </c>
      <c r="K529" s="438">
        <f t="shared" si="88"/>
        <v>-2.9641666666666667E-2</v>
      </c>
      <c r="L529" s="438">
        <f t="shared" si="89"/>
        <v>-4.3558333333333338E-2</v>
      </c>
      <c r="M529" s="446">
        <f t="shared" si="97"/>
        <v>-6.4036613638454032E-2</v>
      </c>
      <c r="N529" s="446">
        <f t="shared" si="98"/>
        <v>6.6000000000000003E-2</v>
      </c>
      <c r="O529" s="446">
        <f t="shared" si="90"/>
        <v>7.2500000000000009E-2</v>
      </c>
      <c r="P529" s="447">
        <f t="shared" si="99"/>
        <v>-0.13003661363845403</v>
      </c>
      <c r="Q529" s="446">
        <f t="shared" si="91"/>
        <v>-0.13653661363845404</v>
      </c>
      <c r="R529" s="446">
        <f t="shared" si="92"/>
        <v>-0.11423545635695187</v>
      </c>
      <c r="S529" s="446">
        <f t="shared" si="93"/>
        <v>7.6300000000000007E-2</v>
      </c>
      <c r="T529" s="447">
        <f t="shared" si="94"/>
        <v>-0.19053545635695188</v>
      </c>
      <c r="V529" s="448"/>
      <c r="W529" s="448"/>
      <c r="X529" s="448"/>
      <c r="Y529" s="448"/>
      <c r="Z529" s="448"/>
      <c r="AA529" s="448"/>
      <c r="AB529" s="448"/>
      <c r="AC529" s="448"/>
      <c r="AD529" s="448"/>
      <c r="AF529" s="448"/>
      <c r="AG529" s="448"/>
      <c r="AH529" s="448"/>
      <c r="AI529" s="448"/>
      <c r="AJ529" s="448"/>
      <c r="AK529" s="448"/>
      <c r="AL529" s="448"/>
      <c r="AM529" s="448"/>
      <c r="AN529" s="448"/>
      <c r="AP529" s="448"/>
      <c r="AQ529" s="448"/>
      <c r="AR529" s="448"/>
      <c r="AS529" s="448"/>
      <c r="AT529" s="448"/>
      <c r="AU529" s="448"/>
      <c r="AV529" s="448"/>
      <c r="AW529" s="448"/>
      <c r="AX529" s="448"/>
    </row>
    <row r="530" spans="1:50" x14ac:dyDescent="0.4">
      <c r="A530" s="442" t="str">
        <f t="shared" si="95"/>
        <v>101969</v>
      </c>
      <c r="B530" s="442">
        <v>25477</v>
      </c>
      <c r="C530" s="455">
        <v>4.5900000000000003E-2</v>
      </c>
      <c r="D530" s="438">
        <v>7.980000000000001E-2</v>
      </c>
      <c r="E530" s="438">
        <v>5.7000000000000002E-3</v>
      </c>
      <c r="F530" s="438">
        <v>6.1083333333333337E-3</v>
      </c>
      <c r="G530" s="438">
        <v>6.2750000000000002E-3</v>
      </c>
      <c r="H530" s="438">
        <v>6.1916666666666665E-3</v>
      </c>
      <c r="I530" s="438">
        <v>6.6833333333333337E-3</v>
      </c>
      <c r="J530" s="438">
        <f t="shared" si="96"/>
        <v>4.02E-2</v>
      </c>
      <c r="K530" s="438">
        <f t="shared" si="88"/>
        <v>3.9708333333333339E-2</v>
      </c>
      <c r="L530" s="438">
        <f t="shared" si="89"/>
        <v>7.3116666666666677E-2</v>
      </c>
      <c r="M530" s="446">
        <f t="shared" si="97"/>
        <v>-2.9519078223911088E-2</v>
      </c>
      <c r="N530" s="446">
        <f t="shared" si="98"/>
        <v>6.8400000000000002E-2</v>
      </c>
      <c r="O530" s="446">
        <f t="shared" si="90"/>
        <v>7.4300000000000005E-2</v>
      </c>
      <c r="P530" s="447">
        <f t="shared" si="99"/>
        <v>-9.7919078223911091E-2</v>
      </c>
      <c r="Q530" s="446">
        <f t="shared" si="91"/>
        <v>-0.10381907822391109</v>
      </c>
      <c r="R530" s="446">
        <f t="shared" si="92"/>
        <v>-5.1706767573107881E-2</v>
      </c>
      <c r="S530" s="446">
        <f t="shared" si="93"/>
        <v>8.0200000000000007E-2</v>
      </c>
      <c r="T530" s="447">
        <f t="shared" si="94"/>
        <v>-0.13190676757310787</v>
      </c>
      <c r="V530" s="448"/>
      <c r="W530" s="448"/>
      <c r="X530" s="448"/>
      <c r="Y530" s="448"/>
      <c r="Z530" s="448"/>
      <c r="AA530" s="448"/>
      <c r="AB530" s="448"/>
      <c r="AC530" s="448"/>
      <c r="AD530" s="448"/>
      <c r="AF530" s="448"/>
      <c r="AG530" s="448"/>
      <c r="AH530" s="448"/>
      <c r="AI530" s="448"/>
      <c r="AJ530" s="448"/>
      <c r="AK530" s="448"/>
      <c r="AL530" s="448"/>
      <c r="AM530" s="448"/>
      <c r="AN530" s="448"/>
      <c r="AP530" s="448"/>
      <c r="AQ530" s="448"/>
      <c r="AR530" s="448"/>
      <c r="AS530" s="448"/>
      <c r="AT530" s="448"/>
      <c r="AU530" s="448"/>
      <c r="AV530" s="448"/>
      <c r="AW530" s="448"/>
      <c r="AX530" s="448"/>
    </row>
    <row r="531" spans="1:50" x14ac:dyDescent="0.4">
      <c r="A531" s="442" t="str">
        <f t="shared" si="95"/>
        <v>111969</v>
      </c>
      <c r="B531" s="442">
        <v>25508</v>
      </c>
      <c r="C531" s="455">
        <v>-2.9700000000000001E-2</v>
      </c>
      <c r="D531" s="438">
        <v>-5.8800000000000005E-2</v>
      </c>
      <c r="E531" s="438">
        <v>4.8999999999999998E-3</v>
      </c>
      <c r="F531" s="438">
        <v>6.1249999999999994E-3</v>
      </c>
      <c r="G531" s="438">
        <v>6.3166666666666675E-3</v>
      </c>
      <c r="H531" s="438">
        <v>6.2208333333333334E-3</v>
      </c>
      <c r="I531" s="438">
        <v>6.6666666666666662E-3</v>
      </c>
      <c r="J531" s="438">
        <f t="shared" si="96"/>
        <v>-3.4599999999999999E-2</v>
      </c>
      <c r="K531" s="438">
        <f t="shared" si="88"/>
        <v>-3.5920833333333332E-2</v>
      </c>
      <c r="L531" s="438">
        <f t="shared" si="89"/>
        <v>-6.5466666666666673E-2</v>
      </c>
      <c r="M531" s="446">
        <f t="shared" si="97"/>
        <v>-0.10582315221789074</v>
      </c>
      <c r="N531" s="446">
        <f t="shared" si="98"/>
        <v>5.8799999999999998E-2</v>
      </c>
      <c r="O531" s="446">
        <f t="shared" si="90"/>
        <v>7.4649999999999994E-2</v>
      </c>
      <c r="P531" s="447">
        <f t="shared" si="99"/>
        <v>-0.16462315221789073</v>
      </c>
      <c r="Q531" s="446">
        <f t="shared" si="91"/>
        <v>-0.18047315221789073</v>
      </c>
      <c r="R531" s="446">
        <f t="shared" si="92"/>
        <v>-0.17212355963251003</v>
      </c>
      <c r="S531" s="446">
        <f t="shared" si="93"/>
        <v>7.9999999999999988E-2</v>
      </c>
      <c r="T531" s="447">
        <f t="shared" si="94"/>
        <v>-0.25212355963250999</v>
      </c>
      <c r="V531" s="448"/>
      <c r="W531" s="448"/>
      <c r="X531" s="448"/>
      <c r="Y531" s="448"/>
      <c r="Z531" s="448"/>
      <c r="AA531" s="448"/>
      <c r="AB531" s="448"/>
      <c r="AC531" s="448"/>
      <c r="AD531" s="448"/>
      <c r="AF531" s="448"/>
      <c r="AG531" s="448"/>
      <c r="AH531" s="448"/>
      <c r="AI531" s="448"/>
      <c r="AJ531" s="448"/>
      <c r="AK531" s="448"/>
      <c r="AL531" s="448"/>
      <c r="AM531" s="448"/>
      <c r="AN531" s="448"/>
      <c r="AP531" s="448"/>
      <c r="AQ531" s="448"/>
      <c r="AR531" s="448"/>
      <c r="AS531" s="448"/>
      <c r="AT531" s="448"/>
      <c r="AU531" s="448"/>
      <c r="AV531" s="448"/>
      <c r="AW531" s="448"/>
      <c r="AX531" s="448"/>
    </row>
    <row r="532" spans="1:50" x14ac:dyDescent="0.4">
      <c r="A532" s="442" t="str">
        <f t="shared" si="95"/>
        <v>121969</v>
      </c>
      <c r="B532" s="442">
        <v>25538</v>
      </c>
      <c r="C532" s="455">
        <v>-1.77E-2</v>
      </c>
      <c r="D532" s="438">
        <v>-9.7000000000000003E-3</v>
      </c>
      <c r="E532" s="438">
        <v>6.0000000000000001E-3</v>
      </c>
      <c r="F532" s="438">
        <v>6.4333333333333334E-3</v>
      </c>
      <c r="G532" s="438">
        <v>6.6083333333333324E-3</v>
      </c>
      <c r="H532" s="438">
        <v>6.5208333333333333E-3</v>
      </c>
      <c r="I532" s="438">
        <v>7.1583333333333334E-3</v>
      </c>
      <c r="J532" s="438">
        <f t="shared" si="96"/>
        <v>-2.3699999999999999E-2</v>
      </c>
      <c r="K532" s="438">
        <f t="shared" si="88"/>
        <v>-2.4220833333333334E-2</v>
      </c>
      <c r="L532" s="438">
        <f t="shared" si="89"/>
        <v>-1.6858333333333333E-2</v>
      </c>
      <c r="M532" s="446">
        <f t="shared" si="97"/>
        <v>-8.4861515340314941E-2</v>
      </c>
      <c r="N532" s="446">
        <f t="shared" si="98"/>
        <v>7.2000000000000008E-2</v>
      </c>
      <c r="O532" s="446">
        <f t="shared" si="90"/>
        <v>7.825E-2</v>
      </c>
      <c r="P532" s="447">
        <f t="shared" si="99"/>
        <v>-0.15686151534031495</v>
      </c>
      <c r="Q532" s="446">
        <f t="shared" si="91"/>
        <v>-0.16311151534031493</v>
      </c>
      <c r="R532" s="446">
        <f t="shared" si="92"/>
        <v>-0.1540129616180731</v>
      </c>
      <c r="S532" s="446">
        <f t="shared" si="93"/>
        <v>8.5900000000000004E-2</v>
      </c>
      <c r="T532" s="447">
        <f t="shared" si="94"/>
        <v>-0.2399129616180731</v>
      </c>
      <c r="V532" s="448"/>
      <c r="W532" s="448"/>
      <c r="X532" s="448"/>
      <c r="Y532" s="448"/>
      <c r="Z532" s="448"/>
      <c r="AA532" s="448"/>
      <c r="AB532" s="448"/>
      <c r="AC532" s="448"/>
      <c r="AD532" s="448"/>
      <c r="AF532" s="448"/>
      <c r="AG532" s="448"/>
      <c r="AH532" s="448"/>
      <c r="AI532" s="448"/>
      <c r="AJ532" s="448"/>
      <c r="AK532" s="448"/>
      <c r="AL532" s="448"/>
      <c r="AM532" s="448"/>
      <c r="AN532" s="448"/>
      <c r="AP532" s="448"/>
      <c r="AQ532" s="448"/>
      <c r="AR532" s="448"/>
      <c r="AS532" s="448"/>
      <c r="AT532" s="448"/>
      <c r="AU532" s="448"/>
      <c r="AV532" s="448"/>
      <c r="AW532" s="448"/>
      <c r="AX532" s="448"/>
    </row>
    <row r="533" spans="1:50" x14ac:dyDescent="0.4">
      <c r="A533" s="442" t="str">
        <f t="shared" si="95"/>
        <v>11970</v>
      </c>
      <c r="B533" s="442">
        <v>25569</v>
      </c>
      <c r="C533" s="455">
        <v>-7.4300000000000005E-2</v>
      </c>
      <c r="D533" s="438">
        <v>-4.53E-2</v>
      </c>
      <c r="E533" s="438">
        <v>5.5999999999999991E-3</v>
      </c>
      <c r="F533" s="438">
        <v>6.5916666666666667E-3</v>
      </c>
      <c r="G533" s="438">
        <v>6.7916666666666672E-3</v>
      </c>
      <c r="H533" s="438">
        <v>6.6916666666666669E-3</v>
      </c>
      <c r="I533" s="438">
        <v>7.2416666666666662E-3</v>
      </c>
      <c r="J533" s="438">
        <f t="shared" si="96"/>
        <v>-7.9899999999999999E-2</v>
      </c>
      <c r="K533" s="438">
        <f t="shared" si="88"/>
        <v>-8.099166666666667E-2</v>
      </c>
      <c r="L533" s="438">
        <f t="shared" si="89"/>
        <v>-5.2541666666666667E-2</v>
      </c>
      <c r="M533" s="446">
        <f t="shared" si="97"/>
        <v>-0.14705628750556732</v>
      </c>
      <c r="N533" s="446">
        <f t="shared" si="98"/>
        <v>6.7199999999999982E-2</v>
      </c>
      <c r="O533" s="446">
        <f t="shared" si="90"/>
        <v>8.030000000000001E-2</v>
      </c>
      <c r="P533" s="447">
        <f t="shared" si="99"/>
        <v>-0.2142562875055673</v>
      </c>
      <c r="Q533" s="446">
        <f t="shared" si="91"/>
        <v>-0.22735628750556733</v>
      </c>
      <c r="R533" s="446">
        <f t="shared" si="92"/>
        <v>-0.20575884989357307</v>
      </c>
      <c r="S533" s="446">
        <f t="shared" si="93"/>
        <v>8.6899999999999991E-2</v>
      </c>
      <c r="T533" s="447">
        <f t="shared" si="94"/>
        <v>-0.29265884989357305</v>
      </c>
      <c r="V533" s="448"/>
      <c r="W533" s="448"/>
      <c r="X533" s="448"/>
      <c r="Y533" s="448"/>
      <c r="Z533" s="448"/>
      <c r="AA533" s="448"/>
      <c r="AB533" s="448"/>
      <c r="AC533" s="448"/>
      <c r="AD533" s="448"/>
      <c r="AF533" s="448"/>
      <c r="AG533" s="448"/>
      <c r="AH533" s="448"/>
      <c r="AI533" s="448"/>
      <c r="AJ533" s="448"/>
      <c r="AK533" s="448"/>
      <c r="AL533" s="448"/>
      <c r="AM533" s="448"/>
      <c r="AN533" s="448"/>
      <c r="AP533" s="448"/>
      <c r="AQ533" s="448"/>
      <c r="AR533" s="448"/>
      <c r="AS533" s="448"/>
      <c r="AT533" s="448"/>
      <c r="AU533" s="448"/>
      <c r="AV533" s="448"/>
      <c r="AW533" s="448"/>
      <c r="AX533" s="448"/>
    </row>
    <row r="534" spans="1:50" x14ac:dyDescent="0.4">
      <c r="A534" s="442" t="str">
        <f t="shared" si="95"/>
        <v>21970</v>
      </c>
      <c r="B534" s="442">
        <v>25600</v>
      </c>
      <c r="C534" s="455">
        <v>5.5800000000000002E-2</v>
      </c>
      <c r="D534" s="438">
        <v>0.1053</v>
      </c>
      <c r="E534" s="438">
        <v>5.1999999999999998E-3</v>
      </c>
      <c r="F534" s="438">
        <v>6.6083333333333324E-3</v>
      </c>
      <c r="G534" s="438">
        <v>6.7750000000000006E-3</v>
      </c>
      <c r="H534" s="438">
        <v>6.6916666666666669E-3</v>
      </c>
      <c r="I534" s="438">
        <v>7.0916666666666663E-3</v>
      </c>
      <c r="J534" s="438">
        <f t="shared" si="96"/>
        <v>5.0600000000000006E-2</v>
      </c>
      <c r="K534" s="438">
        <f t="shared" si="88"/>
        <v>4.9108333333333337E-2</v>
      </c>
      <c r="L534" s="438">
        <f t="shared" si="89"/>
        <v>9.8208333333333342E-2</v>
      </c>
      <c r="M534" s="446">
        <f t="shared" si="97"/>
        <v>-5.9392133223707955E-2</v>
      </c>
      <c r="N534" s="446">
        <f t="shared" si="98"/>
        <v>6.2399999999999997E-2</v>
      </c>
      <c r="O534" s="446">
        <f t="shared" si="90"/>
        <v>8.030000000000001E-2</v>
      </c>
      <c r="P534" s="447">
        <f t="shared" si="99"/>
        <v>-0.12179213322370795</v>
      </c>
      <c r="Q534" s="446">
        <f t="shared" si="91"/>
        <v>-0.13969213322370796</v>
      </c>
      <c r="R534" s="446">
        <f t="shared" si="92"/>
        <v>-7.2798116589951722E-2</v>
      </c>
      <c r="S534" s="446">
        <f t="shared" si="93"/>
        <v>8.5099999999999995E-2</v>
      </c>
      <c r="T534" s="447">
        <f t="shared" si="94"/>
        <v>-0.15789811658995173</v>
      </c>
      <c r="V534" s="448"/>
      <c r="W534" s="448"/>
      <c r="X534" s="448"/>
      <c r="Y534" s="448"/>
      <c r="Z534" s="448"/>
      <c r="AA534" s="448"/>
      <c r="AB534" s="448"/>
      <c r="AC534" s="448"/>
      <c r="AD534" s="448"/>
      <c r="AF534" s="448"/>
      <c r="AG534" s="448"/>
      <c r="AH534" s="448"/>
      <c r="AI534" s="448"/>
      <c r="AJ534" s="448"/>
      <c r="AK534" s="448"/>
      <c r="AL534" s="448"/>
      <c r="AM534" s="448"/>
      <c r="AN534" s="448"/>
      <c r="AP534" s="448"/>
      <c r="AQ534" s="448"/>
      <c r="AR534" s="448"/>
      <c r="AS534" s="448"/>
      <c r="AT534" s="448"/>
      <c r="AU534" s="448"/>
      <c r="AV534" s="448"/>
      <c r="AW534" s="448"/>
      <c r="AX534" s="448"/>
    </row>
    <row r="535" spans="1:50" x14ac:dyDescent="0.4">
      <c r="A535" s="442" t="str">
        <f t="shared" si="95"/>
        <v>31970</v>
      </c>
      <c r="B535" s="442">
        <v>25628</v>
      </c>
      <c r="C535" s="455">
        <v>4.4000000000000003E-3</v>
      </c>
      <c r="D535" s="438">
        <v>2.3200000000000002E-2</v>
      </c>
      <c r="E535" s="438">
        <v>5.5999999999999991E-3</v>
      </c>
      <c r="F535" s="438">
        <v>6.5333333333333328E-3</v>
      </c>
      <c r="G535" s="438">
        <v>6.7166666666666677E-3</v>
      </c>
      <c r="H535" s="438">
        <v>6.6250000000000007E-3</v>
      </c>
      <c r="I535" s="438">
        <v>6.9249999999999997E-3</v>
      </c>
      <c r="J535" s="438">
        <f t="shared" si="96"/>
        <v>-1.1999999999999988E-3</v>
      </c>
      <c r="K535" s="438">
        <f t="shared" si="88"/>
        <v>-2.2250000000000004E-3</v>
      </c>
      <c r="L535" s="438">
        <f t="shared" si="89"/>
        <v>1.6275000000000001E-2</v>
      </c>
      <c r="M535" s="446">
        <f t="shared" si="97"/>
        <v>-8.7994457582674102E-2</v>
      </c>
      <c r="N535" s="446">
        <f t="shared" si="98"/>
        <v>6.7199999999999982E-2</v>
      </c>
      <c r="O535" s="446">
        <f t="shared" si="90"/>
        <v>7.9500000000000015E-2</v>
      </c>
      <c r="P535" s="447">
        <f t="shared" si="99"/>
        <v>-0.15519445758267408</v>
      </c>
      <c r="Q535" s="446">
        <f t="shared" si="91"/>
        <v>-0.16749445758267412</v>
      </c>
      <c r="R535" s="446">
        <f t="shared" si="92"/>
        <v>-4.2091107527098437E-2</v>
      </c>
      <c r="S535" s="446">
        <f t="shared" si="93"/>
        <v>8.3099999999999993E-2</v>
      </c>
      <c r="T535" s="447">
        <f t="shared" si="94"/>
        <v>-0.12519110752709844</v>
      </c>
      <c r="V535" s="448"/>
      <c r="W535" s="448"/>
      <c r="X535" s="448"/>
      <c r="Y535" s="448"/>
      <c r="Z535" s="448"/>
      <c r="AA535" s="448"/>
      <c r="AB535" s="448"/>
      <c r="AC535" s="448"/>
      <c r="AD535" s="448"/>
      <c r="AF535" s="448"/>
      <c r="AG535" s="448"/>
      <c r="AH535" s="448"/>
      <c r="AI535" s="448"/>
      <c r="AJ535" s="448"/>
      <c r="AK535" s="448"/>
      <c r="AL535" s="448"/>
      <c r="AM535" s="448"/>
      <c r="AN535" s="448"/>
      <c r="AP535" s="448"/>
      <c r="AQ535" s="448"/>
      <c r="AR535" s="448"/>
      <c r="AS535" s="448"/>
      <c r="AT535" s="448"/>
      <c r="AU535" s="448"/>
      <c r="AV535" s="448"/>
      <c r="AW535" s="448"/>
      <c r="AX535" s="448"/>
    </row>
    <row r="536" spans="1:50" x14ac:dyDescent="0.4">
      <c r="A536" s="442" t="str">
        <f t="shared" si="95"/>
        <v>41970</v>
      </c>
      <c r="B536" s="442">
        <v>25659</v>
      </c>
      <c r="C536" s="455">
        <v>-8.7499999999999994E-2</v>
      </c>
      <c r="D536" s="438">
        <v>-9.2899999999999996E-2</v>
      </c>
      <c r="E536" s="438">
        <v>5.4000000000000003E-3</v>
      </c>
      <c r="F536" s="438">
        <v>6.5249999999999996E-3</v>
      </c>
      <c r="G536" s="438">
        <v>6.6916666666666661E-3</v>
      </c>
      <c r="H536" s="438">
        <v>6.6083333333333324E-3</v>
      </c>
      <c r="I536" s="438">
        <v>6.9249999999999997E-3</v>
      </c>
      <c r="J536" s="438">
        <f t="shared" si="96"/>
        <v>-9.2899999999999996E-2</v>
      </c>
      <c r="K536" s="438">
        <f t="shared" si="88"/>
        <v>-9.4108333333333322E-2</v>
      </c>
      <c r="L536" s="438">
        <f t="shared" si="89"/>
        <v>-9.9824999999999997E-2</v>
      </c>
      <c r="M536" s="446">
        <f t="shared" si="97"/>
        <v>-0.1864257919094634</v>
      </c>
      <c r="N536" s="446">
        <f t="shared" si="98"/>
        <v>6.4799999999999996E-2</v>
      </c>
      <c r="O536" s="446">
        <f t="shared" si="90"/>
        <v>7.9299999999999982E-2</v>
      </c>
      <c r="P536" s="447">
        <f t="shared" si="99"/>
        <v>-0.25122579190946337</v>
      </c>
      <c r="Q536" s="446">
        <f t="shared" si="91"/>
        <v>-0.26572579190946338</v>
      </c>
      <c r="R536" s="446">
        <f t="shared" si="92"/>
        <v>-0.14299323763470873</v>
      </c>
      <c r="S536" s="446">
        <f t="shared" si="93"/>
        <v>8.3099999999999993E-2</v>
      </c>
      <c r="T536" s="447">
        <f t="shared" si="94"/>
        <v>-0.22609323763470873</v>
      </c>
      <c r="V536" s="448"/>
      <c r="W536" s="448"/>
      <c r="X536" s="448"/>
      <c r="Y536" s="448"/>
      <c r="Z536" s="448"/>
      <c r="AA536" s="448"/>
      <c r="AB536" s="448"/>
      <c r="AC536" s="448"/>
      <c r="AD536" s="448"/>
      <c r="AF536" s="448"/>
      <c r="AG536" s="448"/>
      <c r="AH536" s="448"/>
      <c r="AI536" s="448"/>
      <c r="AJ536" s="448"/>
      <c r="AK536" s="448"/>
      <c r="AL536" s="448"/>
      <c r="AM536" s="448"/>
      <c r="AN536" s="448"/>
      <c r="AP536" s="448"/>
      <c r="AQ536" s="448"/>
      <c r="AR536" s="448"/>
      <c r="AS536" s="448"/>
      <c r="AT536" s="448"/>
      <c r="AU536" s="448"/>
      <c r="AV536" s="448"/>
      <c r="AW536" s="448"/>
      <c r="AX536" s="448"/>
    </row>
    <row r="537" spans="1:50" x14ac:dyDescent="0.4">
      <c r="A537" s="442" t="str">
        <f t="shared" si="95"/>
        <v>51970</v>
      </c>
      <c r="B537" s="442">
        <v>25689</v>
      </c>
      <c r="C537" s="455">
        <v>-5.7799999999999997E-2</v>
      </c>
      <c r="D537" s="438">
        <v>-5.1499999999999997E-2</v>
      </c>
      <c r="E537" s="438">
        <v>5.4999999999999997E-3</v>
      </c>
      <c r="F537" s="438">
        <v>6.7583333333333332E-3</v>
      </c>
      <c r="G537" s="438">
        <v>6.8666666666666668E-3</v>
      </c>
      <c r="H537" s="438">
        <v>6.8124999999999991E-3</v>
      </c>
      <c r="I537" s="438">
        <v>7.2250000000000005E-3</v>
      </c>
      <c r="J537" s="438">
        <f t="shared" si="96"/>
        <v>-6.3299999999999995E-2</v>
      </c>
      <c r="K537" s="438">
        <f t="shared" si="88"/>
        <v>-6.4612499999999989E-2</v>
      </c>
      <c r="L537" s="438">
        <f t="shared" si="89"/>
        <v>-5.8724999999999999E-2</v>
      </c>
      <c r="M537" s="446">
        <f t="shared" si="97"/>
        <v>-0.23543824170865391</v>
      </c>
      <c r="N537" s="446">
        <f t="shared" si="98"/>
        <v>6.6000000000000003E-2</v>
      </c>
      <c r="O537" s="446">
        <f t="shared" si="90"/>
        <v>8.1749999999999989E-2</v>
      </c>
      <c r="P537" s="447">
        <f t="shared" si="99"/>
        <v>-0.30143824170865391</v>
      </c>
      <c r="Q537" s="446">
        <f t="shared" si="91"/>
        <v>-0.3171882417086539</v>
      </c>
      <c r="R537" s="446">
        <f t="shared" si="92"/>
        <v>-0.1866410705388446</v>
      </c>
      <c r="S537" s="446">
        <f t="shared" si="93"/>
        <v>8.6699999999999999E-2</v>
      </c>
      <c r="T537" s="447">
        <f t="shared" si="94"/>
        <v>-0.2733410705388446</v>
      </c>
      <c r="V537" s="448"/>
      <c r="W537" s="448"/>
      <c r="X537" s="448"/>
      <c r="Y537" s="448"/>
      <c r="Z537" s="448"/>
      <c r="AA537" s="448"/>
      <c r="AB537" s="448"/>
      <c r="AC537" s="448"/>
      <c r="AD537" s="448"/>
      <c r="AF537" s="448"/>
      <c r="AG537" s="448"/>
      <c r="AH537" s="448"/>
      <c r="AI537" s="448"/>
      <c r="AJ537" s="448"/>
      <c r="AK537" s="448"/>
      <c r="AL537" s="448"/>
      <c r="AM537" s="448"/>
      <c r="AN537" s="448"/>
      <c r="AP537" s="448"/>
      <c r="AQ537" s="448"/>
      <c r="AR537" s="448"/>
      <c r="AS537" s="448"/>
      <c r="AT537" s="448"/>
      <c r="AU537" s="448"/>
      <c r="AV537" s="448"/>
      <c r="AW537" s="448"/>
      <c r="AX537" s="448"/>
    </row>
    <row r="538" spans="1:50" x14ac:dyDescent="0.4">
      <c r="A538" s="442" t="str">
        <f t="shared" si="95"/>
        <v>61970</v>
      </c>
      <c r="B538" s="442">
        <v>25720</v>
      </c>
      <c r="C538" s="455">
        <v>-4.6600000000000003E-2</v>
      </c>
      <c r="D538" s="438">
        <v>-5.8199999999999995E-2</v>
      </c>
      <c r="E538" s="438">
        <v>6.4000000000000003E-3</v>
      </c>
      <c r="F538" s="438">
        <v>7.0666666666666664E-3</v>
      </c>
      <c r="G538" s="438">
        <v>7.1500000000000001E-3</v>
      </c>
      <c r="H538" s="438">
        <v>7.1083333333333328E-3</v>
      </c>
      <c r="I538" s="438">
        <v>7.5333333333333329E-3</v>
      </c>
      <c r="J538" s="438">
        <f t="shared" si="96"/>
        <v>-5.3000000000000005E-2</v>
      </c>
      <c r="K538" s="438">
        <f t="shared" si="88"/>
        <v>-5.3708333333333337E-2</v>
      </c>
      <c r="L538" s="438">
        <f t="shared" si="89"/>
        <v>-6.5733333333333324E-2</v>
      </c>
      <c r="M538" s="446">
        <f t="shared" si="97"/>
        <v>-0.22929458621804877</v>
      </c>
      <c r="N538" s="446">
        <f t="shared" si="98"/>
        <v>7.6800000000000007E-2</v>
      </c>
      <c r="O538" s="446">
        <f t="shared" si="90"/>
        <v>8.5299999999999987E-2</v>
      </c>
      <c r="P538" s="447">
        <f t="shared" si="99"/>
        <v>-0.30609458621804875</v>
      </c>
      <c r="Q538" s="446">
        <f t="shared" si="91"/>
        <v>-0.31459458621804876</v>
      </c>
      <c r="R538" s="446">
        <f t="shared" si="92"/>
        <v>-0.19230130771139153</v>
      </c>
      <c r="S538" s="446">
        <f t="shared" si="93"/>
        <v>9.0399999999999994E-2</v>
      </c>
      <c r="T538" s="447">
        <f t="shared" si="94"/>
        <v>-0.28270130771139151</v>
      </c>
      <c r="V538" s="448"/>
      <c r="W538" s="448"/>
      <c r="X538" s="448"/>
      <c r="Y538" s="448"/>
      <c r="Z538" s="448"/>
      <c r="AA538" s="448"/>
      <c r="AB538" s="448"/>
      <c r="AC538" s="448"/>
      <c r="AD538" s="448"/>
      <c r="AF538" s="448"/>
      <c r="AG538" s="448"/>
      <c r="AH538" s="448"/>
      <c r="AI538" s="448"/>
      <c r="AJ538" s="448"/>
      <c r="AK538" s="448"/>
      <c r="AL538" s="448"/>
      <c r="AM538" s="448"/>
      <c r="AN538" s="448"/>
      <c r="AP538" s="448"/>
      <c r="AQ538" s="448"/>
      <c r="AR538" s="448"/>
      <c r="AS538" s="448"/>
      <c r="AT538" s="448"/>
      <c r="AU538" s="448"/>
      <c r="AV538" s="448"/>
      <c r="AW538" s="448"/>
      <c r="AX538" s="448"/>
    </row>
    <row r="539" spans="1:50" x14ac:dyDescent="0.4">
      <c r="A539" s="442" t="str">
        <f t="shared" si="95"/>
        <v>71970</v>
      </c>
      <c r="B539" s="442">
        <v>25750</v>
      </c>
      <c r="C539" s="455">
        <v>7.6899999999999996E-2</v>
      </c>
      <c r="D539" s="438">
        <v>9.7299999999999998E-2</v>
      </c>
      <c r="E539" s="438">
        <v>5.8999999999999999E-3</v>
      </c>
      <c r="F539" s="438">
        <v>7.0333333333333324E-3</v>
      </c>
      <c r="G539" s="438">
        <v>7.2000000000000007E-3</v>
      </c>
      <c r="H539" s="438">
        <v>7.116666666666667E-3</v>
      </c>
      <c r="I539" s="438">
        <v>7.5500000000000003E-3</v>
      </c>
      <c r="J539" s="438">
        <f t="shared" si="96"/>
        <v>7.0999999999999994E-2</v>
      </c>
      <c r="K539" s="438">
        <f t="shared" si="88"/>
        <v>6.9783333333333336E-2</v>
      </c>
      <c r="L539" s="438">
        <f t="shared" si="89"/>
        <v>8.9749999999999996E-2</v>
      </c>
      <c r="M539" s="446">
        <f t="shared" si="97"/>
        <v>-0.11826977573379016</v>
      </c>
      <c r="N539" s="446">
        <f t="shared" si="98"/>
        <v>7.0800000000000002E-2</v>
      </c>
      <c r="O539" s="446">
        <f t="shared" si="90"/>
        <v>8.5400000000000004E-2</v>
      </c>
      <c r="P539" s="447">
        <f t="shared" si="99"/>
        <v>-0.18906977573379016</v>
      </c>
      <c r="Q539" s="446">
        <f t="shared" si="91"/>
        <v>-0.20366977573379016</v>
      </c>
      <c r="R539" s="446">
        <f t="shared" si="92"/>
        <v>-8.0328136299377406E-2</v>
      </c>
      <c r="S539" s="446">
        <f t="shared" si="93"/>
        <v>9.06E-2</v>
      </c>
      <c r="T539" s="447">
        <f t="shared" si="94"/>
        <v>-0.17092813629937742</v>
      </c>
      <c r="V539" s="448"/>
      <c r="W539" s="448"/>
      <c r="X539" s="448"/>
      <c r="Y539" s="448"/>
      <c r="Z539" s="448"/>
      <c r="AA539" s="448"/>
      <c r="AB539" s="448"/>
      <c r="AC539" s="448"/>
      <c r="AD539" s="448"/>
      <c r="AF539" s="448"/>
      <c r="AG539" s="448"/>
      <c r="AH539" s="448"/>
      <c r="AI539" s="448"/>
      <c r="AJ539" s="448"/>
      <c r="AK539" s="448"/>
      <c r="AL539" s="448"/>
      <c r="AM539" s="448"/>
      <c r="AN539" s="448"/>
      <c r="AP539" s="448"/>
      <c r="AQ539" s="448"/>
      <c r="AR539" s="448"/>
      <c r="AS539" s="448"/>
      <c r="AT539" s="448"/>
      <c r="AU539" s="448"/>
      <c r="AV539" s="448"/>
      <c r="AW539" s="448"/>
      <c r="AX539" s="448"/>
    </row>
    <row r="540" spans="1:50" x14ac:dyDescent="0.4">
      <c r="A540" s="442" t="str">
        <f t="shared" si="95"/>
        <v>81970</v>
      </c>
      <c r="B540" s="442">
        <v>25781</v>
      </c>
      <c r="C540" s="455">
        <v>4.7800000000000002E-2</v>
      </c>
      <c r="D540" s="438">
        <v>5.8099999999999999E-2</v>
      </c>
      <c r="E540" s="438">
        <v>5.7000000000000002E-3</v>
      </c>
      <c r="F540" s="438">
        <v>6.7750000000000006E-3</v>
      </c>
      <c r="G540" s="438">
        <v>7.0750000000000006E-3</v>
      </c>
      <c r="H540" s="438">
        <v>6.9250000000000015E-3</v>
      </c>
      <c r="I540" s="438">
        <v>7.4000000000000012E-3</v>
      </c>
      <c r="J540" s="438">
        <f t="shared" si="96"/>
        <v>4.2099999999999999E-2</v>
      </c>
      <c r="K540" s="438">
        <f t="shared" si="88"/>
        <v>4.0875000000000002E-2</v>
      </c>
      <c r="L540" s="438">
        <f t="shared" si="89"/>
        <v>5.0699999999999995E-2</v>
      </c>
      <c r="M540" s="446">
        <f t="shared" si="97"/>
        <v>-0.11624552421452583</v>
      </c>
      <c r="N540" s="446">
        <f t="shared" si="98"/>
        <v>6.8400000000000002E-2</v>
      </c>
      <c r="O540" s="446">
        <f t="shared" si="90"/>
        <v>8.3100000000000021E-2</v>
      </c>
      <c r="P540" s="447">
        <f t="shared" si="99"/>
        <v>-0.18464552421452585</v>
      </c>
      <c r="Q540" s="446">
        <f t="shared" si="91"/>
        <v>-0.19934552421452584</v>
      </c>
      <c r="R540" s="446">
        <f t="shared" si="92"/>
        <v>-1.5673883287852686E-2</v>
      </c>
      <c r="S540" s="446">
        <f t="shared" si="93"/>
        <v>8.8800000000000018E-2</v>
      </c>
      <c r="T540" s="447">
        <f t="shared" si="94"/>
        <v>-0.1044738832878527</v>
      </c>
      <c r="V540" s="448"/>
      <c r="W540" s="448"/>
      <c r="X540" s="448"/>
      <c r="Y540" s="448"/>
      <c r="Z540" s="448"/>
      <c r="AA540" s="448"/>
      <c r="AB540" s="448"/>
      <c r="AC540" s="448"/>
      <c r="AD540" s="448"/>
      <c r="AF540" s="448"/>
      <c r="AG540" s="448"/>
      <c r="AH540" s="448"/>
      <c r="AI540" s="448"/>
      <c r="AJ540" s="448"/>
      <c r="AK540" s="448"/>
      <c r="AL540" s="448"/>
      <c r="AM540" s="448"/>
      <c r="AN540" s="448"/>
      <c r="AP540" s="448"/>
      <c r="AQ540" s="448"/>
      <c r="AR540" s="448"/>
      <c r="AS540" s="448"/>
      <c r="AT540" s="448"/>
      <c r="AU540" s="448"/>
      <c r="AV540" s="448"/>
      <c r="AW540" s="448"/>
      <c r="AX540" s="448"/>
    </row>
    <row r="541" spans="1:50" x14ac:dyDescent="0.4">
      <c r="A541" s="442" t="str">
        <f t="shared" si="95"/>
        <v>91970</v>
      </c>
      <c r="B541" s="442">
        <v>25812</v>
      </c>
      <c r="C541" s="455">
        <v>3.6200000000000003E-2</v>
      </c>
      <c r="D541" s="438">
        <v>-1.14E-2</v>
      </c>
      <c r="E541" s="438">
        <v>5.5999999999999991E-3</v>
      </c>
      <c r="F541" s="438">
        <v>6.7416666666666666E-3</v>
      </c>
      <c r="G541" s="438">
        <v>7.058333333333334E-3</v>
      </c>
      <c r="H541" s="438">
        <v>6.9000000000000008E-3</v>
      </c>
      <c r="I541" s="438">
        <v>7.3499999999999998E-3</v>
      </c>
      <c r="J541" s="438">
        <f t="shared" si="96"/>
        <v>3.0600000000000002E-2</v>
      </c>
      <c r="K541" s="438">
        <f t="shared" ref="K541:K604" si="100">C541-H541</f>
        <v>2.9300000000000003E-2</v>
      </c>
      <c r="L541" s="438">
        <f t="shared" ref="L541:L604" si="101">$D541-I541</f>
        <v>-1.8749999999999999E-2</v>
      </c>
      <c r="M541" s="446">
        <f t="shared" si="97"/>
        <v>-6.2119635591040612E-2</v>
      </c>
      <c r="N541" s="446">
        <f t="shared" si="98"/>
        <v>6.7199999999999982E-2</v>
      </c>
      <c r="O541" s="446">
        <f t="shared" si="90"/>
        <v>8.2800000000000012E-2</v>
      </c>
      <c r="P541" s="447">
        <f t="shared" si="99"/>
        <v>-0.12931963559104059</v>
      </c>
      <c r="Q541" s="446">
        <f t="shared" si="91"/>
        <v>-0.14491963559104062</v>
      </c>
      <c r="R541" s="446">
        <f t="shared" si="92"/>
        <v>1.070294867223609E-2</v>
      </c>
      <c r="S541" s="446">
        <f t="shared" si="93"/>
        <v>8.8200000000000001E-2</v>
      </c>
      <c r="T541" s="447">
        <f t="shared" si="94"/>
        <v>-7.7497051327763911E-2</v>
      </c>
      <c r="V541" s="448"/>
      <c r="W541" s="448"/>
      <c r="X541" s="448"/>
      <c r="Y541" s="448"/>
      <c r="Z541" s="448"/>
      <c r="AA541" s="448"/>
      <c r="AB541" s="448"/>
      <c r="AC541" s="448"/>
      <c r="AD541" s="448"/>
      <c r="AF541" s="448"/>
      <c r="AG541" s="448"/>
      <c r="AH541" s="448"/>
      <c r="AI541" s="448"/>
      <c r="AJ541" s="448"/>
      <c r="AK541" s="448"/>
      <c r="AL541" s="448"/>
      <c r="AM541" s="448"/>
      <c r="AN541" s="448"/>
      <c r="AP541" s="448"/>
      <c r="AQ541" s="448"/>
      <c r="AR541" s="448"/>
      <c r="AS541" s="448"/>
      <c r="AT541" s="448"/>
      <c r="AU541" s="448"/>
      <c r="AV541" s="448"/>
      <c r="AW541" s="448"/>
      <c r="AX541" s="448"/>
    </row>
    <row r="542" spans="1:50" x14ac:dyDescent="0.4">
      <c r="A542" s="442" t="str">
        <f t="shared" si="95"/>
        <v>101970</v>
      </c>
      <c r="B542" s="442">
        <v>25842</v>
      </c>
      <c r="C542" s="455">
        <v>-8.3000000000000001E-3</v>
      </c>
      <c r="D542" s="438">
        <v>-1.4900000000000002E-2</v>
      </c>
      <c r="E542" s="438">
        <v>5.4999999999999997E-3</v>
      </c>
      <c r="F542" s="438">
        <v>6.6916666666666661E-3</v>
      </c>
      <c r="G542" s="438">
        <v>7.0333333333333324E-3</v>
      </c>
      <c r="H542" s="438">
        <v>6.8624999999999988E-3</v>
      </c>
      <c r="I542" s="438">
        <v>7.3000000000000001E-3</v>
      </c>
      <c r="J542" s="438">
        <f t="shared" si="96"/>
        <v>-1.38E-2</v>
      </c>
      <c r="K542" s="438">
        <f t="shared" si="100"/>
        <v>-1.5162499999999999E-2</v>
      </c>
      <c r="L542" s="438">
        <f t="shared" si="101"/>
        <v>-2.2200000000000001E-2</v>
      </c>
      <c r="M542" s="446">
        <f t="shared" si="97"/>
        <v>-0.1107219070806339</v>
      </c>
      <c r="N542" s="446">
        <f t="shared" si="98"/>
        <v>6.6000000000000003E-2</v>
      </c>
      <c r="O542" s="446">
        <f t="shared" si="90"/>
        <v>8.2349999999999979E-2</v>
      </c>
      <c r="P542" s="447">
        <f t="shared" si="99"/>
        <v>-0.1767219070806339</v>
      </c>
      <c r="Q542" s="446">
        <f t="shared" si="91"/>
        <v>-0.19307190708063388</v>
      </c>
      <c r="R542" s="446">
        <f t="shared" si="92"/>
        <v>-7.7937141380792996E-2</v>
      </c>
      <c r="S542" s="446">
        <f t="shared" si="93"/>
        <v>8.7599999999999997E-2</v>
      </c>
      <c r="T542" s="447">
        <f t="shared" si="94"/>
        <v>-0.16553714138079301</v>
      </c>
      <c r="V542" s="448"/>
      <c r="W542" s="448"/>
      <c r="X542" s="448"/>
      <c r="Y542" s="448"/>
      <c r="Z542" s="448"/>
      <c r="AA542" s="448"/>
      <c r="AB542" s="448"/>
      <c r="AC542" s="448"/>
      <c r="AD542" s="448"/>
      <c r="AF542" s="448"/>
      <c r="AG542" s="448"/>
      <c r="AH542" s="448"/>
      <c r="AI542" s="448"/>
      <c r="AJ542" s="448"/>
      <c r="AK542" s="448"/>
      <c r="AL542" s="448"/>
      <c r="AM542" s="448"/>
      <c r="AN542" s="448"/>
      <c r="AP542" s="448"/>
      <c r="AQ542" s="448"/>
      <c r="AR542" s="448"/>
      <c r="AS542" s="448"/>
      <c r="AT542" s="448"/>
      <c r="AU542" s="448"/>
      <c r="AV542" s="448"/>
      <c r="AW542" s="448"/>
      <c r="AX542" s="448"/>
    </row>
    <row r="543" spans="1:50" x14ac:dyDescent="0.4">
      <c r="A543" s="442" t="str">
        <f t="shared" si="95"/>
        <v>111970</v>
      </c>
      <c r="B543" s="442">
        <v>25873</v>
      </c>
      <c r="C543" s="455">
        <v>5.0599999999999999E-2</v>
      </c>
      <c r="D543" s="438">
        <v>9.7500000000000003E-2</v>
      </c>
      <c r="E543" s="438">
        <v>5.7999999999999996E-3</v>
      </c>
      <c r="F543" s="438">
        <v>6.7083333333333335E-3</v>
      </c>
      <c r="G543" s="438">
        <v>7.0166666666666667E-3</v>
      </c>
      <c r="H543" s="438">
        <v>6.8625000000000005E-3</v>
      </c>
      <c r="I543" s="438">
        <v>7.324999999999999E-3</v>
      </c>
      <c r="J543" s="438">
        <f t="shared" si="96"/>
        <v>4.48E-2</v>
      </c>
      <c r="K543" s="438">
        <f t="shared" si="100"/>
        <v>4.3737499999999999E-2</v>
      </c>
      <c r="L543" s="438">
        <f t="shared" si="101"/>
        <v>9.0175000000000005E-2</v>
      </c>
      <c r="M543" s="446">
        <f t="shared" si="97"/>
        <v>-3.712711076874553E-2</v>
      </c>
      <c r="N543" s="446">
        <f t="shared" si="98"/>
        <v>6.9599999999999995E-2</v>
      </c>
      <c r="O543" s="446">
        <f t="shared" si="90"/>
        <v>8.2350000000000007E-2</v>
      </c>
      <c r="P543" s="447">
        <f t="shared" si="99"/>
        <v>-0.10672711076874553</v>
      </c>
      <c r="Q543" s="446">
        <f t="shared" si="91"/>
        <v>-0.11947711076874554</v>
      </c>
      <c r="R543" s="446">
        <f t="shared" si="92"/>
        <v>7.5184856921567622E-2</v>
      </c>
      <c r="S543" s="446">
        <f t="shared" si="93"/>
        <v>8.7899999999999992E-2</v>
      </c>
      <c r="T543" s="447">
        <f t="shared" si="94"/>
        <v>-1.271514307843237E-2</v>
      </c>
      <c r="V543" s="448"/>
      <c r="W543" s="448"/>
      <c r="X543" s="448"/>
      <c r="Y543" s="448"/>
      <c r="Z543" s="448"/>
      <c r="AA543" s="448"/>
      <c r="AB543" s="448"/>
      <c r="AC543" s="448"/>
      <c r="AD543" s="448"/>
      <c r="AF543" s="448"/>
      <c r="AG543" s="448"/>
      <c r="AH543" s="448"/>
      <c r="AI543" s="448"/>
      <c r="AJ543" s="448"/>
      <c r="AK543" s="448"/>
      <c r="AL543" s="448"/>
      <c r="AM543" s="448"/>
      <c r="AN543" s="448"/>
      <c r="AP543" s="448"/>
      <c r="AQ543" s="448"/>
      <c r="AR543" s="448"/>
      <c r="AS543" s="448"/>
      <c r="AT543" s="448"/>
      <c r="AU543" s="448"/>
      <c r="AV543" s="448"/>
      <c r="AW543" s="448"/>
      <c r="AX543" s="448"/>
    </row>
    <row r="544" spans="1:50" x14ac:dyDescent="0.4">
      <c r="A544" s="442" t="str">
        <f t="shared" si="95"/>
        <v>121970</v>
      </c>
      <c r="B544" s="442">
        <v>25903</v>
      </c>
      <c r="C544" s="455">
        <v>5.9700000000000003E-2</v>
      </c>
      <c r="D544" s="438">
        <v>7.350000000000001E-2</v>
      </c>
      <c r="E544" s="438">
        <v>5.3E-3</v>
      </c>
      <c r="F544" s="438">
        <v>6.3666666666666663E-3</v>
      </c>
      <c r="G544" s="438">
        <v>6.7750000000000006E-3</v>
      </c>
      <c r="H544" s="438">
        <v>6.5708333333333339E-3</v>
      </c>
      <c r="I544" s="438">
        <v>7.0666666666666664E-3</v>
      </c>
      <c r="J544" s="438">
        <f t="shared" si="96"/>
        <v>5.4400000000000004E-2</v>
      </c>
      <c r="K544" s="438">
        <f t="shared" si="100"/>
        <v>5.3129166666666672E-2</v>
      </c>
      <c r="L544" s="438">
        <f t="shared" si="101"/>
        <v>6.6433333333333344E-2</v>
      </c>
      <c r="M544" s="446">
        <f t="shared" si="97"/>
        <v>3.8742136535030225E-2</v>
      </c>
      <c r="N544" s="446">
        <f t="shared" si="98"/>
        <v>6.3600000000000004E-2</v>
      </c>
      <c r="O544" s="446">
        <f t="shared" si="90"/>
        <v>7.8850000000000003E-2</v>
      </c>
      <c r="P544" s="447">
        <f t="shared" si="99"/>
        <v>-2.4857863464969779E-2</v>
      </c>
      <c r="Q544" s="446">
        <f t="shared" si="91"/>
        <v>-4.0107863464969778E-2</v>
      </c>
      <c r="R544" s="446">
        <f t="shared" si="92"/>
        <v>0.16551645350429456</v>
      </c>
      <c r="S544" s="446">
        <f t="shared" si="93"/>
        <v>8.48E-2</v>
      </c>
      <c r="T544" s="447">
        <f t="shared" si="94"/>
        <v>8.0716453504294558E-2</v>
      </c>
      <c r="V544" s="448"/>
      <c r="W544" s="448"/>
      <c r="X544" s="448"/>
      <c r="Y544" s="448"/>
      <c r="Z544" s="448"/>
      <c r="AA544" s="448"/>
      <c r="AB544" s="448"/>
      <c r="AC544" s="448"/>
      <c r="AD544" s="448"/>
      <c r="AF544" s="448"/>
      <c r="AG544" s="448"/>
      <c r="AH544" s="448"/>
      <c r="AI544" s="448"/>
      <c r="AJ544" s="448"/>
      <c r="AK544" s="448"/>
      <c r="AL544" s="448"/>
      <c r="AM544" s="448"/>
      <c r="AN544" s="448"/>
      <c r="AP544" s="448"/>
      <c r="AQ544" s="448"/>
      <c r="AR544" s="448"/>
      <c r="AS544" s="448"/>
      <c r="AT544" s="448"/>
      <c r="AU544" s="448"/>
      <c r="AV544" s="448"/>
      <c r="AW544" s="448"/>
      <c r="AX544" s="448"/>
    </row>
    <row r="545" spans="1:50" x14ac:dyDescent="0.4">
      <c r="A545" s="442" t="str">
        <f t="shared" si="95"/>
        <v>11971</v>
      </c>
      <c r="B545" s="442">
        <v>25934</v>
      </c>
      <c r="C545" s="455">
        <v>4.3200000000000002E-2</v>
      </c>
      <c r="D545" s="438">
        <v>2.5700000000000004E-2</v>
      </c>
      <c r="E545" s="438">
        <v>5.1000000000000004E-3</v>
      </c>
      <c r="F545" s="438">
        <v>6.1333333333333344E-3</v>
      </c>
      <c r="G545" s="438">
        <v>6.5833333333333334E-3</v>
      </c>
      <c r="H545" s="438">
        <v>6.3583333333333339E-3</v>
      </c>
      <c r="I545" s="438">
        <v>6.7916666666666672E-3</v>
      </c>
      <c r="J545" s="438">
        <f t="shared" si="96"/>
        <v>3.8100000000000002E-2</v>
      </c>
      <c r="K545" s="438">
        <f t="shared" si="100"/>
        <v>3.6841666666666668E-2</v>
      </c>
      <c r="L545" s="438">
        <f t="shared" si="101"/>
        <v>1.8908333333333336E-2</v>
      </c>
      <c r="M545" s="446">
        <f t="shared" si="97"/>
        <v>0.1705906847070795</v>
      </c>
      <c r="N545" s="446">
        <f t="shared" si="98"/>
        <v>6.1200000000000004E-2</v>
      </c>
      <c r="O545" s="446">
        <f t="shared" si="90"/>
        <v>7.6300000000000007E-2</v>
      </c>
      <c r="P545" s="447">
        <f t="shared" si="99"/>
        <v>0.10939068470707949</v>
      </c>
      <c r="Q545" s="446">
        <f t="shared" si="91"/>
        <v>9.4290684707079492E-2</v>
      </c>
      <c r="R545" s="446">
        <f t="shared" si="92"/>
        <v>0.252194643719865</v>
      </c>
      <c r="S545" s="446">
        <f t="shared" si="93"/>
        <v>8.1500000000000003E-2</v>
      </c>
      <c r="T545" s="447">
        <f t="shared" si="94"/>
        <v>0.17069464371986498</v>
      </c>
      <c r="V545" s="448"/>
      <c r="W545" s="448"/>
      <c r="X545" s="448"/>
      <c r="Y545" s="448"/>
      <c r="Z545" s="448"/>
      <c r="AA545" s="448"/>
      <c r="AB545" s="448"/>
      <c r="AC545" s="448"/>
      <c r="AD545" s="448"/>
      <c r="AF545" s="448"/>
      <c r="AG545" s="448"/>
      <c r="AH545" s="448"/>
      <c r="AI545" s="448"/>
      <c r="AJ545" s="448"/>
      <c r="AK545" s="448"/>
      <c r="AL545" s="448"/>
      <c r="AM545" s="448"/>
      <c r="AN545" s="448"/>
      <c r="AP545" s="448"/>
      <c r="AQ545" s="448"/>
      <c r="AR545" s="448"/>
      <c r="AS545" s="448"/>
      <c r="AT545" s="448"/>
      <c r="AU545" s="448"/>
      <c r="AV545" s="448"/>
      <c r="AW545" s="448"/>
      <c r="AX545" s="448"/>
    </row>
    <row r="546" spans="1:50" x14ac:dyDescent="0.4">
      <c r="A546" s="442" t="str">
        <f t="shared" si="95"/>
        <v>21971</v>
      </c>
      <c r="B546" s="442">
        <v>25965</v>
      </c>
      <c r="C546" s="455">
        <v>1.17E-2</v>
      </c>
      <c r="D546" s="438">
        <v>-2.7699999999999999E-2</v>
      </c>
      <c r="E546" s="438">
        <v>4.5999999999999999E-3</v>
      </c>
      <c r="F546" s="438">
        <v>5.8999999999999999E-3</v>
      </c>
      <c r="G546" s="438">
        <v>6.391666666666667E-3</v>
      </c>
      <c r="H546" s="438">
        <v>6.145833333333333E-3</v>
      </c>
      <c r="I546" s="438">
        <v>6.575000000000001E-3</v>
      </c>
      <c r="J546" s="438">
        <f t="shared" si="96"/>
        <v>7.1000000000000004E-3</v>
      </c>
      <c r="K546" s="438">
        <f t="shared" si="100"/>
        <v>5.5541666666666673E-3</v>
      </c>
      <c r="L546" s="438">
        <f t="shared" si="101"/>
        <v>-3.4275E-2</v>
      </c>
      <c r="M546" s="446">
        <f t="shared" si="97"/>
        <v>0.1216959610893662</v>
      </c>
      <c r="N546" s="446">
        <f t="shared" si="98"/>
        <v>5.5199999999999999E-2</v>
      </c>
      <c r="O546" s="446">
        <f t="shared" si="90"/>
        <v>7.3749999999999996E-2</v>
      </c>
      <c r="P546" s="447">
        <f t="shared" si="99"/>
        <v>6.6495961089366201E-2</v>
      </c>
      <c r="Q546" s="446">
        <f t="shared" si="91"/>
        <v>4.7945961089366204E-2</v>
      </c>
      <c r="R546" s="446">
        <f t="shared" si="92"/>
        <v>0.10151891078333919</v>
      </c>
      <c r="S546" s="446">
        <f t="shared" si="93"/>
        <v>7.8900000000000012E-2</v>
      </c>
      <c r="T546" s="447">
        <f t="shared" si="94"/>
        <v>2.2618910783339177E-2</v>
      </c>
      <c r="V546" s="448"/>
      <c r="W546" s="448"/>
      <c r="X546" s="448"/>
      <c r="Y546" s="448"/>
      <c r="Z546" s="448"/>
      <c r="AA546" s="448"/>
      <c r="AB546" s="448"/>
      <c r="AC546" s="448"/>
      <c r="AD546" s="448"/>
      <c r="AF546" s="448"/>
      <c r="AG546" s="448"/>
      <c r="AH546" s="448"/>
      <c r="AI546" s="448"/>
      <c r="AJ546" s="448"/>
      <c r="AK546" s="448"/>
      <c r="AL546" s="448"/>
      <c r="AM546" s="448"/>
      <c r="AN546" s="448"/>
      <c r="AP546" s="448"/>
      <c r="AQ546" s="448"/>
      <c r="AR546" s="448"/>
      <c r="AS546" s="448"/>
      <c r="AT546" s="448"/>
      <c r="AU546" s="448"/>
      <c r="AV546" s="448"/>
      <c r="AW546" s="448"/>
      <c r="AX546" s="448"/>
    </row>
    <row r="547" spans="1:50" x14ac:dyDescent="0.4">
      <c r="A547" s="442" t="str">
        <f t="shared" si="95"/>
        <v>31971</v>
      </c>
      <c r="B547" s="442">
        <v>25993</v>
      </c>
      <c r="C547" s="455">
        <v>3.9399999999999998E-2</v>
      </c>
      <c r="D547" s="438">
        <v>3.3099999999999997E-2</v>
      </c>
      <c r="E547" s="438">
        <v>5.5999999999999991E-3</v>
      </c>
      <c r="F547" s="438">
        <v>6.0083333333333334E-3</v>
      </c>
      <c r="G547" s="438">
        <v>6.4416666666666667E-3</v>
      </c>
      <c r="H547" s="438">
        <v>6.2250000000000005E-3</v>
      </c>
      <c r="I547" s="438">
        <v>6.7083333333333335E-3</v>
      </c>
      <c r="J547" s="438">
        <f t="shared" si="96"/>
        <v>3.3799999999999997E-2</v>
      </c>
      <c r="K547" s="438">
        <f t="shared" si="100"/>
        <v>3.3174999999999996E-2</v>
      </c>
      <c r="L547" s="438">
        <f t="shared" si="101"/>
        <v>2.6391666666666664E-2</v>
      </c>
      <c r="M547" s="446">
        <f t="shared" si="97"/>
        <v>0.1607833352810506</v>
      </c>
      <c r="N547" s="446">
        <f t="shared" si="98"/>
        <v>6.7199999999999982E-2</v>
      </c>
      <c r="O547" s="446">
        <f t="shared" si="90"/>
        <v>7.4700000000000003E-2</v>
      </c>
      <c r="P547" s="447">
        <f t="shared" si="99"/>
        <v>9.3583335281050617E-2</v>
      </c>
      <c r="Q547" s="446">
        <f t="shared" si="91"/>
        <v>8.6083335281050596E-2</v>
      </c>
      <c r="R547" s="446">
        <f t="shared" si="92"/>
        <v>0.11217668757844756</v>
      </c>
      <c r="S547" s="446">
        <f t="shared" si="93"/>
        <v>8.0500000000000002E-2</v>
      </c>
      <c r="T547" s="447">
        <f t="shared" si="94"/>
        <v>3.1676687578447563E-2</v>
      </c>
      <c r="V547" s="448"/>
      <c r="W547" s="448"/>
      <c r="X547" s="448"/>
      <c r="Y547" s="448"/>
      <c r="Z547" s="448"/>
      <c r="AA547" s="448"/>
      <c r="AB547" s="448"/>
      <c r="AC547" s="448"/>
      <c r="AD547" s="448"/>
      <c r="AF547" s="448"/>
      <c r="AG547" s="448"/>
      <c r="AH547" s="448"/>
      <c r="AI547" s="448"/>
      <c r="AJ547" s="448"/>
      <c r="AK547" s="448"/>
      <c r="AL547" s="448"/>
      <c r="AM547" s="448"/>
      <c r="AN547" s="448"/>
      <c r="AP547" s="448"/>
      <c r="AQ547" s="448"/>
      <c r="AR547" s="448"/>
      <c r="AS547" s="448"/>
      <c r="AT547" s="448"/>
      <c r="AU547" s="448"/>
      <c r="AV547" s="448"/>
      <c r="AW547" s="448"/>
      <c r="AX547" s="448"/>
    </row>
    <row r="548" spans="1:50" x14ac:dyDescent="0.4">
      <c r="A548" s="442" t="str">
        <f t="shared" si="95"/>
        <v>41971</v>
      </c>
      <c r="B548" s="442">
        <v>26024</v>
      </c>
      <c r="C548" s="455">
        <v>3.8899999999999997E-2</v>
      </c>
      <c r="D548" s="438">
        <v>-3.49E-2</v>
      </c>
      <c r="E548" s="438">
        <v>4.7999999999999996E-3</v>
      </c>
      <c r="F548" s="438">
        <v>6.0416666666666665E-3</v>
      </c>
      <c r="G548" s="438">
        <v>6.45E-3</v>
      </c>
      <c r="H548" s="438">
        <v>6.2458333333333324E-3</v>
      </c>
      <c r="I548" s="438">
        <v>6.7250000000000001E-3</v>
      </c>
      <c r="J548" s="438">
        <f t="shared" si="96"/>
        <v>3.4099999999999998E-2</v>
      </c>
      <c r="K548" s="438">
        <f t="shared" si="100"/>
        <v>3.2654166666666665E-2</v>
      </c>
      <c r="L548" s="438">
        <f t="shared" si="101"/>
        <v>-4.1625000000000002E-2</v>
      </c>
      <c r="M548" s="446">
        <f t="shared" si="97"/>
        <v>0.32157567892984407</v>
      </c>
      <c r="N548" s="446">
        <f t="shared" si="98"/>
        <v>5.7599999999999998E-2</v>
      </c>
      <c r="O548" s="446">
        <f t="shared" si="90"/>
        <v>7.4949999999999989E-2</v>
      </c>
      <c r="P548" s="447">
        <f t="shared" si="99"/>
        <v>0.26397567892984408</v>
      </c>
      <c r="Q548" s="446">
        <f t="shared" si="91"/>
        <v>0.24662567892984408</v>
      </c>
      <c r="R548" s="446">
        <f t="shared" si="92"/>
        <v>0.18328929686027973</v>
      </c>
      <c r="S548" s="446">
        <f t="shared" si="93"/>
        <v>8.0699999999999994E-2</v>
      </c>
      <c r="T548" s="447">
        <f t="shared" si="94"/>
        <v>0.10258929686027973</v>
      </c>
      <c r="V548" s="448"/>
      <c r="W548" s="448"/>
      <c r="X548" s="448"/>
      <c r="Y548" s="448"/>
      <c r="Z548" s="448"/>
      <c r="AA548" s="448"/>
      <c r="AB548" s="448"/>
      <c r="AC548" s="448"/>
      <c r="AD548" s="448"/>
      <c r="AF548" s="448"/>
      <c r="AG548" s="448"/>
      <c r="AH548" s="448"/>
      <c r="AI548" s="448"/>
      <c r="AJ548" s="448"/>
      <c r="AK548" s="448"/>
      <c r="AL548" s="448"/>
      <c r="AM548" s="448"/>
      <c r="AN548" s="448"/>
      <c r="AP548" s="448"/>
      <c r="AQ548" s="448"/>
      <c r="AR548" s="448"/>
      <c r="AS548" s="448"/>
      <c r="AT548" s="448"/>
      <c r="AU548" s="448"/>
      <c r="AV548" s="448"/>
      <c r="AW548" s="448"/>
      <c r="AX548" s="448"/>
    </row>
    <row r="549" spans="1:50" x14ac:dyDescent="0.4">
      <c r="A549" s="442" t="str">
        <f t="shared" si="95"/>
        <v>51971</v>
      </c>
      <c r="B549" s="442">
        <v>26054</v>
      </c>
      <c r="C549" s="455">
        <v>-3.9100000000000003E-2</v>
      </c>
      <c r="D549" s="438">
        <v>-3.5100000000000006E-2</v>
      </c>
      <c r="E549" s="438">
        <v>4.7000000000000002E-3</v>
      </c>
      <c r="F549" s="438">
        <v>6.2750000000000002E-3</v>
      </c>
      <c r="G549" s="438">
        <v>6.5333333333333328E-3</v>
      </c>
      <c r="H549" s="438">
        <v>6.4041666666666665E-3</v>
      </c>
      <c r="I549" s="438">
        <v>6.9499999999999996E-3</v>
      </c>
      <c r="J549" s="438">
        <f t="shared" si="96"/>
        <v>-4.3800000000000006E-2</v>
      </c>
      <c r="K549" s="438">
        <f t="shared" si="100"/>
        <v>-4.5504166666666672E-2</v>
      </c>
      <c r="L549" s="438">
        <f t="shared" si="101"/>
        <v>-4.2050000000000004E-2</v>
      </c>
      <c r="M549" s="446">
        <f t="shared" si="97"/>
        <v>0.34780521108436369</v>
      </c>
      <c r="N549" s="446">
        <f t="shared" si="98"/>
        <v>5.6400000000000006E-2</v>
      </c>
      <c r="O549" s="446">
        <f t="shared" si="90"/>
        <v>7.6850000000000002E-2</v>
      </c>
      <c r="P549" s="447">
        <f t="shared" si="99"/>
        <v>0.29140521108436368</v>
      </c>
      <c r="Q549" s="446">
        <f t="shared" si="91"/>
        <v>0.27095521108436371</v>
      </c>
      <c r="R549" s="446">
        <f t="shared" si="92"/>
        <v>0.2037489114817963</v>
      </c>
      <c r="S549" s="446">
        <f t="shared" si="93"/>
        <v>8.3400000000000002E-2</v>
      </c>
      <c r="T549" s="447">
        <f t="shared" si="94"/>
        <v>0.1203489114817963</v>
      </c>
      <c r="V549" s="448"/>
      <c r="W549" s="448"/>
      <c r="X549" s="448"/>
      <c r="Y549" s="448"/>
      <c r="Z549" s="448"/>
      <c r="AA549" s="448"/>
      <c r="AB549" s="448"/>
      <c r="AC549" s="448"/>
      <c r="AD549" s="448"/>
      <c r="AF549" s="448"/>
      <c r="AG549" s="448"/>
      <c r="AH549" s="448"/>
      <c r="AI549" s="448"/>
      <c r="AJ549" s="448"/>
      <c r="AK549" s="448"/>
      <c r="AL549" s="448"/>
      <c r="AM549" s="448"/>
      <c r="AN549" s="448"/>
      <c r="AP549" s="448"/>
      <c r="AQ549" s="448"/>
      <c r="AR549" s="448"/>
      <c r="AS549" s="448"/>
      <c r="AT549" s="448"/>
      <c r="AU549" s="448"/>
      <c r="AV549" s="448"/>
      <c r="AW549" s="448"/>
      <c r="AX549" s="448"/>
    </row>
    <row r="550" spans="1:50" x14ac:dyDescent="0.4">
      <c r="A550" s="442" t="str">
        <f t="shared" si="95"/>
        <v>61971</v>
      </c>
      <c r="B550" s="442">
        <v>26085</v>
      </c>
      <c r="C550" s="455">
        <v>3.3E-3</v>
      </c>
      <c r="D550" s="438">
        <v>3.9800000000000002E-2</v>
      </c>
      <c r="E550" s="438">
        <v>5.5999999999999991E-3</v>
      </c>
      <c r="F550" s="438">
        <v>6.3666666666666663E-3</v>
      </c>
      <c r="G550" s="438">
        <v>6.6333333333333331E-3</v>
      </c>
      <c r="H550" s="438">
        <v>6.4999999999999988E-3</v>
      </c>
      <c r="I550" s="438">
        <v>7.0416666666666657E-3</v>
      </c>
      <c r="J550" s="438">
        <f t="shared" si="96"/>
        <v>-2.2999999999999991E-3</v>
      </c>
      <c r="K550" s="438">
        <f t="shared" si="100"/>
        <v>-3.1999999999999989E-3</v>
      </c>
      <c r="L550" s="438">
        <f t="shared" si="101"/>
        <v>3.2758333333333334E-2</v>
      </c>
      <c r="M550" s="446">
        <f t="shared" si="97"/>
        <v>0.41834798435173282</v>
      </c>
      <c r="N550" s="446">
        <f t="shared" si="98"/>
        <v>6.7199999999999982E-2</v>
      </c>
      <c r="O550" s="446">
        <f t="shared" si="90"/>
        <v>7.7999999999999986E-2</v>
      </c>
      <c r="P550" s="447">
        <f t="shared" si="99"/>
        <v>0.35114798435173283</v>
      </c>
      <c r="Q550" s="446">
        <f t="shared" si="91"/>
        <v>0.34034798435173286</v>
      </c>
      <c r="R550" s="446">
        <f t="shared" si="92"/>
        <v>0.32900628388062403</v>
      </c>
      <c r="S550" s="446">
        <f t="shared" si="93"/>
        <v>8.4499999999999992E-2</v>
      </c>
      <c r="T550" s="447">
        <f t="shared" si="94"/>
        <v>0.24450628388062404</v>
      </c>
      <c r="V550" s="448"/>
      <c r="W550" s="448"/>
      <c r="X550" s="448"/>
      <c r="Y550" s="448"/>
      <c r="Z550" s="448"/>
      <c r="AA550" s="448"/>
      <c r="AB550" s="448"/>
      <c r="AC550" s="448"/>
      <c r="AD550" s="448"/>
      <c r="AF550" s="448"/>
      <c r="AG550" s="448"/>
      <c r="AH550" s="448"/>
      <c r="AI550" s="448"/>
      <c r="AJ550" s="448"/>
      <c r="AK550" s="448"/>
      <c r="AL550" s="448"/>
      <c r="AM550" s="448"/>
      <c r="AN550" s="448"/>
      <c r="AP550" s="448"/>
      <c r="AQ550" s="448"/>
      <c r="AR550" s="448"/>
      <c r="AS550" s="448"/>
      <c r="AT550" s="448"/>
      <c r="AU550" s="448"/>
      <c r="AV550" s="448"/>
      <c r="AW550" s="448"/>
      <c r="AX550" s="448"/>
    </row>
    <row r="551" spans="1:50" x14ac:dyDescent="0.4">
      <c r="A551" s="442" t="str">
        <f t="shared" si="95"/>
        <v>71971</v>
      </c>
      <c r="B551" s="442">
        <v>26115</v>
      </c>
      <c r="C551" s="455">
        <v>-3.8699999999999998E-2</v>
      </c>
      <c r="D551" s="438">
        <v>-2.2499999999999999E-2</v>
      </c>
      <c r="E551" s="438">
        <v>5.1999999999999998E-3</v>
      </c>
      <c r="F551" s="438">
        <v>6.3666666666666663E-3</v>
      </c>
      <c r="G551" s="438">
        <v>6.6333333333333331E-3</v>
      </c>
      <c r="H551" s="438">
        <v>6.4999999999999988E-3</v>
      </c>
      <c r="I551" s="438">
        <v>7.0416666666666657E-3</v>
      </c>
      <c r="J551" s="438">
        <f t="shared" si="96"/>
        <v>-4.3899999999999995E-2</v>
      </c>
      <c r="K551" s="438">
        <f t="shared" si="100"/>
        <v>-4.5199999999999997E-2</v>
      </c>
      <c r="L551" s="438">
        <f t="shared" si="101"/>
        <v>-2.9541666666666664E-2</v>
      </c>
      <c r="M551" s="446">
        <f t="shared" si="97"/>
        <v>0.26609519672887072</v>
      </c>
      <c r="N551" s="446">
        <f t="shared" si="98"/>
        <v>6.2399999999999997E-2</v>
      </c>
      <c r="O551" s="446">
        <f t="shared" si="90"/>
        <v>7.7999999999999986E-2</v>
      </c>
      <c r="P551" s="447">
        <f t="shared" si="99"/>
        <v>0.20369519672887071</v>
      </c>
      <c r="Q551" s="446">
        <f t="shared" si="91"/>
        <v>0.18809519672887073</v>
      </c>
      <c r="R551" s="446">
        <f t="shared" si="92"/>
        <v>0.1839092704759957</v>
      </c>
      <c r="S551" s="446">
        <f t="shared" si="93"/>
        <v>8.4499999999999992E-2</v>
      </c>
      <c r="T551" s="447">
        <f t="shared" si="94"/>
        <v>9.9409270475995709E-2</v>
      </c>
      <c r="V551" s="448"/>
      <c r="W551" s="448"/>
      <c r="X551" s="448"/>
      <c r="Y551" s="448"/>
      <c r="Z551" s="448"/>
      <c r="AA551" s="448"/>
      <c r="AB551" s="448"/>
      <c r="AC551" s="448"/>
      <c r="AD551" s="448"/>
      <c r="AF551" s="448"/>
      <c r="AG551" s="448"/>
      <c r="AH551" s="448"/>
      <c r="AI551" s="448"/>
      <c r="AJ551" s="448"/>
      <c r="AK551" s="448"/>
      <c r="AL551" s="448"/>
      <c r="AM551" s="448"/>
      <c r="AN551" s="448"/>
      <c r="AP551" s="448"/>
      <c r="AQ551" s="448"/>
      <c r="AR551" s="448"/>
      <c r="AS551" s="448"/>
      <c r="AT551" s="448"/>
      <c r="AU551" s="448"/>
      <c r="AV551" s="448"/>
      <c r="AW551" s="448"/>
      <c r="AX551" s="448"/>
    </row>
    <row r="552" spans="1:50" x14ac:dyDescent="0.4">
      <c r="A552" s="442" t="str">
        <f t="shared" si="95"/>
        <v>81971</v>
      </c>
      <c r="B552" s="442">
        <v>26146</v>
      </c>
      <c r="C552" s="455">
        <v>3.8800000000000001E-2</v>
      </c>
      <c r="D552" s="438">
        <v>-2.4699999999999996E-2</v>
      </c>
      <c r="E552" s="438">
        <v>5.4999999999999997E-3</v>
      </c>
      <c r="F552" s="438">
        <v>6.3249999999999999E-3</v>
      </c>
      <c r="G552" s="438">
        <v>6.6083333333333324E-3</v>
      </c>
      <c r="H552" s="438">
        <v>6.4666666666666657E-3</v>
      </c>
      <c r="I552" s="438">
        <v>7.000000000000001E-3</v>
      </c>
      <c r="J552" s="438">
        <f t="shared" si="96"/>
        <v>3.3300000000000003E-2</v>
      </c>
      <c r="K552" s="438">
        <f t="shared" si="100"/>
        <v>3.2333333333333339E-2</v>
      </c>
      <c r="L552" s="438">
        <f t="shared" si="101"/>
        <v>-3.1699999999999999E-2</v>
      </c>
      <c r="M552" s="446">
        <f t="shared" si="97"/>
        <v>0.25522016640766476</v>
      </c>
      <c r="N552" s="446">
        <f t="shared" si="98"/>
        <v>6.6000000000000003E-2</v>
      </c>
      <c r="O552" s="446">
        <f t="shared" ref="O552:O615" si="102">H552*12</f>
        <v>7.7599999999999988E-2</v>
      </c>
      <c r="P552" s="447">
        <f t="shared" si="99"/>
        <v>0.18922016640766476</v>
      </c>
      <c r="Q552" s="446">
        <f t="shared" ref="Q552:Q615" si="103">M552-O552</f>
        <v>0.17762016640766476</v>
      </c>
      <c r="R552" s="446">
        <f t="shared" ref="R552:R615" si="104">((1+D541)*(1+D542)*(1+D543)*(1+D544)*(1+D545)*(1+D546)*(1+D547)*(1+D548)*(1+D549)*(1+D550)*(1+D551)*(1+D552))-1</f>
        <v>9.126425809964922E-2</v>
      </c>
      <c r="S552" s="446">
        <f t="shared" ref="S552:S615" si="105">I552*12</f>
        <v>8.4000000000000019E-2</v>
      </c>
      <c r="T552" s="447">
        <f t="shared" ref="T552:T615" si="106">R552-S552</f>
        <v>7.2642580996492012E-3</v>
      </c>
      <c r="V552" s="448"/>
      <c r="W552" s="448"/>
      <c r="X552" s="448"/>
      <c r="Y552" s="448"/>
      <c r="Z552" s="448"/>
      <c r="AA552" s="448"/>
      <c r="AB552" s="448"/>
      <c r="AC552" s="448"/>
      <c r="AD552" s="448"/>
      <c r="AF552" s="448"/>
      <c r="AG552" s="448"/>
      <c r="AH552" s="448"/>
      <c r="AI552" s="448"/>
      <c r="AJ552" s="448"/>
      <c r="AK552" s="448"/>
      <c r="AL552" s="448"/>
      <c r="AM552" s="448"/>
      <c r="AN552" s="448"/>
      <c r="AP552" s="448"/>
      <c r="AQ552" s="448"/>
      <c r="AR552" s="448"/>
      <c r="AS552" s="448"/>
      <c r="AT552" s="448"/>
      <c r="AU552" s="448"/>
      <c r="AV552" s="448"/>
      <c r="AW552" s="448"/>
      <c r="AX552" s="448"/>
    </row>
    <row r="553" spans="1:50" x14ac:dyDescent="0.4">
      <c r="A553" s="442" t="str">
        <f t="shared" ref="A553:A616" si="107">MONTH(B553)&amp;YEAR(B553)</f>
        <v>91971</v>
      </c>
      <c r="B553" s="442">
        <v>26177</v>
      </c>
      <c r="C553" s="455">
        <v>-4.4000000000000003E-3</v>
      </c>
      <c r="D553" s="438">
        <v>-1.4600000000000002E-2</v>
      </c>
      <c r="E553" s="438">
        <v>5.0000000000000001E-3</v>
      </c>
      <c r="F553" s="438">
        <v>6.1999999999999998E-3</v>
      </c>
      <c r="G553" s="438">
        <v>6.508333333333333E-3</v>
      </c>
      <c r="H553" s="438">
        <v>6.3541666666666659E-3</v>
      </c>
      <c r="I553" s="438">
        <v>6.8166666666666662E-3</v>
      </c>
      <c r="J553" s="438">
        <f t="shared" si="96"/>
        <v>-9.4000000000000004E-3</v>
      </c>
      <c r="K553" s="438">
        <f t="shared" si="100"/>
        <v>-1.0754166666666665E-2</v>
      </c>
      <c r="L553" s="438">
        <f t="shared" si="101"/>
        <v>-2.1416666666666667E-2</v>
      </c>
      <c r="M553" s="446">
        <f t="shared" si="97"/>
        <v>0.20603860034305232</v>
      </c>
      <c r="N553" s="446">
        <f t="shared" si="98"/>
        <v>0.06</v>
      </c>
      <c r="O553" s="446">
        <f t="shared" si="102"/>
        <v>7.6249999999999984E-2</v>
      </c>
      <c r="P553" s="447">
        <f t="shared" si="99"/>
        <v>0.14603860034305233</v>
      </c>
      <c r="Q553" s="446">
        <f t="shared" si="103"/>
        <v>0.12978860034305234</v>
      </c>
      <c r="R553" s="446">
        <f t="shared" si="104"/>
        <v>8.7731944094066705E-2</v>
      </c>
      <c r="S553" s="446">
        <f t="shared" si="105"/>
        <v>8.1799999999999998E-2</v>
      </c>
      <c r="T553" s="447">
        <f t="shared" si="106"/>
        <v>5.9319440940667073E-3</v>
      </c>
      <c r="V553" s="448"/>
      <c r="W553" s="448"/>
      <c r="X553" s="448"/>
      <c r="Y553" s="448"/>
      <c r="Z553" s="448"/>
      <c r="AA553" s="448"/>
      <c r="AB553" s="448"/>
      <c r="AC553" s="448"/>
      <c r="AD553" s="448"/>
      <c r="AF553" s="448"/>
      <c r="AG553" s="448"/>
      <c r="AH553" s="448"/>
      <c r="AI553" s="448"/>
      <c r="AJ553" s="448"/>
      <c r="AK553" s="448"/>
      <c r="AL553" s="448"/>
      <c r="AM553" s="448"/>
      <c r="AN553" s="448"/>
      <c r="AP553" s="448"/>
      <c r="AQ553" s="448"/>
      <c r="AR553" s="448"/>
      <c r="AS553" s="448"/>
      <c r="AT553" s="448"/>
      <c r="AU553" s="448"/>
      <c r="AV553" s="448"/>
      <c r="AW553" s="448"/>
      <c r="AX553" s="448"/>
    </row>
    <row r="554" spans="1:50" x14ac:dyDescent="0.4">
      <c r="A554" s="442" t="str">
        <f t="shared" si="107"/>
        <v>101971</v>
      </c>
      <c r="B554" s="442">
        <v>26207</v>
      </c>
      <c r="C554" s="455">
        <v>-3.9199999999999999E-2</v>
      </c>
      <c r="D554" s="438">
        <v>1.7000000000000001E-2</v>
      </c>
      <c r="E554" s="438">
        <v>4.7000000000000002E-3</v>
      </c>
      <c r="F554" s="438">
        <v>6.1583333333333334E-3</v>
      </c>
      <c r="G554" s="438">
        <v>6.4083333333333336E-3</v>
      </c>
      <c r="H554" s="438">
        <v>6.2833333333333343E-3</v>
      </c>
      <c r="I554" s="438">
        <v>6.7499999999999991E-3</v>
      </c>
      <c r="J554" s="438">
        <f t="shared" si="96"/>
        <v>-4.3900000000000002E-2</v>
      </c>
      <c r="K554" s="438">
        <f t="shared" si="100"/>
        <v>-4.5483333333333334E-2</v>
      </c>
      <c r="L554" s="438">
        <f t="shared" si="101"/>
        <v>1.0250000000000002E-2</v>
      </c>
      <c r="M554" s="446">
        <f t="shared" si="97"/>
        <v>0.16846010609015272</v>
      </c>
      <c r="N554" s="446">
        <f t="shared" si="98"/>
        <v>5.6400000000000006E-2</v>
      </c>
      <c r="O554" s="446">
        <f t="shared" si="102"/>
        <v>7.5400000000000009E-2</v>
      </c>
      <c r="P554" s="447">
        <f t="shared" si="99"/>
        <v>0.11206010609015271</v>
      </c>
      <c r="Q554" s="446">
        <f t="shared" si="103"/>
        <v>9.3060106090152708E-2</v>
      </c>
      <c r="R554" s="446">
        <f t="shared" si="104"/>
        <v>0.12295542294555473</v>
      </c>
      <c r="S554" s="446">
        <f t="shared" si="105"/>
        <v>8.0999999999999989E-2</v>
      </c>
      <c r="T554" s="447">
        <f t="shared" si="106"/>
        <v>4.1955422945554738E-2</v>
      </c>
      <c r="V554" s="448"/>
      <c r="W554" s="448"/>
      <c r="X554" s="448"/>
      <c r="Y554" s="448"/>
      <c r="Z554" s="448"/>
      <c r="AA554" s="448"/>
      <c r="AB554" s="448"/>
      <c r="AC554" s="448"/>
      <c r="AD554" s="448"/>
      <c r="AF554" s="448"/>
      <c r="AG554" s="448"/>
      <c r="AH554" s="448"/>
      <c r="AI554" s="448"/>
      <c r="AJ554" s="448"/>
      <c r="AK554" s="448"/>
      <c r="AL554" s="448"/>
      <c r="AM554" s="448"/>
      <c r="AN554" s="448"/>
      <c r="AP554" s="448"/>
      <c r="AQ554" s="448"/>
      <c r="AR554" s="448"/>
      <c r="AS554" s="448"/>
      <c r="AT554" s="448"/>
      <c r="AU554" s="448"/>
      <c r="AV554" s="448"/>
      <c r="AW554" s="448"/>
      <c r="AX554" s="448"/>
    </row>
    <row r="555" spans="1:50" x14ac:dyDescent="0.4">
      <c r="A555" s="442" t="str">
        <f t="shared" si="107"/>
        <v>111971</v>
      </c>
      <c r="B555" s="442">
        <v>26238</v>
      </c>
      <c r="C555" s="455">
        <v>2.0000000000000001E-4</v>
      </c>
      <c r="D555" s="438">
        <v>-5.5000000000000005E-3</v>
      </c>
      <c r="E555" s="438">
        <v>5.1000000000000004E-3</v>
      </c>
      <c r="F555" s="438">
        <v>6.0499999999999998E-3</v>
      </c>
      <c r="G555" s="438">
        <v>6.3E-3</v>
      </c>
      <c r="H555" s="438">
        <v>6.1749999999999991E-3</v>
      </c>
      <c r="I555" s="438">
        <v>6.6333333333333331E-3</v>
      </c>
      <c r="J555" s="438">
        <f t="shared" si="96"/>
        <v>-4.9000000000000007E-3</v>
      </c>
      <c r="K555" s="438">
        <f t="shared" si="100"/>
        <v>-5.9749999999999994E-3</v>
      </c>
      <c r="L555" s="438">
        <f t="shared" si="101"/>
        <v>-1.2133333333333333E-2</v>
      </c>
      <c r="M555" s="446">
        <f t="shared" si="97"/>
        <v>0.11240605188594244</v>
      </c>
      <c r="N555" s="446">
        <f t="shared" si="98"/>
        <v>6.1200000000000004E-2</v>
      </c>
      <c r="O555" s="446">
        <f t="shared" si="102"/>
        <v>7.4099999999999985E-2</v>
      </c>
      <c r="P555" s="447">
        <f t="shared" si="99"/>
        <v>5.1206051885942433E-2</v>
      </c>
      <c r="Q555" s="446">
        <f t="shared" si="103"/>
        <v>3.8306051885942452E-2</v>
      </c>
      <c r="R555" s="446">
        <f t="shared" si="104"/>
        <v>1.7566440199867195E-2</v>
      </c>
      <c r="S555" s="446">
        <f t="shared" si="105"/>
        <v>7.9600000000000004E-2</v>
      </c>
      <c r="T555" s="447">
        <f t="shared" si="106"/>
        <v>-6.2033559800132809E-2</v>
      </c>
      <c r="V555" s="448"/>
      <c r="W555" s="448"/>
      <c r="X555" s="448"/>
      <c r="Y555" s="448"/>
      <c r="Z555" s="448"/>
      <c r="AA555" s="448"/>
      <c r="AB555" s="448"/>
      <c r="AC555" s="448"/>
      <c r="AD555" s="448"/>
      <c r="AF555" s="448"/>
      <c r="AG555" s="448"/>
      <c r="AH555" s="448"/>
      <c r="AI555" s="448"/>
      <c r="AJ555" s="448"/>
      <c r="AK555" s="448"/>
      <c r="AL555" s="448"/>
      <c r="AM555" s="448"/>
      <c r="AN555" s="448"/>
      <c r="AP555" s="448"/>
      <c r="AQ555" s="448"/>
      <c r="AR555" s="448"/>
      <c r="AS555" s="448"/>
      <c r="AT555" s="448"/>
      <c r="AU555" s="448"/>
      <c r="AV555" s="448"/>
      <c r="AW555" s="448"/>
      <c r="AX555" s="448"/>
    </row>
    <row r="556" spans="1:50" x14ac:dyDescent="0.4">
      <c r="A556" s="442" t="str">
        <f t="shared" si="107"/>
        <v>121971</v>
      </c>
      <c r="B556" s="442">
        <v>26268</v>
      </c>
      <c r="C556" s="455">
        <v>8.8800000000000004E-2</v>
      </c>
      <c r="D556" s="438">
        <v>8.0600000000000005E-2</v>
      </c>
      <c r="E556" s="438">
        <v>5.0000000000000001E-3</v>
      </c>
      <c r="F556" s="438">
        <v>6.0416666666666665E-3</v>
      </c>
      <c r="G556" s="438">
        <v>6.3083333333333333E-3</v>
      </c>
      <c r="H556" s="438">
        <v>6.1749999999999991E-3</v>
      </c>
      <c r="I556" s="438">
        <v>6.5833333333333334E-3</v>
      </c>
      <c r="J556" s="438">
        <f t="shared" si="96"/>
        <v>8.3799999999999999E-2</v>
      </c>
      <c r="K556" s="438">
        <f t="shared" si="100"/>
        <v>8.2625000000000004E-2</v>
      </c>
      <c r="L556" s="438">
        <f t="shared" si="101"/>
        <v>7.4016666666666675E-2</v>
      </c>
      <c r="M556" s="446">
        <f t="shared" si="97"/>
        <v>0.14295339180278721</v>
      </c>
      <c r="N556" s="446">
        <f t="shared" si="98"/>
        <v>0.06</v>
      </c>
      <c r="O556" s="446">
        <f t="shared" si="102"/>
        <v>7.4099999999999985E-2</v>
      </c>
      <c r="P556" s="447">
        <f t="shared" si="99"/>
        <v>8.2953391802787213E-2</v>
      </c>
      <c r="Q556" s="446">
        <f t="shared" si="103"/>
        <v>6.8853391802787225E-2</v>
      </c>
      <c r="R556" s="446">
        <f t="shared" si="104"/>
        <v>2.4296502356754734E-2</v>
      </c>
      <c r="S556" s="446">
        <f t="shared" si="105"/>
        <v>7.9000000000000001E-2</v>
      </c>
      <c r="T556" s="447">
        <f t="shared" si="106"/>
        <v>-5.4703497643245266E-2</v>
      </c>
      <c r="V556" s="448"/>
      <c r="W556" s="448"/>
      <c r="X556" s="448"/>
      <c r="Y556" s="448"/>
      <c r="Z556" s="448"/>
      <c r="AA556" s="448"/>
      <c r="AB556" s="448"/>
      <c r="AC556" s="448"/>
      <c r="AD556" s="448"/>
      <c r="AF556" s="448"/>
      <c r="AG556" s="448"/>
      <c r="AH556" s="448"/>
      <c r="AI556" s="448"/>
      <c r="AJ556" s="448"/>
      <c r="AK556" s="448"/>
      <c r="AL556" s="448"/>
      <c r="AM556" s="448"/>
      <c r="AN556" s="448"/>
      <c r="AP556" s="448"/>
      <c r="AQ556" s="448"/>
      <c r="AR556" s="448"/>
      <c r="AS556" s="448"/>
      <c r="AT556" s="448"/>
      <c r="AU556" s="448"/>
      <c r="AV556" s="448"/>
      <c r="AW556" s="448"/>
      <c r="AX556" s="448"/>
    </row>
    <row r="557" spans="1:50" x14ac:dyDescent="0.4">
      <c r="A557" s="442" t="str">
        <f t="shared" si="107"/>
        <v>11972</v>
      </c>
      <c r="B557" s="442">
        <v>26299</v>
      </c>
      <c r="C557" s="455">
        <v>2.06E-2</v>
      </c>
      <c r="D557" s="438">
        <v>-7.4000000000000012E-3</v>
      </c>
      <c r="E557" s="438">
        <v>5.0000000000000001E-3</v>
      </c>
      <c r="F557" s="438">
        <v>5.9916666666666677E-3</v>
      </c>
      <c r="G557" s="438">
        <v>6.266666666666666E-3</v>
      </c>
      <c r="H557" s="438">
        <v>6.1291666666666664E-3</v>
      </c>
      <c r="I557" s="438">
        <v>6.4916666666666664E-3</v>
      </c>
      <c r="J557" s="438">
        <f t="shared" si="96"/>
        <v>1.5599999999999999E-2</v>
      </c>
      <c r="K557" s="438">
        <f t="shared" si="100"/>
        <v>1.4470833333333334E-2</v>
      </c>
      <c r="L557" s="438">
        <f t="shared" si="101"/>
        <v>-1.3891666666666667E-2</v>
      </c>
      <c r="M557" s="446">
        <f t="shared" si="97"/>
        <v>0.11819232330705987</v>
      </c>
      <c r="N557" s="446">
        <f t="shared" si="98"/>
        <v>0.06</v>
      </c>
      <c r="O557" s="446">
        <f t="shared" si="102"/>
        <v>7.3550000000000004E-2</v>
      </c>
      <c r="P557" s="447">
        <f t="shared" si="99"/>
        <v>5.8192323307059868E-2</v>
      </c>
      <c r="Q557" s="446">
        <f t="shared" si="103"/>
        <v>4.4642323307059861E-2</v>
      </c>
      <c r="R557" s="446">
        <f t="shared" si="104"/>
        <v>-8.7582058698308929E-3</v>
      </c>
      <c r="S557" s="446">
        <f t="shared" si="105"/>
        <v>7.7899999999999997E-2</v>
      </c>
      <c r="T557" s="447">
        <f t="shared" si="106"/>
        <v>-8.665820586983089E-2</v>
      </c>
      <c r="V557" s="448"/>
      <c r="W557" s="448"/>
      <c r="X557" s="448"/>
      <c r="Y557" s="448"/>
      <c r="Z557" s="448"/>
      <c r="AA557" s="448"/>
      <c r="AB557" s="448"/>
      <c r="AC557" s="448"/>
      <c r="AD557" s="448"/>
      <c r="AF557" s="448"/>
      <c r="AG557" s="448"/>
      <c r="AH557" s="448"/>
      <c r="AI557" s="448"/>
      <c r="AJ557" s="448"/>
      <c r="AK557" s="448"/>
      <c r="AL557" s="448"/>
      <c r="AM557" s="448"/>
      <c r="AN557" s="448"/>
      <c r="AP557" s="448"/>
      <c r="AQ557" s="448"/>
      <c r="AR557" s="448"/>
      <c r="AS557" s="448"/>
      <c r="AT557" s="448"/>
      <c r="AU557" s="448"/>
      <c r="AV557" s="448"/>
      <c r="AW557" s="448"/>
      <c r="AX557" s="448"/>
    </row>
    <row r="558" spans="1:50" x14ac:dyDescent="0.4">
      <c r="A558" s="442" t="str">
        <f t="shared" si="107"/>
        <v>21972</v>
      </c>
      <c r="B558" s="442">
        <v>26330</v>
      </c>
      <c r="C558" s="455">
        <v>2.7699999999999999E-2</v>
      </c>
      <c r="D558" s="438">
        <v>-2.4E-2</v>
      </c>
      <c r="E558" s="438">
        <v>4.7000000000000002E-3</v>
      </c>
      <c r="F558" s="438">
        <v>6.0583333333333331E-3</v>
      </c>
      <c r="G558" s="438">
        <v>6.266666666666666E-3</v>
      </c>
      <c r="H558" s="438">
        <v>6.1624999999999996E-3</v>
      </c>
      <c r="I558" s="438">
        <v>6.4833333333333331E-3</v>
      </c>
      <c r="J558" s="438">
        <f t="shared" si="96"/>
        <v>2.3E-2</v>
      </c>
      <c r="K558" s="438">
        <f t="shared" si="100"/>
        <v>2.1537500000000001E-2</v>
      </c>
      <c r="L558" s="438">
        <f t="shared" si="101"/>
        <v>-3.0483333333333335E-2</v>
      </c>
      <c r="M558" s="446">
        <f t="shared" si="97"/>
        <v>0.13587649566340398</v>
      </c>
      <c r="N558" s="446">
        <f t="shared" si="98"/>
        <v>5.6400000000000006E-2</v>
      </c>
      <c r="O558" s="446">
        <f t="shared" si="102"/>
        <v>7.3949999999999988E-2</v>
      </c>
      <c r="P558" s="447">
        <f t="shared" si="99"/>
        <v>7.9476495663403979E-2</v>
      </c>
      <c r="Q558" s="446">
        <f t="shared" si="103"/>
        <v>6.1926495663403996E-2</v>
      </c>
      <c r="R558" s="446">
        <f t="shared" si="104"/>
        <v>-4.9861245798156206E-3</v>
      </c>
      <c r="S558" s="446">
        <f t="shared" si="105"/>
        <v>7.7799999999999994E-2</v>
      </c>
      <c r="T558" s="447">
        <f t="shared" si="106"/>
        <v>-8.2786124579815615E-2</v>
      </c>
      <c r="V558" s="448"/>
      <c r="W558" s="448"/>
      <c r="X558" s="448"/>
      <c r="Y558" s="448"/>
      <c r="Z558" s="448"/>
      <c r="AA558" s="448"/>
      <c r="AB558" s="448"/>
      <c r="AC558" s="448"/>
      <c r="AD558" s="448"/>
      <c r="AF558" s="448"/>
      <c r="AG558" s="448"/>
      <c r="AH558" s="448"/>
      <c r="AI558" s="448"/>
      <c r="AJ558" s="448"/>
      <c r="AK558" s="448"/>
      <c r="AL558" s="448"/>
      <c r="AM558" s="448"/>
      <c r="AN558" s="448"/>
      <c r="AP558" s="448"/>
      <c r="AQ558" s="448"/>
      <c r="AR558" s="448"/>
      <c r="AS558" s="448"/>
      <c r="AT558" s="448"/>
      <c r="AU558" s="448"/>
      <c r="AV558" s="448"/>
      <c r="AW558" s="448"/>
      <c r="AX558" s="448"/>
    </row>
    <row r="559" spans="1:50" x14ac:dyDescent="0.4">
      <c r="A559" s="442" t="str">
        <f t="shared" si="107"/>
        <v>31972</v>
      </c>
      <c r="B559" s="442">
        <v>26359</v>
      </c>
      <c r="C559" s="455">
        <v>8.3000000000000001E-3</v>
      </c>
      <c r="D559" s="438">
        <v>-3.5999999999999999E-3</v>
      </c>
      <c r="E559" s="438">
        <v>4.8999999999999998E-3</v>
      </c>
      <c r="F559" s="438">
        <v>6.0333333333333341E-3</v>
      </c>
      <c r="G559" s="438">
        <v>6.2750000000000002E-3</v>
      </c>
      <c r="H559" s="438">
        <v>6.1541666666666672E-3</v>
      </c>
      <c r="I559" s="438">
        <v>6.4750000000000007E-3</v>
      </c>
      <c r="J559" s="438">
        <f t="shared" si="96"/>
        <v>3.4000000000000002E-3</v>
      </c>
      <c r="K559" s="438">
        <f t="shared" si="100"/>
        <v>2.1458333333333329E-3</v>
      </c>
      <c r="L559" s="438">
        <f t="shared" si="101"/>
        <v>-1.0075000000000001E-2</v>
      </c>
      <c r="M559" s="446">
        <f t="shared" si="97"/>
        <v>0.1018898119851932</v>
      </c>
      <c r="N559" s="446">
        <f t="shared" si="98"/>
        <v>5.8799999999999998E-2</v>
      </c>
      <c r="O559" s="446">
        <f t="shared" si="102"/>
        <v>7.3849999999999999E-2</v>
      </c>
      <c r="P559" s="447">
        <f t="shared" si="99"/>
        <v>4.3089811985193203E-2</v>
      </c>
      <c r="Q559" s="446">
        <f t="shared" si="103"/>
        <v>2.8039811985193203E-2</v>
      </c>
      <c r="R559" s="446">
        <f t="shared" si="104"/>
        <v>-4.0333147353913801E-2</v>
      </c>
      <c r="S559" s="446">
        <f t="shared" si="105"/>
        <v>7.7700000000000005E-2</v>
      </c>
      <c r="T559" s="447">
        <f t="shared" si="106"/>
        <v>-0.11803314735391381</v>
      </c>
      <c r="V559" s="448"/>
      <c r="W559" s="448"/>
      <c r="X559" s="448"/>
      <c r="Y559" s="448"/>
      <c r="Z559" s="448"/>
      <c r="AA559" s="448"/>
      <c r="AB559" s="448"/>
      <c r="AC559" s="448"/>
      <c r="AD559" s="448"/>
      <c r="AF559" s="448"/>
      <c r="AG559" s="448"/>
      <c r="AH559" s="448"/>
      <c r="AI559" s="448"/>
      <c r="AJ559" s="448"/>
      <c r="AK559" s="448"/>
      <c r="AL559" s="448"/>
      <c r="AM559" s="448"/>
      <c r="AN559" s="448"/>
      <c r="AP559" s="448"/>
      <c r="AQ559" s="448"/>
      <c r="AR559" s="448"/>
      <c r="AS559" s="448"/>
      <c r="AT559" s="448"/>
      <c r="AU559" s="448"/>
      <c r="AV559" s="448"/>
      <c r="AW559" s="448"/>
      <c r="AX559" s="448"/>
    </row>
    <row r="560" spans="1:50" x14ac:dyDescent="0.4">
      <c r="A560" s="442" t="str">
        <f t="shared" si="107"/>
        <v>41972</v>
      </c>
      <c r="B560" s="442">
        <v>26390</v>
      </c>
      <c r="C560" s="455">
        <v>6.7999999999999996E-3</v>
      </c>
      <c r="D560" s="438">
        <v>-2.7700000000000006E-2</v>
      </c>
      <c r="E560" s="438">
        <v>4.7999999999999996E-3</v>
      </c>
      <c r="F560" s="438">
        <v>6.083333333333333E-3</v>
      </c>
      <c r="G560" s="438">
        <v>6.3083333333333333E-3</v>
      </c>
      <c r="H560" s="438">
        <v>6.1958333333333336E-3</v>
      </c>
      <c r="I560" s="438">
        <v>6.5166666666666671E-3</v>
      </c>
      <c r="J560" s="438">
        <f t="shared" si="96"/>
        <v>2E-3</v>
      </c>
      <c r="K560" s="438">
        <f t="shared" si="100"/>
        <v>6.0416666666666605E-4</v>
      </c>
      <c r="L560" s="438">
        <f t="shared" si="101"/>
        <v>-3.4216666666666673E-2</v>
      </c>
      <c r="M560" s="446">
        <f t="shared" si="97"/>
        <v>6.7843548663675257E-2</v>
      </c>
      <c r="N560" s="446">
        <f t="shared" si="98"/>
        <v>5.7599999999999998E-2</v>
      </c>
      <c r="O560" s="446">
        <f t="shared" si="102"/>
        <v>7.4349999999999999E-2</v>
      </c>
      <c r="P560" s="447">
        <f t="shared" si="99"/>
        <v>1.0243548663675259E-2</v>
      </c>
      <c r="Q560" s="446">
        <f t="shared" si="103"/>
        <v>-6.5064513363247423E-3</v>
      </c>
      <c r="R560" s="446">
        <f t="shared" si="104"/>
        <v>-3.3173680626060187E-2</v>
      </c>
      <c r="S560" s="446">
        <f t="shared" si="105"/>
        <v>7.8200000000000006E-2</v>
      </c>
      <c r="T560" s="447">
        <f t="shared" si="106"/>
        <v>-0.11137368062606019</v>
      </c>
      <c r="V560" s="448"/>
      <c r="W560" s="448"/>
      <c r="X560" s="448"/>
      <c r="Y560" s="448"/>
      <c r="Z560" s="448"/>
      <c r="AA560" s="448"/>
      <c r="AB560" s="448"/>
      <c r="AC560" s="448"/>
      <c r="AD560" s="448"/>
      <c r="AF560" s="448"/>
      <c r="AG560" s="448"/>
      <c r="AH560" s="448"/>
      <c r="AI560" s="448"/>
      <c r="AJ560" s="448"/>
      <c r="AK560" s="448"/>
      <c r="AL560" s="448"/>
      <c r="AM560" s="448"/>
      <c r="AN560" s="448"/>
      <c r="AP560" s="448"/>
      <c r="AQ560" s="448"/>
      <c r="AR560" s="448"/>
      <c r="AS560" s="448"/>
      <c r="AT560" s="448"/>
      <c r="AU560" s="448"/>
      <c r="AV560" s="448"/>
      <c r="AW560" s="448"/>
      <c r="AX560" s="448"/>
    </row>
    <row r="561" spans="1:50" x14ac:dyDescent="0.4">
      <c r="A561" s="442" t="str">
        <f t="shared" si="107"/>
        <v>51972</v>
      </c>
      <c r="B561" s="442">
        <v>26420</v>
      </c>
      <c r="C561" s="455">
        <v>1.9699999999999999E-2</v>
      </c>
      <c r="D561" s="438">
        <v>-1.7000000000000001E-3</v>
      </c>
      <c r="E561" s="438">
        <v>5.4999999999999997E-3</v>
      </c>
      <c r="F561" s="438">
        <v>6.083333333333333E-3</v>
      </c>
      <c r="G561" s="438">
        <v>6.3E-3</v>
      </c>
      <c r="H561" s="438">
        <v>6.1916666666666665E-3</v>
      </c>
      <c r="I561" s="438">
        <v>6.5333333333333328E-3</v>
      </c>
      <c r="J561" s="438">
        <f t="shared" si="96"/>
        <v>1.4199999999999999E-2</v>
      </c>
      <c r="K561" s="438">
        <f t="shared" si="100"/>
        <v>1.3508333333333332E-2</v>
      </c>
      <c r="L561" s="438">
        <f t="shared" si="101"/>
        <v>-8.2333333333333321E-3</v>
      </c>
      <c r="M561" s="446">
        <f t="shared" si="97"/>
        <v>0.13318770587194284</v>
      </c>
      <c r="N561" s="446">
        <f t="shared" si="98"/>
        <v>6.6000000000000003E-2</v>
      </c>
      <c r="O561" s="446">
        <f t="shared" si="102"/>
        <v>7.4300000000000005E-2</v>
      </c>
      <c r="P561" s="447">
        <f t="shared" si="99"/>
        <v>6.7187705871942838E-2</v>
      </c>
      <c r="Q561" s="446">
        <f t="shared" si="103"/>
        <v>5.8887705871942836E-2</v>
      </c>
      <c r="R561" s="446">
        <f t="shared" si="104"/>
        <v>2.9299889211786834E-4</v>
      </c>
      <c r="S561" s="446">
        <f t="shared" si="105"/>
        <v>7.8399999999999997E-2</v>
      </c>
      <c r="T561" s="447">
        <f t="shared" si="106"/>
        <v>-7.8107001107882129E-2</v>
      </c>
      <c r="V561" s="448"/>
      <c r="W561" s="448"/>
      <c r="X561" s="448"/>
      <c r="Y561" s="448"/>
      <c r="Z561" s="448"/>
      <c r="AA561" s="448"/>
      <c r="AB561" s="448"/>
      <c r="AC561" s="448"/>
      <c r="AD561" s="448"/>
      <c r="AF561" s="448"/>
      <c r="AG561" s="448"/>
      <c r="AH561" s="448"/>
      <c r="AI561" s="448"/>
      <c r="AJ561" s="448"/>
      <c r="AK561" s="448"/>
      <c r="AL561" s="448"/>
      <c r="AM561" s="448"/>
      <c r="AN561" s="448"/>
      <c r="AP561" s="448"/>
      <c r="AQ561" s="448"/>
      <c r="AR561" s="448"/>
      <c r="AS561" s="448"/>
      <c r="AT561" s="448"/>
      <c r="AU561" s="448"/>
      <c r="AV561" s="448"/>
      <c r="AW561" s="448"/>
      <c r="AX561" s="448"/>
    </row>
    <row r="562" spans="1:50" x14ac:dyDescent="0.4">
      <c r="A562" s="442" t="str">
        <f t="shared" si="107"/>
        <v>61972</v>
      </c>
      <c r="B562" s="442">
        <v>26451</v>
      </c>
      <c r="C562" s="455">
        <v>-1.9400000000000001E-2</v>
      </c>
      <c r="D562" s="438">
        <v>-2.1000000000000001E-2</v>
      </c>
      <c r="E562" s="438">
        <v>4.8999999999999998E-3</v>
      </c>
      <c r="F562" s="438">
        <v>6.025E-3</v>
      </c>
      <c r="G562" s="438">
        <v>6.2583333333333336E-3</v>
      </c>
      <c r="H562" s="438">
        <v>6.1416666666666677E-3</v>
      </c>
      <c r="I562" s="438">
        <v>6.4750000000000007E-3</v>
      </c>
      <c r="J562" s="438">
        <f t="shared" si="96"/>
        <v>-2.4300000000000002E-2</v>
      </c>
      <c r="K562" s="438">
        <f t="shared" si="100"/>
        <v>-2.5541666666666667E-2</v>
      </c>
      <c r="L562" s="438">
        <f t="shared" si="101"/>
        <v>-2.7475000000000003E-2</v>
      </c>
      <c r="M562" s="446">
        <f t="shared" si="97"/>
        <v>0.10754895283367594</v>
      </c>
      <c r="N562" s="446">
        <f t="shared" si="98"/>
        <v>5.8799999999999998E-2</v>
      </c>
      <c r="O562" s="446">
        <f t="shared" si="102"/>
        <v>7.3700000000000015E-2</v>
      </c>
      <c r="P562" s="447">
        <f t="shared" si="99"/>
        <v>4.8748952833675939E-2</v>
      </c>
      <c r="Q562" s="446">
        <f t="shared" si="103"/>
        <v>3.3848952833675922E-2</v>
      </c>
      <c r="R562" s="446">
        <f t="shared" si="104"/>
        <v>-5.8196916796130593E-2</v>
      </c>
      <c r="S562" s="446">
        <f t="shared" si="105"/>
        <v>7.7700000000000005E-2</v>
      </c>
      <c r="T562" s="447">
        <f t="shared" si="106"/>
        <v>-0.13589691679613058</v>
      </c>
      <c r="V562" s="448"/>
      <c r="W562" s="448"/>
      <c r="X562" s="448"/>
      <c r="Y562" s="448"/>
      <c r="Z562" s="448"/>
      <c r="AA562" s="448"/>
      <c r="AB562" s="448"/>
      <c r="AC562" s="448"/>
      <c r="AD562" s="448"/>
      <c r="AF562" s="448"/>
      <c r="AG562" s="448"/>
      <c r="AH562" s="448"/>
      <c r="AI562" s="448"/>
      <c r="AJ562" s="448"/>
      <c r="AK562" s="448"/>
      <c r="AL562" s="448"/>
      <c r="AM562" s="448"/>
      <c r="AN562" s="448"/>
      <c r="AP562" s="448"/>
      <c r="AQ562" s="448"/>
      <c r="AR562" s="448"/>
      <c r="AS562" s="448"/>
      <c r="AT562" s="448"/>
      <c r="AU562" s="448"/>
      <c r="AV562" s="448"/>
      <c r="AW562" s="448"/>
      <c r="AX562" s="448"/>
    </row>
    <row r="563" spans="1:50" x14ac:dyDescent="0.4">
      <c r="A563" s="442" t="str">
        <f t="shared" si="107"/>
        <v>71972</v>
      </c>
      <c r="B563" s="442">
        <v>26481</v>
      </c>
      <c r="C563" s="455">
        <v>4.7999999999999996E-3</v>
      </c>
      <c r="D563" s="438">
        <v>-1.4000000000000002E-3</v>
      </c>
      <c r="E563" s="438">
        <v>5.1000000000000004E-3</v>
      </c>
      <c r="F563" s="438">
        <v>6.0083333333333334E-3</v>
      </c>
      <c r="G563" s="438">
        <v>6.2500000000000003E-3</v>
      </c>
      <c r="H563" s="438">
        <v>6.1291666666666664E-3</v>
      </c>
      <c r="I563" s="438">
        <v>6.5166666666666671E-3</v>
      </c>
      <c r="J563" s="438">
        <f t="shared" si="96"/>
        <v>-3.0000000000000079E-4</v>
      </c>
      <c r="K563" s="438">
        <f t="shared" si="100"/>
        <v>-1.3291666666666669E-3</v>
      </c>
      <c r="L563" s="438">
        <f t="shared" si="101"/>
        <v>-7.9166666666666673E-3</v>
      </c>
      <c r="M563" s="446">
        <f t="shared" si="97"/>
        <v>0.1576668967099526</v>
      </c>
      <c r="N563" s="446">
        <f t="shared" si="98"/>
        <v>6.1200000000000004E-2</v>
      </c>
      <c r="O563" s="446">
        <f t="shared" si="102"/>
        <v>7.3550000000000004E-2</v>
      </c>
      <c r="P563" s="447">
        <f t="shared" si="99"/>
        <v>9.6466896709952593E-2</v>
      </c>
      <c r="Q563" s="446">
        <f t="shared" si="103"/>
        <v>8.4116896709952593E-2</v>
      </c>
      <c r="R563" s="446">
        <f t="shared" si="104"/>
        <v>-3.7867458938737664E-2</v>
      </c>
      <c r="S563" s="446">
        <f t="shared" si="105"/>
        <v>7.8200000000000006E-2</v>
      </c>
      <c r="T563" s="447">
        <f t="shared" si="106"/>
        <v>-0.11606745893873767</v>
      </c>
      <c r="V563" s="448"/>
      <c r="W563" s="448"/>
      <c r="X563" s="448"/>
      <c r="Y563" s="448"/>
      <c r="Z563" s="448"/>
      <c r="AA563" s="448"/>
      <c r="AB563" s="448"/>
      <c r="AC563" s="448"/>
      <c r="AD563" s="448"/>
      <c r="AF563" s="448"/>
      <c r="AG563" s="448"/>
      <c r="AH563" s="448"/>
      <c r="AI563" s="448"/>
      <c r="AJ563" s="448"/>
      <c r="AK563" s="448"/>
      <c r="AL563" s="448"/>
      <c r="AM563" s="448"/>
      <c r="AN563" s="448"/>
      <c r="AP563" s="448"/>
      <c r="AQ563" s="448"/>
      <c r="AR563" s="448"/>
      <c r="AS563" s="448"/>
      <c r="AT563" s="448"/>
      <c r="AU563" s="448"/>
      <c r="AV563" s="448"/>
      <c r="AW563" s="448"/>
      <c r="AX563" s="448"/>
    </row>
    <row r="564" spans="1:50" x14ac:dyDescent="0.4">
      <c r="A564" s="442" t="str">
        <f t="shared" si="107"/>
        <v>81972</v>
      </c>
      <c r="B564" s="442">
        <v>26512</v>
      </c>
      <c r="C564" s="455">
        <v>3.6900000000000002E-2</v>
      </c>
      <c r="D564" s="438">
        <v>5.74E-2</v>
      </c>
      <c r="E564" s="438">
        <v>4.8999999999999998E-3</v>
      </c>
      <c r="F564" s="438">
        <v>5.9916666666666677E-3</v>
      </c>
      <c r="G564" s="438">
        <v>6.1916666666666665E-3</v>
      </c>
      <c r="H564" s="438">
        <v>6.0916666666666662E-3</v>
      </c>
      <c r="I564" s="438">
        <v>6.3666666666666672E-3</v>
      </c>
      <c r="J564" s="438">
        <f t="shared" si="96"/>
        <v>3.2000000000000001E-2</v>
      </c>
      <c r="K564" s="438">
        <f t="shared" si="100"/>
        <v>3.0808333333333337E-2</v>
      </c>
      <c r="L564" s="438">
        <f t="shared" si="101"/>
        <v>5.1033333333333333E-2</v>
      </c>
      <c r="M564" s="446">
        <f t="shared" si="97"/>
        <v>0.1555494851738064</v>
      </c>
      <c r="N564" s="446">
        <f t="shared" si="98"/>
        <v>5.8799999999999998E-2</v>
      </c>
      <c r="O564" s="446">
        <f t="shared" si="102"/>
        <v>7.3099999999999998E-2</v>
      </c>
      <c r="P564" s="447">
        <f t="shared" si="99"/>
        <v>9.674948517380641E-2</v>
      </c>
      <c r="Q564" s="446">
        <f t="shared" si="103"/>
        <v>8.2449485173806403E-2</v>
      </c>
      <c r="R564" s="446">
        <f t="shared" si="104"/>
        <v>4.3124114547502312E-2</v>
      </c>
      <c r="S564" s="446">
        <f t="shared" si="105"/>
        <v>7.640000000000001E-2</v>
      </c>
      <c r="T564" s="447">
        <f t="shared" si="106"/>
        <v>-3.3275885452497697E-2</v>
      </c>
      <c r="V564" s="448"/>
      <c r="W564" s="448"/>
      <c r="X564" s="448"/>
      <c r="Y564" s="448"/>
      <c r="Z564" s="448"/>
      <c r="AA564" s="448"/>
      <c r="AB564" s="448"/>
      <c r="AC564" s="448"/>
      <c r="AD564" s="448"/>
      <c r="AF564" s="448"/>
      <c r="AG564" s="448"/>
      <c r="AH564" s="448"/>
      <c r="AI564" s="448"/>
      <c r="AJ564" s="448"/>
      <c r="AK564" s="448"/>
      <c r="AL564" s="448"/>
      <c r="AM564" s="448"/>
      <c r="AN564" s="448"/>
      <c r="AP564" s="448"/>
      <c r="AQ564" s="448"/>
      <c r="AR564" s="448"/>
      <c r="AS564" s="448"/>
      <c r="AT564" s="448"/>
      <c r="AU564" s="448"/>
      <c r="AV564" s="448"/>
      <c r="AW564" s="448"/>
      <c r="AX564" s="448"/>
    </row>
    <row r="565" spans="1:50" x14ac:dyDescent="0.4">
      <c r="A565" s="442" t="str">
        <f t="shared" si="107"/>
        <v>91972</v>
      </c>
      <c r="B565" s="442">
        <v>26543</v>
      </c>
      <c r="C565" s="455">
        <v>-2.5000000000000001E-3</v>
      </c>
      <c r="D565" s="438">
        <v>2.7000000000000001E-3</v>
      </c>
      <c r="E565" s="438">
        <v>4.7000000000000002E-3</v>
      </c>
      <c r="F565" s="438">
        <v>6.0166666666666667E-3</v>
      </c>
      <c r="G565" s="438">
        <v>6.1750000000000008E-3</v>
      </c>
      <c r="H565" s="438">
        <v>6.0958333333333333E-3</v>
      </c>
      <c r="I565" s="438">
        <v>6.3416666666666665E-3</v>
      </c>
      <c r="J565" s="438">
        <f t="shared" si="96"/>
        <v>-7.1999999999999998E-3</v>
      </c>
      <c r="K565" s="438">
        <f t="shared" si="100"/>
        <v>-8.5958333333333338E-3</v>
      </c>
      <c r="L565" s="438">
        <f t="shared" si="101"/>
        <v>-3.6416666666666663E-3</v>
      </c>
      <c r="M565" s="446">
        <f t="shared" si="97"/>
        <v>0.15775473228291648</v>
      </c>
      <c r="N565" s="446">
        <f t="shared" si="98"/>
        <v>5.6400000000000006E-2</v>
      </c>
      <c r="O565" s="446">
        <f t="shared" si="102"/>
        <v>7.3149999999999993E-2</v>
      </c>
      <c r="P565" s="447">
        <f t="shared" si="99"/>
        <v>0.10135473228291647</v>
      </c>
      <c r="Q565" s="446">
        <f t="shared" si="103"/>
        <v>8.4604732282916484E-2</v>
      </c>
      <c r="R565" s="446">
        <f t="shared" si="104"/>
        <v>6.1437537707306422E-2</v>
      </c>
      <c r="S565" s="446">
        <f t="shared" si="105"/>
        <v>7.6100000000000001E-2</v>
      </c>
      <c r="T565" s="447">
        <f t="shared" si="106"/>
        <v>-1.4662462292693579E-2</v>
      </c>
      <c r="V565" s="448"/>
      <c r="W565" s="448"/>
      <c r="X565" s="448"/>
      <c r="Y565" s="448"/>
      <c r="Z565" s="448"/>
      <c r="AA565" s="448"/>
      <c r="AB565" s="448"/>
      <c r="AC565" s="448"/>
      <c r="AD565" s="448"/>
      <c r="AF565" s="448"/>
      <c r="AG565" s="448"/>
      <c r="AH565" s="448"/>
      <c r="AI565" s="448"/>
      <c r="AJ565" s="448"/>
      <c r="AK565" s="448"/>
      <c r="AL565" s="448"/>
      <c r="AM565" s="448"/>
      <c r="AN565" s="448"/>
      <c r="AP565" s="448"/>
      <c r="AQ565" s="448"/>
      <c r="AR565" s="448"/>
      <c r="AS565" s="448"/>
      <c r="AT565" s="448"/>
      <c r="AU565" s="448"/>
      <c r="AV565" s="448"/>
      <c r="AW565" s="448"/>
      <c r="AX565" s="448"/>
    </row>
    <row r="566" spans="1:50" x14ac:dyDescent="0.4">
      <c r="A566" s="442" t="str">
        <f t="shared" si="107"/>
        <v>101972</v>
      </c>
      <c r="B566" s="442">
        <v>26573</v>
      </c>
      <c r="C566" s="455">
        <v>1.18E-2</v>
      </c>
      <c r="D566" s="438">
        <v>6.5100000000000005E-2</v>
      </c>
      <c r="E566" s="438">
        <v>5.1999999999999998E-3</v>
      </c>
      <c r="F566" s="438">
        <v>6.0083333333333334E-3</v>
      </c>
      <c r="G566" s="438">
        <v>6.2083333333333331E-3</v>
      </c>
      <c r="H566" s="438">
        <v>6.1083333333333337E-3</v>
      </c>
      <c r="I566" s="438">
        <v>6.3833333333333329E-3</v>
      </c>
      <c r="J566" s="438">
        <f t="shared" si="96"/>
        <v>6.6E-3</v>
      </c>
      <c r="K566" s="438">
        <f t="shared" si="100"/>
        <v>5.6916666666666661E-3</v>
      </c>
      <c r="L566" s="438">
        <f t="shared" si="101"/>
        <v>5.8716666666666674E-2</v>
      </c>
      <c r="M566" s="446">
        <f t="shared" si="97"/>
        <v>0.21920924034539446</v>
      </c>
      <c r="N566" s="446">
        <f t="shared" si="98"/>
        <v>6.2399999999999997E-2</v>
      </c>
      <c r="O566" s="446">
        <f t="shared" si="102"/>
        <v>7.3300000000000004E-2</v>
      </c>
      <c r="P566" s="447">
        <f t="shared" si="99"/>
        <v>0.15680924034539445</v>
      </c>
      <c r="Q566" s="446">
        <f t="shared" si="103"/>
        <v>0.14590924034539446</v>
      </c>
      <c r="R566" s="446">
        <f t="shared" si="104"/>
        <v>0.11163925409248021</v>
      </c>
      <c r="S566" s="446">
        <f t="shared" si="105"/>
        <v>7.6600000000000001E-2</v>
      </c>
      <c r="T566" s="447">
        <f t="shared" si="106"/>
        <v>3.503925409248021E-2</v>
      </c>
      <c r="V566" s="448"/>
      <c r="W566" s="448"/>
      <c r="X566" s="448"/>
      <c r="Y566" s="448"/>
      <c r="Z566" s="448"/>
      <c r="AA566" s="448"/>
      <c r="AB566" s="448"/>
      <c r="AC566" s="448"/>
      <c r="AD566" s="448"/>
      <c r="AF566" s="448"/>
      <c r="AG566" s="448"/>
      <c r="AH566" s="448"/>
      <c r="AI566" s="448"/>
      <c r="AJ566" s="448"/>
      <c r="AK566" s="448"/>
      <c r="AL566" s="448"/>
      <c r="AM566" s="448"/>
      <c r="AN566" s="448"/>
      <c r="AP566" s="448"/>
      <c r="AQ566" s="448"/>
      <c r="AR566" s="448"/>
      <c r="AS566" s="448"/>
      <c r="AT566" s="448"/>
      <c r="AU566" s="448"/>
      <c r="AV566" s="448"/>
      <c r="AW566" s="448"/>
      <c r="AX566" s="448"/>
    </row>
    <row r="567" spans="1:50" x14ac:dyDescent="0.4">
      <c r="A567" s="442" t="str">
        <f t="shared" si="107"/>
        <v>111972</v>
      </c>
      <c r="B567" s="442">
        <v>26604</v>
      </c>
      <c r="C567" s="455">
        <v>4.8099999999999997E-2</v>
      </c>
      <c r="D567" s="438">
        <v>6.3899999999999998E-2</v>
      </c>
      <c r="E567" s="438">
        <v>4.7999999999999996E-3</v>
      </c>
      <c r="F567" s="438">
        <v>5.9333333333333339E-3</v>
      </c>
      <c r="G567" s="438">
        <v>6.1583333333333334E-3</v>
      </c>
      <c r="H567" s="438">
        <v>6.0458333333333336E-3</v>
      </c>
      <c r="I567" s="438">
        <v>6.333333333333334E-3</v>
      </c>
      <c r="J567" s="438">
        <f t="shared" si="96"/>
        <v>4.3299999999999998E-2</v>
      </c>
      <c r="K567" s="438">
        <f t="shared" si="100"/>
        <v>4.2054166666666663E-2</v>
      </c>
      <c r="L567" s="438">
        <f t="shared" si="101"/>
        <v>5.7566666666666662E-2</v>
      </c>
      <c r="M567" s="446">
        <f t="shared" si="97"/>
        <v>0.2775976852689539</v>
      </c>
      <c r="N567" s="446">
        <f t="shared" si="98"/>
        <v>5.7599999999999998E-2</v>
      </c>
      <c r="O567" s="446">
        <f t="shared" si="102"/>
        <v>7.2550000000000003E-2</v>
      </c>
      <c r="P567" s="447">
        <f t="shared" si="99"/>
        <v>0.21999768526895391</v>
      </c>
      <c r="Q567" s="446">
        <f t="shared" si="103"/>
        <v>0.20504768526895389</v>
      </c>
      <c r="R567" s="446">
        <f t="shared" si="104"/>
        <v>0.18921367765609798</v>
      </c>
      <c r="S567" s="446">
        <f t="shared" si="105"/>
        <v>7.6000000000000012E-2</v>
      </c>
      <c r="T567" s="447">
        <f t="shared" si="106"/>
        <v>0.11321367765609797</v>
      </c>
      <c r="V567" s="448"/>
      <c r="W567" s="448"/>
      <c r="X567" s="448"/>
      <c r="Y567" s="448"/>
      <c r="Z567" s="448"/>
      <c r="AA567" s="448"/>
      <c r="AB567" s="448"/>
      <c r="AC567" s="448"/>
      <c r="AD567" s="448"/>
      <c r="AF567" s="448"/>
      <c r="AG567" s="448"/>
      <c r="AH567" s="448"/>
      <c r="AI567" s="448"/>
      <c r="AJ567" s="448"/>
      <c r="AK567" s="448"/>
      <c r="AL567" s="448"/>
      <c r="AM567" s="448"/>
      <c r="AN567" s="448"/>
      <c r="AP567" s="448"/>
      <c r="AQ567" s="448"/>
      <c r="AR567" s="448"/>
      <c r="AS567" s="448"/>
      <c r="AT567" s="448"/>
      <c r="AU567" s="448"/>
      <c r="AV567" s="448"/>
      <c r="AW567" s="448"/>
      <c r="AX567" s="448"/>
    </row>
    <row r="568" spans="1:50" x14ac:dyDescent="0.4">
      <c r="A568" s="442" t="str">
        <f t="shared" si="107"/>
        <v>121972</v>
      </c>
      <c r="B568" s="442">
        <v>26634</v>
      </c>
      <c r="C568" s="455">
        <v>1.4200000000000001E-2</v>
      </c>
      <c r="D568" s="438">
        <v>-1.7399999999999999E-2</v>
      </c>
      <c r="E568" s="438">
        <v>4.4999999999999997E-3</v>
      </c>
      <c r="F568" s="438">
        <v>5.8999999999999999E-3</v>
      </c>
      <c r="G568" s="438">
        <v>6.1333333333333344E-3</v>
      </c>
      <c r="H568" s="438">
        <v>6.0166666666666667E-3</v>
      </c>
      <c r="I568" s="438">
        <v>6.2333333333333338E-3</v>
      </c>
      <c r="J568" s="438">
        <f t="shared" si="96"/>
        <v>9.7000000000000003E-3</v>
      </c>
      <c r="K568" s="438">
        <f t="shared" si="100"/>
        <v>8.1833333333333341E-3</v>
      </c>
      <c r="L568" s="438">
        <f t="shared" si="101"/>
        <v>-2.3633333333333333E-2</v>
      </c>
      <c r="M568" s="446">
        <f t="shared" si="97"/>
        <v>0.1900620613517392</v>
      </c>
      <c r="N568" s="446">
        <f t="shared" si="98"/>
        <v>5.3999999999999992E-2</v>
      </c>
      <c r="O568" s="446">
        <f t="shared" si="102"/>
        <v>7.22E-2</v>
      </c>
      <c r="P568" s="447">
        <f t="shared" si="99"/>
        <v>0.13606206135173921</v>
      </c>
      <c r="Q568" s="446">
        <f t="shared" si="103"/>
        <v>0.1178620613517392</v>
      </c>
      <c r="R568" s="446">
        <f t="shared" si="104"/>
        <v>8.1363464431688071E-2</v>
      </c>
      <c r="S568" s="446">
        <f t="shared" si="105"/>
        <v>7.4800000000000005E-2</v>
      </c>
      <c r="T568" s="447">
        <f t="shared" si="106"/>
        <v>6.5634644316880653E-3</v>
      </c>
      <c r="V568" s="448"/>
      <c r="W568" s="448"/>
      <c r="X568" s="448"/>
      <c r="Y568" s="448"/>
      <c r="Z568" s="448"/>
      <c r="AA568" s="448"/>
      <c r="AB568" s="448"/>
      <c r="AC568" s="448"/>
      <c r="AD568" s="448"/>
      <c r="AF568" s="448"/>
      <c r="AG568" s="448"/>
      <c r="AH568" s="448"/>
      <c r="AI568" s="448"/>
      <c r="AJ568" s="448"/>
      <c r="AK568" s="448"/>
      <c r="AL568" s="448"/>
      <c r="AM568" s="448"/>
      <c r="AN568" s="448"/>
      <c r="AP568" s="448"/>
      <c r="AQ568" s="448"/>
      <c r="AR568" s="448"/>
      <c r="AS568" s="448"/>
      <c r="AT568" s="448"/>
      <c r="AU568" s="448"/>
      <c r="AV568" s="448"/>
      <c r="AW568" s="448"/>
      <c r="AX568" s="448"/>
    </row>
    <row r="569" spans="1:50" x14ac:dyDescent="0.4">
      <c r="A569" s="442" t="str">
        <f t="shared" si="107"/>
        <v>11973</v>
      </c>
      <c r="B569" s="442">
        <v>26665</v>
      </c>
      <c r="C569" s="455">
        <v>-1.49E-2</v>
      </c>
      <c r="D569" s="438">
        <v>-4.3900000000000008E-2</v>
      </c>
      <c r="E569" s="438">
        <v>5.4000000000000003E-3</v>
      </c>
      <c r="F569" s="438">
        <v>5.9583333333333328E-3</v>
      </c>
      <c r="G569" s="438">
        <v>6.1416666666666668E-3</v>
      </c>
      <c r="H569" s="438">
        <v>6.0499999999999998E-3</v>
      </c>
      <c r="I569" s="438">
        <v>6.2666666666666669E-3</v>
      </c>
      <c r="J569" s="438">
        <f t="shared" si="96"/>
        <v>-2.0299999999999999E-2</v>
      </c>
      <c r="K569" s="438">
        <f t="shared" si="100"/>
        <v>-2.095E-2</v>
      </c>
      <c r="L569" s="438">
        <f t="shared" si="101"/>
        <v>-5.0166666666666679E-2</v>
      </c>
      <c r="M569" s="446">
        <f t="shared" si="97"/>
        <v>0.14866758439897931</v>
      </c>
      <c r="N569" s="446">
        <f t="shared" si="98"/>
        <v>6.4799999999999996E-2</v>
      </c>
      <c r="O569" s="446">
        <f t="shared" si="102"/>
        <v>7.2599999999999998E-2</v>
      </c>
      <c r="P569" s="447">
        <f t="shared" si="99"/>
        <v>8.3867584398979317E-2</v>
      </c>
      <c r="Q569" s="446">
        <f t="shared" si="103"/>
        <v>7.6067584398979315E-2</v>
      </c>
      <c r="R569" s="446">
        <f t="shared" si="104"/>
        <v>4.1599444230442151E-2</v>
      </c>
      <c r="S569" s="446">
        <f t="shared" si="105"/>
        <v>7.5200000000000003E-2</v>
      </c>
      <c r="T569" s="447">
        <f t="shared" si="106"/>
        <v>-3.3600555769557852E-2</v>
      </c>
      <c r="V569" s="448"/>
      <c r="W569" s="448"/>
      <c r="X569" s="448"/>
      <c r="Y569" s="448"/>
      <c r="Z569" s="448"/>
      <c r="AA569" s="448"/>
      <c r="AB569" s="448"/>
      <c r="AC569" s="448"/>
      <c r="AD569" s="448"/>
      <c r="AF569" s="448"/>
      <c r="AG569" s="448"/>
      <c r="AH569" s="448"/>
      <c r="AI569" s="448"/>
      <c r="AJ569" s="448"/>
      <c r="AK569" s="448"/>
      <c r="AL569" s="448"/>
      <c r="AM569" s="448"/>
      <c r="AN569" s="448"/>
      <c r="AP569" s="448"/>
      <c r="AQ569" s="448"/>
      <c r="AR569" s="448"/>
      <c r="AS569" s="448"/>
      <c r="AT569" s="448"/>
      <c r="AU569" s="448"/>
      <c r="AV569" s="448"/>
      <c r="AW569" s="448"/>
      <c r="AX569" s="448"/>
    </row>
    <row r="570" spans="1:50" x14ac:dyDescent="0.4">
      <c r="A570" s="442" t="str">
        <f t="shared" si="107"/>
        <v>21973</v>
      </c>
      <c r="B570" s="442">
        <v>26696</v>
      </c>
      <c r="C570" s="455">
        <v>-3.5200000000000002E-2</v>
      </c>
      <c r="D570" s="438">
        <v>-2.3399999999999997E-2</v>
      </c>
      <c r="E570" s="438">
        <v>5.1000000000000004E-3</v>
      </c>
      <c r="F570" s="438">
        <v>6.0166666666666667E-3</v>
      </c>
      <c r="G570" s="438">
        <v>6.2249999999999996E-3</v>
      </c>
      <c r="H570" s="438">
        <v>6.1208333333333332E-3</v>
      </c>
      <c r="I570" s="438">
        <v>6.3499999999999997E-3</v>
      </c>
      <c r="J570" s="438">
        <f t="shared" si="96"/>
        <v>-4.0300000000000002E-2</v>
      </c>
      <c r="K570" s="438">
        <f t="shared" si="100"/>
        <v>-4.1320833333333334E-2</v>
      </c>
      <c r="L570" s="438">
        <f t="shared" si="101"/>
        <v>-2.9749999999999999E-2</v>
      </c>
      <c r="M570" s="446">
        <f t="shared" si="97"/>
        <v>7.8363807947976039E-2</v>
      </c>
      <c r="N570" s="446">
        <f t="shared" si="98"/>
        <v>6.1200000000000004E-2</v>
      </c>
      <c r="O570" s="446">
        <f t="shared" si="102"/>
        <v>7.3450000000000001E-2</v>
      </c>
      <c r="P570" s="447">
        <f t="shared" si="99"/>
        <v>1.7163807947976034E-2</v>
      </c>
      <c r="Q570" s="446">
        <f t="shared" si="103"/>
        <v>4.9138079479760371E-3</v>
      </c>
      <c r="R570" s="446">
        <f t="shared" si="104"/>
        <v>4.2239771757632827E-2</v>
      </c>
      <c r="S570" s="446">
        <f t="shared" si="105"/>
        <v>7.619999999999999E-2</v>
      </c>
      <c r="T570" s="447">
        <f t="shared" si="106"/>
        <v>-3.3960228242367163E-2</v>
      </c>
      <c r="V570" s="448"/>
      <c r="W570" s="448"/>
      <c r="X570" s="448"/>
      <c r="Y570" s="448"/>
      <c r="Z570" s="448"/>
      <c r="AA570" s="448"/>
      <c r="AB570" s="448"/>
      <c r="AC570" s="448"/>
      <c r="AD570" s="448"/>
      <c r="AF570" s="448"/>
      <c r="AG570" s="448"/>
      <c r="AH570" s="448"/>
      <c r="AI570" s="448"/>
      <c r="AJ570" s="448"/>
      <c r="AK570" s="448"/>
      <c r="AL570" s="448"/>
      <c r="AM570" s="448"/>
      <c r="AN570" s="448"/>
      <c r="AP570" s="448"/>
      <c r="AQ570" s="448"/>
      <c r="AR570" s="448"/>
      <c r="AS570" s="448"/>
      <c r="AT570" s="448"/>
      <c r="AU570" s="448"/>
      <c r="AV570" s="448"/>
      <c r="AW570" s="448"/>
      <c r="AX570" s="448"/>
    </row>
    <row r="571" spans="1:50" x14ac:dyDescent="0.4">
      <c r="A571" s="442" t="str">
        <f t="shared" si="107"/>
        <v>31973</v>
      </c>
      <c r="B571" s="442">
        <v>26724</v>
      </c>
      <c r="C571" s="455">
        <v>8.0000000000000004E-4</v>
      </c>
      <c r="D571" s="438">
        <v>-1.3500000000000002E-2</v>
      </c>
      <c r="E571" s="438">
        <v>5.5999999999999991E-3</v>
      </c>
      <c r="F571" s="438">
        <v>6.0750000000000005E-3</v>
      </c>
      <c r="G571" s="438">
        <v>6.2416666666666662E-3</v>
      </c>
      <c r="H571" s="438">
        <v>6.1583333333333334E-3</v>
      </c>
      <c r="I571" s="438">
        <v>6.3833333333333329E-3</v>
      </c>
      <c r="J571" s="438">
        <f t="shared" si="96"/>
        <v>-4.7999999999999987E-3</v>
      </c>
      <c r="K571" s="438">
        <f t="shared" si="100"/>
        <v>-5.358333333333333E-3</v>
      </c>
      <c r="L571" s="438">
        <f t="shared" si="101"/>
        <v>-1.9883333333333336E-2</v>
      </c>
      <c r="M571" s="446">
        <f t="shared" si="97"/>
        <v>7.0342654958181372E-2</v>
      </c>
      <c r="N571" s="446">
        <f t="shared" si="98"/>
        <v>6.7199999999999982E-2</v>
      </c>
      <c r="O571" s="446">
        <f t="shared" si="102"/>
        <v>7.3899999999999993E-2</v>
      </c>
      <c r="P571" s="447">
        <f t="shared" si="99"/>
        <v>3.1426549581813901E-3</v>
      </c>
      <c r="Q571" s="446">
        <f t="shared" si="103"/>
        <v>-3.5573450418186214E-3</v>
      </c>
      <c r="R571" s="446">
        <f t="shared" si="104"/>
        <v>3.1884318385091648E-2</v>
      </c>
      <c r="S571" s="446">
        <f t="shared" si="105"/>
        <v>7.6600000000000001E-2</v>
      </c>
      <c r="T571" s="447">
        <f t="shared" si="106"/>
        <v>-4.4715681614908354E-2</v>
      </c>
      <c r="V571" s="448"/>
      <c r="W571" s="448"/>
      <c r="X571" s="448"/>
      <c r="Y571" s="448"/>
      <c r="Z571" s="448"/>
      <c r="AA571" s="448"/>
      <c r="AB571" s="448"/>
      <c r="AC571" s="448"/>
      <c r="AD571" s="448"/>
      <c r="AF571" s="448"/>
      <c r="AG571" s="448"/>
      <c r="AH571" s="448"/>
      <c r="AI571" s="448"/>
      <c r="AJ571" s="448"/>
      <c r="AK571" s="448"/>
      <c r="AL571" s="448"/>
      <c r="AM571" s="448"/>
      <c r="AN571" s="448"/>
      <c r="AP571" s="448"/>
      <c r="AQ571" s="448"/>
      <c r="AR571" s="448"/>
      <c r="AS571" s="448"/>
      <c r="AT571" s="448"/>
      <c r="AU571" s="448"/>
      <c r="AV571" s="448"/>
      <c r="AW571" s="448"/>
      <c r="AX571" s="448"/>
    </row>
    <row r="572" spans="1:50" x14ac:dyDescent="0.4">
      <c r="A572" s="442" t="str">
        <f t="shared" si="107"/>
        <v>41973</v>
      </c>
      <c r="B572" s="442">
        <v>26755</v>
      </c>
      <c r="C572" s="455">
        <v>-3.8300000000000001E-2</v>
      </c>
      <c r="D572" s="438">
        <v>-4.9000000000000007E-3</v>
      </c>
      <c r="E572" s="438">
        <v>5.7000000000000002E-3</v>
      </c>
      <c r="F572" s="438">
        <v>6.0499999999999998E-3</v>
      </c>
      <c r="G572" s="438">
        <v>6.2416666666666662E-3</v>
      </c>
      <c r="H572" s="438">
        <v>6.145833333333333E-3</v>
      </c>
      <c r="I572" s="438">
        <v>6.3583333333333339E-3</v>
      </c>
      <c r="J572" s="438">
        <f t="shared" si="96"/>
        <v>-4.3999999999999997E-2</v>
      </c>
      <c r="K572" s="438">
        <f t="shared" si="100"/>
        <v>-4.4445833333333337E-2</v>
      </c>
      <c r="L572" s="438">
        <f t="shared" si="101"/>
        <v>-1.1258333333333335E-2</v>
      </c>
      <c r="M572" s="446">
        <f t="shared" si="97"/>
        <v>2.239623686261738E-2</v>
      </c>
      <c r="N572" s="446">
        <f t="shared" si="98"/>
        <v>6.8400000000000002E-2</v>
      </c>
      <c r="O572" s="446">
        <f t="shared" si="102"/>
        <v>7.3749999999999996E-2</v>
      </c>
      <c r="P572" s="447">
        <f t="shared" si="99"/>
        <v>-4.6003763137382622E-2</v>
      </c>
      <c r="Q572" s="446">
        <f t="shared" si="103"/>
        <v>-5.1353763137382616E-2</v>
      </c>
      <c r="R572" s="446">
        <f t="shared" si="104"/>
        <v>5.6081543993627969E-2</v>
      </c>
      <c r="S572" s="446">
        <f t="shared" si="105"/>
        <v>7.6300000000000007E-2</v>
      </c>
      <c r="T572" s="447">
        <f t="shared" si="106"/>
        <v>-2.0218456006372038E-2</v>
      </c>
      <c r="V572" s="448"/>
      <c r="W572" s="448"/>
      <c r="X572" s="448"/>
      <c r="Y572" s="448"/>
      <c r="Z572" s="448"/>
      <c r="AA572" s="448"/>
      <c r="AB572" s="448"/>
      <c r="AC572" s="448"/>
      <c r="AD572" s="448"/>
      <c r="AF572" s="448"/>
      <c r="AG572" s="448"/>
      <c r="AH572" s="448"/>
      <c r="AI572" s="448"/>
      <c r="AJ572" s="448"/>
      <c r="AK572" s="448"/>
      <c r="AL572" s="448"/>
      <c r="AM572" s="448"/>
      <c r="AN572" s="448"/>
      <c r="AP572" s="448"/>
      <c r="AQ572" s="448"/>
      <c r="AR572" s="448"/>
      <c r="AS572" s="448"/>
      <c r="AT572" s="448"/>
      <c r="AU572" s="448"/>
      <c r="AV572" s="448"/>
      <c r="AW572" s="448"/>
      <c r="AX572" s="448"/>
    </row>
    <row r="573" spans="1:50" x14ac:dyDescent="0.4">
      <c r="A573" s="442" t="str">
        <f t="shared" si="107"/>
        <v>51973</v>
      </c>
      <c r="B573" s="442">
        <v>26785</v>
      </c>
      <c r="C573" s="455">
        <v>-1.6299999999999999E-2</v>
      </c>
      <c r="D573" s="438">
        <v>6.7000000000000002E-3</v>
      </c>
      <c r="E573" s="438">
        <v>5.7999999999999996E-3</v>
      </c>
      <c r="F573" s="438">
        <v>6.0750000000000005E-3</v>
      </c>
      <c r="G573" s="438">
        <v>6.2416666666666662E-3</v>
      </c>
      <c r="H573" s="438">
        <v>6.1583333333333334E-3</v>
      </c>
      <c r="I573" s="438">
        <v>6.3583333333333339E-3</v>
      </c>
      <c r="J573" s="438">
        <f t="shared" si="96"/>
        <v>-2.2099999999999998E-2</v>
      </c>
      <c r="K573" s="438">
        <f t="shared" si="100"/>
        <v>-2.245833333333333E-2</v>
      </c>
      <c r="L573" s="438">
        <f t="shared" si="101"/>
        <v>3.4166666666666633E-4</v>
      </c>
      <c r="M573" s="446">
        <f t="shared" si="97"/>
        <v>-1.3698952435268419E-2</v>
      </c>
      <c r="N573" s="446">
        <f t="shared" si="98"/>
        <v>6.9599999999999995E-2</v>
      </c>
      <c r="O573" s="446">
        <f t="shared" si="102"/>
        <v>7.3899999999999993E-2</v>
      </c>
      <c r="P573" s="447">
        <f t="shared" si="99"/>
        <v>-8.3298952435268414E-2</v>
      </c>
      <c r="Q573" s="446">
        <f t="shared" si="103"/>
        <v>-8.7598952435268412E-2</v>
      </c>
      <c r="R573" s="446">
        <f t="shared" si="104"/>
        <v>6.496773548871615E-2</v>
      </c>
      <c r="S573" s="446">
        <f t="shared" si="105"/>
        <v>7.6300000000000007E-2</v>
      </c>
      <c r="T573" s="447">
        <f t="shared" si="106"/>
        <v>-1.1332264511283857E-2</v>
      </c>
      <c r="V573" s="448"/>
      <c r="W573" s="448"/>
      <c r="X573" s="448"/>
      <c r="Y573" s="448"/>
      <c r="Z573" s="448"/>
      <c r="AA573" s="448"/>
      <c r="AB573" s="448"/>
      <c r="AC573" s="448"/>
      <c r="AD573" s="448"/>
      <c r="AF573" s="448"/>
      <c r="AG573" s="448"/>
      <c r="AH573" s="448"/>
      <c r="AI573" s="448"/>
      <c r="AJ573" s="448"/>
      <c r="AK573" s="448"/>
      <c r="AL573" s="448"/>
      <c r="AM573" s="448"/>
      <c r="AN573" s="448"/>
      <c r="AP573" s="448"/>
      <c r="AQ573" s="448"/>
      <c r="AR573" s="448"/>
      <c r="AS573" s="448"/>
      <c r="AT573" s="448"/>
      <c r="AU573" s="448"/>
      <c r="AV573" s="448"/>
      <c r="AW573" s="448"/>
      <c r="AX573" s="448"/>
    </row>
    <row r="574" spans="1:50" x14ac:dyDescent="0.4">
      <c r="A574" s="442" t="str">
        <f t="shared" si="107"/>
        <v>61973</v>
      </c>
      <c r="B574" s="442">
        <v>26816</v>
      </c>
      <c r="C574" s="455">
        <v>-4.0000000000000001E-3</v>
      </c>
      <c r="D574" s="438">
        <v>-1.67E-2</v>
      </c>
      <c r="E574" s="438">
        <v>5.4999999999999997E-3</v>
      </c>
      <c r="F574" s="438">
        <v>6.1416666666666668E-3</v>
      </c>
      <c r="G574" s="438">
        <v>6.2916666666666668E-3</v>
      </c>
      <c r="H574" s="438">
        <v>6.2166666666666655E-3</v>
      </c>
      <c r="I574" s="438">
        <v>6.4249999999999993E-3</v>
      </c>
      <c r="J574" s="438">
        <f t="shared" si="96"/>
        <v>-9.4999999999999998E-3</v>
      </c>
      <c r="K574" s="438">
        <f t="shared" si="100"/>
        <v>-1.0216666666666666E-2</v>
      </c>
      <c r="L574" s="438">
        <f t="shared" si="101"/>
        <v>-2.3125E-2</v>
      </c>
      <c r="M574" s="446">
        <f t="shared" si="97"/>
        <v>1.7905806388665013E-3</v>
      </c>
      <c r="N574" s="446">
        <f t="shared" si="98"/>
        <v>6.6000000000000003E-2</v>
      </c>
      <c r="O574" s="446">
        <f t="shared" si="102"/>
        <v>7.4599999999999986E-2</v>
      </c>
      <c r="P574" s="447">
        <f t="shared" si="99"/>
        <v>-6.4209419361133502E-2</v>
      </c>
      <c r="Q574" s="446">
        <f t="shared" si="103"/>
        <v>-7.2809419361133484E-2</v>
      </c>
      <c r="R574" s="446">
        <f t="shared" si="104"/>
        <v>6.9645326155315823E-2</v>
      </c>
      <c r="S574" s="446">
        <f t="shared" si="105"/>
        <v>7.7099999999999988E-2</v>
      </c>
      <c r="T574" s="447">
        <f t="shared" si="106"/>
        <v>-7.4546738446841648E-3</v>
      </c>
      <c r="V574" s="448"/>
      <c r="W574" s="448"/>
      <c r="X574" s="448"/>
      <c r="Y574" s="448"/>
      <c r="Z574" s="448"/>
      <c r="AA574" s="448"/>
      <c r="AB574" s="448"/>
      <c r="AC574" s="448"/>
      <c r="AD574" s="448"/>
      <c r="AF574" s="448"/>
      <c r="AG574" s="448"/>
      <c r="AH574" s="448"/>
      <c r="AI574" s="448"/>
      <c r="AJ574" s="448"/>
      <c r="AK574" s="448"/>
      <c r="AL574" s="448"/>
      <c r="AM574" s="448"/>
      <c r="AN574" s="448"/>
      <c r="AP574" s="448"/>
      <c r="AQ574" s="448"/>
      <c r="AR574" s="448"/>
      <c r="AS574" s="448"/>
      <c r="AT574" s="448"/>
      <c r="AU574" s="448"/>
      <c r="AV574" s="448"/>
      <c r="AW574" s="448"/>
      <c r="AX574" s="448"/>
    </row>
    <row r="575" spans="1:50" x14ac:dyDescent="0.4">
      <c r="A575" s="442" t="str">
        <f t="shared" si="107"/>
        <v>71973</v>
      </c>
      <c r="B575" s="442">
        <v>26846</v>
      </c>
      <c r="C575" s="455">
        <v>4.07E-2</v>
      </c>
      <c r="D575" s="438">
        <v>-1.9900000000000001E-2</v>
      </c>
      <c r="E575" s="438">
        <v>6.0999999999999995E-3</v>
      </c>
      <c r="F575" s="438">
        <v>6.2083333333333331E-3</v>
      </c>
      <c r="G575" s="438">
        <v>6.3666666666666663E-3</v>
      </c>
      <c r="H575" s="438">
        <v>6.2874999999999988E-3</v>
      </c>
      <c r="I575" s="438">
        <v>6.5166666666666671E-3</v>
      </c>
      <c r="J575" s="438">
        <f t="shared" si="96"/>
        <v>3.4599999999999999E-2</v>
      </c>
      <c r="K575" s="438">
        <f t="shared" si="100"/>
        <v>3.4412499999999999E-2</v>
      </c>
      <c r="L575" s="438">
        <f t="shared" si="101"/>
        <v>-2.6416666666666668E-2</v>
      </c>
      <c r="M575" s="446">
        <f t="shared" si="97"/>
        <v>3.7583058589637952E-2</v>
      </c>
      <c r="N575" s="446">
        <f t="shared" si="98"/>
        <v>7.3199999999999987E-2</v>
      </c>
      <c r="O575" s="446">
        <f t="shared" si="102"/>
        <v>7.5449999999999989E-2</v>
      </c>
      <c r="P575" s="447">
        <f t="shared" si="99"/>
        <v>-3.5616941410362035E-2</v>
      </c>
      <c r="Q575" s="446">
        <f t="shared" si="103"/>
        <v>-3.7866941410362037E-2</v>
      </c>
      <c r="R575" s="446">
        <f t="shared" si="104"/>
        <v>4.9829144967780348E-2</v>
      </c>
      <c r="S575" s="446">
        <f t="shared" si="105"/>
        <v>7.8200000000000006E-2</v>
      </c>
      <c r="T575" s="447">
        <f t="shared" si="106"/>
        <v>-2.8370855032219658E-2</v>
      </c>
      <c r="V575" s="448"/>
      <c r="W575" s="448"/>
      <c r="X575" s="448"/>
      <c r="Y575" s="448"/>
      <c r="Z575" s="448"/>
      <c r="AA575" s="448"/>
      <c r="AB575" s="448"/>
      <c r="AC575" s="448"/>
      <c r="AD575" s="448"/>
      <c r="AF575" s="448"/>
      <c r="AG575" s="448"/>
      <c r="AH575" s="448"/>
      <c r="AI575" s="448"/>
      <c r="AJ575" s="448"/>
      <c r="AK575" s="448"/>
      <c r="AL575" s="448"/>
      <c r="AM575" s="448"/>
      <c r="AN575" s="448"/>
      <c r="AP575" s="448"/>
      <c r="AQ575" s="448"/>
      <c r="AR575" s="448"/>
      <c r="AS575" s="448"/>
      <c r="AT575" s="448"/>
      <c r="AU575" s="448"/>
      <c r="AV575" s="448"/>
      <c r="AW575" s="448"/>
      <c r="AX575" s="448"/>
    </row>
    <row r="576" spans="1:50" x14ac:dyDescent="0.4">
      <c r="A576" s="442" t="str">
        <f t="shared" si="107"/>
        <v>81973</v>
      </c>
      <c r="B576" s="442">
        <v>26877</v>
      </c>
      <c r="C576" s="455">
        <v>-3.4099999999999998E-2</v>
      </c>
      <c r="D576" s="438">
        <v>-2.8399999999999995E-2</v>
      </c>
      <c r="E576" s="438">
        <v>6.1999999999999998E-3</v>
      </c>
      <c r="F576" s="438">
        <v>6.4000000000000003E-3</v>
      </c>
      <c r="G576" s="438">
        <v>6.5333333333333328E-3</v>
      </c>
      <c r="H576" s="438">
        <v>6.4666666666666674E-3</v>
      </c>
      <c r="I576" s="438">
        <v>6.6999999999999994E-3</v>
      </c>
      <c r="J576" s="438">
        <f t="shared" si="96"/>
        <v>-4.0299999999999996E-2</v>
      </c>
      <c r="K576" s="438">
        <f t="shared" si="100"/>
        <v>-4.0566666666666668E-2</v>
      </c>
      <c r="L576" s="438">
        <f t="shared" si="101"/>
        <v>-3.5099999999999992E-2</v>
      </c>
      <c r="M576" s="446">
        <f t="shared" si="97"/>
        <v>-3.3463712709295379E-2</v>
      </c>
      <c r="N576" s="446">
        <f t="shared" si="98"/>
        <v>7.4399999999999994E-2</v>
      </c>
      <c r="O576" s="446">
        <f t="shared" si="102"/>
        <v>7.7600000000000002E-2</v>
      </c>
      <c r="P576" s="447">
        <f t="shared" si="99"/>
        <v>-0.10786371270929537</v>
      </c>
      <c r="Q576" s="446">
        <f t="shared" si="103"/>
        <v>-0.11106371270929538</v>
      </c>
      <c r="R576" s="446">
        <f t="shared" si="104"/>
        <v>-3.5356537496978313E-2</v>
      </c>
      <c r="S576" s="446">
        <f t="shared" si="105"/>
        <v>8.0399999999999999E-2</v>
      </c>
      <c r="T576" s="447">
        <f t="shared" si="106"/>
        <v>-0.11575653749697831</v>
      </c>
      <c r="V576" s="448"/>
      <c r="W576" s="448"/>
      <c r="X576" s="448"/>
      <c r="Y576" s="448"/>
      <c r="Z576" s="448"/>
      <c r="AA576" s="448"/>
      <c r="AB576" s="448"/>
      <c r="AC576" s="448"/>
      <c r="AD576" s="448"/>
      <c r="AF576" s="448"/>
      <c r="AG576" s="448"/>
      <c r="AH576" s="448"/>
      <c r="AI576" s="448"/>
      <c r="AJ576" s="448"/>
      <c r="AK576" s="448"/>
      <c r="AL576" s="448"/>
      <c r="AM576" s="448"/>
      <c r="AN576" s="448"/>
      <c r="AP576" s="448"/>
      <c r="AQ576" s="448"/>
      <c r="AR576" s="448"/>
      <c r="AS576" s="448"/>
      <c r="AT576" s="448"/>
      <c r="AU576" s="448"/>
      <c r="AV576" s="448"/>
      <c r="AW576" s="448"/>
      <c r="AX576" s="448"/>
    </row>
    <row r="577" spans="1:50" x14ac:dyDescent="0.4">
      <c r="A577" s="442" t="str">
        <f t="shared" si="107"/>
        <v>91973</v>
      </c>
      <c r="B577" s="442">
        <v>26908</v>
      </c>
      <c r="C577" s="455">
        <v>4.2700000000000002E-2</v>
      </c>
      <c r="D577" s="438">
        <v>7.7099999999999988E-2</v>
      </c>
      <c r="E577" s="438">
        <v>5.4999999999999997E-3</v>
      </c>
      <c r="F577" s="438">
        <v>6.3583333333333339E-3</v>
      </c>
      <c r="G577" s="438">
        <v>6.5500000000000003E-3</v>
      </c>
      <c r="H577" s="438">
        <v>6.4541666666666671E-3</v>
      </c>
      <c r="I577" s="438">
        <v>6.6999999999999994E-3</v>
      </c>
      <c r="J577" s="438">
        <f t="shared" si="96"/>
        <v>3.7200000000000004E-2</v>
      </c>
      <c r="K577" s="438">
        <f t="shared" si="100"/>
        <v>3.6245833333333338E-2</v>
      </c>
      <c r="L577" s="438">
        <f t="shared" si="101"/>
        <v>7.039999999999999E-2</v>
      </c>
      <c r="M577" s="446">
        <f t="shared" si="97"/>
        <v>1.0333219807536542E-2</v>
      </c>
      <c r="N577" s="446">
        <f t="shared" si="98"/>
        <v>6.6000000000000003E-2</v>
      </c>
      <c r="O577" s="446">
        <f t="shared" si="102"/>
        <v>7.7450000000000005E-2</v>
      </c>
      <c r="P577" s="447">
        <f t="shared" si="99"/>
        <v>-5.5666780192463461E-2</v>
      </c>
      <c r="Q577" s="446">
        <f t="shared" si="103"/>
        <v>-6.7116780192463463E-2</v>
      </c>
      <c r="R577" s="446">
        <f t="shared" si="104"/>
        <v>3.6219680325127124E-2</v>
      </c>
      <c r="S577" s="446">
        <f t="shared" si="105"/>
        <v>8.0399999999999999E-2</v>
      </c>
      <c r="T577" s="447">
        <f t="shared" si="106"/>
        <v>-4.4180319674872875E-2</v>
      </c>
      <c r="V577" s="448"/>
      <c r="W577" s="448"/>
      <c r="X577" s="448"/>
      <c r="Y577" s="448"/>
      <c r="Z577" s="448"/>
      <c r="AA577" s="448"/>
      <c r="AB577" s="448"/>
      <c r="AC577" s="448"/>
      <c r="AD577" s="448"/>
      <c r="AF577" s="448"/>
      <c r="AG577" s="448"/>
      <c r="AH577" s="448"/>
      <c r="AI577" s="448"/>
      <c r="AJ577" s="448"/>
      <c r="AK577" s="448"/>
      <c r="AL577" s="448"/>
      <c r="AM577" s="448"/>
      <c r="AN577" s="448"/>
      <c r="AP577" s="448"/>
      <c r="AQ577" s="448"/>
      <c r="AR577" s="448"/>
      <c r="AS577" s="448"/>
      <c r="AT577" s="448"/>
      <c r="AU577" s="448"/>
      <c r="AV577" s="448"/>
      <c r="AW577" s="448"/>
      <c r="AX577" s="448"/>
    </row>
    <row r="578" spans="1:50" x14ac:dyDescent="0.4">
      <c r="A578" s="442" t="str">
        <f t="shared" si="107"/>
        <v>101973</v>
      </c>
      <c r="B578" s="442">
        <v>26938</v>
      </c>
      <c r="C578" s="455">
        <v>1.6999999999999999E-3</v>
      </c>
      <c r="D578" s="438">
        <v>-3.8800000000000001E-2</v>
      </c>
      <c r="E578" s="438">
        <v>6.3E-3</v>
      </c>
      <c r="F578" s="438">
        <v>6.3333333333333332E-3</v>
      </c>
      <c r="G578" s="438">
        <v>6.5333333333333328E-3</v>
      </c>
      <c r="H578" s="438">
        <v>6.4333333333333334E-3</v>
      </c>
      <c r="I578" s="438">
        <v>6.6833333333333337E-3</v>
      </c>
      <c r="J578" s="438">
        <f t="shared" si="96"/>
        <v>-4.5999999999999999E-3</v>
      </c>
      <c r="K578" s="438">
        <f t="shared" si="100"/>
        <v>-4.7333333333333333E-3</v>
      </c>
      <c r="L578" s="438">
        <f t="shared" si="101"/>
        <v>-4.5483333333333334E-2</v>
      </c>
      <c r="M578" s="446">
        <f t="shared" si="97"/>
        <v>2.4786151532851797E-4</v>
      </c>
      <c r="N578" s="446">
        <f t="shared" si="98"/>
        <v>7.5600000000000001E-2</v>
      </c>
      <c r="O578" s="446">
        <f t="shared" si="102"/>
        <v>7.7200000000000005E-2</v>
      </c>
      <c r="P578" s="447">
        <f t="shared" si="99"/>
        <v>-7.5352138484671483E-2</v>
      </c>
      <c r="Q578" s="446">
        <f t="shared" si="103"/>
        <v>-7.6952138484671487E-2</v>
      </c>
      <c r="R578" s="446">
        <f t="shared" si="104"/>
        <v>-6.4863058183727174E-2</v>
      </c>
      <c r="S578" s="446">
        <f t="shared" si="105"/>
        <v>8.0200000000000007E-2</v>
      </c>
      <c r="T578" s="447">
        <f t="shared" si="106"/>
        <v>-0.14506305818372717</v>
      </c>
      <c r="V578" s="448"/>
      <c r="W578" s="448"/>
      <c r="X578" s="448"/>
      <c r="Y578" s="448"/>
      <c r="Z578" s="448"/>
      <c r="AA578" s="448"/>
      <c r="AB578" s="448"/>
      <c r="AC578" s="448"/>
      <c r="AD578" s="448"/>
      <c r="AF578" s="448"/>
      <c r="AG578" s="448"/>
      <c r="AH578" s="448"/>
      <c r="AI578" s="448"/>
      <c r="AJ578" s="448"/>
      <c r="AK578" s="448"/>
      <c r="AL578" s="448"/>
      <c r="AM578" s="448"/>
      <c r="AN578" s="448"/>
      <c r="AP578" s="448"/>
      <c r="AQ578" s="448"/>
      <c r="AR578" s="448"/>
      <c r="AS578" s="448"/>
      <c r="AT578" s="448"/>
      <c r="AU578" s="448"/>
      <c r="AV578" s="448"/>
      <c r="AW578" s="448"/>
      <c r="AX578" s="448"/>
    </row>
    <row r="579" spans="1:50" x14ac:dyDescent="0.4">
      <c r="A579" s="442" t="str">
        <f t="shared" si="107"/>
        <v>111973</v>
      </c>
      <c r="B579" s="442">
        <v>26969</v>
      </c>
      <c r="C579" s="455">
        <v>-0.1109</v>
      </c>
      <c r="D579" s="438">
        <v>-0.11720000000000001</v>
      </c>
      <c r="E579" s="438">
        <v>5.5999999999999991E-3</v>
      </c>
      <c r="F579" s="438">
        <v>6.391666666666667E-3</v>
      </c>
      <c r="G579" s="438">
        <v>6.5833333333333334E-3</v>
      </c>
      <c r="H579" s="438">
        <v>6.4874999999999993E-3</v>
      </c>
      <c r="I579" s="438">
        <v>6.7916666666666672E-3</v>
      </c>
      <c r="J579" s="438">
        <f t="shared" si="96"/>
        <v>-0.11649999999999999</v>
      </c>
      <c r="K579" s="438">
        <f t="shared" si="100"/>
        <v>-0.11738749999999999</v>
      </c>
      <c r="L579" s="438">
        <f t="shared" si="101"/>
        <v>-0.12399166666666668</v>
      </c>
      <c r="M579" s="446">
        <f t="shared" si="97"/>
        <v>-0.15149282160740518</v>
      </c>
      <c r="N579" s="446">
        <f t="shared" si="98"/>
        <v>6.7199999999999982E-2</v>
      </c>
      <c r="O579" s="446">
        <f t="shared" si="102"/>
        <v>7.7849999999999989E-2</v>
      </c>
      <c r="P579" s="447">
        <f t="shared" si="99"/>
        <v>-0.21869282160740516</v>
      </c>
      <c r="Q579" s="446">
        <f t="shared" si="103"/>
        <v>-0.22934282160740516</v>
      </c>
      <c r="R579" s="446">
        <f t="shared" si="104"/>
        <v>-0.22404465435153142</v>
      </c>
      <c r="S579" s="446">
        <f t="shared" si="105"/>
        <v>8.1500000000000003E-2</v>
      </c>
      <c r="T579" s="447">
        <f t="shared" si="106"/>
        <v>-0.30554465435153144</v>
      </c>
      <c r="V579" s="448"/>
      <c r="W579" s="448"/>
      <c r="X579" s="448"/>
      <c r="Y579" s="448"/>
      <c r="Z579" s="448"/>
      <c r="AA579" s="448"/>
      <c r="AB579" s="448"/>
      <c r="AC579" s="448"/>
      <c r="AD579" s="448"/>
      <c r="AF579" s="448"/>
      <c r="AG579" s="448"/>
      <c r="AH579" s="448"/>
      <c r="AI579" s="448"/>
      <c r="AJ579" s="448"/>
      <c r="AK579" s="448"/>
      <c r="AL579" s="448"/>
      <c r="AM579" s="448"/>
      <c r="AN579" s="448"/>
      <c r="AP579" s="448"/>
      <c r="AQ579" s="448"/>
      <c r="AR579" s="448"/>
      <c r="AS579" s="448"/>
      <c r="AT579" s="448"/>
      <c r="AU579" s="448"/>
      <c r="AV579" s="448"/>
      <c r="AW579" s="448"/>
      <c r="AX579" s="448"/>
    </row>
    <row r="580" spans="1:50" x14ac:dyDescent="0.4">
      <c r="A580" s="442" t="str">
        <f t="shared" si="107"/>
        <v>121973</v>
      </c>
      <c r="B580" s="442">
        <v>26999</v>
      </c>
      <c r="C580" s="455">
        <v>1.9800000000000002E-2</v>
      </c>
      <c r="D580" s="438">
        <v>3.7499999999999999E-2</v>
      </c>
      <c r="E580" s="438">
        <v>6.0000000000000001E-3</v>
      </c>
      <c r="F580" s="438">
        <v>6.4000000000000003E-3</v>
      </c>
      <c r="G580" s="438">
        <v>6.6E-3</v>
      </c>
      <c r="H580" s="438">
        <v>6.5000000000000006E-3</v>
      </c>
      <c r="I580" s="438">
        <v>6.8666666666666668E-3</v>
      </c>
      <c r="J580" s="438">
        <f t="shared" si="96"/>
        <v>1.3800000000000002E-2</v>
      </c>
      <c r="K580" s="438">
        <f t="shared" si="100"/>
        <v>1.3300000000000001E-2</v>
      </c>
      <c r="L580" s="438">
        <f t="shared" si="101"/>
        <v>3.0633333333333332E-2</v>
      </c>
      <c r="M580" s="446">
        <f t="shared" si="97"/>
        <v>-0.14680770999332649</v>
      </c>
      <c r="N580" s="446">
        <f t="shared" si="98"/>
        <v>7.2000000000000008E-2</v>
      </c>
      <c r="O580" s="446">
        <f t="shared" si="102"/>
        <v>7.8000000000000014E-2</v>
      </c>
      <c r="P580" s="447">
        <f t="shared" si="99"/>
        <v>-0.21880770999332649</v>
      </c>
      <c r="Q580" s="446">
        <f t="shared" si="103"/>
        <v>-0.2248077099933265</v>
      </c>
      <c r="R580" s="446">
        <f t="shared" si="104"/>
        <v>-0.18069034081998148</v>
      </c>
      <c r="S580" s="446">
        <f t="shared" si="105"/>
        <v>8.2400000000000001E-2</v>
      </c>
      <c r="T580" s="447">
        <f t="shared" si="106"/>
        <v>-0.26309034081998151</v>
      </c>
      <c r="V580" s="448"/>
      <c r="W580" s="448"/>
      <c r="X580" s="448"/>
      <c r="Y580" s="448"/>
      <c r="Z580" s="448"/>
      <c r="AA580" s="448"/>
      <c r="AB580" s="448"/>
      <c r="AC580" s="448"/>
      <c r="AD580" s="448"/>
      <c r="AF580" s="448"/>
      <c r="AG580" s="448"/>
      <c r="AH580" s="448"/>
      <c r="AI580" s="448"/>
      <c r="AJ580" s="448"/>
      <c r="AK580" s="448"/>
      <c r="AL580" s="448"/>
      <c r="AM580" s="448"/>
      <c r="AN580" s="448"/>
      <c r="AP580" s="448"/>
      <c r="AQ580" s="448"/>
      <c r="AR580" s="448"/>
      <c r="AS580" s="448"/>
      <c r="AT580" s="448"/>
      <c r="AU580" s="448"/>
      <c r="AV580" s="448"/>
      <c r="AW580" s="448"/>
      <c r="AX580" s="448"/>
    </row>
    <row r="581" spans="1:50" x14ac:dyDescent="0.4">
      <c r="A581" s="442" t="str">
        <f t="shared" si="107"/>
        <v>11974</v>
      </c>
      <c r="B581" s="442">
        <v>27030</v>
      </c>
      <c r="C581" s="455">
        <v>-7.1999999999999998E-3</v>
      </c>
      <c r="D581" s="438">
        <v>4.1799999999999997E-2</v>
      </c>
      <c r="E581" s="438">
        <v>6.0999999999999995E-3</v>
      </c>
      <c r="F581" s="438">
        <v>6.5249999999999996E-3</v>
      </c>
      <c r="G581" s="438">
        <v>6.6666666666666662E-3</v>
      </c>
      <c r="H581" s="438">
        <v>6.5958333333333329E-3</v>
      </c>
      <c r="I581" s="438">
        <v>6.9666666666666661E-3</v>
      </c>
      <c r="J581" s="438">
        <f t="shared" si="96"/>
        <v>-1.3299999999999999E-2</v>
      </c>
      <c r="K581" s="438">
        <f t="shared" si="100"/>
        <v>-1.3795833333333334E-2</v>
      </c>
      <c r="L581" s="438">
        <f t="shared" si="101"/>
        <v>3.4833333333333327E-2</v>
      </c>
      <c r="M581" s="446">
        <f t="shared" si="97"/>
        <v>-0.14013876203570674</v>
      </c>
      <c r="N581" s="446">
        <f t="shared" si="98"/>
        <v>7.3199999999999987E-2</v>
      </c>
      <c r="O581" s="446">
        <f t="shared" si="102"/>
        <v>7.9149999999999998E-2</v>
      </c>
      <c r="P581" s="447">
        <f t="shared" si="99"/>
        <v>-0.21333876203570673</v>
      </c>
      <c r="Q581" s="446">
        <f t="shared" si="103"/>
        <v>-0.21928876203570674</v>
      </c>
      <c r="R581" s="446">
        <f t="shared" si="104"/>
        <v>-0.10725153965720813</v>
      </c>
      <c r="S581" s="446">
        <f t="shared" si="105"/>
        <v>8.3599999999999994E-2</v>
      </c>
      <c r="T581" s="447">
        <f t="shared" si="106"/>
        <v>-0.19085153965720814</v>
      </c>
      <c r="V581" s="448"/>
      <c r="W581" s="448"/>
      <c r="X581" s="448"/>
      <c r="Y581" s="448"/>
      <c r="Z581" s="448"/>
      <c r="AA581" s="448"/>
      <c r="AB581" s="448"/>
      <c r="AC581" s="448"/>
      <c r="AD581" s="448"/>
      <c r="AF581" s="448"/>
      <c r="AG581" s="448"/>
      <c r="AH581" s="448"/>
      <c r="AI581" s="448"/>
      <c r="AJ581" s="448"/>
      <c r="AK581" s="448"/>
      <c r="AL581" s="448"/>
      <c r="AM581" s="448"/>
      <c r="AN581" s="448"/>
      <c r="AP581" s="448"/>
      <c r="AQ581" s="448"/>
      <c r="AR581" s="448"/>
      <c r="AS581" s="448"/>
      <c r="AT581" s="448"/>
      <c r="AU581" s="448"/>
      <c r="AV581" s="448"/>
      <c r="AW581" s="448"/>
      <c r="AX581" s="448"/>
    </row>
    <row r="582" spans="1:50" x14ac:dyDescent="0.4">
      <c r="A582" s="442" t="str">
        <f t="shared" si="107"/>
        <v>21974</v>
      </c>
      <c r="B582" s="442">
        <v>27061</v>
      </c>
      <c r="C582" s="455">
        <v>-6.9999999999999999E-4</v>
      </c>
      <c r="D582" s="438">
        <v>6.0000000000000001E-3</v>
      </c>
      <c r="E582" s="438">
        <v>5.4999999999999997E-3</v>
      </c>
      <c r="F582" s="438">
        <v>6.541666666666667E-3</v>
      </c>
      <c r="G582" s="438">
        <v>6.7083333333333335E-3</v>
      </c>
      <c r="H582" s="438">
        <v>6.6250000000000007E-3</v>
      </c>
      <c r="I582" s="438">
        <v>7.0166666666666667E-3</v>
      </c>
      <c r="J582" s="438">
        <f t="shared" ref="J582:J645" si="108">C582-E582</f>
        <v>-6.1999999999999998E-3</v>
      </c>
      <c r="K582" s="438">
        <f t="shared" si="100"/>
        <v>-7.3250000000000008E-3</v>
      </c>
      <c r="L582" s="438">
        <f t="shared" si="101"/>
        <v>-1.0166666666666666E-3</v>
      </c>
      <c r="M582" s="446">
        <f t="shared" si="97"/>
        <v>-0.10939123642442128</v>
      </c>
      <c r="N582" s="446">
        <f t="shared" si="98"/>
        <v>6.6000000000000003E-2</v>
      </c>
      <c r="O582" s="446">
        <f t="shared" si="102"/>
        <v>7.9500000000000015E-2</v>
      </c>
      <c r="P582" s="447">
        <f t="shared" si="99"/>
        <v>-0.17539123642442128</v>
      </c>
      <c r="Q582" s="446">
        <f t="shared" si="103"/>
        <v>-0.18889123642442129</v>
      </c>
      <c r="R582" s="446">
        <f t="shared" si="104"/>
        <v>-8.0375843636239175E-2</v>
      </c>
      <c r="S582" s="446">
        <f t="shared" si="105"/>
        <v>8.4199999999999997E-2</v>
      </c>
      <c r="T582" s="447">
        <f t="shared" si="106"/>
        <v>-0.16457584363623917</v>
      </c>
      <c r="V582" s="448"/>
      <c r="W582" s="448"/>
      <c r="X582" s="448"/>
      <c r="Y582" s="448"/>
      <c r="Z582" s="448"/>
      <c r="AA582" s="448"/>
      <c r="AB582" s="448"/>
      <c r="AC582" s="448"/>
      <c r="AD582" s="448"/>
      <c r="AF582" s="448"/>
      <c r="AG582" s="448"/>
      <c r="AH582" s="448"/>
      <c r="AI582" s="448"/>
      <c r="AJ582" s="448"/>
      <c r="AK582" s="448"/>
      <c r="AL582" s="448"/>
      <c r="AM582" s="448"/>
      <c r="AN582" s="448"/>
      <c r="AP582" s="448"/>
      <c r="AQ582" s="448"/>
      <c r="AR582" s="448"/>
      <c r="AS582" s="448"/>
      <c r="AT582" s="448"/>
      <c r="AU582" s="448"/>
      <c r="AV582" s="448"/>
      <c r="AW582" s="448"/>
      <c r="AX582" s="448"/>
    </row>
    <row r="583" spans="1:50" x14ac:dyDescent="0.4">
      <c r="A583" s="442" t="str">
        <f t="shared" si="107"/>
        <v>31974</v>
      </c>
      <c r="B583" s="442">
        <v>27089</v>
      </c>
      <c r="C583" s="455">
        <v>-2.0500000000000001E-2</v>
      </c>
      <c r="D583" s="438">
        <v>-3.8900000000000004E-2</v>
      </c>
      <c r="E583" s="438">
        <v>5.8999999999999999E-3</v>
      </c>
      <c r="F583" s="438">
        <v>6.6749999999999995E-3</v>
      </c>
      <c r="G583" s="438">
        <v>6.8166666666666662E-3</v>
      </c>
      <c r="H583" s="438">
        <v>6.7458333333333328E-3</v>
      </c>
      <c r="I583" s="438">
        <v>7.0500000000000007E-3</v>
      </c>
      <c r="J583" s="438">
        <f t="shared" si="108"/>
        <v>-2.64E-2</v>
      </c>
      <c r="K583" s="438">
        <f t="shared" si="100"/>
        <v>-2.7245833333333334E-2</v>
      </c>
      <c r="L583" s="438">
        <f t="shared" si="101"/>
        <v>-4.5950000000000005E-2</v>
      </c>
      <c r="M583" s="446">
        <f t="shared" si="97"/>
        <v>-0.1283460392463236</v>
      </c>
      <c r="N583" s="446">
        <f t="shared" si="98"/>
        <v>7.0800000000000002E-2</v>
      </c>
      <c r="O583" s="446">
        <f t="shared" si="102"/>
        <v>8.0949999999999994E-2</v>
      </c>
      <c r="P583" s="447">
        <f t="shared" si="99"/>
        <v>-0.1991460392463236</v>
      </c>
      <c r="Q583" s="446">
        <f t="shared" si="103"/>
        <v>-0.20929603924632359</v>
      </c>
      <c r="R583" s="446">
        <f t="shared" si="104"/>
        <v>-0.10405395166628439</v>
      </c>
      <c r="S583" s="446">
        <f t="shared" si="105"/>
        <v>8.4600000000000009E-2</v>
      </c>
      <c r="T583" s="447">
        <f t="shared" si="106"/>
        <v>-0.1886539516662844</v>
      </c>
      <c r="V583" s="448"/>
      <c r="W583" s="448"/>
      <c r="X583" s="448"/>
      <c r="Y583" s="448"/>
      <c r="Z583" s="448"/>
      <c r="AA583" s="448"/>
      <c r="AB583" s="448"/>
      <c r="AC583" s="448"/>
      <c r="AD583" s="448"/>
      <c r="AF583" s="448"/>
      <c r="AG583" s="448"/>
      <c r="AH583" s="448"/>
      <c r="AI583" s="448"/>
      <c r="AJ583" s="448"/>
      <c r="AK583" s="448"/>
      <c r="AL583" s="448"/>
      <c r="AM583" s="448"/>
      <c r="AN583" s="448"/>
      <c r="AP583" s="448"/>
      <c r="AQ583" s="448"/>
      <c r="AR583" s="448"/>
      <c r="AS583" s="448"/>
      <c r="AT583" s="448"/>
      <c r="AU583" s="448"/>
      <c r="AV583" s="448"/>
      <c r="AW583" s="448"/>
      <c r="AX583" s="448"/>
    </row>
    <row r="584" spans="1:50" x14ac:dyDescent="0.4">
      <c r="A584" s="442" t="str">
        <f t="shared" si="107"/>
        <v>41974</v>
      </c>
      <c r="B584" s="442">
        <v>27120</v>
      </c>
      <c r="C584" s="455">
        <v>-3.5900000000000001E-2</v>
      </c>
      <c r="D584" s="438">
        <v>-0.12959999999999999</v>
      </c>
      <c r="E584" s="438">
        <v>6.7999999999999996E-3</v>
      </c>
      <c r="F584" s="438">
        <v>6.875E-3</v>
      </c>
      <c r="G584" s="438">
        <v>7.025E-3</v>
      </c>
      <c r="H584" s="438">
        <v>6.9500000000000004E-3</v>
      </c>
      <c r="I584" s="438">
        <v>7.3083333333333333E-3</v>
      </c>
      <c r="J584" s="438">
        <f t="shared" si="108"/>
        <v>-4.2700000000000002E-2</v>
      </c>
      <c r="K584" s="438">
        <f t="shared" si="100"/>
        <v>-4.2849999999999999E-2</v>
      </c>
      <c r="L584" s="438">
        <f t="shared" si="101"/>
        <v>-0.13690833333333333</v>
      </c>
      <c r="M584" s="446">
        <f t="shared" si="97"/>
        <v>-0.12617075640779929</v>
      </c>
      <c r="N584" s="446">
        <f t="shared" si="98"/>
        <v>8.1599999999999992E-2</v>
      </c>
      <c r="O584" s="446">
        <f t="shared" si="102"/>
        <v>8.3400000000000002E-2</v>
      </c>
      <c r="P584" s="447">
        <f t="shared" si="99"/>
        <v>-0.2077707564077993</v>
      </c>
      <c r="Q584" s="446">
        <f t="shared" si="103"/>
        <v>-0.20957075640779929</v>
      </c>
      <c r="R584" s="446">
        <f t="shared" si="104"/>
        <v>-0.216328569520987</v>
      </c>
      <c r="S584" s="446">
        <f t="shared" si="105"/>
        <v>8.77E-2</v>
      </c>
      <c r="T584" s="447">
        <f t="shared" si="106"/>
        <v>-0.304028569520987</v>
      </c>
      <c r="V584" s="448"/>
      <c r="W584" s="448"/>
      <c r="X584" s="448"/>
      <c r="Y584" s="448"/>
      <c r="Z584" s="448"/>
      <c r="AA584" s="448"/>
      <c r="AB584" s="448"/>
      <c r="AC584" s="448"/>
      <c r="AD584" s="448"/>
      <c r="AF584" s="448"/>
      <c r="AG584" s="448"/>
      <c r="AH584" s="448"/>
      <c r="AI584" s="448"/>
      <c r="AJ584" s="448"/>
      <c r="AK584" s="448"/>
      <c r="AL584" s="448"/>
      <c r="AM584" s="448"/>
      <c r="AN584" s="448"/>
      <c r="AP584" s="448"/>
      <c r="AQ584" s="448"/>
      <c r="AR584" s="448"/>
      <c r="AS584" s="448"/>
      <c r="AT584" s="448"/>
      <c r="AU584" s="448"/>
      <c r="AV584" s="448"/>
      <c r="AW584" s="448"/>
      <c r="AX584" s="448"/>
    </row>
    <row r="585" spans="1:50" x14ac:dyDescent="0.4">
      <c r="A585" s="442" t="str">
        <f t="shared" si="107"/>
        <v>51974</v>
      </c>
      <c r="B585" s="442">
        <v>27150</v>
      </c>
      <c r="C585" s="455">
        <v>-3.0200000000000001E-2</v>
      </c>
      <c r="D585" s="438">
        <v>-4.8399999999999999E-2</v>
      </c>
      <c r="E585" s="438">
        <v>6.7999999999999996E-3</v>
      </c>
      <c r="F585" s="438">
        <v>6.9749999999999986E-3</v>
      </c>
      <c r="G585" s="438">
        <v>7.1500000000000001E-3</v>
      </c>
      <c r="H585" s="438">
        <v>7.0624999999999993E-3</v>
      </c>
      <c r="I585" s="438">
        <v>7.4999999999999997E-3</v>
      </c>
      <c r="J585" s="438">
        <f t="shared" si="108"/>
        <v>-3.6999999999999998E-2</v>
      </c>
      <c r="K585" s="438">
        <f t="shared" si="100"/>
        <v>-3.7262500000000004E-2</v>
      </c>
      <c r="L585" s="438">
        <f t="shared" si="101"/>
        <v>-5.5899999999999998E-2</v>
      </c>
      <c r="M585" s="446">
        <f t="shared" si="97"/>
        <v>-0.13851824699022453</v>
      </c>
      <c r="N585" s="446">
        <f t="shared" si="98"/>
        <v>8.1599999999999992E-2</v>
      </c>
      <c r="O585" s="446">
        <f t="shared" si="102"/>
        <v>8.4749999999999992E-2</v>
      </c>
      <c r="P585" s="447">
        <f t="shared" si="99"/>
        <v>-0.22011824699022453</v>
      </c>
      <c r="Q585" s="446">
        <f t="shared" si="103"/>
        <v>-0.22326824699022452</v>
      </c>
      <c r="R585" s="446">
        <f t="shared" si="104"/>
        <v>-0.25922148282126856</v>
      </c>
      <c r="S585" s="446">
        <f t="shared" si="105"/>
        <v>0.09</v>
      </c>
      <c r="T585" s="447">
        <f t="shared" si="106"/>
        <v>-0.34922148282126853</v>
      </c>
      <c r="V585" s="448"/>
      <c r="W585" s="448"/>
      <c r="X585" s="448"/>
      <c r="Y585" s="448"/>
      <c r="Z585" s="448"/>
      <c r="AA585" s="448"/>
      <c r="AB585" s="448"/>
      <c r="AC585" s="448"/>
      <c r="AD585" s="448"/>
      <c r="AF585" s="448"/>
      <c r="AG585" s="448"/>
      <c r="AH585" s="448"/>
      <c r="AI585" s="448"/>
      <c r="AJ585" s="448"/>
      <c r="AK585" s="448"/>
      <c r="AL585" s="448"/>
      <c r="AM585" s="448"/>
      <c r="AN585" s="448"/>
      <c r="AP585" s="448"/>
      <c r="AQ585" s="448"/>
      <c r="AR585" s="448"/>
      <c r="AS585" s="448"/>
      <c r="AT585" s="448"/>
      <c r="AU585" s="448"/>
      <c r="AV585" s="448"/>
      <c r="AW585" s="448"/>
      <c r="AX585" s="448"/>
    </row>
    <row r="586" spans="1:50" x14ac:dyDescent="0.4">
      <c r="A586" s="442" t="str">
        <f t="shared" si="107"/>
        <v>61974</v>
      </c>
      <c r="B586" s="442">
        <v>27181</v>
      </c>
      <c r="C586" s="455">
        <v>-1.1299999999999999E-2</v>
      </c>
      <c r="D586" s="438">
        <v>-5.6999999999999995E-2</v>
      </c>
      <c r="E586" s="438">
        <v>6.0999999999999995E-3</v>
      </c>
      <c r="F586" s="438">
        <v>7.058333333333334E-3</v>
      </c>
      <c r="G586" s="438">
        <v>7.2916666666666659E-3</v>
      </c>
      <c r="H586" s="438">
        <v>7.175E-3</v>
      </c>
      <c r="I586" s="438">
        <v>7.7666666666666674E-3</v>
      </c>
      <c r="J586" s="438">
        <f t="shared" si="108"/>
        <v>-1.7399999999999999E-2</v>
      </c>
      <c r="K586" s="438">
        <f t="shared" si="100"/>
        <v>-1.8474999999999998E-2</v>
      </c>
      <c r="L586" s="438">
        <f t="shared" si="101"/>
        <v>-6.4766666666666667E-2</v>
      </c>
      <c r="M586" s="446">
        <f t="shared" si="97"/>
        <v>-0.14483232007955305</v>
      </c>
      <c r="N586" s="446">
        <f t="shared" si="98"/>
        <v>7.3199999999999987E-2</v>
      </c>
      <c r="O586" s="446">
        <f t="shared" si="102"/>
        <v>8.6099999999999996E-2</v>
      </c>
      <c r="P586" s="447">
        <f t="shared" si="99"/>
        <v>-0.21803232007955303</v>
      </c>
      <c r="Q586" s="446">
        <f t="shared" si="103"/>
        <v>-0.23093232007955306</v>
      </c>
      <c r="R586" s="446">
        <f t="shared" si="104"/>
        <v>-0.28958187562336646</v>
      </c>
      <c r="S586" s="446">
        <f t="shared" si="105"/>
        <v>9.3200000000000005E-2</v>
      </c>
      <c r="T586" s="447">
        <f t="shared" si="106"/>
        <v>-0.38278187562336646</v>
      </c>
      <c r="V586" s="448"/>
      <c r="W586" s="448"/>
      <c r="X586" s="448"/>
      <c r="Y586" s="448"/>
      <c r="Z586" s="448"/>
      <c r="AA586" s="448"/>
      <c r="AB586" s="448"/>
      <c r="AC586" s="448"/>
      <c r="AD586" s="448"/>
      <c r="AF586" s="448"/>
      <c r="AG586" s="448"/>
      <c r="AH586" s="448"/>
      <c r="AI586" s="448"/>
      <c r="AJ586" s="448"/>
      <c r="AK586" s="448"/>
      <c r="AL586" s="448"/>
      <c r="AM586" s="448"/>
      <c r="AN586" s="448"/>
      <c r="AP586" s="448"/>
      <c r="AQ586" s="448"/>
      <c r="AR586" s="448"/>
      <c r="AS586" s="448"/>
      <c r="AT586" s="448"/>
      <c r="AU586" s="448"/>
      <c r="AV586" s="448"/>
      <c r="AW586" s="448"/>
      <c r="AX586" s="448"/>
    </row>
    <row r="587" spans="1:50" x14ac:dyDescent="0.4">
      <c r="A587" s="442" t="str">
        <f t="shared" si="107"/>
        <v>71974</v>
      </c>
      <c r="B587" s="442">
        <v>27211</v>
      </c>
      <c r="C587" s="455">
        <v>-7.4200000000000002E-2</v>
      </c>
      <c r="D587" s="438">
        <v>-8.8999999999999982E-3</v>
      </c>
      <c r="E587" s="438">
        <v>7.1999999999999998E-3</v>
      </c>
      <c r="F587" s="438">
        <v>7.2666666666666669E-3</v>
      </c>
      <c r="G587" s="438">
        <v>7.5083333333333339E-3</v>
      </c>
      <c r="H587" s="438">
        <v>7.3875E-3</v>
      </c>
      <c r="I587" s="438">
        <v>8.0499999999999999E-3</v>
      </c>
      <c r="J587" s="438">
        <f t="shared" si="108"/>
        <v>-8.14E-2</v>
      </c>
      <c r="K587" s="438">
        <f t="shared" si="100"/>
        <v>-8.1587500000000007E-2</v>
      </c>
      <c r="L587" s="438">
        <f t="shared" si="101"/>
        <v>-1.695E-2</v>
      </c>
      <c r="M587" s="446">
        <f t="shared" si="97"/>
        <v>-0.23924835392490651</v>
      </c>
      <c r="N587" s="446">
        <f t="shared" si="98"/>
        <v>8.6400000000000005E-2</v>
      </c>
      <c r="O587" s="446">
        <f t="shared" si="102"/>
        <v>8.8650000000000007E-2</v>
      </c>
      <c r="P587" s="447">
        <f t="shared" si="99"/>
        <v>-0.32564835392490654</v>
      </c>
      <c r="Q587" s="446">
        <f t="shared" si="103"/>
        <v>-0.32789835392490652</v>
      </c>
      <c r="R587" s="446">
        <f t="shared" si="104"/>
        <v>-0.28160860823417866</v>
      </c>
      <c r="S587" s="446">
        <f t="shared" si="105"/>
        <v>9.6599999999999991E-2</v>
      </c>
      <c r="T587" s="447">
        <f t="shared" si="106"/>
        <v>-0.37820860823417868</v>
      </c>
      <c r="V587" s="448"/>
      <c r="W587" s="448"/>
      <c r="X587" s="448"/>
      <c r="Y587" s="448"/>
      <c r="Z587" s="448"/>
      <c r="AA587" s="448"/>
      <c r="AB587" s="448"/>
      <c r="AC587" s="448"/>
      <c r="AD587" s="448"/>
      <c r="AF587" s="448"/>
      <c r="AG587" s="448"/>
      <c r="AH587" s="448"/>
      <c r="AI587" s="448"/>
      <c r="AJ587" s="448"/>
      <c r="AK587" s="448"/>
      <c r="AL587" s="448"/>
      <c r="AM587" s="448"/>
      <c r="AN587" s="448"/>
      <c r="AP587" s="448"/>
      <c r="AQ587" s="448"/>
      <c r="AR587" s="448"/>
      <c r="AS587" s="448"/>
      <c r="AT587" s="448"/>
      <c r="AU587" s="448"/>
      <c r="AV587" s="448"/>
      <c r="AW587" s="448"/>
      <c r="AX587" s="448"/>
    </row>
    <row r="588" spans="1:50" x14ac:dyDescent="0.4">
      <c r="A588" s="442" t="str">
        <f t="shared" si="107"/>
        <v>81974</v>
      </c>
      <c r="B588" s="442">
        <v>27242</v>
      </c>
      <c r="C588" s="455">
        <v>-8.6400000000000005E-2</v>
      </c>
      <c r="D588" s="438">
        <v>-8.7099999999999997E-2</v>
      </c>
      <c r="E588" s="438">
        <v>6.5000000000000006E-3</v>
      </c>
      <c r="F588" s="438">
        <v>7.4999999999999997E-3</v>
      </c>
      <c r="G588" s="438">
        <v>7.7333333333333334E-3</v>
      </c>
      <c r="H588" s="438">
        <v>7.6166666666666674E-3</v>
      </c>
      <c r="I588" s="438">
        <v>8.3583333333333339E-3</v>
      </c>
      <c r="J588" s="438">
        <f t="shared" si="108"/>
        <v>-9.290000000000001E-2</v>
      </c>
      <c r="K588" s="438">
        <f t="shared" si="100"/>
        <v>-9.4016666666666665E-2</v>
      </c>
      <c r="L588" s="438">
        <f t="shared" si="101"/>
        <v>-9.5458333333333326E-2</v>
      </c>
      <c r="M588" s="446">
        <f t="shared" si="97"/>
        <v>-0.2804403107421003</v>
      </c>
      <c r="N588" s="446">
        <f t="shared" si="98"/>
        <v>7.8000000000000014E-2</v>
      </c>
      <c r="O588" s="446">
        <f t="shared" si="102"/>
        <v>9.1400000000000009E-2</v>
      </c>
      <c r="P588" s="447">
        <f t="shared" si="99"/>
        <v>-0.35844031074210031</v>
      </c>
      <c r="Q588" s="446">
        <f t="shared" si="103"/>
        <v>-0.37184031074210033</v>
      </c>
      <c r="R588" s="446">
        <f t="shared" si="104"/>
        <v>-0.3250108053283054</v>
      </c>
      <c r="S588" s="446">
        <f t="shared" si="105"/>
        <v>0.1003</v>
      </c>
      <c r="T588" s="447">
        <f t="shared" si="106"/>
        <v>-0.4253108053283054</v>
      </c>
      <c r="V588" s="448"/>
      <c r="W588" s="448"/>
      <c r="X588" s="448"/>
      <c r="Y588" s="448"/>
      <c r="Z588" s="448"/>
      <c r="AA588" s="448"/>
      <c r="AB588" s="448"/>
      <c r="AC588" s="448"/>
      <c r="AD588" s="448"/>
      <c r="AF588" s="448"/>
      <c r="AG588" s="448"/>
      <c r="AH588" s="448"/>
      <c r="AI588" s="448"/>
      <c r="AJ588" s="448"/>
      <c r="AK588" s="448"/>
      <c r="AL588" s="448"/>
      <c r="AM588" s="448"/>
      <c r="AN588" s="448"/>
      <c r="AP588" s="448"/>
      <c r="AQ588" s="448"/>
      <c r="AR588" s="448"/>
      <c r="AS588" s="448"/>
      <c r="AT588" s="448"/>
      <c r="AU588" s="448"/>
      <c r="AV588" s="448"/>
      <c r="AW588" s="448"/>
      <c r="AX588" s="448"/>
    </row>
    <row r="589" spans="1:50" x14ac:dyDescent="0.4">
      <c r="A589" s="442" t="str">
        <f t="shared" si="107"/>
        <v>91974</v>
      </c>
      <c r="B589" s="442">
        <v>27273</v>
      </c>
      <c r="C589" s="455">
        <v>-0.1152</v>
      </c>
      <c r="D589" s="438">
        <v>-8.6E-3</v>
      </c>
      <c r="E589" s="438">
        <v>7.1000000000000004E-3</v>
      </c>
      <c r="F589" s="438">
        <v>7.7000000000000002E-3</v>
      </c>
      <c r="G589" s="438">
        <v>8.0499999999999999E-3</v>
      </c>
      <c r="H589" s="438">
        <v>7.8750000000000001E-3</v>
      </c>
      <c r="I589" s="438">
        <v>8.7083333333333353E-3</v>
      </c>
      <c r="J589" s="438">
        <f t="shared" si="108"/>
        <v>-0.12229999999999999</v>
      </c>
      <c r="K589" s="438">
        <f t="shared" si="100"/>
        <v>-0.12307499999999999</v>
      </c>
      <c r="L589" s="438">
        <f t="shared" si="101"/>
        <v>-1.7308333333333335E-2</v>
      </c>
      <c r="M589" s="446">
        <f t="shared" si="97"/>
        <v>-0.38940595276168621</v>
      </c>
      <c r="N589" s="446">
        <f t="shared" si="98"/>
        <v>8.5199999999999998E-2</v>
      </c>
      <c r="O589" s="446">
        <f t="shared" si="102"/>
        <v>9.4500000000000001E-2</v>
      </c>
      <c r="P589" s="447">
        <f t="shared" si="99"/>
        <v>-0.47460595276168621</v>
      </c>
      <c r="Q589" s="446">
        <f t="shared" si="103"/>
        <v>-0.48390595276168624</v>
      </c>
      <c r="R589" s="446">
        <f t="shared" si="104"/>
        <v>-0.37871665806562249</v>
      </c>
      <c r="S589" s="446">
        <f t="shared" si="105"/>
        <v>0.10450000000000002</v>
      </c>
      <c r="T589" s="447">
        <f t="shared" si="106"/>
        <v>-0.48321665806562253</v>
      </c>
      <c r="V589" s="448"/>
      <c r="W589" s="448"/>
      <c r="X589" s="448"/>
      <c r="Y589" s="448"/>
      <c r="Z589" s="448"/>
      <c r="AA589" s="448"/>
      <c r="AB589" s="448"/>
      <c r="AC589" s="448"/>
      <c r="AD589" s="448"/>
      <c r="AF589" s="448"/>
      <c r="AG589" s="448"/>
      <c r="AH589" s="448"/>
      <c r="AI589" s="448"/>
      <c r="AJ589" s="448"/>
      <c r="AK589" s="448"/>
      <c r="AL589" s="448"/>
      <c r="AM589" s="448"/>
      <c r="AN589" s="448"/>
      <c r="AP589" s="448"/>
      <c r="AQ589" s="448"/>
      <c r="AR589" s="448"/>
      <c r="AS589" s="448"/>
      <c r="AT589" s="448"/>
      <c r="AU589" s="448"/>
      <c r="AV589" s="448"/>
      <c r="AW589" s="448"/>
      <c r="AX589" s="448"/>
    </row>
    <row r="590" spans="1:50" x14ac:dyDescent="0.4">
      <c r="A590" s="442" t="str">
        <f t="shared" si="107"/>
        <v>101974</v>
      </c>
      <c r="B590" s="442">
        <v>27303</v>
      </c>
      <c r="C590" s="455">
        <v>0.1681</v>
      </c>
      <c r="D590" s="438">
        <v>0.11990000000000001</v>
      </c>
      <c r="E590" s="438">
        <v>7.000000000000001E-3</v>
      </c>
      <c r="F590" s="438">
        <v>7.7249999999999992E-3</v>
      </c>
      <c r="G590" s="438">
        <v>8.0333333333333333E-3</v>
      </c>
      <c r="H590" s="438">
        <v>7.8791666666666663E-3</v>
      </c>
      <c r="I590" s="438">
        <v>8.9833333333333328E-3</v>
      </c>
      <c r="J590" s="438">
        <f t="shared" si="108"/>
        <v>0.16109999999999999</v>
      </c>
      <c r="K590" s="438">
        <f t="shared" si="100"/>
        <v>0.16022083333333334</v>
      </c>
      <c r="L590" s="438">
        <f t="shared" si="101"/>
        <v>0.11091666666666668</v>
      </c>
      <c r="M590" s="446">
        <f t="shared" si="97"/>
        <v>-0.28797553501140638</v>
      </c>
      <c r="N590" s="446">
        <f t="shared" si="98"/>
        <v>8.4000000000000019E-2</v>
      </c>
      <c r="O590" s="446">
        <f t="shared" si="102"/>
        <v>9.4549999999999995E-2</v>
      </c>
      <c r="P590" s="447">
        <f t="shared" si="99"/>
        <v>-0.3719755350114064</v>
      </c>
      <c r="Q590" s="446">
        <f t="shared" si="103"/>
        <v>-0.3825255350114064</v>
      </c>
      <c r="R590" s="446">
        <f t="shared" si="104"/>
        <v>-0.27613897770254969</v>
      </c>
      <c r="S590" s="446">
        <f t="shared" si="105"/>
        <v>0.10779999999999999</v>
      </c>
      <c r="T590" s="447">
        <f t="shared" si="106"/>
        <v>-0.3839389777025497</v>
      </c>
      <c r="V590" s="448"/>
      <c r="W590" s="448"/>
      <c r="X590" s="448"/>
      <c r="Y590" s="448"/>
      <c r="Z590" s="448"/>
      <c r="AA590" s="448"/>
      <c r="AB590" s="448"/>
      <c r="AC590" s="448"/>
      <c r="AD590" s="448"/>
      <c r="AF590" s="448"/>
      <c r="AG590" s="448"/>
      <c r="AH590" s="448"/>
      <c r="AI590" s="448"/>
      <c r="AJ590" s="448"/>
      <c r="AK590" s="448"/>
      <c r="AL590" s="448"/>
      <c r="AM590" s="448"/>
      <c r="AN590" s="448"/>
      <c r="AP590" s="448"/>
      <c r="AQ590" s="448"/>
      <c r="AR590" s="448"/>
      <c r="AS590" s="448"/>
      <c r="AT590" s="448"/>
      <c r="AU590" s="448"/>
      <c r="AV590" s="448"/>
      <c r="AW590" s="448"/>
      <c r="AX590" s="448"/>
    </row>
    <row r="591" spans="1:50" x14ac:dyDescent="0.4">
      <c r="A591" s="442" t="str">
        <f t="shared" si="107"/>
        <v>111974</v>
      </c>
      <c r="B591" s="442">
        <v>27334</v>
      </c>
      <c r="C591" s="455">
        <v>-4.8899999999999999E-2</v>
      </c>
      <c r="D591" s="438">
        <v>-1.1900000000000001E-2</v>
      </c>
      <c r="E591" s="438">
        <v>6.1999999999999998E-3</v>
      </c>
      <c r="F591" s="438">
        <v>7.4083333333333336E-3</v>
      </c>
      <c r="G591" s="438">
        <v>7.7833333333333331E-3</v>
      </c>
      <c r="H591" s="438">
        <v>7.5958333333333329E-3</v>
      </c>
      <c r="I591" s="438">
        <v>8.7166666666666677E-3</v>
      </c>
      <c r="J591" s="438">
        <f t="shared" si="108"/>
        <v>-5.5099999999999996E-2</v>
      </c>
      <c r="K591" s="438">
        <f t="shared" si="100"/>
        <v>-5.6495833333333328E-2</v>
      </c>
      <c r="L591" s="438">
        <f t="shared" si="101"/>
        <v>-2.0616666666666669E-2</v>
      </c>
      <c r="M591" s="446">
        <f t="shared" si="97"/>
        <v>-0.23832362090805137</v>
      </c>
      <c r="N591" s="446">
        <f t="shared" si="98"/>
        <v>7.4399999999999994E-2</v>
      </c>
      <c r="O591" s="446">
        <f t="shared" si="102"/>
        <v>9.1149999999999995E-2</v>
      </c>
      <c r="P591" s="447">
        <f t="shared" si="99"/>
        <v>-0.31272362090805139</v>
      </c>
      <c r="Q591" s="446">
        <f t="shared" si="103"/>
        <v>-0.32947362090805138</v>
      </c>
      <c r="R591" s="446">
        <f t="shared" si="104"/>
        <v>-0.18979714982769536</v>
      </c>
      <c r="S591" s="446">
        <f t="shared" si="105"/>
        <v>0.10460000000000001</v>
      </c>
      <c r="T591" s="447">
        <f t="shared" si="106"/>
        <v>-0.29439714982769538</v>
      </c>
      <c r="V591" s="448"/>
      <c r="W591" s="448"/>
      <c r="X591" s="448"/>
      <c r="Y591" s="448"/>
      <c r="Z591" s="448"/>
      <c r="AA591" s="448"/>
      <c r="AB591" s="448"/>
      <c r="AC591" s="448"/>
      <c r="AD591" s="448"/>
      <c r="AF591" s="448"/>
      <c r="AG591" s="448"/>
      <c r="AH591" s="448"/>
      <c r="AI591" s="448"/>
      <c r="AJ591" s="448"/>
      <c r="AK591" s="448"/>
      <c r="AL591" s="448"/>
      <c r="AM591" s="448"/>
      <c r="AN591" s="448"/>
      <c r="AP591" s="448"/>
      <c r="AQ591" s="448"/>
      <c r="AR591" s="448"/>
      <c r="AS591" s="448"/>
      <c r="AT591" s="448"/>
      <c r="AU591" s="448"/>
      <c r="AV591" s="448"/>
      <c r="AW591" s="448"/>
      <c r="AX591" s="448"/>
    </row>
    <row r="592" spans="1:50" x14ac:dyDescent="0.4">
      <c r="A592" s="442" t="str">
        <f t="shared" si="107"/>
        <v>121974</v>
      </c>
      <c r="B592" s="442">
        <v>27364</v>
      </c>
      <c r="C592" s="455">
        <v>-1.5599999999999999E-2</v>
      </c>
      <c r="D592" s="438">
        <v>4.4000000000000003E-3</v>
      </c>
      <c r="E592" s="438">
        <v>6.7000000000000002E-3</v>
      </c>
      <c r="F592" s="438">
        <v>7.4083333333333336E-3</v>
      </c>
      <c r="G592" s="438">
        <v>7.6666666666666662E-3</v>
      </c>
      <c r="H592" s="438">
        <v>7.5374999999999991E-3</v>
      </c>
      <c r="I592" s="438">
        <v>8.5583333333333327E-3</v>
      </c>
      <c r="J592" s="438">
        <f t="shared" si="108"/>
        <v>-2.23E-2</v>
      </c>
      <c r="K592" s="438">
        <f t="shared" si="100"/>
        <v>-2.3137499999999998E-2</v>
      </c>
      <c r="L592" s="438">
        <f t="shared" si="101"/>
        <v>-4.1583333333333325E-3</v>
      </c>
      <c r="M592" s="446">
        <f t="shared" ref="M592:M655" si="109">((1+C581)*(1+C582)*(1+C583)*(1+C584)*(1+C585)*(1+C586)*(1+C587)*(1+C588)*(1+C589)*(1+C590)*(1+C591)*(1+C592))-1</f>
        <v>-0.26476345599322015</v>
      </c>
      <c r="N592" s="446">
        <f t="shared" ref="N592:N655" si="110">E592*12</f>
        <v>8.0399999999999999E-2</v>
      </c>
      <c r="O592" s="446">
        <f t="shared" si="102"/>
        <v>9.0449999999999989E-2</v>
      </c>
      <c r="P592" s="447">
        <f t="shared" ref="P592:P655" si="111">M592-N592</f>
        <v>-0.34516345599322018</v>
      </c>
      <c r="Q592" s="446">
        <f t="shared" si="103"/>
        <v>-0.35521345599322013</v>
      </c>
      <c r="R592" s="446">
        <f t="shared" si="104"/>
        <v>-0.21564554919222856</v>
      </c>
      <c r="S592" s="446">
        <f t="shared" si="105"/>
        <v>0.10269999999999999</v>
      </c>
      <c r="T592" s="447">
        <f t="shared" si="106"/>
        <v>-0.31834554919222857</v>
      </c>
      <c r="V592" s="448"/>
      <c r="W592" s="448"/>
      <c r="X592" s="448"/>
      <c r="Y592" s="448"/>
      <c r="Z592" s="448"/>
      <c r="AA592" s="448"/>
      <c r="AB592" s="448"/>
      <c r="AC592" s="448"/>
      <c r="AD592" s="448"/>
      <c r="AF592" s="448"/>
      <c r="AG592" s="448"/>
      <c r="AH592" s="448"/>
      <c r="AI592" s="448"/>
      <c r="AJ592" s="448"/>
      <c r="AK592" s="448"/>
      <c r="AL592" s="448"/>
      <c r="AM592" s="448"/>
      <c r="AN592" s="448"/>
      <c r="AP592" s="448"/>
      <c r="AQ592" s="448"/>
      <c r="AR592" s="448"/>
      <c r="AS592" s="448"/>
      <c r="AT592" s="448"/>
      <c r="AU592" s="448"/>
      <c r="AV592" s="448"/>
      <c r="AW592" s="448"/>
      <c r="AX592" s="448"/>
    </row>
    <row r="593" spans="1:50" x14ac:dyDescent="0.4">
      <c r="A593" s="442" t="str">
        <f t="shared" si="107"/>
        <v>11975</v>
      </c>
      <c r="B593" s="442">
        <v>27395</v>
      </c>
      <c r="C593" s="455">
        <v>0.12720000000000001</v>
      </c>
      <c r="D593" s="438">
        <v>0.18969999999999998</v>
      </c>
      <c r="E593" s="438">
        <v>6.7999999999999996E-3</v>
      </c>
      <c r="F593" s="438">
        <v>7.358333333333333E-3</v>
      </c>
      <c r="G593" s="438">
        <v>7.6083333333333333E-3</v>
      </c>
      <c r="H593" s="438">
        <v>7.4833333333333332E-3</v>
      </c>
      <c r="I593" s="438">
        <v>8.6416666666666673E-3</v>
      </c>
      <c r="J593" s="438">
        <f t="shared" si="108"/>
        <v>0.12040000000000001</v>
      </c>
      <c r="K593" s="438">
        <f t="shared" si="100"/>
        <v>0.11971666666666668</v>
      </c>
      <c r="L593" s="438">
        <f t="shared" si="101"/>
        <v>0.18105833333333332</v>
      </c>
      <c r="M593" s="446">
        <f t="shared" si="109"/>
        <v>-0.1652310310188938</v>
      </c>
      <c r="N593" s="446">
        <f t="shared" si="110"/>
        <v>8.1599999999999992E-2</v>
      </c>
      <c r="O593" s="446">
        <f t="shared" si="102"/>
        <v>8.9799999999999991E-2</v>
      </c>
      <c r="P593" s="447">
        <f t="shared" si="111"/>
        <v>-0.24683103101889381</v>
      </c>
      <c r="Q593" s="446">
        <f t="shared" si="103"/>
        <v>-0.25503103101889379</v>
      </c>
      <c r="R593" s="446">
        <f t="shared" si="104"/>
        <v>-0.10429401984449438</v>
      </c>
      <c r="S593" s="446">
        <f t="shared" si="105"/>
        <v>0.10370000000000001</v>
      </c>
      <c r="T593" s="447">
        <f t="shared" si="106"/>
        <v>-0.20799401984449439</v>
      </c>
      <c r="V593" s="448"/>
      <c r="W593" s="448"/>
      <c r="X593" s="448"/>
      <c r="Y593" s="448"/>
      <c r="Z593" s="448"/>
      <c r="AA593" s="448"/>
      <c r="AB593" s="448"/>
      <c r="AC593" s="448"/>
      <c r="AD593" s="448"/>
      <c r="AF593" s="448"/>
      <c r="AG593" s="448"/>
      <c r="AH593" s="448"/>
      <c r="AI593" s="448"/>
      <c r="AJ593" s="448"/>
      <c r="AK593" s="448"/>
      <c r="AL593" s="448"/>
      <c r="AM593" s="448"/>
      <c r="AN593" s="448"/>
      <c r="AP593" s="448"/>
      <c r="AQ593" s="448"/>
      <c r="AR593" s="448"/>
      <c r="AS593" s="448"/>
      <c r="AT593" s="448"/>
      <c r="AU593" s="448"/>
      <c r="AV593" s="448"/>
      <c r="AW593" s="448"/>
      <c r="AX593" s="448"/>
    </row>
    <row r="594" spans="1:50" x14ac:dyDescent="0.4">
      <c r="A594" s="442" t="str">
        <f t="shared" si="107"/>
        <v>21975</v>
      </c>
      <c r="B594" s="442">
        <v>27426</v>
      </c>
      <c r="C594" s="455">
        <v>6.3799999999999996E-2</v>
      </c>
      <c r="D594" s="438">
        <v>1.43E-2</v>
      </c>
      <c r="E594" s="438">
        <v>6.0000000000000001E-3</v>
      </c>
      <c r="F594" s="438">
        <v>7.1833333333333324E-3</v>
      </c>
      <c r="G594" s="438">
        <v>7.4250000000000002E-3</v>
      </c>
      <c r="H594" s="438">
        <v>7.3041666666666671E-3</v>
      </c>
      <c r="I594" s="438">
        <v>8.3250000000000008E-3</v>
      </c>
      <c r="J594" s="438">
        <f t="shared" si="108"/>
        <v>5.7799999999999997E-2</v>
      </c>
      <c r="K594" s="438">
        <f t="shared" si="100"/>
        <v>5.6495833333333328E-2</v>
      </c>
      <c r="L594" s="438">
        <f t="shared" si="101"/>
        <v>5.9749999999999994E-3</v>
      </c>
      <c r="M594" s="446">
        <f t="shared" si="109"/>
        <v>-0.11135071629930871</v>
      </c>
      <c r="N594" s="446">
        <f t="shared" si="110"/>
        <v>7.2000000000000008E-2</v>
      </c>
      <c r="O594" s="446">
        <f t="shared" si="102"/>
        <v>8.7650000000000006E-2</v>
      </c>
      <c r="P594" s="447">
        <f t="shared" si="111"/>
        <v>-0.18335071629930871</v>
      </c>
      <c r="Q594" s="446">
        <f t="shared" si="103"/>
        <v>-0.19900071629930871</v>
      </c>
      <c r="R594" s="446">
        <f t="shared" si="104"/>
        <v>-9.69040003263133E-2</v>
      </c>
      <c r="S594" s="446">
        <f t="shared" si="105"/>
        <v>9.9900000000000017E-2</v>
      </c>
      <c r="T594" s="447">
        <f t="shared" si="106"/>
        <v>-0.19680400032631332</v>
      </c>
      <c r="V594" s="448"/>
      <c r="W594" s="448"/>
      <c r="X594" s="448"/>
      <c r="Y594" s="448"/>
      <c r="Z594" s="448"/>
      <c r="AA594" s="448"/>
      <c r="AB594" s="448"/>
      <c r="AC594" s="448"/>
      <c r="AD594" s="448"/>
      <c r="AF594" s="448"/>
      <c r="AG594" s="448"/>
      <c r="AH594" s="448"/>
      <c r="AI594" s="448"/>
      <c r="AJ594" s="448"/>
      <c r="AK594" s="448"/>
      <c r="AL594" s="448"/>
      <c r="AM594" s="448"/>
      <c r="AN594" s="448"/>
      <c r="AP594" s="448"/>
      <c r="AQ594" s="448"/>
      <c r="AR594" s="448"/>
      <c r="AS594" s="448"/>
      <c r="AT594" s="448"/>
      <c r="AU594" s="448"/>
      <c r="AV594" s="448"/>
      <c r="AW594" s="448"/>
      <c r="AX594" s="448"/>
    </row>
    <row r="595" spans="1:50" x14ac:dyDescent="0.4">
      <c r="A595" s="442" t="str">
        <f t="shared" si="107"/>
        <v>31975</v>
      </c>
      <c r="B595" s="442">
        <v>27454</v>
      </c>
      <c r="C595" s="455">
        <v>2.5399999999999999E-2</v>
      </c>
      <c r="D595" s="438">
        <v>-2.1600000000000001E-2</v>
      </c>
      <c r="E595" s="438">
        <v>6.6E-3</v>
      </c>
      <c r="F595" s="438">
        <v>7.2250000000000005E-3</v>
      </c>
      <c r="G595" s="438">
        <v>7.4333333333333326E-3</v>
      </c>
      <c r="H595" s="438">
        <v>7.329166666666667E-3</v>
      </c>
      <c r="I595" s="438">
        <v>8.1000000000000013E-3</v>
      </c>
      <c r="J595" s="438">
        <f t="shared" si="108"/>
        <v>1.8799999999999997E-2</v>
      </c>
      <c r="K595" s="438">
        <f t="shared" si="100"/>
        <v>1.8070833333333331E-2</v>
      </c>
      <c r="L595" s="438">
        <f t="shared" si="101"/>
        <v>-2.9700000000000004E-2</v>
      </c>
      <c r="M595" s="446">
        <f t="shared" si="109"/>
        <v>-6.9708039298939206E-2</v>
      </c>
      <c r="N595" s="446">
        <f t="shared" si="110"/>
        <v>7.9199999999999993E-2</v>
      </c>
      <c r="O595" s="446">
        <f t="shared" si="102"/>
        <v>8.795E-2</v>
      </c>
      <c r="P595" s="447">
        <f t="shared" si="111"/>
        <v>-0.1489080392989392</v>
      </c>
      <c r="Q595" s="446">
        <f t="shared" si="103"/>
        <v>-0.15765803929893921</v>
      </c>
      <c r="R595" s="446">
        <f t="shared" si="104"/>
        <v>-8.0648084402522469E-2</v>
      </c>
      <c r="S595" s="446">
        <f t="shared" si="105"/>
        <v>9.7200000000000009E-2</v>
      </c>
      <c r="T595" s="447">
        <f t="shared" si="106"/>
        <v>-0.17784808440252248</v>
      </c>
      <c r="V595" s="448"/>
      <c r="W595" s="448"/>
      <c r="X595" s="448"/>
      <c r="Y595" s="448"/>
      <c r="Z595" s="448"/>
      <c r="AA595" s="448"/>
      <c r="AB595" s="448"/>
      <c r="AC595" s="448"/>
      <c r="AD595" s="448"/>
      <c r="AF595" s="448"/>
      <c r="AG595" s="448"/>
      <c r="AH595" s="448"/>
      <c r="AI595" s="448"/>
      <c r="AJ595" s="448"/>
      <c r="AK595" s="448"/>
      <c r="AL595" s="448"/>
      <c r="AM595" s="448"/>
      <c r="AN595" s="448"/>
      <c r="AP595" s="448"/>
      <c r="AQ595" s="448"/>
      <c r="AR595" s="448"/>
      <c r="AS595" s="448"/>
      <c r="AT595" s="448"/>
      <c r="AU595" s="448"/>
      <c r="AV595" s="448"/>
      <c r="AW595" s="448"/>
      <c r="AX595" s="448"/>
    </row>
    <row r="596" spans="1:50" x14ac:dyDescent="0.4">
      <c r="A596" s="442" t="str">
        <f t="shared" si="107"/>
        <v>41975</v>
      </c>
      <c r="B596" s="442">
        <v>27485</v>
      </c>
      <c r="C596" s="455">
        <v>5.0999999999999997E-2</v>
      </c>
      <c r="D596" s="438">
        <v>-1.4000000000000002E-2</v>
      </c>
      <c r="E596" s="438">
        <v>6.7000000000000002E-3</v>
      </c>
      <c r="F596" s="438">
        <v>7.4583333333333324E-3</v>
      </c>
      <c r="G596" s="438">
        <v>7.658333333333333E-3</v>
      </c>
      <c r="H596" s="438">
        <v>7.5583333333333327E-3</v>
      </c>
      <c r="I596" s="438">
        <v>8.3833333333333329E-3</v>
      </c>
      <c r="J596" s="438">
        <f t="shared" si="108"/>
        <v>4.4299999999999999E-2</v>
      </c>
      <c r="K596" s="438">
        <f t="shared" si="100"/>
        <v>4.3441666666666663E-2</v>
      </c>
      <c r="L596" s="438">
        <f t="shared" si="101"/>
        <v>-2.2383333333333335E-2</v>
      </c>
      <c r="M596" s="446">
        <f t="shared" si="109"/>
        <v>1.4144643394683909E-2</v>
      </c>
      <c r="N596" s="446">
        <f t="shared" si="110"/>
        <v>8.0399999999999999E-2</v>
      </c>
      <c r="O596" s="446">
        <f t="shared" si="102"/>
        <v>9.0699999999999989E-2</v>
      </c>
      <c r="P596" s="447">
        <f t="shared" si="111"/>
        <v>-6.625535660531609E-2</v>
      </c>
      <c r="Q596" s="446">
        <f t="shared" si="103"/>
        <v>-7.655535660531608E-2</v>
      </c>
      <c r="R596" s="446">
        <f t="shared" si="104"/>
        <v>4.1453341887767392E-2</v>
      </c>
      <c r="S596" s="446">
        <f t="shared" si="105"/>
        <v>0.10059999999999999</v>
      </c>
      <c r="T596" s="447">
        <f t="shared" si="106"/>
        <v>-5.9146658112232603E-2</v>
      </c>
      <c r="V596" s="448"/>
      <c r="W596" s="448"/>
      <c r="X596" s="448"/>
      <c r="Y596" s="448"/>
      <c r="Z596" s="448"/>
      <c r="AA596" s="448"/>
      <c r="AB596" s="448"/>
      <c r="AC596" s="448"/>
      <c r="AD596" s="448"/>
      <c r="AF596" s="448"/>
      <c r="AG596" s="448"/>
      <c r="AH596" s="448"/>
      <c r="AI596" s="448"/>
      <c r="AJ596" s="448"/>
      <c r="AK596" s="448"/>
      <c r="AL596" s="448"/>
      <c r="AM596" s="448"/>
      <c r="AN596" s="448"/>
      <c r="AP596" s="448"/>
      <c r="AQ596" s="448"/>
      <c r="AR596" s="448"/>
      <c r="AS596" s="448"/>
      <c r="AT596" s="448"/>
      <c r="AU596" s="448"/>
      <c r="AV596" s="448"/>
      <c r="AW596" s="448"/>
      <c r="AX596" s="448"/>
    </row>
    <row r="597" spans="1:50" x14ac:dyDescent="0.4">
      <c r="A597" s="442" t="str">
        <f t="shared" si="107"/>
        <v>51975</v>
      </c>
      <c r="B597" s="442">
        <v>27515</v>
      </c>
      <c r="C597" s="455">
        <v>4.7600000000000003E-2</v>
      </c>
      <c r="D597" s="438">
        <v>8.6599999999999996E-2</v>
      </c>
      <c r="E597" s="438">
        <v>6.7000000000000002E-3</v>
      </c>
      <c r="F597" s="438">
        <v>7.4166666666666669E-3</v>
      </c>
      <c r="G597" s="438">
        <v>7.7000000000000002E-3</v>
      </c>
      <c r="H597" s="438">
        <v>7.5583333333333336E-3</v>
      </c>
      <c r="I597" s="438">
        <v>8.5249999999999996E-3</v>
      </c>
      <c r="J597" s="438">
        <f t="shared" si="108"/>
        <v>4.0900000000000006E-2</v>
      </c>
      <c r="K597" s="438">
        <f t="shared" si="100"/>
        <v>4.004166666666667E-2</v>
      </c>
      <c r="L597" s="438">
        <f t="shared" si="101"/>
        <v>7.8074999999999992E-2</v>
      </c>
      <c r="M597" s="446">
        <f t="shared" si="109"/>
        <v>9.550209158617351E-2</v>
      </c>
      <c r="N597" s="446">
        <f t="shared" si="110"/>
        <v>8.0399999999999999E-2</v>
      </c>
      <c r="O597" s="446">
        <f t="shared" si="102"/>
        <v>9.0700000000000003E-2</v>
      </c>
      <c r="P597" s="447">
        <f t="shared" si="111"/>
        <v>1.5102091586173511E-2</v>
      </c>
      <c r="Q597" s="446">
        <f t="shared" si="103"/>
        <v>4.802091586173507E-3</v>
      </c>
      <c r="R597" s="446">
        <f t="shared" si="104"/>
        <v>0.18920050577474568</v>
      </c>
      <c r="S597" s="446">
        <f t="shared" si="105"/>
        <v>0.1023</v>
      </c>
      <c r="T597" s="447">
        <f t="shared" si="106"/>
        <v>8.6900505774745673E-2</v>
      </c>
      <c r="V597" s="448"/>
      <c r="W597" s="448"/>
      <c r="X597" s="448"/>
      <c r="Y597" s="448"/>
      <c r="Z597" s="448"/>
      <c r="AA597" s="448"/>
      <c r="AB597" s="448"/>
      <c r="AC597" s="448"/>
      <c r="AD597" s="448"/>
      <c r="AF597" s="448"/>
      <c r="AG597" s="448"/>
      <c r="AH597" s="448"/>
      <c r="AI597" s="448"/>
      <c r="AJ597" s="448"/>
      <c r="AK597" s="448"/>
      <c r="AL597" s="448"/>
      <c r="AM597" s="448"/>
      <c r="AN597" s="448"/>
      <c r="AP597" s="448"/>
      <c r="AQ597" s="448"/>
      <c r="AR597" s="448"/>
      <c r="AS597" s="448"/>
      <c r="AT597" s="448"/>
      <c r="AU597" s="448"/>
      <c r="AV597" s="448"/>
      <c r="AW597" s="448"/>
      <c r="AX597" s="448"/>
    </row>
    <row r="598" spans="1:50" x14ac:dyDescent="0.4">
      <c r="A598" s="442" t="str">
        <f t="shared" si="107"/>
        <v>61975</v>
      </c>
      <c r="B598" s="442">
        <v>27546</v>
      </c>
      <c r="C598" s="455">
        <v>4.7699999999999999E-2</v>
      </c>
      <c r="D598" s="438">
        <v>0.1067</v>
      </c>
      <c r="E598" s="438">
        <v>7.000000000000001E-3</v>
      </c>
      <c r="F598" s="438">
        <v>7.3083333333333333E-3</v>
      </c>
      <c r="G598" s="438">
        <v>7.6083333333333333E-3</v>
      </c>
      <c r="H598" s="438">
        <v>7.4583333333333333E-3</v>
      </c>
      <c r="I598" s="438">
        <v>8.416666666666666E-3</v>
      </c>
      <c r="J598" s="438">
        <f t="shared" si="108"/>
        <v>4.07E-2</v>
      </c>
      <c r="K598" s="438">
        <f t="shared" si="100"/>
        <v>4.0241666666666669E-2</v>
      </c>
      <c r="L598" s="438">
        <f t="shared" si="101"/>
        <v>9.8283333333333334E-2</v>
      </c>
      <c r="M598" s="446">
        <f t="shared" si="109"/>
        <v>0.16087543375627988</v>
      </c>
      <c r="N598" s="446">
        <f t="shared" si="110"/>
        <v>8.4000000000000019E-2</v>
      </c>
      <c r="O598" s="446">
        <f t="shared" si="102"/>
        <v>8.9499999999999996E-2</v>
      </c>
      <c r="P598" s="447">
        <f t="shared" si="111"/>
        <v>7.6875433756279865E-2</v>
      </c>
      <c r="Q598" s="446">
        <f t="shared" si="103"/>
        <v>7.1375433756279888E-2</v>
      </c>
      <c r="R598" s="446">
        <f t="shared" si="104"/>
        <v>0.39563966038272613</v>
      </c>
      <c r="S598" s="446">
        <f t="shared" si="105"/>
        <v>0.10099999999999999</v>
      </c>
      <c r="T598" s="447">
        <f t="shared" si="106"/>
        <v>0.29463966038272615</v>
      </c>
      <c r="V598" s="448"/>
      <c r="W598" s="448"/>
      <c r="X598" s="448"/>
      <c r="Y598" s="448"/>
      <c r="Z598" s="448"/>
      <c r="AA598" s="448"/>
      <c r="AB598" s="448"/>
      <c r="AC598" s="448"/>
      <c r="AD598" s="448"/>
      <c r="AF598" s="448"/>
      <c r="AG598" s="448"/>
      <c r="AH598" s="448"/>
      <c r="AI598" s="448"/>
      <c r="AJ598" s="448"/>
      <c r="AK598" s="448"/>
      <c r="AL598" s="448"/>
      <c r="AM598" s="448"/>
      <c r="AN598" s="448"/>
      <c r="AP598" s="448"/>
      <c r="AQ598" s="448"/>
      <c r="AR598" s="448"/>
      <c r="AS598" s="448"/>
      <c r="AT598" s="448"/>
      <c r="AU598" s="448"/>
      <c r="AV598" s="448"/>
      <c r="AW598" s="448"/>
      <c r="AX598" s="448"/>
    </row>
    <row r="599" spans="1:50" x14ac:dyDescent="0.4">
      <c r="A599" s="442" t="str">
        <f t="shared" si="107"/>
        <v>71975</v>
      </c>
      <c r="B599" s="442">
        <v>27576</v>
      </c>
      <c r="C599" s="455">
        <v>-6.4399999999999999E-2</v>
      </c>
      <c r="D599" s="438">
        <v>-5.1000000000000004E-2</v>
      </c>
      <c r="E599" s="438">
        <v>6.7999999999999996E-3</v>
      </c>
      <c r="F599" s="438">
        <v>7.3666666666666672E-3</v>
      </c>
      <c r="G599" s="438">
        <v>7.6083333333333333E-3</v>
      </c>
      <c r="H599" s="438">
        <v>7.4875000000000002E-3</v>
      </c>
      <c r="I599" s="438">
        <v>8.3416666666666656E-3</v>
      </c>
      <c r="J599" s="438">
        <f t="shared" si="108"/>
        <v>-7.1199999999999999E-2</v>
      </c>
      <c r="K599" s="438">
        <f t="shared" si="100"/>
        <v>-7.1887499999999993E-2</v>
      </c>
      <c r="L599" s="438">
        <f t="shared" si="101"/>
        <v>-5.9341666666666668E-2</v>
      </c>
      <c r="M599" s="446">
        <f t="shared" si="109"/>
        <v>0.17316381056640262</v>
      </c>
      <c r="N599" s="446">
        <f t="shared" si="110"/>
        <v>8.1599999999999992E-2</v>
      </c>
      <c r="O599" s="446">
        <f t="shared" si="102"/>
        <v>8.9849999999999999E-2</v>
      </c>
      <c r="P599" s="447">
        <f t="shared" si="111"/>
        <v>9.1563810566402629E-2</v>
      </c>
      <c r="Q599" s="446">
        <f t="shared" si="103"/>
        <v>8.3313810566402621E-2</v>
      </c>
      <c r="R599" s="446">
        <f t="shared" si="104"/>
        <v>0.33635560256604435</v>
      </c>
      <c r="S599" s="446">
        <f t="shared" si="105"/>
        <v>0.10009999999999999</v>
      </c>
      <c r="T599" s="447">
        <f t="shared" si="106"/>
        <v>0.23625560256604436</v>
      </c>
      <c r="V599" s="448"/>
      <c r="W599" s="448"/>
      <c r="X599" s="448"/>
      <c r="Y599" s="448"/>
      <c r="Z599" s="448"/>
      <c r="AA599" s="448"/>
      <c r="AB599" s="448"/>
      <c r="AC599" s="448"/>
      <c r="AD599" s="448"/>
      <c r="AF599" s="448"/>
      <c r="AG599" s="448"/>
      <c r="AH599" s="448"/>
      <c r="AI599" s="448"/>
      <c r="AJ599" s="448"/>
      <c r="AK599" s="448"/>
      <c r="AL599" s="448"/>
      <c r="AM599" s="448"/>
      <c r="AN599" s="448"/>
      <c r="AP599" s="448"/>
      <c r="AQ599" s="448"/>
      <c r="AR599" s="448"/>
      <c r="AS599" s="448"/>
      <c r="AT599" s="448"/>
      <c r="AU599" s="448"/>
      <c r="AV599" s="448"/>
      <c r="AW599" s="448"/>
      <c r="AX599" s="448"/>
    </row>
    <row r="600" spans="1:50" x14ac:dyDescent="0.4">
      <c r="A600" s="442" t="str">
        <f t="shared" si="107"/>
        <v>81975</v>
      </c>
      <c r="B600" s="442">
        <v>27607</v>
      </c>
      <c r="C600" s="455">
        <v>-1.7600000000000001E-2</v>
      </c>
      <c r="D600" s="438">
        <v>-2.1199999999999997E-2</v>
      </c>
      <c r="E600" s="438">
        <v>6.5000000000000006E-3</v>
      </c>
      <c r="F600" s="438">
        <v>7.4583333333333324E-3</v>
      </c>
      <c r="G600" s="438">
        <v>7.691666666666667E-3</v>
      </c>
      <c r="H600" s="438">
        <v>7.5749999999999993E-3</v>
      </c>
      <c r="I600" s="438">
        <v>8.4333333333333326E-3</v>
      </c>
      <c r="J600" s="438">
        <f t="shared" si="108"/>
        <v>-2.4100000000000003E-2</v>
      </c>
      <c r="K600" s="438">
        <f t="shared" si="100"/>
        <v>-2.5174999999999999E-2</v>
      </c>
      <c r="L600" s="438">
        <f t="shared" si="101"/>
        <v>-2.9633333333333331E-2</v>
      </c>
      <c r="M600" s="446">
        <f t="shared" si="109"/>
        <v>0.26151064743917929</v>
      </c>
      <c r="N600" s="446">
        <f t="shared" si="110"/>
        <v>7.8000000000000014E-2</v>
      </c>
      <c r="O600" s="446">
        <f t="shared" si="102"/>
        <v>9.0899999999999995E-2</v>
      </c>
      <c r="P600" s="447">
        <f t="shared" si="111"/>
        <v>0.18351064743917928</v>
      </c>
      <c r="Q600" s="446">
        <f t="shared" si="103"/>
        <v>0.17061064743917931</v>
      </c>
      <c r="R600" s="446">
        <f t="shared" si="104"/>
        <v>0.43282381837183115</v>
      </c>
      <c r="S600" s="446">
        <f t="shared" si="105"/>
        <v>0.10119999999999998</v>
      </c>
      <c r="T600" s="447">
        <f t="shared" si="106"/>
        <v>0.33162381837183119</v>
      </c>
      <c r="V600" s="448"/>
      <c r="W600" s="448"/>
      <c r="X600" s="448"/>
      <c r="Y600" s="448"/>
      <c r="Z600" s="448"/>
      <c r="AA600" s="448"/>
      <c r="AB600" s="448"/>
      <c r="AC600" s="448"/>
      <c r="AD600" s="448"/>
      <c r="AF600" s="448"/>
      <c r="AG600" s="448"/>
      <c r="AH600" s="448"/>
      <c r="AI600" s="448"/>
      <c r="AJ600" s="448"/>
      <c r="AK600" s="448"/>
      <c r="AL600" s="448"/>
      <c r="AM600" s="448"/>
      <c r="AN600" s="448"/>
      <c r="AP600" s="448"/>
      <c r="AQ600" s="448"/>
      <c r="AR600" s="448"/>
      <c r="AS600" s="448"/>
      <c r="AT600" s="448"/>
      <c r="AU600" s="448"/>
      <c r="AV600" s="448"/>
      <c r="AW600" s="448"/>
      <c r="AX600" s="448"/>
    </row>
    <row r="601" spans="1:50" x14ac:dyDescent="0.4">
      <c r="A601" s="442" t="str">
        <f t="shared" si="107"/>
        <v>91975</v>
      </c>
      <c r="B601" s="442">
        <v>27638</v>
      </c>
      <c r="C601" s="455">
        <v>-3.1199999999999999E-2</v>
      </c>
      <c r="D601" s="438">
        <v>-4.9000000000000007E-3</v>
      </c>
      <c r="E601" s="438">
        <v>7.3000000000000001E-3</v>
      </c>
      <c r="F601" s="438">
        <v>7.4583333333333324E-3</v>
      </c>
      <c r="G601" s="438">
        <v>7.7916666666666664E-3</v>
      </c>
      <c r="H601" s="438">
        <v>7.6249999999999998E-3</v>
      </c>
      <c r="I601" s="438">
        <v>8.4916666666666665E-3</v>
      </c>
      <c r="J601" s="438">
        <f t="shared" si="108"/>
        <v>-3.85E-2</v>
      </c>
      <c r="K601" s="438">
        <f t="shared" si="100"/>
        <v>-3.8824999999999998E-2</v>
      </c>
      <c r="L601" s="438">
        <f t="shared" si="101"/>
        <v>-1.3391666666666666E-2</v>
      </c>
      <c r="M601" s="446">
        <f t="shared" si="109"/>
        <v>0.38127431649986065</v>
      </c>
      <c r="N601" s="446">
        <f t="shared" si="110"/>
        <v>8.7599999999999997E-2</v>
      </c>
      <c r="O601" s="446">
        <f t="shared" si="102"/>
        <v>9.1499999999999998E-2</v>
      </c>
      <c r="P601" s="447">
        <f t="shared" si="111"/>
        <v>0.29367431649986064</v>
      </c>
      <c r="Q601" s="446">
        <f t="shared" si="103"/>
        <v>0.28977431649986063</v>
      </c>
      <c r="R601" s="446">
        <f t="shared" si="104"/>
        <v>0.43817125445007998</v>
      </c>
      <c r="S601" s="446">
        <f t="shared" si="105"/>
        <v>0.10189999999999999</v>
      </c>
      <c r="T601" s="447">
        <f t="shared" si="106"/>
        <v>0.33627125445007999</v>
      </c>
      <c r="V601" s="448"/>
      <c r="W601" s="448"/>
      <c r="X601" s="448"/>
      <c r="Y601" s="448"/>
      <c r="Z601" s="448"/>
      <c r="AA601" s="448"/>
      <c r="AB601" s="448"/>
      <c r="AC601" s="448"/>
      <c r="AD601" s="448"/>
      <c r="AF601" s="448"/>
      <c r="AG601" s="448"/>
      <c r="AH601" s="448"/>
      <c r="AI601" s="448"/>
      <c r="AJ601" s="448"/>
      <c r="AK601" s="448"/>
      <c r="AL601" s="448"/>
      <c r="AM601" s="448"/>
      <c r="AN601" s="448"/>
      <c r="AP601" s="448"/>
      <c r="AQ601" s="448"/>
      <c r="AR601" s="448"/>
      <c r="AS601" s="448"/>
      <c r="AT601" s="448"/>
      <c r="AU601" s="448"/>
      <c r="AV601" s="448"/>
      <c r="AW601" s="448"/>
      <c r="AX601" s="448"/>
    </row>
    <row r="602" spans="1:50" x14ac:dyDescent="0.4">
      <c r="A602" s="442" t="str">
        <f t="shared" si="107"/>
        <v>101975</v>
      </c>
      <c r="B602" s="442">
        <v>27668</v>
      </c>
      <c r="C602" s="455">
        <v>6.5299999999999997E-2</v>
      </c>
      <c r="D602" s="438">
        <v>7.0800000000000002E-2</v>
      </c>
      <c r="E602" s="438">
        <v>7.1999999999999998E-3</v>
      </c>
      <c r="F602" s="438">
        <v>7.3833333333333329E-3</v>
      </c>
      <c r="G602" s="438">
        <v>7.7666666666666674E-3</v>
      </c>
      <c r="H602" s="438">
        <v>7.575000000000001E-3</v>
      </c>
      <c r="I602" s="438">
        <v>8.4666666666666675E-3</v>
      </c>
      <c r="J602" s="438">
        <f t="shared" si="108"/>
        <v>5.8099999999999999E-2</v>
      </c>
      <c r="K602" s="438">
        <f t="shared" si="100"/>
        <v>5.7724999999999999E-2</v>
      </c>
      <c r="L602" s="438">
        <f t="shared" si="101"/>
        <v>6.2333333333333338E-2</v>
      </c>
      <c r="M602" s="446">
        <f t="shared" si="109"/>
        <v>0.25971366267211859</v>
      </c>
      <c r="N602" s="446">
        <f t="shared" si="110"/>
        <v>8.6400000000000005E-2</v>
      </c>
      <c r="O602" s="446">
        <f t="shared" si="102"/>
        <v>9.0900000000000009E-2</v>
      </c>
      <c r="P602" s="447">
        <f t="shared" si="111"/>
        <v>0.17331366267211859</v>
      </c>
      <c r="Q602" s="446">
        <f t="shared" si="103"/>
        <v>0.16881366267211859</v>
      </c>
      <c r="R602" s="446">
        <f t="shared" si="104"/>
        <v>0.37511722409603165</v>
      </c>
      <c r="S602" s="446">
        <f t="shared" si="105"/>
        <v>0.10160000000000001</v>
      </c>
      <c r="T602" s="447">
        <f t="shared" si="106"/>
        <v>0.27351722409603163</v>
      </c>
      <c r="V602" s="448"/>
      <c r="W602" s="448"/>
      <c r="X602" s="448"/>
      <c r="Y602" s="448"/>
      <c r="Z602" s="448"/>
      <c r="AA602" s="448"/>
      <c r="AB602" s="448"/>
      <c r="AC602" s="448"/>
      <c r="AD602" s="448"/>
      <c r="AF602" s="448"/>
      <c r="AG602" s="448"/>
      <c r="AH602" s="448"/>
      <c r="AI602" s="448"/>
      <c r="AJ602" s="448"/>
      <c r="AK602" s="448"/>
      <c r="AL602" s="448"/>
      <c r="AM602" s="448"/>
      <c r="AN602" s="448"/>
      <c r="AP602" s="448"/>
      <c r="AQ602" s="448"/>
      <c r="AR602" s="448"/>
      <c r="AS602" s="448"/>
      <c r="AT602" s="448"/>
      <c r="AU602" s="448"/>
      <c r="AV602" s="448"/>
      <c r="AW602" s="448"/>
      <c r="AX602" s="448"/>
    </row>
    <row r="603" spans="1:50" x14ac:dyDescent="0.4">
      <c r="A603" s="442" t="str">
        <f t="shared" si="107"/>
        <v>111975</v>
      </c>
      <c r="B603" s="442">
        <v>27699</v>
      </c>
      <c r="C603" s="455">
        <v>2.8199999999999999E-2</v>
      </c>
      <c r="D603" s="438">
        <v>3.5000000000000003E-2</v>
      </c>
      <c r="E603" s="438">
        <v>6.0999999999999995E-3</v>
      </c>
      <c r="F603" s="438">
        <v>7.3166666666666658E-3</v>
      </c>
      <c r="G603" s="438">
        <v>7.691666666666667E-3</v>
      </c>
      <c r="H603" s="438">
        <v>7.5041666666666659E-3</v>
      </c>
      <c r="I603" s="438">
        <v>8.3666666666666663E-3</v>
      </c>
      <c r="J603" s="438">
        <f t="shared" si="108"/>
        <v>2.2100000000000002E-2</v>
      </c>
      <c r="K603" s="438">
        <f t="shared" si="100"/>
        <v>2.0695833333333333E-2</v>
      </c>
      <c r="L603" s="438">
        <f t="shared" si="101"/>
        <v>2.6633333333333335E-2</v>
      </c>
      <c r="M603" s="446">
        <f t="shared" si="109"/>
        <v>0.36183113022760183</v>
      </c>
      <c r="N603" s="446">
        <f t="shared" si="110"/>
        <v>7.3199999999999987E-2</v>
      </c>
      <c r="O603" s="446">
        <f t="shared" si="102"/>
        <v>9.0049999999999991E-2</v>
      </c>
      <c r="P603" s="447">
        <f t="shared" si="111"/>
        <v>0.28863113022760184</v>
      </c>
      <c r="Q603" s="446">
        <f t="shared" si="103"/>
        <v>0.27178113022760186</v>
      </c>
      <c r="R603" s="446">
        <f t="shared" si="104"/>
        <v>0.44038693142333041</v>
      </c>
      <c r="S603" s="446">
        <f t="shared" si="105"/>
        <v>0.10039999999999999</v>
      </c>
      <c r="T603" s="447">
        <f t="shared" si="106"/>
        <v>0.33998693142333042</v>
      </c>
      <c r="V603" s="448"/>
      <c r="W603" s="448"/>
      <c r="X603" s="448"/>
      <c r="Y603" s="448"/>
      <c r="Z603" s="448"/>
      <c r="AA603" s="448"/>
      <c r="AB603" s="448"/>
      <c r="AC603" s="448"/>
      <c r="AD603" s="448"/>
      <c r="AF603" s="448"/>
      <c r="AG603" s="448"/>
      <c r="AH603" s="448"/>
      <c r="AI603" s="448"/>
      <c r="AJ603" s="448"/>
      <c r="AK603" s="448"/>
      <c r="AL603" s="448"/>
      <c r="AM603" s="448"/>
      <c r="AN603" s="448"/>
      <c r="AP603" s="448"/>
      <c r="AQ603" s="448"/>
      <c r="AR603" s="448"/>
      <c r="AS603" s="448"/>
      <c r="AT603" s="448"/>
      <c r="AU603" s="448"/>
      <c r="AV603" s="448"/>
      <c r="AW603" s="448"/>
      <c r="AX603" s="448"/>
    </row>
    <row r="604" spans="1:50" x14ac:dyDescent="0.4">
      <c r="A604" s="442" t="str">
        <f t="shared" si="107"/>
        <v>121975</v>
      </c>
      <c r="B604" s="442">
        <v>27729</v>
      </c>
      <c r="C604" s="455">
        <v>-8.0999999999999996E-3</v>
      </c>
      <c r="D604" s="438">
        <v>7.6999999999999994E-3</v>
      </c>
      <c r="E604" s="438">
        <v>7.4999999999999997E-3</v>
      </c>
      <c r="F604" s="438">
        <v>7.324999999999999E-3</v>
      </c>
      <c r="G604" s="438">
        <v>7.7125000000000006E-3</v>
      </c>
      <c r="H604" s="438">
        <v>7.5187500000000011E-3</v>
      </c>
      <c r="I604" s="438">
        <v>8.4249999999999985E-3</v>
      </c>
      <c r="J604" s="438">
        <f t="shared" si="108"/>
        <v>-1.5599999999999999E-2</v>
      </c>
      <c r="K604" s="438">
        <f t="shared" si="100"/>
        <v>-1.5618750000000001E-2</v>
      </c>
      <c r="L604" s="438">
        <f t="shared" si="101"/>
        <v>-7.2499999999999908E-4</v>
      </c>
      <c r="M604" s="446">
        <f t="shared" si="109"/>
        <v>0.37220672295079016</v>
      </c>
      <c r="N604" s="446">
        <f t="shared" si="110"/>
        <v>0.09</v>
      </c>
      <c r="O604" s="446">
        <f t="shared" si="102"/>
        <v>9.0225000000000014E-2</v>
      </c>
      <c r="P604" s="447">
        <f t="shared" si="111"/>
        <v>0.28220672295079019</v>
      </c>
      <c r="Q604" s="446">
        <f t="shared" si="103"/>
        <v>0.28198172295079016</v>
      </c>
      <c r="R604" s="446">
        <f t="shared" si="104"/>
        <v>0.44511938549909402</v>
      </c>
      <c r="S604" s="446">
        <f t="shared" si="105"/>
        <v>0.10109999999999998</v>
      </c>
      <c r="T604" s="447">
        <f t="shared" si="106"/>
        <v>0.34401938549909405</v>
      </c>
      <c r="V604" s="448"/>
      <c r="W604" s="448"/>
      <c r="X604" s="448"/>
      <c r="Y604" s="448"/>
      <c r="Z604" s="448"/>
      <c r="AA604" s="448"/>
      <c r="AB604" s="448"/>
      <c r="AC604" s="448"/>
      <c r="AD604" s="448"/>
      <c r="AF604" s="448"/>
      <c r="AG604" s="448"/>
      <c r="AH604" s="448"/>
      <c r="AI604" s="448"/>
      <c r="AJ604" s="448"/>
      <c r="AK604" s="448"/>
      <c r="AL604" s="448"/>
      <c r="AM604" s="448"/>
      <c r="AN604" s="448"/>
      <c r="AP604" s="448"/>
      <c r="AQ604" s="448"/>
      <c r="AR604" s="448"/>
      <c r="AS604" s="448"/>
      <c r="AT604" s="448"/>
      <c r="AU604" s="448"/>
      <c r="AV604" s="448"/>
      <c r="AW604" s="448"/>
      <c r="AX604" s="448"/>
    </row>
    <row r="605" spans="1:50" x14ac:dyDescent="0.4">
      <c r="A605" s="442" t="str">
        <f t="shared" si="107"/>
        <v>11976</v>
      </c>
      <c r="B605" s="442">
        <v>27760</v>
      </c>
      <c r="C605" s="455">
        <v>0.1217</v>
      </c>
      <c r="D605" s="438">
        <v>8.9400000000000007E-2</v>
      </c>
      <c r="E605" s="438">
        <v>6.5000000000000006E-3</v>
      </c>
      <c r="F605" s="438">
        <v>7.1666666666666667E-3</v>
      </c>
      <c r="G605" s="438">
        <v>7.6083333333333333E-3</v>
      </c>
      <c r="H605" s="438">
        <v>7.3875E-3</v>
      </c>
      <c r="I605" s="438">
        <v>8.2500000000000004E-3</v>
      </c>
      <c r="J605" s="438">
        <f t="shared" si="108"/>
        <v>0.1152</v>
      </c>
      <c r="K605" s="438">
        <f t="shared" ref="K605:K668" si="112">C605-H605</f>
        <v>0.1143125</v>
      </c>
      <c r="L605" s="438">
        <f t="shared" ref="L605:L668" si="113">$D605-I605</f>
        <v>8.115E-2</v>
      </c>
      <c r="M605" s="446">
        <f t="shared" si="109"/>
        <v>0.36551125011879138</v>
      </c>
      <c r="N605" s="446">
        <f t="shared" si="110"/>
        <v>7.8000000000000014E-2</v>
      </c>
      <c r="O605" s="446">
        <f t="shared" si="102"/>
        <v>8.8650000000000007E-2</v>
      </c>
      <c r="P605" s="447">
        <f t="shared" si="111"/>
        <v>0.28751125011879136</v>
      </c>
      <c r="Q605" s="446">
        <f t="shared" si="103"/>
        <v>0.27686125011879137</v>
      </c>
      <c r="R605" s="446">
        <f t="shared" si="104"/>
        <v>0.32328575150265881</v>
      </c>
      <c r="S605" s="446">
        <f t="shared" si="105"/>
        <v>9.9000000000000005E-2</v>
      </c>
      <c r="T605" s="447">
        <f t="shared" si="106"/>
        <v>0.22428575150265881</v>
      </c>
      <c r="V605" s="448"/>
      <c r="W605" s="448"/>
      <c r="X605" s="448"/>
      <c r="Y605" s="448"/>
      <c r="Z605" s="448"/>
      <c r="AA605" s="448"/>
      <c r="AB605" s="448"/>
      <c r="AC605" s="448"/>
      <c r="AD605" s="448"/>
      <c r="AF605" s="448"/>
      <c r="AG605" s="448"/>
      <c r="AH605" s="448"/>
      <c r="AI605" s="448"/>
      <c r="AJ605" s="448"/>
      <c r="AK605" s="448"/>
      <c r="AL605" s="448"/>
      <c r="AM605" s="448"/>
      <c r="AN605" s="448"/>
      <c r="AP605" s="448"/>
      <c r="AQ605" s="448"/>
      <c r="AR605" s="448"/>
      <c r="AS605" s="448"/>
      <c r="AT605" s="448"/>
      <c r="AU605" s="448"/>
      <c r="AV605" s="448"/>
      <c r="AW605" s="448"/>
      <c r="AX605" s="448"/>
    </row>
    <row r="606" spans="1:50" x14ac:dyDescent="0.4">
      <c r="A606" s="442" t="str">
        <f t="shared" si="107"/>
        <v>21976</v>
      </c>
      <c r="B606" s="442">
        <v>27791</v>
      </c>
      <c r="C606" s="455">
        <v>-8.3999999999999995E-3</v>
      </c>
      <c r="D606" s="438">
        <v>-3.56E-2</v>
      </c>
      <c r="E606" s="438">
        <v>6.1000000000000004E-3</v>
      </c>
      <c r="F606" s="438">
        <v>7.1250000000000003E-3</v>
      </c>
      <c r="G606" s="438">
        <v>7.5166666666666663E-3</v>
      </c>
      <c r="H606" s="438">
        <v>7.3208333333333328E-3</v>
      </c>
      <c r="I606" s="438">
        <v>8.0916666666666671E-3</v>
      </c>
      <c r="J606" s="438">
        <f t="shared" si="108"/>
        <v>-1.4499999999999999E-2</v>
      </c>
      <c r="K606" s="438">
        <f t="shared" si="112"/>
        <v>-1.5720833333333333E-2</v>
      </c>
      <c r="L606" s="438">
        <f t="shared" si="113"/>
        <v>-4.369166666666667E-2</v>
      </c>
      <c r="M606" s="446">
        <f t="shared" si="109"/>
        <v>0.27283413763658015</v>
      </c>
      <c r="N606" s="446">
        <f t="shared" si="110"/>
        <v>7.3200000000000001E-2</v>
      </c>
      <c r="O606" s="446">
        <f t="shared" si="102"/>
        <v>8.7849999999999998E-2</v>
      </c>
      <c r="P606" s="447">
        <f t="shared" si="111"/>
        <v>0.19963413763658017</v>
      </c>
      <c r="Q606" s="446">
        <f t="shared" si="103"/>
        <v>0.18498413763658017</v>
      </c>
      <c r="R606" s="446">
        <f t="shared" si="104"/>
        <v>0.25818473700992195</v>
      </c>
      <c r="S606" s="446">
        <f t="shared" si="105"/>
        <v>9.7100000000000006E-2</v>
      </c>
      <c r="T606" s="447">
        <f t="shared" si="106"/>
        <v>0.16108473700992193</v>
      </c>
      <c r="V606" s="448"/>
      <c r="W606" s="448"/>
      <c r="X606" s="448"/>
      <c r="Y606" s="448"/>
      <c r="Z606" s="448"/>
      <c r="AA606" s="448"/>
      <c r="AB606" s="448"/>
      <c r="AC606" s="448"/>
      <c r="AD606" s="448"/>
      <c r="AF606" s="448"/>
      <c r="AG606" s="448"/>
      <c r="AH606" s="448"/>
      <c r="AI606" s="448"/>
      <c r="AJ606" s="448"/>
      <c r="AK606" s="448"/>
      <c r="AL606" s="448"/>
      <c r="AM606" s="448"/>
      <c r="AN606" s="448"/>
      <c r="AP606" s="448"/>
      <c r="AQ606" s="448"/>
      <c r="AR606" s="448"/>
      <c r="AS606" s="448"/>
      <c r="AT606" s="448"/>
      <c r="AU606" s="448"/>
      <c r="AV606" s="448"/>
      <c r="AW606" s="448"/>
      <c r="AX606" s="448"/>
    </row>
    <row r="607" spans="1:50" x14ac:dyDescent="0.4">
      <c r="A607" s="442" t="str">
        <f t="shared" si="107"/>
        <v>31976</v>
      </c>
      <c r="B607" s="442">
        <v>27820</v>
      </c>
      <c r="C607" s="455">
        <v>3.3700000000000001E-2</v>
      </c>
      <c r="D607" s="438">
        <v>0.01</v>
      </c>
      <c r="E607" s="438">
        <v>7.1000000000000004E-3</v>
      </c>
      <c r="F607" s="438">
        <v>7.0999999999999995E-3</v>
      </c>
      <c r="G607" s="438">
        <v>7.5083333333333339E-3</v>
      </c>
      <c r="H607" s="438">
        <v>7.3041666666666671E-3</v>
      </c>
      <c r="I607" s="438">
        <v>8.0583333333333323E-3</v>
      </c>
      <c r="J607" s="438">
        <f t="shared" si="108"/>
        <v>2.6599999999999999E-2</v>
      </c>
      <c r="K607" s="438">
        <f t="shared" si="112"/>
        <v>2.6395833333333334E-2</v>
      </c>
      <c r="L607" s="438">
        <f t="shared" si="113"/>
        <v>1.9416666666666679E-3</v>
      </c>
      <c r="M607" s="446">
        <f t="shared" si="109"/>
        <v>0.28313696906078833</v>
      </c>
      <c r="N607" s="446">
        <f t="shared" si="110"/>
        <v>8.5199999999999998E-2</v>
      </c>
      <c r="O607" s="446">
        <f t="shared" si="102"/>
        <v>8.7650000000000006E-2</v>
      </c>
      <c r="P607" s="447">
        <f t="shared" si="111"/>
        <v>0.19793696906078834</v>
      </c>
      <c r="Q607" s="446">
        <f t="shared" si="103"/>
        <v>0.19548696906078833</v>
      </c>
      <c r="R607" s="446">
        <f t="shared" si="104"/>
        <v>0.29882112058464982</v>
      </c>
      <c r="S607" s="446">
        <f t="shared" si="105"/>
        <v>9.669999999999998E-2</v>
      </c>
      <c r="T607" s="447">
        <f t="shared" si="106"/>
        <v>0.20212112058464984</v>
      </c>
      <c r="V607" s="448"/>
      <c r="W607" s="448"/>
      <c r="X607" s="448"/>
      <c r="Y607" s="448"/>
      <c r="Z607" s="448"/>
      <c r="AA607" s="448"/>
      <c r="AB607" s="448"/>
      <c r="AC607" s="448"/>
      <c r="AD607" s="448"/>
      <c r="AF607" s="448"/>
      <c r="AG607" s="448"/>
      <c r="AH607" s="448"/>
      <c r="AI607" s="448"/>
      <c r="AJ607" s="448"/>
      <c r="AK607" s="448"/>
      <c r="AL607" s="448"/>
      <c r="AM607" s="448"/>
      <c r="AN607" s="448"/>
      <c r="AP607" s="448"/>
      <c r="AQ607" s="448"/>
      <c r="AR607" s="448"/>
      <c r="AS607" s="448"/>
      <c r="AT607" s="448"/>
      <c r="AU607" s="448"/>
      <c r="AV607" s="448"/>
      <c r="AW607" s="448"/>
      <c r="AX607" s="448"/>
    </row>
    <row r="608" spans="1:50" x14ac:dyDescent="0.4">
      <c r="A608" s="442" t="str">
        <f t="shared" si="107"/>
        <v>41976</v>
      </c>
      <c r="B608" s="442">
        <v>27851</v>
      </c>
      <c r="C608" s="455">
        <v>-7.7999999999999996E-3</v>
      </c>
      <c r="D608" s="438">
        <v>3.7000000000000002E-3</v>
      </c>
      <c r="E608" s="438">
        <v>6.4000000000000003E-3</v>
      </c>
      <c r="F608" s="438">
        <v>7.000000000000001E-3</v>
      </c>
      <c r="G608" s="438">
        <v>7.4083333333333336E-3</v>
      </c>
      <c r="H608" s="438">
        <v>7.2041666666666669E-3</v>
      </c>
      <c r="I608" s="438">
        <v>7.9416666666666663E-3</v>
      </c>
      <c r="J608" s="438">
        <f t="shared" si="108"/>
        <v>-1.4200000000000001E-2</v>
      </c>
      <c r="K608" s="438">
        <f t="shared" si="112"/>
        <v>-1.5004166666666666E-2</v>
      </c>
      <c r="L608" s="438">
        <f t="shared" si="113"/>
        <v>-4.2416666666666662E-3</v>
      </c>
      <c r="M608" s="446">
        <f t="shared" si="109"/>
        <v>0.21134966765186891</v>
      </c>
      <c r="N608" s="446">
        <f t="shared" si="110"/>
        <v>7.6800000000000007E-2</v>
      </c>
      <c r="O608" s="446">
        <f t="shared" si="102"/>
        <v>8.6449999999999999E-2</v>
      </c>
      <c r="P608" s="447">
        <f t="shared" si="111"/>
        <v>0.1345496676518689</v>
      </c>
      <c r="Q608" s="446">
        <f t="shared" si="103"/>
        <v>0.12489966765186891</v>
      </c>
      <c r="R608" s="446">
        <f t="shared" si="104"/>
        <v>0.3221366721407839</v>
      </c>
      <c r="S608" s="446">
        <f t="shared" si="105"/>
        <v>9.5299999999999996E-2</v>
      </c>
      <c r="T608" s="447">
        <f t="shared" si="106"/>
        <v>0.2268366721407839</v>
      </c>
      <c r="V608" s="448"/>
      <c r="W608" s="448"/>
      <c r="X608" s="448"/>
      <c r="Y608" s="448"/>
      <c r="Z608" s="448"/>
      <c r="AA608" s="448"/>
      <c r="AB608" s="448"/>
      <c r="AC608" s="448"/>
      <c r="AD608" s="448"/>
      <c r="AF608" s="448"/>
      <c r="AG608" s="448"/>
      <c r="AH608" s="448"/>
      <c r="AI608" s="448"/>
      <c r="AJ608" s="448"/>
      <c r="AK608" s="448"/>
      <c r="AL608" s="448"/>
      <c r="AM608" s="448"/>
      <c r="AN608" s="448"/>
      <c r="AP608" s="448"/>
      <c r="AQ608" s="448"/>
      <c r="AR608" s="448"/>
      <c r="AS608" s="448"/>
      <c r="AT608" s="448"/>
      <c r="AU608" s="448"/>
      <c r="AV608" s="448"/>
      <c r="AW608" s="448"/>
      <c r="AX608" s="448"/>
    </row>
    <row r="609" spans="1:50" x14ac:dyDescent="0.4">
      <c r="A609" s="442" t="str">
        <f t="shared" si="107"/>
        <v>51976</v>
      </c>
      <c r="B609" s="442">
        <v>27881</v>
      </c>
      <c r="C609" s="455">
        <v>-1.11E-2</v>
      </c>
      <c r="D609" s="438">
        <v>-1.3899999999999999E-2</v>
      </c>
      <c r="E609" s="438">
        <v>5.8999999999999999E-3</v>
      </c>
      <c r="F609" s="438">
        <v>7.1500000000000001E-3</v>
      </c>
      <c r="G609" s="438">
        <v>7.4333333333333326E-3</v>
      </c>
      <c r="H609" s="438">
        <v>7.2916666666666659E-3</v>
      </c>
      <c r="I609" s="438">
        <v>7.9583333333333346E-3</v>
      </c>
      <c r="J609" s="438">
        <f t="shared" si="108"/>
        <v>-1.7000000000000001E-2</v>
      </c>
      <c r="K609" s="438">
        <f t="shared" si="112"/>
        <v>-1.8391666666666667E-2</v>
      </c>
      <c r="L609" s="438">
        <f t="shared" si="113"/>
        <v>-2.1858333333333334E-2</v>
      </c>
      <c r="M609" s="446">
        <f t="shared" si="109"/>
        <v>0.14347430922196747</v>
      </c>
      <c r="N609" s="446">
        <f t="shared" si="110"/>
        <v>7.0800000000000002E-2</v>
      </c>
      <c r="O609" s="446">
        <f t="shared" si="102"/>
        <v>8.7499999999999994E-2</v>
      </c>
      <c r="P609" s="447">
        <f t="shared" si="111"/>
        <v>7.2674309221967465E-2</v>
      </c>
      <c r="Q609" s="446">
        <f t="shared" si="103"/>
        <v>5.5974309221967472E-2</v>
      </c>
      <c r="R609" s="446">
        <f t="shared" si="104"/>
        <v>0.19985180599855212</v>
      </c>
      <c r="S609" s="446">
        <f t="shared" si="105"/>
        <v>9.5500000000000015E-2</v>
      </c>
      <c r="T609" s="447">
        <f t="shared" si="106"/>
        <v>0.10435180599855211</v>
      </c>
      <c r="V609" s="448"/>
      <c r="W609" s="448"/>
      <c r="X609" s="448"/>
      <c r="Y609" s="448"/>
      <c r="Z609" s="448"/>
      <c r="AA609" s="448"/>
      <c r="AB609" s="448"/>
      <c r="AC609" s="448"/>
      <c r="AD609" s="448"/>
      <c r="AF609" s="448"/>
      <c r="AG609" s="448"/>
      <c r="AH609" s="448"/>
      <c r="AI609" s="448"/>
      <c r="AJ609" s="448"/>
      <c r="AK609" s="448"/>
      <c r="AL609" s="448"/>
      <c r="AM609" s="448"/>
      <c r="AN609" s="448"/>
      <c r="AP609" s="448"/>
      <c r="AQ609" s="448"/>
      <c r="AR609" s="448"/>
      <c r="AS609" s="448"/>
      <c r="AT609" s="448"/>
      <c r="AU609" s="448"/>
      <c r="AV609" s="448"/>
      <c r="AW609" s="448"/>
      <c r="AX609" s="448"/>
    </row>
    <row r="610" spans="1:50" x14ac:dyDescent="0.4">
      <c r="A610" s="442" t="str">
        <f t="shared" si="107"/>
        <v>61976</v>
      </c>
      <c r="B610" s="442">
        <v>27912</v>
      </c>
      <c r="C610" s="455">
        <v>4.4299999999999999E-2</v>
      </c>
      <c r="D610" s="438">
        <v>3.3700000000000001E-2</v>
      </c>
      <c r="E610" s="438">
        <v>7.3000000000000001E-3</v>
      </c>
      <c r="F610" s="438">
        <v>7.1833333333333324E-3</v>
      </c>
      <c r="G610" s="438">
        <v>7.4083333333333336E-3</v>
      </c>
      <c r="H610" s="438">
        <v>7.2958333333333321E-3</v>
      </c>
      <c r="I610" s="438">
        <v>7.9499999999999987E-3</v>
      </c>
      <c r="J610" s="438">
        <f t="shared" si="108"/>
        <v>3.6999999999999998E-2</v>
      </c>
      <c r="K610" s="438">
        <f t="shared" si="112"/>
        <v>3.7004166666666664E-2</v>
      </c>
      <c r="L610" s="438">
        <f t="shared" si="113"/>
        <v>2.5750000000000002E-2</v>
      </c>
      <c r="M610" s="446">
        <f t="shared" si="109"/>
        <v>0.1397635020716812</v>
      </c>
      <c r="N610" s="446">
        <f t="shared" si="110"/>
        <v>8.7599999999999997E-2</v>
      </c>
      <c r="O610" s="446">
        <f t="shared" si="102"/>
        <v>8.7549999999999989E-2</v>
      </c>
      <c r="P610" s="447">
        <f t="shared" si="111"/>
        <v>5.2163502071681203E-2</v>
      </c>
      <c r="Q610" s="446">
        <f t="shared" si="103"/>
        <v>5.2213502071681211E-2</v>
      </c>
      <c r="R610" s="446">
        <f t="shared" si="104"/>
        <v>0.12070733880970774</v>
      </c>
      <c r="S610" s="446">
        <f t="shared" si="105"/>
        <v>9.5399999999999985E-2</v>
      </c>
      <c r="T610" s="447">
        <f t="shared" si="106"/>
        <v>2.5307338809707758E-2</v>
      </c>
      <c r="V610" s="448"/>
      <c r="W610" s="448"/>
      <c r="X610" s="448"/>
      <c r="Y610" s="448"/>
      <c r="Z610" s="448"/>
      <c r="AA610" s="448"/>
      <c r="AB610" s="448"/>
      <c r="AC610" s="448"/>
      <c r="AD610" s="448"/>
      <c r="AF610" s="448"/>
      <c r="AG610" s="448"/>
      <c r="AH610" s="448"/>
      <c r="AI610" s="448"/>
      <c r="AJ610" s="448"/>
      <c r="AK610" s="448"/>
      <c r="AL610" s="448"/>
      <c r="AM610" s="448"/>
      <c r="AN610" s="448"/>
      <c r="AP610" s="448"/>
      <c r="AQ610" s="448"/>
      <c r="AR610" s="448"/>
      <c r="AS610" s="448"/>
      <c r="AT610" s="448"/>
      <c r="AU610" s="448"/>
      <c r="AV610" s="448"/>
      <c r="AW610" s="448"/>
      <c r="AX610" s="448"/>
    </row>
    <row r="611" spans="1:50" x14ac:dyDescent="0.4">
      <c r="A611" s="442" t="str">
        <f t="shared" si="107"/>
        <v>71976</v>
      </c>
      <c r="B611" s="442">
        <v>27942</v>
      </c>
      <c r="C611" s="455">
        <v>-4.7999999999999996E-3</v>
      </c>
      <c r="D611" s="438">
        <v>3.4099999999999998E-2</v>
      </c>
      <c r="E611" s="438">
        <v>6.5000000000000006E-3</v>
      </c>
      <c r="F611" s="438">
        <v>7.1333333333333335E-3</v>
      </c>
      <c r="G611" s="438">
        <v>7.3416666666666673E-3</v>
      </c>
      <c r="H611" s="438">
        <v>7.2375000000000009E-3</v>
      </c>
      <c r="I611" s="438">
        <v>7.8083333333333329E-3</v>
      </c>
      <c r="J611" s="438">
        <f t="shared" si="108"/>
        <v>-1.1300000000000001E-2</v>
      </c>
      <c r="K611" s="438">
        <f t="shared" si="112"/>
        <v>-1.20375E-2</v>
      </c>
      <c r="L611" s="438">
        <f t="shared" si="113"/>
        <v>2.6291666666666665E-2</v>
      </c>
      <c r="M611" s="446">
        <f t="shared" si="109"/>
        <v>0.21236921468762016</v>
      </c>
      <c r="N611" s="446">
        <f t="shared" si="110"/>
        <v>7.8000000000000014E-2</v>
      </c>
      <c r="O611" s="446">
        <f t="shared" si="102"/>
        <v>8.6850000000000011E-2</v>
      </c>
      <c r="P611" s="447">
        <f t="shared" si="111"/>
        <v>0.13436921468762014</v>
      </c>
      <c r="Q611" s="446">
        <f t="shared" si="103"/>
        <v>0.12551921468762015</v>
      </c>
      <c r="R611" s="446">
        <f t="shared" si="104"/>
        <v>0.22120490944480364</v>
      </c>
      <c r="S611" s="446">
        <f t="shared" si="105"/>
        <v>9.3699999999999992E-2</v>
      </c>
      <c r="T611" s="447">
        <f t="shared" si="106"/>
        <v>0.12750490944480364</v>
      </c>
      <c r="V611" s="448"/>
      <c r="W611" s="448"/>
      <c r="X611" s="448"/>
      <c r="Y611" s="448"/>
      <c r="Z611" s="448"/>
      <c r="AA611" s="448"/>
      <c r="AB611" s="448"/>
      <c r="AC611" s="448"/>
      <c r="AD611" s="448"/>
      <c r="AF611" s="448"/>
      <c r="AG611" s="448"/>
      <c r="AH611" s="448"/>
      <c r="AI611" s="448"/>
      <c r="AJ611" s="448"/>
      <c r="AK611" s="448"/>
      <c r="AL611" s="448"/>
      <c r="AM611" s="448"/>
      <c r="AN611" s="448"/>
      <c r="AP611" s="448"/>
      <c r="AQ611" s="448"/>
      <c r="AR611" s="448"/>
      <c r="AS611" s="448"/>
      <c r="AT611" s="448"/>
      <c r="AU611" s="448"/>
      <c r="AV611" s="448"/>
      <c r="AW611" s="448"/>
      <c r="AX611" s="448"/>
    </row>
    <row r="612" spans="1:50" x14ac:dyDescent="0.4">
      <c r="A612" s="442" t="str">
        <f t="shared" si="107"/>
        <v>81976</v>
      </c>
      <c r="B612" s="442">
        <v>27973</v>
      </c>
      <c r="C612" s="455">
        <v>-1.8E-3</v>
      </c>
      <c r="D612" s="438">
        <v>3.8300000000000001E-2</v>
      </c>
      <c r="E612" s="438">
        <v>6.8999999999999999E-3</v>
      </c>
      <c r="F612" s="438">
        <v>7.0416666666666657E-3</v>
      </c>
      <c r="G612" s="438">
        <v>7.2166666666666664E-3</v>
      </c>
      <c r="H612" s="438">
        <v>7.1291666666666665E-3</v>
      </c>
      <c r="I612" s="438">
        <v>7.6083333333333333E-3</v>
      </c>
      <c r="J612" s="438">
        <f t="shared" si="108"/>
        <v>-8.6999999999999994E-3</v>
      </c>
      <c r="K612" s="438">
        <f t="shared" si="112"/>
        <v>-8.9291666666666668E-3</v>
      </c>
      <c r="L612" s="438">
        <f t="shared" si="113"/>
        <v>3.0691666666666666E-2</v>
      </c>
      <c r="M612" s="446">
        <f t="shared" si="109"/>
        <v>0.23186782380006332</v>
      </c>
      <c r="N612" s="446">
        <f t="shared" si="110"/>
        <v>8.2799999999999999E-2</v>
      </c>
      <c r="O612" s="446">
        <f t="shared" si="102"/>
        <v>8.5550000000000001E-2</v>
      </c>
      <c r="P612" s="447">
        <f t="shared" si="111"/>
        <v>0.14906782380006334</v>
      </c>
      <c r="Q612" s="446">
        <f t="shared" si="103"/>
        <v>0.14631782380006331</v>
      </c>
      <c r="R612" s="446">
        <f t="shared" si="104"/>
        <v>0.29544039382564358</v>
      </c>
      <c r="S612" s="446">
        <f t="shared" si="105"/>
        <v>9.1299999999999992E-2</v>
      </c>
      <c r="T612" s="447">
        <f t="shared" si="106"/>
        <v>0.20414039382564358</v>
      </c>
      <c r="V612" s="448"/>
      <c r="W612" s="448"/>
      <c r="X612" s="448"/>
      <c r="Y612" s="448"/>
      <c r="Z612" s="448"/>
      <c r="AA612" s="448"/>
      <c r="AB612" s="448"/>
      <c r="AC612" s="448"/>
      <c r="AD612" s="448"/>
      <c r="AF612" s="448"/>
      <c r="AG612" s="448"/>
      <c r="AH612" s="448"/>
      <c r="AI612" s="448"/>
      <c r="AJ612" s="448"/>
      <c r="AK612" s="448"/>
      <c r="AL612" s="448"/>
      <c r="AM612" s="448"/>
      <c r="AN612" s="448"/>
      <c r="AP612" s="448"/>
      <c r="AQ612" s="448"/>
      <c r="AR612" s="448"/>
      <c r="AS612" s="448"/>
      <c r="AT612" s="448"/>
      <c r="AU612" s="448"/>
      <c r="AV612" s="448"/>
      <c r="AW612" s="448"/>
      <c r="AX612" s="448"/>
    </row>
    <row r="613" spans="1:50" x14ac:dyDescent="0.4">
      <c r="A613" s="442" t="str">
        <f t="shared" si="107"/>
        <v>91976</v>
      </c>
      <c r="B613" s="442">
        <v>28004</v>
      </c>
      <c r="C613" s="455">
        <v>2.58E-2</v>
      </c>
      <c r="D613" s="438">
        <v>3.8100000000000002E-2</v>
      </c>
      <c r="E613" s="438">
        <v>6.4000000000000003E-3</v>
      </c>
      <c r="F613" s="438">
        <v>6.9833333333333336E-3</v>
      </c>
      <c r="G613" s="438">
        <v>7.1166666666666652E-3</v>
      </c>
      <c r="H613" s="438">
        <v>7.0499999999999998E-3</v>
      </c>
      <c r="I613" s="438">
        <v>7.4166666666666669E-3</v>
      </c>
      <c r="J613" s="438">
        <f t="shared" si="108"/>
        <v>1.9400000000000001E-2</v>
      </c>
      <c r="K613" s="438">
        <f t="shared" si="112"/>
        <v>1.8749999999999999E-2</v>
      </c>
      <c r="L613" s="438">
        <f t="shared" si="113"/>
        <v>3.0683333333333333E-2</v>
      </c>
      <c r="M613" s="446">
        <f t="shared" si="109"/>
        <v>0.30434559625733382</v>
      </c>
      <c r="N613" s="446">
        <f t="shared" si="110"/>
        <v>7.6800000000000007E-2</v>
      </c>
      <c r="O613" s="446">
        <f t="shared" si="102"/>
        <v>8.4599999999999995E-2</v>
      </c>
      <c r="P613" s="447">
        <f t="shared" si="111"/>
        <v>0.22754559625733381</v>
      </c>
      <c r="Q613" s="446">
        <f t="shared" si="103"/>
        <v>0.21974559625733381</v>
      </c>
      <c r="R613" s="446">
        <f t="shared" si="104"/>
        <v>0.35141862408843405</v>
      </c>
      <c r="S613" s="446">
        <f t="shared" si="105"/>
        <v>8.8999999999999996E-2</v>
      </c>
      <c r="T613" s="447">
        <f t="shared" si="106"/>
        <v>0.26241862408843408</v>
      </c>
      <c r="V613" s="448"/>
      <c r="W613" s="448"/>
      <c r="X613" s="448"/>
      <c r="Y613" s="448"/>
      <c r="Z613" s="448"/>
      <c r="AA613" s="448"/>
      <c r="AB613" s="448"/>
      <c r="AC613" s="448"/>
      <c r="AD613" s="448"/>
      <c r="AF613" s="448"/>
      <c r="AG613" s="448"/>
      <c r="AH613" s="448"/>
      <c r="AI613" s="448"/>
      <c r="AJ613" s="448"/>
      <c r="AK613" s="448"/>
      <c r="AL613" s="448"/>
      <c r="AM613" s="448"/>
      <c r="AN613" s="448"/>
      <c r="AP613" s="448"/>
      <c r="AQ613" s="448"/>
      <c r="AR613" s="448"/>
      <c r="AS613" s="448"/>
      <c r="AT613" s="448"/>
      <c r="AU613" s="448"/>
      <c r="AV613" s="448"/>
      <c r="AW613" s="448"/>
      <c r="AX613" s="448"/>
    </row>
    <row r="614" spans="1:50" x14ac:dyDescent="0.4">
      <c r="A614" s="442" t="str">
        <f t="shared" si="107"/>
        <v>101976</v>
      </c>
      <c r="B614" s="442">
        <v>28034</v>
      </c>
      <c r="C614" s="455">
        <v>-1.8599999999999998E-2</v>
      </c>
      <c r="D614" s="438">
        <v>-2.1000000000000003E-3</v>
      </c>
      <c r="E614" s="438">
        <v>6.0999999999999995E-3</v>
      </c>
      <c r="F614" s="438">
        <v>6.9333333333333339E-3</v>
      </c>
      <c r="G614" s="438">
        <v>7.0666666666666664E-3</v>
      </c>
      <c r="H614" s="438">
        <v>6.9999999999999993E-3</v>
      </c>
      <c r="I614" s="438">
        <v>7.324999999999999E-3</v>
      </c>
      <c r="J614" s="438">
        <f t="shared" si="108"/>
        <v>-2.47E-2</v>
      </c>
      <c r="K614" s="438">
        <f t="shared" si="112"/>
        <v>-2.5599999999999998E-2</v>
      </c>
      <c r="L614" s="438">
        <f t="shared" si="113"/>
        <v>-9.4249999999999994E-3</v>
      </c>
      <c r="M614" s="446">
        <f t="shared" si="109"/>
        <v>0.20161904455735269</v>
      </c>
      <c r="N614" s="446">
        <f t="shared" si="110"/>
        <v>7.3199999999999987E-2</v>
      </c>
      <c r="O614" s="446">
        <f t="shared" si="102"/>
        <v>8.3999999999999991E-2</v>
      </c>
      <c r="P614" s="447">
        <f t="shared" si="111"/>
        <v>0.1284190445573527</v>
      </c>
      <c r="Q614" s="446">
        <f t="shared" si="103"/>
        <v>0.1176190445573527</v>
      </c>
      <c r="R614" s="446">
        <f t="shared" si="104"/>
        <v>0.25941412493261895</v>
      </c>
      <c r="S614" s="446">
        <f t="shared" si="105"/>
        <v>8.7899999999999992E-2</v>
      </c>
      <c r="T614" s="447">
        <f t="shared" si="106"/>
        <v>0.17151412493261897</v>
      </c>
      <c r="V614" s="448"/>
      <c r="W614" s="448"/>
      <c r="X614" s="448"/>
      <c r="Y614" s="448"/>
      <c r="Z614" s="448"/>
      <c r="AA614" s="448"/>
      <c r="AB614" s="448"/>
      <c r="AC614" s="448"/>
      <c r="AD614" s="448"/>
      <c r="AF614" s="448"/>
      <c r="AG614" s="448"/>
      <c r="AH614" s="448"/>
      <c r="AI614" s="448"/>
      <c r="AJ614" s="448"/>
      <c r="AK614" s="448"/>
      <c r="AL614" s="448"/>
      <c r="AM614" s="448"/>
      <c r="AN614" s="448"/>
      <c r="AP614" s="448"/>
      <c r="AQ614" s="448"/>
      <c r="AR614" s="448"/>
      <c r="AS614" s="448"/>
      <c r="AT614" s="448"/>
      <c r="AU614" s="448"/>
      <c r="AV614" s="448"/>
      <c r="AW614" s="448"/>
      <c r="AX614" s="448"/>
    </row>
    <row r="615" spans="1:50" x14ac:dyDescent="0.4">
      <c r="A615" s="442" t="str">
        <f t="shared" si="107"/>
        <v>111976</v>
      </c>
      <c r="B615" s="442">
        <v>28065</v>
      </c>
      <c r="C615" s="455">
        <v>-4.1000000000000003E-3</v>
      </c>
      <c r="D615" s="438">
        <v>2.6800000000000001E-2</v>
      </c>
      <c r="E615" s="438">
        <v>6.6E-3</v>
      </c>
      <c r="F615" s="438">
        <v>6.875E-3</v>
      </c>
      <c r="G615" s="438">
        <v>7.0500000000000007E-3</v>
      </c>
      <c r="H615" s="438">
        <v>6.9624999999999999E-3</v>
      </c>
      <c r="I615" s="438">
        <v>7.3000000000000001E-3</v>
      </c>
      <c r="J615" s="438">
        <f t="shared" si="108"/>
        <v>-1.0700000000000001E-2</v>
      </c>
      <c r="K615" s="438">
        <f t="shared" si="112"/>
        <v>-1.1062499999999999E-2</v>
      </c>
      <c r="L615" s="438">
        <f t="shared" si="113"/>
        <v>1.95E-2</v>
      </c>
      <c r="M615" s="446">
        <f t="shared" si="109"/>
        <v>0.16387123757505062</v>
      </c>
      <c r="N615" s="446">
        <f t="shared" si="110"/>
        <v>7.9199999999999993E-2</v>
      </c>
      <c r="O615" s="446">
        <f t="shared" si="102"/>
        <v>8.3549999999999999E-2</v>
      </c>
      <c r="P615" s="447">
        <f t="shared" si="111"/>
        <v>8.4671237575050629E-2</v>
      </c>
      <c r="Q615" s="446">
        <f t="shared" si="103"/>
        <v>8.0321237575050622E-2</v>
      </c>
      <c r="R615" s="446">
        <f t="shared" si="104"/>
        <v>0.24943615795247664</v>
      </c>
      <c r="S615" s="446">
        <f t="shared" si="105"/>
        <v>8.7599999999999997E-2</v>
      </c>
      <c r="T615" s="447">
        <f t="shared" si="106"/>
        <v>0.16183615795247663</v>
      </c>
      <c r="V615" s="448"/>
      <c r="W615" s="448"/>
      <c r="X615" s="448"/>
      <c r="Y615" s="448"/>
      <c r="Z615" s="448"/>
      <c r="AA615" s="448"/>
      <c r="AB615" s="448"/>
      <c r="AC615" s="448"/>
      <c r="AD615" s="448"/>
      <c r="AF615" s="448"/>
      <c r="AG615" s="448"/>
      <c r="AH615" s="448"/>
      <c r="AI615" s="448"/>
      <c r="AJ615" s="448"/>
      <c r="AK615" s="448"/>
      <c r="AL615" s="448"/>
      <c r="AM615" s="448"/>
      <c r="AN615" s="448"/>
      <c r="AP615" s="448"/>
      <c r="AQ615" s="448"/>
      <c r="AR615" s="448"/>
      <c r="AS615" s="448"/>
      <c r="AT615" s="448"/>
      <c r="AU615" s="448"/>
      <c r="AV615" s="448"/>
      <c r="AW615" s="448"/>
      <c r="AX615" s="448"/>
    </row>
    <row r="616" spans="1:50" x14ac:dyDescent="0.4">
      <c r="A616" s="442" t="str">
        <f t="shared" si="107"/>
        <v>121976</v>
      </c>
      <c r="B616" s="442">
        <v>28095</v>
      </c>
      <c r="C616" s="455">
        <v>5.6099999999999997E-2</v>
      </c>
      <c r="D616" s="438">
        <v>6.3100000000000003E-2</v>
      </c>
      <c r="E616" s="438">
        <v>6.3E-3</v>
      </c>
      <c r="F616" s="438">
        <v>6.6500000000000005E-3</v>
      </c>
      <c r="G616" s="438">
        <v>6.870833333333333E-3</v>
      </c>
      <c r="H616" s="438">
        <v>6.7604166666666663E-3</v>
      </c>
      <c r="I616" s="438">
        <v>7.1833333333333324E-3</v>
      </c>
      <c r="J616" s="438">
        <f t="shared" si="108"/>
        <v>4.9799999999999997E-2</v>
      </c>
      <c r="K616" s="438">
        <f t="shared" si="112"/>
        <v>4.9339583333333333E-2</v>
      </c>
      <c r="L616" s="438">
        <f t="shared" si="113"/>
        <v>5.591666666666667E-2</v>
      </c>
      <c r="M616" s="446">
        <f t="shared" si="109"/>
        <v>0.23920194979636178</v>
      </c>
      <c r="N616" s="446">
        <f t="shared" si="110"/>
        <v>7.5600000000000001E-2</v>
      </c>
      <c r="O616" s="446">
        <f t="shared" ref="O616:O679" si="114">H616*12</f>
        <v>8.1125000000000003E-2</v>
      </c>
      <c r="P616" s="447">
        <f t="shared" si="111"/>
        <v>0.16360194979636178</v>
      </c>
      <c r="Q616" s="446">
        <f t="shared" ref="Q616:Q679" si="115">M616-O616</f>
        <v>0.15807694979636178</v>
      </c>
      <c r="R616" s="446">
        <f t="shared" ref="R616:R679" si="116">((1+D605)*(1+D606)*(1+D607)*(1+D608)*(1+D609)*(1+D610)*(1+D611)*(1+D612)*(1+D613)*(1+D614)*(1+D615)*(1+D616))-1</f>
        <v>0.31812600924806733</v>
      </c>
      <c r="S616" s="446">
        <f t="shared" ref="S616:S679" si="117">I616*12</f>
        <v>8.6199999999999985E-2</v>
      </c>
      <c r="T616" s="447">
        <f t="shared" ref="T616:T679" si="118">R616-S616</f>
        <v>0.23192600924806733</v>
      </c>
      <c r="V616" s="448"/>
      <c r="W616" s="448"/>
      <c r="X616" s="448"/>
      <c r="Y616" s="448"/>
      <c r="Z616" s="448"/>
      <c r="AA616" s="448"/>
      <c r="AB616" s="448"/>
      <c r="AC616" s="448"/>
      <c r="AD616" s="448"/>
      <c r="AF616" s="448"/>
      <c r="AG616" s="448"/>
      <c r="AH616" s="448"/>
      <c r="AI616" s="448"/>
      <c r="AJ616" s="448"/>
      <c r="AK616" s="448"/>
      <c r="AL616" s="448"/>
      <c r="AM616" s="448"/>
      <c r="AN616" s="448"/>
      <c r="AP616" s="448"/>
      <c r="AQ616" s="448"/>
      <c r="AR616" s="448"/>
      <c r="AS616" s="448"/>
      <c r="AT616" s="448"/>
      <c r="AU616" s="448"/>
      <c r="AV616" s="448"/>
      <c r="AW616" s="448"/>
      <c r="AX616" s="448"/>
    </row>
    <row r="617" spans="1:50" x14ac:dyDescent="0.4">
      <c r="A617" s="442" t="str">
        <f t="shared" ref="A617:A680" si="119">MONTH(B617)&amp;YEAR(B617)</f>
        <v>11977</v>
      </c>
      <c r="B617" s="442">
        <v>28126</v>
      </c>
      <c r="C617" s="455">
        <v>-4.7300000000000002E-2</v>
      </c>
      <c r="D617" s="438">
        <v>3.5000000000000005E-3</v>
      </c>
      <c r="E617" s="438">
        <v>5.8999999999999999E-3</v>
      </c>
      <c r="F617" s="438">
        <v>6.6333333333333331E-3</v>
      </c>
      <c r="G617" s="438">
        <v>6.8000000000000005E-3</v>
      </c>
      <c r="H617" s="438">
        <v>6.7166666666666659E-3</v>
      </c>
      <c r="I617" s="438">
        <v>7.1749999999999991E-3</v>
      </c>
      <c r="J617" s="438">
        <f t="shared" si="108"/>
        <v>-5.3200000000000004E-2</v>
      </c>
      <c r="K617" s="438">
        <f t="shared" si="112"/>
        <v>-5.4016666666666671E-2</v>
      </c>
      <c r="L617" s="438">
        <f t="shared" si="113"/>
        <v>-3.6749999999999986E-3</v>
      </c>
      <c r="M617" s="446">
        <f t="shared" si="109"/>
        <v>5.2498616003382459E-2</v>
      </c>
      <c r="N617" s="446">
        <f t="shared" si="110"/>
        <v>7.0800000000000002E-2</v>
      </c>
      <c r="O617" s="446">
        <f t="shared" si="114"/>
        <v>8.0599999999999991E-2</v>
      </c>
      <c r="P617" s="447">
        <f t="shared" si="111"/>
        <v>-1.8301383996617543E-2</v>
      </c>
      <c r="Q617" s="446">
        <f t="shared" si="115"/>
        <v>-2.8101383996617532E-2</v>
      </c>
      <c r="R617" s="446">
        <f t="shared" si="116"/>
        <v>0.21419079335454017</v>
      </c>
      <c r="S617" s="446">
        <f t="shared" si="117"/>
        <v>8.6099999999999982E-2</v>
      </c>
      <c r="T617" s="447">
        <f t="shared" si="118"/>
        <v>0.12809079335454018</v>
      </c>
      <c r="V617" s="448"/>
      <c r="W617" s="448"/>
      <c r="X617" s="448"/>
      <c r="Y617" s="448"/>
      <c r="Z617" s="448"/>
      <c r="AA617" s="448"/>
      <c r="AB617" s="448"/>
      <c r="AC617" s="448"/>
      <c r="AD617" s="448"/>
      <c r="AF617" s="448"/>
      <c r="AG617" s="448"/>
      <c r="AH617" s="448"/>
      <c r="AI617" s="448"/>
      <c r="AJ617" s="448"/>
      <c r="AK617" s="448"/>
      <c r="AL617" s="448"/>
      <c r="AM617" s="448"/>
      <c r="AN617" s="448"/>
      <c r="AP617" s="448"/>
      <c r="AQ617" s="448"/>
      <c r="AR617" s="448"/>
      <c r="AS617" s="448"/>
      <c r="AT617" s="448"/>
      <c r="AU617" s="448"/>
      <c r="AV617" s="448"/>
      <c r="AW617" s="448"/>
      <c r="AX617" s="448"/>
    </row>
    <row r="618" spans="1:50" x14ac:dyDescent="0.4">
      <c r="A618" s="442" t="str">
        <f t="shared" si="119"/>
        <v>21977</v>
      </c>
      <c r="B618" s="442">
        <v>28157</v>
      </c>
      <c r="C618" s="455">
        <v>-1.8200000000000001E-2</v>
      </c>
      <c r="D618" s="438">
        <v>-3.7200000000000004E-2</v>
      </c>
      <c r="E618" s="438">
        <v>5.7000000000000002E-3</v>
      </c>
      <c r="F618" s="438">
        <v>6.6999999999999994E-3</v>
      </c>
      <c r="G618" s="438">
        <v>6.8833333333333333E-3</v>
      </c>
      <c r="H618" s="438">
        <v>6.7916666666666672E-3</v>
      </c>
      <c r="I618" s="438">
        <v>7.2083333333333331E-3</v>
      </c>
      <c r="J618" s="438">
        <f t="shared" si="108"/>
        <v>-2.3900000000000001E-2</v>
      </c>
      <c r="K618" s="438">
        <f t="shared" si="112"/>
        <v>-2.4991666666666669E-2</v>
      </c>
      <c r="L618" s="438">
        <f t="shared" si="113"/>
        <v>-4.4408333333333334E-2</v>
      </c>
      <c r="M618" s="446">
        <f t="shared" si="109"/>
        <v>4.2096753925091157E-2</v>
      </c>
      <c r="N618" s="446">
        <f t="shared" si="110"/>
        <v>6.8400000000000002E-2</v>
      </c>
      <c r="O618" s="446">
        <f t="shared" si="114"/>
        <v>8.1500000000000003E-2</v>
      </c>
      <c r="P618" s="447">
        <f t="shared" si="111"/>
        <v>-2.6303246074908845E-2</v>
      </c>
      <c r="Q618" s="446">
        <f t="shared" si="115"/>
        <v>-3.9403246074908846E-2</v>
      </c>
      <c r="R618" s="446">
        <f t="shared" si="116"/>
        <v>0.21217637478406393</v>
      </c>
      <c r="S618" s="446">
        <f t="shared" si="117"/>
        <v>8.6499999999999994E-2</v>
      </c>
      <c r="T618" s="447">
        <f t="shared" si="118"/>
        <v>0.12567637478406393</v>
      </c>
      <c r="V618" s="448"/>
      <c r="W618" s="448"/>
      <c r="X618" s="448"/>
      <c r="Y618" s="448"/>
      <c r="Z618" s="448"/>
      <c r="AA618" s="448"/>
      <c r="AB618" s="448"/>
      <c r="AC618" s="448"/>
      <c r="AD618" s="448"/>
      <c r="AF618" s="448"/>
      <c r="AG618" s="448"/>
      <c r="AH618" s="448"/>
      <c r="AI618" s="448"/>
      <c r="AJ618" s="448"/>
      <c r="AK618" s="448"/>
      <c r="AL618" s="448"/>
      <c r="AM618" s="448"/>
      <c r="AN618" s="448"/>
      <c r="AP618" s="448"/>
      <c r="AQ618" s="448"/>
      <c r="AR618" s="448"/>
      <c r="AS618" s="448"/>
      <c r="AT618" s="448"/>
      <c r="AU618" s="448"/>
      <c r="AV618" s="448"/>
      <c r="AW618" s="448"/>
      <c r="AX618" s="448"/>
    </row>
    <row r="619" spans="1:50" x14ac:dyDescent="0.4">
      <c r="A619" s="442" t="str">
        <f t="shared" si="119"/>
        <v>31977</v>
      </c>
      <c r="B619" s="442">
        <v>28185</v>
      </c>
      <c r="C619" s="455">
        <v>-1.0500000000000001E-2</v>
      </c>
      <c r="D619" s="438">
        <v>1.0200000000000001E-2</v>
      </c>
      <c r="E619" s="438">
        <v>6.5000000000000006E-3</v>
      </c>
      <c r="F619" s="438">
        <v>6.7499999999999991E-3</v>
      </c>
      <c r="G619" s="438">
        <v>6.8999999999999999E-3</v>
      </c>
      <c r="H619" s="438">
        <v>6.8249999999999986E-3</v>
      </c>
      <c r="I619" s="438">
        <v>7.2499999999999995E-3</v>
      </c>
      <c r="J619" s="438">
        <f t="shared" si="108"/>
        <v>-1.7000000000000001E-2</v>
      </c>
      <c r="K619" s="438">
        <f t="shared" si="112"/>
        <v>-1.7325E-2</v>
      </c>
      <c r="L619" s="438">
        <f t="shared" si="113"/>
        <v>2.9500000000000012E-3</v>
      </c>
      <c r="M619" s="446">
        <f t="shared" si="109"/>
        <v>-2.4622830522609274E-3</v>
      </c>
      <c r="N619" s="446">
        <f t="shared" si="110"/>
        <v>7.8000000000000014E-2</v>
      </c>
      <c r="O619" s="446">
        <f t="shared" si="114"/>
        <v>8.1899999999999987E-2</v>
      </c>
      <c r="P619" s="447">
        <f t="shared" si="111"/>
        <v>-8.0462283052260941E-2</v>
      </c>
      <c r="Q619" s="446">
        <f t="shared" si="115"/>
        <v>-8.4362283052260914E-2</v>
      </c>
      <c r="R619" s="446">
        <f t="shared" si="116"/>
        <v>0.21241640970976294</v>
      </c>
      <c r="S619" s="446">
        <f t="shared" si="117"/>
        <v>8.6999999999999994E-2</v>
      </c>
      <c r="T619" s="447">
        <f t="shared" si="118"/>
        <v>0.12541640970976295</v>
      </c>
      <c r="V619" s="448"/>
      <c r="W619" s="448"/>
      <c r="X619" s="448"/>
      <c r="Y619" s="448"/>
      <c r="Z619" s="448"/>
      <c r="AA619" s="448"/>
      <c r="AB619" s="448"/>
      <c r="AC619" s="448"/>
      <c r="AD619" s="448"/>
      <c r="AF619" s="448"/>
      <c r="AG619" s="448"/>
      <c r="AH619" s="448"/>
      <c r="AI619" s="448"/>
      <c r="AJ619" s="448"/>
      <c r="AK619" s="448"/>
      <c r="AL619" s="448"/>
      <c r="AM619" s="448"/>
      <c r="AN619" s="448"/>
      <c r="AP619" s="448"/>
      <c r="AQ619" s="448"/>
      <c r="AR619" s="448"/>
      <c r="AS619" s="448"/>
      <c r="AT619" s="448"/>
      <c r="AU619" s="448"/>
      <c r="AV619" s="448"/>
      <c r="AW619" s="448"/>
      <c r="AX619" s="448"/>
    </row>
    <row r="620" spans="1:50" x14ac:dyDescent="0.4">
      <c r="A620" s="442" t="str">
        <f t="shared" si="119"/>
        <v>41977</v>
      </c>
      <c r="B620" s="442">
        <v>28216</v>
      </c>
      <c r="C620" s="455">
        <v>4.1999999999999997E-3</v>
      </c>
      <c r="D620" s="438">
        <v>2.0900000000000002E-2</v>
      </c>
      <c r="E620" s="438">
        <v>6.0999999999999995E-3</v>
      </c>
      <c r="F620" s="438">
        <v>6.6999999999999994E-3</v>
      </c>
      <c r="G620" s="438">
        <v>6.8999999999999999E-3</v>
      </c>
      <c r="H620" s="438">
        <v>6.7999999999999996E-3</v>
      </c>
      <c r="I620" s="438">
        <v>7.2583333333333345E-3</v>
      </c>
      <c r="J620" s="438">
        <f t="shared" si="108"/>
        <v>-1.8999999999999998E-3</v>
      </c>
      <c r="K620" s="438">
        <f t="shared" si="112"/>
        <v>-2.5999999999999999E-3</v>
      </c>
      <c r="L620" s="438">
        <f t="shared" si="113"/>
        <v>1.3641666666666667E-2</v>
      </c>
      <c r="M620" s="446">
        <f t="shared" si="109"/>
        <v>9.6022730890141794E-3</v>
      </c>
      <c r="N620" s="446">
        <f t="shared" si="110"/>
        <v>7.3199999999999987E-2</v>
      </c>
      <c r="O620" s="446">
        <f t="shared" si="114"/>
        <v>8.1599999999999992E-2</v>
      </c>
      <c r="P620" s="447">
        <f t="shared" si="111"/>
        <v>-6.3597726910985808E-2</v>
      </c>
      <c r="Q620" s="446">
        <f t="shared" si="115"/>
        <v>-7.1997726910985813E-2</v>
      </c>
      <c r="R620" s="446">
        <f t="shared" si="116"/>
        <v>0.23319309820932266</v>
      </c>
      <c r="S620" s="446">
        <f t="shared" si="117"/>
        <v>8.7100000000000011E-2</v>
      </c>
      <c r="T620" s="447">
        <f t="shared" si="118"/>
        <v>0.14609309820932265</v>
      </c>
      <c r="V620" s="448"/>
      <c r="W620" s="448"/>
      <c r="X620" s="448"/>
      <c r="Y620" s="448"/>
      <c r="Z620" s="448"/>
      <c r="AA620" s="448"/>
      <c r="AB620" s="448"/>
      <c r="AC620" s="448"/>
      <c r="AD620" s="448"/>
      <c r="AF620" s="448"/>
      <c r="AG620" s="448"/>
      <c r="AH620" s="448"/>
      <c r="AI620" s="448"/>
      <c r="AJ620" s="448"/>
      <c r="AK620" s="448"/>
      <c r="AL620" s="448"/>
      <c r="AM620" s="448"/>
      <c r="AN620" s="448"/>
      <c r="AP620" s="448"/>
      <c r="AQ620" s="448"/>
      <c r="AR620" s="448"/>
      <c r="AS620" s="448"/>
      <c r="AT620" s="448"/>
      <c r="AU620" s="448"/>
      <c r="AV620" s="448"/>
      <c r="AW620" s="448"/>
      <c r="AX620" s="448"/>
    </row>
    <row r="621" spans="1:50" x14ac:dyDescent="0.4">
      <c r="A621" s="442" t="str">
        <f t="shared" si="119"/>
        <v>51977</v>
      </c>
      <c r="B621" s="442">
        <v>28246</v>
      </c>
      <c r="C621" s="455">
        <v>-1.9599999999999999E-2</v>
      </c>
      <c r="D621" s="438">
        <v>2.1099999999999997E-2</v>
      </c>
      <c r="E621" s="438">
        <v>6.7000000000000002E-3</v>
      </c>
      <c r="F621" s="438">
        <v>6.7083333333333335E-3</v>
      </c>
      <c r="G621" s="438">
        <v>6.8999999999999999E-3</v>
      </c>
      <c r="H621" s="438">
        <v>6.8041666666666667E-3</v>
      </c>
      <c r="I621" s="438">
        <v>7.2583333333333345E-3</v>
      </c>
      <c r="J621" s="438">
        <f t="shared" si="108"/>
        <v>-2.63E-2</v>
      </c>
      <c r="K621" s="438">
        <f t="shared" si="112"/>
        <v>-2.6404166666666666E-2</v>
      </c>
      <c r="L621" s="438">
        <f t="shared" si="113"/>
        <v>1.3841666666666662E-2</v>
      </c>
      <c r="M621" s="446">
        <f t="shared" si="109"/>
        <v>9.2432858374880134E-4</v>
      </c>
      <c r="N621" s="446">
        <f t="shared" si="110"/>
        <v>8.0399999999999999E-2</v>
      </c>
      <c r="O621" s="446">
        <f t="shared" si="114"/>
        <v>8.165E-2</v>
      </c>
      <c r="P621" s="447">
        <f t="shared" si="111"/>
        <v>-7.9475671416251198E-2</v>
      </c>
      <c r="Q621" s="446">
        <f t="shared" si="115"/>
        <v>-8.0725671416251199E-2</v>
      </c>
      <c r="R621" s="446">
        <f t="shared" si="116"/>
        <v>0.27696326192225884</v>
      </c>
      <c r="S621" s="446">
        <f t="shared" si="117"/>
        <v>8.7100000000000011E-2</v>
      </c>
      <c r="T621" s="447">
        <f t="shared" si="118"/>
        <v>0.18986326192225883</v>
      </c>
      <c r="V621" s="448"/>
      <c r="W621" s="448"/>
      <c r="X621" s="448"/>
      <c r="Y621" s="448"/>
      <c r="Z621" s="448"/>
      <c r="AA621" s="448"/>
      <c r="AB621" s="448"/>
      <c r="AC621" s="448"/>
      <c r="AD621" s="448"/>
      <c r="AF621" s="448"/>
      <c r="AG621" s="448"/>
      <c r="AH621" s="448"/>
      <c r="AI621" s="448"/>
      <c r="AJ621" s="448"/>
      <c r="AK621" s="448"/>
      <c r="AL621" s="448"/>
      <c r="AM621" s="448"/>
      <c r="AN621" s="448"/>
      <c r="AP621" s="448"/>
      <c r="AQ621" s="448"/>
      <c r="AR621" s="448"/>
      <c r="AS621" s="448"/>
      <c r="AT621" s="448"/>
      <c r="AU621" s="448"/>
      <c r="AV621" s="448"/>
      <c r="AW621" s="448"/>
      <c r="AX621" s="448"/>
    </row>
    <row r="622" spans="1:50" x14ac:dyDescent="0.4">
      <c r="A622" s="442" t="str">
        <f t="shared" si="119"/>
        <v>61977</v>
      </c>
      <c r="B622" s="442">
        <v>28277</v>
      </c>
      <c r="C622" s="455">
        <v>4.9399999999999999E-2</v>
      </c>
      <c r="D622" s="438">
        <v>5.3099999999999994E-2</v>
      </c>
      <c r="E622" s="438">
        <v>6.1999999999999998E-3</v>
      </c>
      <c r="F622" s="438">
        <v>6.6249999999999998E-3</v>
      </c>
      <c r="G622" s="438">
        <v>6.8250000000000003E-3</v>
      </c>
      <c r="H622" s="438">
        <v>6.7250000000000001E-3</v>
      </c>
      <c r="I622" s="438">
        <v>7.1500000000000001E-3</v>
      </c>
      <c r="J622" s="438">
        <f t="shared" si="108"/>
        <v>4.3200000000000002E-2</v>
      </c>
      <c r="K622" s="438">
        <f t="shared" si="112"/>
        <v>4.2674999999999998E-2</v>
      </c>
      <c r="L622" s="438">
        <f t="shared" si="113"/>
        <v>4.5949999999999991E-2</v>
      </c>
      <c r="M622" s="446">
        <f t="shared" si="109"/>
        <v>5.8124968072261751E-3</v>
      </c>
      <c r="N622" s="446">
        <f t="shared" si="110"/>
        <v>7.4399999999999994E-2</v>
      </c>
      <c r="O622" s="446">
        <f t="shared" si="114"/>
        <v>8.0699999999999994E-2</v>
      </c>
      <c r="P622" s="447">
        <f t="shared" si="111"/>
        <v>-6.8587503192773819E-2</v>
      </c>
      <c r="Q622" s="446">
        <f t="shared" si="115"/>
        <v>-7.4887503192773819E-2</v>
      </c>
      <c r="R622" s="446">
        <f t="shared" si="116"/>
        <v>0.30092871348585692</v>
      </c>
      <c r="S622" s="446">
        <f t="shared" si="117"/>
        <v>8.5800000000000001E-2</v>
      </c>
      <c r="T622" s="447">
        <f t="shared" si="118"/>
        <v>0.21512871348585694</v>
      </c>
      <c r="V622" s="448"/>
      <c r="W622" s="448"/>
      <c r="X622" s="448"/>
      <c r="Y622" s="448"/>
      <c r="Z622" s="448"/>
      <c r="AA622" s="448"/>
      <c r="AB622" s="448"/>
      <c r="AC622" s="448"/>
      <c r="AD622" s="448"/>
      <c r="AF622" s="448"/>
      <c r="AG622" s="448"/>
      <c r="AH622" s="448"/>
      <c r="AI622" s="448"/>
      <c r="AJ622" s="448"/>
      <c r="AK622" s="448"/>
      <c r="AL622" s="448"/>
      <c r="AM622" s="448"/>
      <c r="AN622" s="448"/>
      <c r="AP622" s="448"/>
      <c r="AQ622" s="448"/>
      <c r="AR622" s="448"/>
      <c r="AS622" s="448"/>
      <c r="AT622" s="448"/>
      <c r="AU622" s="448"/>
      <c r="AV622" s="448"/>
      <c r="AW622" s="448"/>
      <c r="AX622" s="448"/>
    </row>
    <row r="623" spans="1:50" x14ac:dyDescent="0.4">
      <c r="A623" s="442" t="str">
        <f t="shared" si="119"/>
        <v>71977</v>
      </c>
      <c r="B623" s="442">
        <v>28307</v>
      </c>
      <c r="C623" s="455">
        <v>-1.24E-2</v>
      </c>
      <c r="D623" s="438">
        <v>1.6399999999999998E-2</v>
      </c>
      <c r="E623" s="438">
        <v>5.8999999999999999E-3</v>
      </c>
      <c r="F623" s="438">
        <v>6.6166666666666674E-3</v>
      </c>
      <c r="G623" s="438">
        <v>6.7666666666666665E-3</v>
      </c>
      <c r="H623" s="438">
        <v>6.6916666666666669E-3</v>
      </c>
      <c r="I623" s="438">
        <v>7.0916666666666663E-3</v>
      </c>
      <c r="J623" s="438">
        <f t="shared" si="108"/>
        <v>-1.83E-2</v>
      </c>
      <c r="K623" s="438">
        <f t="shared" si="112"/>
        <v>-1.9091666666666667E-2</v>
      </c>
      <c r="L623" s="438">
        <f t="shared" si="113"/>
        <v>9.3083333333333317E-3</v>
      </c>
      <c r="M623" s="446">
        <f t="shared" si="109"/>
        <v>-1.8685471796455744E-3</v>
      </c>
      <c r="N623" s="446">
        <f t="shared" si="110"/>
        <v>7.0800000000000002E-2</v>
      </c>
      <c r="O623" s="446">
        <f t="shared" si="114"/>
        <v>8.030000000000001E-2</v>
      </c>
      <c r="P623" s="447">
        <f t="shared" si="111"/>
        <v>-7.2668547179645576E-2</v>
      </c>
      <c r="Q623" s="446">
        <f t="shared" si="115"/>
        <v>-8.2168547179645585E-2</v>
      </c>
      <c r="R623" s="446">
        <f t="shared" si="116"/>
        <v>0.2786615843603375</v>
      </c>
      <c r="S623" s="446">
        <f t="shared" si="117"/>
        <v>8.5099999999999995E-2</v>
      </c>
      <c r="T623" s="447">
        <f t="shared" si="118"/>
        <v>0.19356158436033749</v>
      </c>
      <c r="V623" s="448"/>
      <c r="W623" s="448"/>
      <c r="X623" s="448"/>
      <c r="Y623" s="448"/>
      <c r="Z623" s="448"/>
      <c r="AA623" s="448"/>
      <c r="AB623" s="448"/>
      <c r="AC623" s="448"/>
      <c r="AD623" s="448"/>
      <c r="AF623" s="448"/>
      <c r="AG623" s="448"/>
      <c r="AH623" s="448"/>
      <c r="AI623" s="448"/>
      <c r="AJ623" s="448"/>
      <c r="AK623" s="448"/>
      <c r="AL623" s="448"/>
      <c r="AM623" s="448"/>
      <c r="AN623" s="448"/>
      <c r="AP623" s="448"/>
      <c r="AQ623" s="448"/>
      <c r="AR623" s="448"/>
      <c r="AS623" s="448"/>
      <c r="AT623" s="448"/>
      <c r="AU623" s="448"/>
      <c r="AV623" s="448"/>
      <c r="AW623" s="448"/>
      <c r="AX623" s="448"/>
    </row>
    <row r="624" spans="1:50" x14ac:dyDescent="0.4">
      <c r="A624" s="442" t="str">
        <f t="shared" si="119"/>
        <v>81977</v>
      </c>
      <c r="B624" s="442">
        <v>28338</v>
      </c>
      <c r="C624" s="455">
        <v>-1.72E-2</v>
      </c>
      <c r="D624" s="438">
        <v>-3.5300000000000005E-2</v>
      </c>
      <c r="E624" s="438">
        <v>6.7000000000000002E-3</v>
      </c>
      <c r="F624" s="438">
        <v>6.6500000000000005E-3</v>
      </c>
      <c r="G624" s="438">
        <v>6.8083333333333329E-3</v>
      </c>
      <c r="H624" s="438">
        <v>6.7291666666666663E-3</v>
      </c>
      <c r="I624" s="438">
        <v>7.0750000000000006E-3</v>
      </c>
      <c r="J624" s="438">
        <f t="shared" si="108"/>
        <v>-2.3900000000000001E-2</v>
      </c>
      <c r="K624" s="438">
        <f t="shared" si="112"/>
        <v>-2.3929166666666668E-2</v>
      </c>
      <c r="L624" s="438">
        <f t="shared" si="113"/>
        <v>-4.2375000000000003E-2</v>
      </c>
      <c r="M624" s="446">
        <f t="shared" si="109"/>
        <v>-1.7267489649525181E-2</v>
      </c>
      <c r="N624" s="446">
        <f t="shared" si="110"/>
        <v>8.0399999999999999E-2</v>
      </c>
      <c r="O624" s="446">
        <f t="shared" si="114"/>
        <v>8.0749999999999988E-2</v>
      </c>
      <c r="P624" s="447">
        <f t="shared" si="111"/>
        <v>-9.766748964952518E-2</v>
      </c>
      <c r="Q624" s="446">
        <f t="shared" si="115"/>
        <v>-9.8017489649525169E-2</v>
      </c>
      <c r="R624" s="446">
        <f t="shared" si="116"/>
        <v>0.18802352926169474</v>
      </c>
      <c r="S624" s="446">
        <f t="shared" si="117"/>
        <v>8.4900000000000003E-2</v>
      </c>
      <c r="T624" s="447">
        <f t="shared" si="118"/>
        <v>0.10312352926169474</v>
      </c>
      <c r="V624" s="448"/>
      <c r="W624" s="448"/>
      <c r="X624" s="448"/>
      <c r="Y624" s="448"/>
      <c r="Z624" s="448"/>
      <c r="AA624" s="448"/>
      <c r="AB624" s="448"/>
      <c r="AC624" s="448"/>
      <c r="AD624" s="448"/>
      <c r="AF624" s="448"/>
      <c r="AG624" s="448"/>
      <c r="AH624" s="448"/>
      <c r="AI624" s="448"/>
      <c r="AJ624" s="448"/>
      <c r="AK624" s="448"/>
      <c r="AL624" s="448"/>
      <c r="AM624" s="448"/>
      <c r="AN624" s="448"/>
      <c r="AP624" s="448"/>
      <c r="AQ624" s="448"/>
      <c r="AR624" s="448"/>
      <c r="AS624" s="448"/>
      <c r="AT624" s="448"/>
      <c r="AU624" s="448"/>
      <c r="AV624" s="448"/>
      <c r="AW624" s="448"/>
      <c r="AX624" s="448"/>
    </row>
    <row r="625" spans="1:50" x14ac:dyDescent="0.4">
      <c r="A625" s="442" t="str">
        <f t="shared" si="119"/>
        <v>91977</v>
      </c>
      <c r="B625" s="442">
        <v>28369</v>
      </c>
      <c r="C625" s="455">
        <v>1.6000000000000001E-3</v>
      </c>
      <c r="D625" s="438">
        <v>2.4699999999999996E-2</v>
      </c>
      <c r="E625" s="438">
        <v>6.0999999999999995E-3</v>
      </c>
      <c r="F625" s="438">
        <v>6.6E-3</v>
      </c>
      <c r="G625" s="438">
        <v>6.7916666666666672E-3</v>
      </c>
      <c r="H625" s="438">
        <v>6.695833333333334E-3</v>
      </c>
      <c r="I625" s="438">
        <v>7.0500000000000007E-3</v>
      </c>
      <c r="J625" s="438">
        <f t="shared" si="108"/>
        <v>-4.4999999999999997E-3</v>
      </c>
      <c r="K625" s="438">
        <f t="shared" si="112"/>
        <v>-5.0958333333333342E-3</v>
      </c>
      <c r="L625" s="438">
        <f t="shared" si="113"/>
        <v>1.7649999999999996E-2</v>
      </c>
      <c r="M625" s="446">
        <f t="shared" si="109"/>
        <v>-4.0451469714334554E-2</v>
      </c>
      <c r="N625" s="446">
        <f t="shared" si="110"/>
        <v>7.3199999999999987E-2</v>
      </c>
      <c r="O625" s="446">
        <f t="shared" si="114"/>
        <v>8.0350000000000005E-2</v>
      </c>
      <c r="P625" s="447">
        <f t="shared" si="111"/>
        <v>-0.11365146971433454</v>
      </c>
      <c r="Q625" s="446">
        <f t="shared" si="115"/>
        <v>-0.12080146971433456</v>
      </c>
      <c r="R625" s="446">
        <f t="shared" si="116"/>
        <v>0.17268828671077774</v>
      </c>
      <c r="S625" s="446">
        <f t="shared" si="117"/>
        <v>8.4600000000000009E-2</v>
      </c>
      <c r="T625" s="447">
        <f t="shared" si="118"/>
        <v>8.808828671077773E-2</v>
      </c>
      <c r="V625" s="448"/>
      <c r="W625" s="448"/>
      <c r="X625" s="448"/>
      <c r="Y625" s="448"/>
      <c r="Z625" s="448"/>
      <c r="AA625" s="448"/>
      <c r="AB625" s="448"/>
      <c r="AC625" s="448"/>
      <c r="AD625" s="448"/>
      <c r="AF625" s="448"/>
      <c r="AG625" s="448"/>
      <c r="AH625" s="448"/>
      <c r="AI625" s="448"/>
      <c r="AJ625" s="448"/>
      <c r="AK625" s="448"/>
      <c r="AL625" s="448"/>
      <c r="AM625" s="448"/>
      <c r="AN625" s="448"/>
      <c r="AP625" s="448"/>
      <c r="AQ625" s="448"/>
      <c r="AR625" s="448"/>
      <c r="AS625" s="448"/>
      <c r="AT625" s="448"/>
      <c r="AU625" s="448"/>
      <c r="AV625" s="448"/>
      <c r="AW625" s="448"/>
      <c r="AX625" s="448"/>
    </row>
    <row r="626" spans="1:50" x14ac:dyDescent="0.4">
      <c r="A626" s="442" t="str">
        <f t="shared" si="119"/>
        <v>101977</v>
      </c>
      <c r="B626" s="442">
        <v>28399</v>
      </c>
      <c r="C626" s="455">
        <v>-3.9E-2</v>
      </c>
      <c r="D626" s="438">
        <v>-2.9600000000000001E-2</v>
      </c>
      <c r="E626" s="438">
        <v>6.3E-3</v>
      </c>
      <c r="F626" s="438">
        <v>6.6999999999999994E-3</v>
      </c>
      <c r="G626" s="438">
        <v>6.8833333333333333E-3</v>
      </c>
      <c r="H626" s="438">
        <v>6.7916666666666672E-3</v>
      </c>
      <c r="I626" s="438">
        <v>7.1749999999999991E-3</v>
      </c>
      <c r="J626" s="438">
        <f t="shared" si="108"/>
        <v>-4.53E-2</v>
      </c>
      <c r="K626" s="438">
        <f t="shared" si="112"/>
        <v>-4.5791666666666668E-2</v>
      </c>
      <c r="L626" s="438">
        <f t="shared" si="113"/>
        <v>-3.6775000000000002E-2</v>
      </c>
      <c r="M626" s="446">
        <f t="shared" si="109"/>
        <v>-6.0397251269080132E-2</v>
      </c>
      <c r="N626" s="446">
        <f t="shared" si="110"/>
        <v>7.5600000000000001E-2</v>
      </c>
      <c r="O626" s="446">
        <f t="shared" si="114"/>
        <v>8.1500000000000003E-2</v>
      </c>
      <c r="P626" s="447">
        <f t="shared" si="111"/>
        <v>-0.13599725126908013</v>
      </c>
      <c r="Q626" s="446">
        <f t="shared" si="115"/>
        <v>-0.14189725126908015</v>
      </c>
      <c r="R626" s="446">
        <f t="shared" si="116"/>
        <v>0.14037149356061662</v>
      </c>
      <c r="S626" s="446">
        <f t="shared" si="117"/>
        <v>8.6099999999999982E-2</v>
      </c>
      <c r="T626" s="447">
        <f t="shared" si="118"/>
        <v>5.427149356061664E-2</v>
      </c>
      <c r="V626" s="448"/>
      <c r="W626" s="448"/>
      <c r="X626" s="448"/>
      <c r="Y626" s="448"/>
      <c r="Z626" s="448"/>
      <c r="AA626" s="448"/>
      <c r="AB626" s="448"/>
      <c r="AC626" s="448"/>
      <c r="AD626" s="448"/>
      <c r="AF626" s="448"/>
      <c r="AG626" s="448"/>
      <c r="AH626" s="448"/>
      <c r="AI626" s="448"/>
      <c r="AJ626" s="448"/>
      <c r="AK626" s="448"/>
      <c r="AL626" s="448"/>
      <c r="AM626" s="448"/>
      <c r="AN626" s="448"/>
      <c r="AP626" s="448"/>
      <c r="AQ626" s="448"/>
      <c r="AR626" s="448"/>
      <c r="AS626" s="448"/>
      <c r="AT626" s="448"/>
      <c r="AU626" s="448"/>
      <c r="AV626" s="448"/>
      <c r="AW626" s="448"/>
      <c r="AX626" s="448"/>
    </row>
    <row r="627" spans="1:50" x14ac:dyDescent="0.4">
      <c r="A627" s="442" t="str">
        <f t="shared" si="119"/>
        <v>111977</v>
      </c>
      <c r="B627" s="442">
        <v>28430</v>
      </c>
      <c r="C627" s="455">
        <v>3.1600000000000003E-2</v>
      </c>
      <c r="D627" s="438">
        <v>3.8100000000000002E-2</v>
      </c>
      <c r="E627" s="438">
        <v>6.3E-3</v>
      </c>
      <c r="F627" s="438">
        <v>6.7333333333333334E-3</v>
      </c>
      <c r="G627" s="438">
        <v>6.9499999999999996E-3</v>
      </c>
      <c r="H627" s="438">
        <v>6.841666666666666E-3</v>
      </c>
      <c r="I627" s="438">
        <v>7.2000000000000007E-3</v>
      </c>
      <c r="J627" s="438">
        <f t="shared" si="108"/>
        <v>2.5300000000000003E-2</v>
      </c>
      <c r="K627" s="438">
        <f t="shared" si="112"/>
        <v>2.4758333333333337E-2</v>
      </c>
      <c r="L627" s="438">
        <f t="shared" si="113"/>
        <v>3.09E-2</v>
      </c>
      <c r="M627" s="446">
        <f t="shared" si="109"/>
        <v>-2.6715337292080865E-2</v>
      </c>
      <c r="N627" s="446">
        <f t="shared" si="110"/>
        <v>7.5600000000000001E-2</v>
      </c>
      <c r="O627" s="446">
        <f t="shared" si="114"/>
        <v>8.2099999999999992E-2</v>
      </c>
      <c r="P627" s="447">
        <f t="shared" si="111"/>
        <v>-0.10231533729208087</v>
      </c>
      <c r="Q627" s="446">
        <f t="shared" si="115"/>
        <v>-0.10881533729208086</v>
      </c>
      <c r="R627" s="446">
        <f t="shared" si="116"/>
        <v>0.15292135514732741</v>
      </c>
      <c r="S627" s="446">
        <f t="shared" si="117"/>
        <v>8.6400000000000005E-2</v>
      </c>
      <c r="T627" s="447">
        <f t="shared" si="118"/>
        <v>6.6521355147327405E-2</v>
      </c>
      <c r="V627" s="448"/>
      <c r="W627" s="448"/>
      <c r="X627" s="448"/>
      <c r="Y627" s="448"/>
      <c r="Z627" s="448"/>
      <c r="AA627" s="448"/>
      <c r="AB627" s="448"/>
      <c r="AC627" s="448"/>
      <c r="AD627" s="448"/>
      <c r="AF627" s="448"/>
      <c r="AG627" s="448"/>
      <c r="AH627" s="448"/>
      <c r="AI627" s="448"/>
      <c r="AJ627" s="448"/>
      <c r="AK627" s="448"/>
      <c r="AL627" s="448"/>
      <c r="AM627" s="448"/>
      <c r="AN627" s="448"/>
      <c r="AP627" s="448"/>
      <c r="AQ627" s="448"/>
      <c r="AR627" s="448"/>
      <c r="AS627" s="448"/>
      <c r="AT627" s="448"/>
      <c r="AU627" s="448"/>
      <c r="AV627" s="448"/>
      <c r="AW627" s="448"/>
      <c r="AX627" s="448"/>
    </row>
    <row r="628" spans="1:50" x14ac:dyDescent="0.4">
      <c r="A628" s="442" t="str">
        <f t="shared" si="119"/>
        <v>121977</v>
      </c>
      <c r="B628" s="442">
        <v>28460</v>
      </c>
      <c r="C628" s="455">
        <v>7.4999999999999997E-3</v>
      </c>
      <c r="D628" s="438">
        <v>1.8999999999999998E-3</v>
      </c>
      <c r="E628" s="438">
        <v>6.1999999999999998E-3</v>
      </c>
      <c r="F628" s="438">
        <v>6.8250000000000003E-3</v>
      </c>
      <c r="G628" s="438">
        <v>7.0041666666666655E-3</v>
      </c>
      <c r="H628" s="438">
        <v>6.9145833333333325E-3</v>
      </c>
      <c r="I628" s="438">
        <v>7.2000000000000007E-3</v>
      </c>
      <c r="J628" s="438">
        <f t="shared" si="108"/>
        <v>1.2999999999999999E-3</v>
      </c>
      <c r="K628" s="438">
        <f t="shared" si="112"/>
        <v>5.8541666666666724E-4</v>
      </c>
      <c r="L628" s="438">
        <f t="shared" si="113"/>
        <v>-5.3000000000000009E-3</v>
      </c>
      <c r="M628" s="446">
        <f t="shared" si="109"/>
        <v>-7.1504310502576884E-2</v>
      </c>
      <c r="N628" s="446">
        <f t="shared" si="110"/>
        <v>7.4399999999999994E-2</v>
      </c>
      <c r="O628" s="446">
        <f t="shared" si="114"/>
        <v>8.2974999999999993E-2</v>
      </c>
      <c r="P628" s="447">
        <f t="shared" si="111"/>
        <v>-0.14590431050257688</v>
      </c>
      <c r="Q628" s="446">
        <f t="shared" si="115"/>
        <v>-0.15447931050257688</v>
      </c>
      <c r="R628" s="446">
        <f t="shared" si="116"/>
        <v>8.6550565066416452E-2</v>
      </c>
      <c r="S628" s="446">
        <f t="shared" si="117"/>
        <v>8.6400000000000005E-2</v>
      </c>
      <c r="T628" s="447">
        <f t="shared" si="118"/>
        <v>1.5056506641644707E-4</v>
      </c>
      <c r="V628" s="448"/>
      <c r="W628" s="448"/>
      <c r="X628" s="448"/>
      <c r="Y628" s="448"/>
      <c r="Z628" s="448"/>
      <c r="AA628" s="448"/>
      <c r="AB628" s="448"/>
      <c r="AC628" s="448"/>
      <c r="AD628" s="448"/>
      <c r="AF628" s="448"/>
      <c r="AG628" s="448"/>
      <c r="AH628" s="448"/>
      <c r="AI628" s="448"/>
      <c r="AJ628" s="448"/>
      <c r="AK628" s="448"/>
      <c r="AL628" s="448"/>
      <c r="AM628" s="448"/>
      <c r="AN628" s="448"/>
      <c r="AP628" s="448"/>
      <c r="AQ628" s="448"/>
      <c r="AR628" s="448"/>
      <c r="AS628" s="448"/>
      <c r="AT628" s="448"/>
      <c r="AU628" s="448"/>
      <c r="AV628" s="448"/>
      <c r="AW628" s="448"/>
      <c r="AX628" s="448"/>
    </row>
    <row r="629" spans="1:50" x14ac:dyDescent="0.4">
      <c r="A629" s="442" t="str">
        <f t="shared" si="119"/>
        <v>11978</v>
      </c>
      <c r="B629" s="442">
        <v>28491</v>
      </c>
      <c r="C629" s="455">
        <v>-5.74E-2</v>
      </c>
      <c r="D629" s="438">
        <v>-5.33E-2</v>
      </c>
      <c r="E629" s="438">
        <v>6.8999999999999999E-3</v>
      </c>
      <c r="F629" s="438">
        <v>7.0083333333333334E-3</v>
      </c>
      <c r="G629" s="438">
        <v>7.1583333333333334E-3</v>
      </c>
      <c r="H629" s="438">
        <v>7.083333333333333E-3</v>
      </c>
      <c r="I629" s="438">
        <v>7.4333333333333326E-3</v>
      </c>
      <c r="J629" s="438">
        <f t="shared" si="108"/>
        <v>-6.4299999999999996E-2</v>
      </c>
      <c r="K629" s="438">
        <f t="shared" si="112"/>
        <v>-6.4483333333333337E-2</v>
      </c>
      <c r="L629" s="438">
        <f t="shared" si="113"/>
        <v>-6.0733333333333334E-2</v>
      </c>
      <c r="M629" s="446">
        <f t="shared" si="109"/>
        <v>-8.1347709750949071E-2</v>
      </c>
      <c r="N629" s="446">
        <f t="shared" si="110"/>
        <v>8.2799999999999999E-2</v>
      </c>
      <c r="O629" s="446">
        <f t="shared" si="114"/>
        <v>8.4999999999999992E-2</v>
      </c>
      <c r="P629" s="447">
        <f t="shared" si="111"/>
        <v>-0.16414770975094906</v>
      </c>
      <c r="Q629" s="446">
        <f t="shared" si="115"/>
        <v>-0.16634770975094906</v>
      </c>
      <c r="R629" s="446">
        <f t="shared" si="116"/>
        <v>2.5049745837943949E-2</v>
      </c>
      <c r="S629" s="446">
        <f t="shared" si="117"/>
        <v>8.9199999999999988E-2</v>
      </c>
      <c r="T629" s="447">
        <f t="shared" si="118"/>
        <v>-6.4150254162056039E-2</v>
      </c>
      <c r="V629" s="448"/>
      <c r="W629" s="448"/>
      <c r="X629" s="448"/>
      <c r="Y629" s="448"/>
      <c r="Z629" s="448"/>
      <c r="AA629" s="448"/>
      <c r="AB629" s="448"/>
      <c r="AC629" s="448"/>
      <c r="AD629" s="448"/>
      <c r="AF629" s="448"/>
      <c r="AG629" s="448"/>
      <c r="AH629" s="448"/>
      <c r="AI629" s="448"/>
      <c r="AJ629" s="448"/>
      <c r="AK629" s="448"/>
      <c r="AL629" s="448"/>
      <c r="AM629" s="448"/>
      <c r="AN629" s="448"/>
      <c r="AP629" s="448"/>
      <c r="AQ629" s="448"/>
      <c r="AR629" s="448"/>
      <c r="AS629" s="448"/>
      <c r="AT629" s="448"/>
      <c r="AU629" s="448"/>
      <c r="AV629" s="448"/>
      <c r="AW629" s="448"/>
      <c r="AX629" s="448"/>
    </row>
    <row r="630" spans="1:50" x14ac:dyDescent="0.4">
      <c r="A630" s="442" t="str">
        <f t="shared" si="119"/>
        <v>21978</v>
      </c>
      <c r="B630" s="442">
        <v>28522</v>
      </c>
      <c r="C630" s="455">
        <v>-2.0299999999999999E-2</v>
      </c>
      <c r="D630" s="438">
        <v>-6.1999999999999998E-3</v>
      </c>
      <c r="E630" s="438">
        <v>6.0000000000000001E-3</v>
      </c>
      <c r="F630" s="438">
        <v>7.058333333333334E-3</v>
      </c>
      <c r="G630" s="438">
        <v>7.2083333333333331E-3</v>
      </c>
      <c r="H630" s="438">
        <v>7.1333333333333335E-3</v>
      </c>
      <c r="I630" s="438">
        <v>7.4750000000000007E-3</v>
      </c>
      <c r="J630" s="438">
        <f t="shared" si="108"/>
        <v>-2.6299999999999997E-2</v>
      </c>
      <c r="K630" s="438">
        <f t="shared" si="112"/>
        <v>-2.743333333333333E-2</v>
      </c>
      <c r="L630" s="438">
        <f t="shared" si="113"/>
        <v>-1.3675E-2</v>
      </c>
      <c r="M630" s="446">
        <f t="shared" si="109"/>
        <v>-8.3312641314936431E-2</v>
      </c>
      <c r="N630" s="446">
        <f t="shared" si="110"/>
        <v>7.2000000000000008E-2</v>
      </c>
      <c r="O630" s="446">
        <f t="shared" si="114"/>
        <v>8.5600000000000009E-2</v>
      </c>
      <c r="P630" s="447">
        <f t="shared" si="111"/>
        <v>-0.15531264131493644</v>
      </c>
      <c r="Q630" s="446">
        <f t="shared" si="115"/>
        <v>-0.16891264131493644</v>
      </c>
      <c r="R630" s="446">
        <f t="shared" si="116"/>
        <v>5.8054047999323233E-2</v>
      </c>
      <c r="S630" s="446">
        <f t="shared" si="117"/>
        <v>8.9700000000000002E-2</v>
      </c>
      <c r="T630" s="447">
        <f t="shared" si="118"/>
        <v>-3.1645952000676769E-2</v>
      </c>
      <c r="V630" s="448"/>
      <c r="W630" s="448"/>
      <c r="X630" s="448"/>
      <c r="Y630" s="448"/>
      <c r="Z630" s="448"/>
      <c r="AA630" s="448"/>
      <c r="AB630" s="448"/>
      <c r="AC630" s="448"/>
      <c r="AD630" s="448"/>
      <c r="AF630" s="448"/>
      <c r="AG630" s="448"/>
      <c r="AH630" s="448"/>
      <c r="AI630" s="448"/>
      <c r="AJ630" s="448"/>
      <c r="AK630" s="448"/>
      <c r="AL630" s="448"/>
      <c r="AM630" s="448"/>
      <c r="AN630" s="448"/>
      <c r="AP630" s="448"/>
      <c r="AQ630" s="448"/>
      <c r="AR630" s="448"/>
      <c r="AS630" s="448"/>
      <c r="AT630" s="448"/>
      <c r="AU630" s="448"/>
      <c r="AV630" s="448"/>
      <c r="AW630" s="448"/>
      <c r="AX630" s="448"/>
    </row>
    <row r="631" spans="1:50" x14ac:dyDescent="0.4">
      <c r="A631" s="442" t="str">
        <f t="shared" si="119"/>
        <v>31978</v>
      </c>
      <c r="B631" s="442">
        <v>28550</v>
      </c>
      <c r="C631" s="455">
        <v>2.9399999999999999E-2</v>
      </c>
      <c r="D631" s="438">
        <v>3.0899999999999997E-2</v>
      </c>
      <c r="E631" s="438">
        <v>6.8999999999999999E-3</v>
      </c>
      <c r="F631" s="438">
        <v>7.058333333333334E-3</v>
      </c>
      <c r="G631" s="438">
        <v>7.2166666666666664E-3</v>
      </c>
      <c r="H631" s="438">
        <v>7.1375000000000015E-3</v>
      </c>
      <c r="I631" s="438">
        <v>7.483333333333334E-3</v>
      </c>
      <c r="J631" s="438">
        <f t="shared" si="108"/>
        <v>2.2499999999999999E-2</v>
      </c>
      <c r="K631" s="438">
        <f t="shared" si="112"/>
        <v>2.2262499999999998E-2</v>
      </c>
      <c r="L631" s="438">
        <f t="shared" si="113"/>
        <v>2.3416666666666662E-2</v>
      </c>
      <c r="M631" s="446">
        <f t="shared" si="109"/>
        <v>-4.6348694259318313E-2</v>
      </c>
      <c r="N631" s="446">
        <f t="shared" si="110"/>
        <v>8.2799999999999999E-2</v>
      </c>
      <c r="O631" s="446">
        <f t="shared" si="114"/>
        <v>8.5650000000000018E-2</v>
      </c>
      <c r="P631" s="447">
        <f t="shared" si="111"/>
        <v>-0.1291486942593183</v>
      </c>
      <c r="Q631" s="446">
        <f t="shared" si="115"/>
        <v>-0.13199869425931832</v>
      </c>
      <c r="R631" s="446">
        <f t="shared" si="116"/>
        <v>7.973462490843608E-2</v>
      </c>
      <c r="S631" s="446">
        <f t="shared" si="117"/>
        <v>8.9800000000000005E-2</v>
      </c>
      <c r="T631" s="447">
        <f t="shared" si="118"/>
        <v>-1.0065375091563925E-2</v>
      </c>
      <c r="V631" s="448"/>
      <c r="W631" s="448"/>
      <c r="X631" s="448"/>
      <c r="Y631" s="448"/>
      <c r="Z631" s="448"/>
      <c r="AA631" s="448"/>
      <c r="AB631" s="448"/>
      <c r="AC631" s="448"/>
      <c r="AD631" s="448"/>
      <c r="AF631" s="448"/>
      <c r="AG631" s="448"/>
      <c r="AH631" s="448"/>
      <c r="AI631" s="448"/>
      <c r="AJ631" s="448"/>
      <c r="AK631" s="448"/>
      <c r="AL631" s="448"/>
      <c r="AM631" s="448"/>
      <c r="AN631" s="448"/>
      <c r="AP631" s="448"/>
      <c r="AQ631" s="448"/>
      <c r="AR631" s="448"/>
      <c r="AS631" s="448"/>
      <c r="AT631" s="448"/>
      <c r="AU631" s="448"/>
      <c r="AV631" s="448"/>
      <c r="AW631" s="448"/>
      <c r="AX631" s="448"/>
    </row>
    <row r="632" spans="1:50" x14ac:dyDescent="0.4">
      <c r="A632" s="442" t="str">
        <f t="shared" si="119"/>
        <v>41978</v>
      </c>
      <c r="B632" s="442">
        <v>28581</v>
      </c>
      <c r="C632" s="455">
        <v>9.0200000000000002E-2</v>
      </c>
      <c r="D632" s="438">
        <v>1.06E-2</v>
      </c>
      <c r="E632" s="438">
        <v>6.3E-3</v>
      </c>
      <c r="F632" s="438">
        <v>7.1333333333333335E-3</v>
      </c>
      <c r="G632" s="438">
        <v>7.2750000000000002E-3</v>
      </c>
      <c r="H632" s="438">
        <v>7.2041666666666669E-3</v>
      </c>
      <c r="I632" s="438">
        <v>7.5749999999999993E-3</v>
      </c>
      <c r="J632" s="438">
        <f t="shared" si="108"/>
        <v>8.3900000000000002E-2</v>
      </c>
      <c r="K632" s="438">
        <f t="shared" si="112"/>
        <v>8.2995833333333338E-2</v>
      </c>
      <c r="L632" s="438">
        <f t="shared" si="113"/>
        <v>3.0250000000000008E-3</v>
      </c>
      <c r="M632" s="446">
        <f t="shared" si="109"/>
        <v>3.5322299859083195E-2</v>
      </c>
      <c r="N632" s="446">
        <f t="shared" si="110"/>
        <v>7.5600000000000001E-2</v>
      </c>
      <c r="O632" s="446">
        <f t="shared" si="114"/>
        <v>8.6449999999999999E-2</v>
      </c>
      <c r="P632" s="447">
        <f t="shared" si="111"/>
        <v>-4.0277700140916806E-2</v>
      </c>
      <c r="Q632" s="446">
        <f t="shared" si="115"/>
        <v>-5.1127700140916804E-2</v>
      </c>
      <c r="R632" s="446">
        <f t="shared" si="116"/>
        <v>6.884103431527655E-2</v>
      </c>
      <c r="S632" s="446">
        <f t="shared" si="117"/>
        <v>9.0899999999999995E-2</v>
      </c>
      <c r="T632" s="447">
        <f t="shared" si="118"/>
        <v>-2.2058965684723444E-2</v>
      </c>
      <c r="V632" s="448"/>
      <c r="W632" s="448"/>
      <c r="X632" s="448"/>
      <c r="Y632" s="448"/>
      <c r="Z632" s="448"/>
      <c r="AA632" s="448"/>
      <c r="AB632" s="448"/>
      <c r="AC632" s="448"/>
      <c r="AD632" s="448"/>
      <c r="AF632" s="448"/>
      <c r="AG632" s="448"/>
      <c r="AH632" s="448"/>
      <c r="AI632" s="448"/>
      <c r="AJ632" s="448"/>
      <c r="AK632" s="448"/>
      <c r="AL632" s="448"/>
      <c r="AM632" s="448"/>
      <c r="AN632" s="448"/>
      <c r="AP632" s="448"/>
      <c r="AQ632" s="448"/>
      <c r="AR632" s="448"/>
      <c r="AS632" s="448"/>
      <c r="AT632" s="448"/>
      <c r="AU632" s="448"/>
      <c r="AV632" s="448"/>
      <c r="AW632" s="448"/>
      <c r="AX632" s="448"/>
    </row>
    <row r="633" spans="1:50" x14ac:dyDescent="0.4">
      <c r="A633" s="442" t="str">
        <f t="shared" si="119"/>
        <v>51978</v>
      </c>
      <c r="B633" s="442">
        <v>28611</v>
      </c>
      <c r="C633" s="455">
        <v>9.1999999999999998E-3</v>
      </c>
      <c r="D633" s="438">
        <v>4.3E-3</v>
      </c>
      <c r="E633" s="438">
        <v>7.4999999999999997E-3</v>
      </c>
      <c r="F633" s="438">
        <v>7.2416666666666662E-3</v>
      </c>
      <c r="G633" s="438">
        <v>7.3666666666666672E-3</v>
      </c>
      <c r="H633" s="438">
        <v>7.3041666666666671E-3</v>
      </c>
      <c r="I633" s="438">
        <v>7.6833333333333345E-3</v>
      </c>
      <c r="J633" s="438">
        <f t="shared" si="108"/>
        <v>1.7000000000000001E-3</v>
      </c>
      <c r="K633" s="438">
        <f t="shared" si="112"/>
        <v>1.8958333333333327E-3</v>
      </c>
      <c r="L633" s="438">
        <f t="shared" si="113"/>
        <v>-3.3833333333333345E-3</v>
      </c>
      <c r="M633" s="446">
        <f t="shared" si="109"/>
        <v>6.5735684432666863E-2</v>
      </c>
      <c r="N633" s="446">
        <f t="shared" si="110"/>
        <v>0.09</v>
      </c>
      <c r="O633" s="446">
        <f t="shared" si="114"/>
        <v>8.7650000000000006E-2</v>
      </c>
      <c r="P633" s="447">
        <f t="shared" si="111"/>
        <v>-2.4264315567333133E-2</v>
      </c>
      <c r="Q633" s="446">
        <f t="shared" si="115"/>
        <v>-2.1914315567333142E-2</v>
      </c>
      <c r="R633" s="446">
        <f t="shared" si="116"/>
        <v>5.125555847892671E-2</v>
      </c>
      <c r="S633" s="446">
        <f t="shared" si="117"/>
        <v>9.2200000000000018E-2</v>
      </c>
      <c r="T633" s="447">
        <f t="shared" si="118"/>
        <v>-4.0944441521073308E-2</v>
      </c>
      <c r="V633" s="448"/>
      <c r="W633" s="448"/>
      <c r="X633" s="448"/>
      <c r="Y633" s="448"/>
      <c r="Z633" s="448"/>
      <c r="AA633" s="448"/>
      <c r="AB633" s="448"/>
      <c r="AC633" s="448"/>
      <c r="AD633" s="448"/>
      <c r="AF633" s="448"/>
      <c r="AG633" s="448"/>
      <c r="AH633" s="448"/>
      <c r="AI633" s="448"/>
      <c r="AJ633" s="448"/>
      <c r="AK633" s="448"/>
      <c r="AL633" s="448"/>
      <c r="AM633" s="448"/>
      <c r="AN633" s="448"/>
      <c r="AP633" s="448"/>
      <c r="AQ633" s="448"/>
      <c r="AR633" s="448"/>
      <c r="AS633" s="448"/>
      <c r="AT633" s="448"/>
      <c r="AU633" s="448"/>
      <c r="AV633" s="448"/>
      <c r="AW633" s="448"/>
      <c r="AX633" s="448"/>
    </row>
    <row r="634" spans="1:50" x14ac:dyDescent="0.4">
      <c r="A634" s="442" t="str">
        <f t="shared" si="119"/>
        <v>61978</v>
      </c>
      <c r="B634" s="442">
        <v>28642</v>
      </c>
      <c r="C634" s="455">
        <v>-1.38E-2</v>
      </c>
      <c r="D634" s="438">
        <v>3.5999999999999999E-3</v>
      </c>
      <c r="E634" s="438">
        <v>6.8999999999999999E-3</v>
      </c>
      <c r="F634" s="438">
        <v>7.3000000000000001E-3</v>
      </c>
      <c r="G634" s="438">
        <v>7.4583333333333324E-3</v>
      </c>
      <c r="H634" s="438">
        <v>7.3791666666666658E-3</v>
      </c>
      <c r="I634" s="438">
        <v>7.8333333333333328E-3</v>
      </c>
      <c r="J634" s="438">
        <f t="shared" si="108"/>
        <v>-2.07E-2</v>
      </c>
      <c r="K634" s="438">
        <f t="shared" si="112"/>
        <v>-2.1179166666666666E-2</v>
      </c>
      <c r="L634" s="438">
        <f t="shared" si="113"/>
        <v>-4.2333333333333329E-3</v>
      </c>
      <c r="M634" s="446">
        <f t="shared" si="109"/>
        <v>1.551869627878899E-3</v>
      </c>
      <c r="N634" s="446">
        <f t="shared" si="110"/>
        <v>8.2799999999999999E-2</v>
      </c>
      <c r="O634" s="446">
        <f t="shared" si="114"/>
        <v>8.854999999999999E-2</v>
      </c>
      <c r="P634" s="447">
        <f t="shared" si="111"/>
        <v>-8.12481303721211E-2</v>
      </c>
      <c r="Q634" s="446">
        <f t="shared" si="115"/>
        <v>-8.6998130372121091E-2</v>
      </c>
      <c r="R634" s="446">
        <f t="shared" si="116"/>
        <v>1.8422547616097074E-3</v>
      </c>
      <c r="S634" s="446">
        <f t="shared" si="117"/>
        <v>9.4E-2</v>
      </c>
      <c r="T634" s="447">
        <f t="shared" si="118"/>
        <v>-9.2157745238390293E-2</v>
      </c>
      <c r="V634" s="448"/>
      <c r="W634" s="448"/>
      <c r="X634" s="448"/>
      <c r="Y634" s="448"/>
      <c r="Z634" s="448"/>
      <c r="AA634" s="448"/>
      <c r="AB634" s="448"/>
      <c r="AC634" s="448"/>
      <c r="AD634" s="448"/>
      <c r="AF634" s="448"/>
      <c r="AG634" s="448"/>
      <c r="AH634" s="448"/>
      <c r="AI634" s="448"/>
      <c r="AJ634" s="448"/>
      <c r="AK634" s="448"/>
      <c r="AL634" s="448"/>
      <c r="AM634" s="448"/>
      <c r="AN634" s="448"/>
      <c r="AP634" s="448"/>
      <c r="AQ634" s="448"/>
      <c r="AR634" s="448"/>
      <c r="AS634" s="448"/>
      <c r="AT634" s="448"/>
      <c r="AU634" s="448"/>
      <c r="AV634" s="448"/>
      <c r="AW634" s="448"/>
      <c r="AX634" s="448"/>
    </row>
    <row r="635" spans="1:50" x14ac:dyDescent="0.4">
      <c r="A635" s="442" t="str">
        <f t="shared" si="119"/>
        <v>71978</v>
      </c>
      <c r="B635" s="442">
        <v>28672</v>
      </c>
      <c r="C635" s="455">
        <v>5.8299999999999998E-2</v>
      </c>
      <c r="D635" s="438">
        <v>3.1600000000000003E-2</v>
      </c>
      <c r="E635" s="438">
        <v>7.3000000000000001E-3</v>
      </c>
      <c r="F635" s="438">
        <v>7.4000000000000012E-3</v>
      </c>
      <c r="G635" s="438">
        <v>7.5583333333333336E-3</v>
      </c>
      <c r="H635" s="438">
        <v>7.4791666666666678E-3</v>
      </c>
      <c r="I635" s="438">
        <v>7.9249999999999998E-3</v>
      </c>
      <c r="J635" s="438">
        <f t="shared" si="108"/>
        <v>5.0999999999999997E-2</v>
      </c>
      <c r="K635" s="438">
        <f t="shared" si="112"/>
        <v>5.0820833333333329E-2</v>
      </c>
      <c r="L635" s="438">
        <f t="shared" si="113"/>
        <v>2.3675000000000002E-2</v>
      </c>
      <c r="M635" s="446">
        <f t="shared" si="109"/>
        <v>7.3250651708368419E-2</v>
      </c>
      <c r="N635" s="446">
        <f t="shared" si="110"/>
        <v>8.7599999999999997E-2</v>
      </c>
      <c r="O635" s="446">
        <f t="shared" si="114"/>
        <v>8.975000000000001E-2</v>
      </c>
      <c r="P635" s="447">
        <f t="shared" si="111"/>
        <v>-1.4349348291631578E-2</v>
      </c>
      <c r="Q635" s="446">
        <f t="shared" si="115"/>
        <v>-1.6499348291631591E-2</v>
      </c>
      <c r="R635" s="446">
        <f t="shared" si="116"/>
        <v>1.6824547434156623E-2</v>
      </c>
      <c r="S635" s="446">
        <f t="shared" si="117"/>
        <v>9.509999999999999E-2</v>
      </c>
      <c r="T635" s="447">
        <f t="shared" si="118"/>
        <v>-7.8275452565843368E-2</v>
      </c>
      <c r="V635" s="448"/>
      <c r="W635" s="448"/>
      <c r="X635" s="448"/>
      <c r="Y635" s="448"/>
      <c r="Z635" s="448"/>
      <c r="AA635" s="448"/>
      <c r="AB635" s="448"/>
      <c r="AC635" s="448"/>
      <c r="AD635" s="448"/>
      <c r="AF635" s="448"/>
      <c r="AG635" s="448"/>
      <c r="AH635" s="448"/>
      <c r="AI635" s="448"/>
      <c r="AJ635" s="448"/>
      <c r="AK635" s="448"/>
      <c r="AL635" s="448"/>
      <c r="AM635" s="448"/>
      <c r="AN635" s="448"/>
      <c r="AP635" s="448"/>
      <c r="AQ635" s="448"/>
      <c r="AR635" s="448"/>
      <c r="AS635" s="448"/>
      <c r="AT635" s="448"/>
      <c r="AU635" s="448"/>
      <c r="AV635" s="448"/>
      <c r="AW635" s="448"/>
      <c r="AX635" s="448"/>
    </row>
    <row r="636" spans="1:50" x14ac:dyDescent="0.4">
      <c r="A636" s="442" t="str">
        <f t="shared" si="119"/>
        <v>81978</v>
      </c>
      <c r="B636" s="442">
        <v>28703</v>
      </c>
      <c r="C636" s="455">
        <v>3.0099999999999998E-2</v>
      </c>
      <c r="D636" s="438">
        <v>-3.0000000000000079E-4</v>
      </c>
      <c r="E636" s="438">
        <v>7.000000000000001E-3</v>
      </c>
      <c r="F636" s="438">
        <v>7.2416666666666662E-3</v>
      </c>
      <c r="G636" s="438">
        <v>7.4666666666666666E-3</v>
      </c>
      <c r="H636" s="438">
        <v>7.354166666666666E-3</v>
      </c>
      <c r="I636" s="438">
        <v>7.7666666666666674E-3</v>
      </c>
      <c r="J636" s="438">
        <f t="shared" si="108"/>
        <v>2.3099999999999996E-2</v>
      </c>
      <c r="K636" s="438">
        <f t="shared" si="112"/>
        <v>2.2745833333333333E-2</v>
      </c>
      <c r="L636" s="438">
        <f t="shared" si="113"/>
        <v>-8.0666666666666682E-3</v>
      </c>
      <c r="M636" s="446">
        <f t="shared" si="109"/>
        <v>0.12490384241431607</v>
      </c>
      <c r="N636" s="446">
        <f t="shared" si="110"/>
        <v>8.4000000000000019E-2</v>
      </c>
      <c r="O636" s="446">
        <f t="shared" si="114"/>
        <v>8.8249999999999995E-2</v>
      </c>
      <c r="P636" s="447">
        <f t="shared" si="111"/>
        <v>4.090384241431605E-2</v>
      </c>
      <c r="Q636" s="446">
        <f t="shared" si="115"/>
        <v>3.6653842414316073E-2</v>
      </c>
      <c r="R636" s="446">
        <f t="shared" si="116"/>
        <v>5.3715662972868339E-2</v>
      </c>
      <c r="S636" s="446">
        <f t="shared" si="117"/>
        <v>9.3200000000000005E-2</v>
      </c>
      <c r="T636" s="447">
        <f t="shared" si="118"/>
        <v>-3.9484337027131666E-2</v>
      </c>
      <c r="V636" s="448"/>
      <c r="W636" s="448"/>
      <c r="X636" s="448"/>
      <c r="Y636" s="448"/>
      <c r="Z636" s="448"/>
      <c r="AA636" s="448"/>
      <c r="AB636" s="448"/>
      <c r="AC636" s="448"/>
      <c r="AD636" s="448"/>
      <c r="AF636" s="448"/>
      <c r="AG636" s="448"/>
      <c r="AH636" s="448"/>
      <c r="AI636" s="448"/>
      <c r="AJ636" s="448"/>
      <c r="AK636" s="448"/>
      <c r="AL636" s="448"/>
      <c r="AM636" s="448"/>
      <c r="AN636" s="448"/>
      <c r="AP636" s="448"/>
      <c r="AQ636" s="448"/>
      <c r="AR636" s="448"/>
      <c r="AS636" s="448"/>
      <c r="AT636" s="448"/>
      <c r="AU636" s="448"/>
      <c r="AV636" s="448"/>
      <c r="AW636" s="448"/>
      <c r="AX636" s="448"/>
    </row>
    <row r="637" spans="1:50" x14ac:dyDescent="0.4">
      <c r="A637" s="442" t="str">
        <f t="shared" si="119"/>
        <v>91978</v>
      </c>
      <c r="B637" s="442">
        <v>28734</v>
      </c>
      <c r="C637" s="455">
        <v>-3.2000000000000002E-3</v>
      </c>
      <c r="D637" s="438">
        <v>-5.6000000000000008E-3</v>
      </c>
      <c r="E637" s="438">
        <v>6.5000000000000006E-3</v>
      </c>
      <c r="F637" s="438">
        <v>7.2416666666666662E-3</v>
      </c>
      <c r="G637" s="438">
        <v>7.4333333333333326E-3</v>
      </c>
      <c r="H637" s="438">
        <v>7.3374999999999994E-3</v>
      </c>
      <c r="I637" s="438">
        <v>7.7333333333333334E-3</v>
      </c>
      <c r="J637" s="438">
        <f t="shared" si="108"/>
        <v>-9.7000000000000003E-3</v>
      </c>
      <c r="K637" s="438">
        <f t="shared" si="112"/>
        <v>-1.05375E-2</v>
      </c>
      <c r="L637" s="438">
        <f t="shared" si="113"/>
        <v>-1.3333333333333334E-2</v>
      </c>
      <c r="M637" s="446">
        <f t="shared" si="109"/>
        <v>0.11951292943150005</v>
      </c>
      <c r="N637" s="446">
        <f t="shared" si="110"/>
        <v>7.8000000000000014E-2</v>
      </c>
      <c r="O637" s="446">
        <f t="shared" si="114"/>
        <v>8.8049999999999989E-2</v>
      </c>
      <c r="P637" s="447">
        <f t="shared" si="111"/>
        <v>4.1512929431500034E-2</v>
      </c>
      <c r="Q637" s="446">
        <f t="shared" si="115"/>
        <v>3.1462929431500058E-2</v>
      </c>
      <c r="R637" s="446">
        <f t="shared" si="116"/>
        <v>2.2557680550620018E-2</v>
      </c>
      <c r="S637" s="446">
        <f t="shared" si="117"/>
        <v>9.2799999999999994E-2</v>
      </c>
      <c r="T637" s="447">
        <f t="shared" si="118"/>
        <v>-7.0242319449379975E-2</v>
      </c>
      <c r="V637" s="448"/>
      <c r="W637" s="448"/>
      <c r="X637" s="448"/>
      <c r="Y637" s="448"/>
      <c r="Z637" s="448"/>
      <c r="AA637" s="448"/>
      <c r="AB637" s="448"/>
      <c r="AC637" s="448"/>
      <c r="AD637" s="448"/>
      <c r="AF637" s="448"/>
      <c r="AG637" s="448"/>
      <c r="AH637" s="448"/>
      <c r="AI637" s="448"/>
      <c r="AJ637" s="448"/>
      <c r="AK637" s="448"/>
      <c r="AL637" s="448"/>
      <c r="AM637" s="448"/>
      <c r="AN637" s="448"/>
      <c r="AP637" s="448"/>
      <c r="AQ637" s="448"/>
      <c r="AR637" s="448"/>
      <c r="AS637" s="448"/>
      <c r="AT637" s="448"/>
      <c r="AU637" s="448"/>
      <c r="AV637" s="448"/>
      <c r="AW637" s="448"/>
      <c r="AX637" s="448"/>
    </row>
    <row r="638" spans="1:50" x14ac:dyDescent="0.4">
      <c r="A638" s="442" t="str">
        <f t="shared" si="119"/>
        <v>101978</v>
      </c>
      <c r="B638" s="442">
        <v>28764</v>
      </c>
      <c r="C638" s="455">
        <v>-8.72E-2</v>
      </c>
      <c r="D638" s="438">
        <v>-6.8400000000000002E-2</v>
      </c>
      <c r="E638" s="438">
        <v>7.3000000000000001E-3</v>
      </c>
      <c r="F638" s="438">
        <v>7.4083333333333336E-3</v>
      </c>
      <c r="G638" s="438">
        <v>7.5583333333333336E-3</v>
      </c>
      <c r="H638" s="438">
        <v>7.4833333333333332E-3</v>
      </c>
      <c r="I638" s="438">
        <v>7.8833333333333342E-3</v>
      </c>
      <c r="J638" s="438">
        <f t="shared" si="108"/>
        <v>-9.4500000000000001E-2</v>
      </c>
      <c r="K638" s="438">
        <f t="shared" si="112"/>
        <v>-9.4683333333333328E-2</v>
      </c>
      <c r="L638" s="438">
        <f t="shared" si="113"/>
        <v>-7.6283333333333342E-2</v>
      </c>
      <c r="M638" s="446">
        <f t="shared" si="109"/>
        <v>6.3362541087485402E-2</v>
      </c>
      <c r="N638" s="446">
        <f t="shared" si="110"/>
        <v>8.7599999999999997E-2</v>
      </c>
      <c r="O638" s="446">
        <f t="shared" si="114"/>
        <v>8.9799999999999991E-2</v>
      </c>
      <c r="P638" s="447">
        <f t="shared" si="111"/>
        <v>-2.4237458912514595E-2</v>
      </c>
      <c r="Q638" s="446">
        <f t="shared" si="115"/>
        <v>-2.6437458912514589E-2</v>
      </c>
      <c r="R638" s="446">
        <f t="shared" si="116"/>
        <v>-1.8327766693160163E-2</v>
      </c>
      <c r="S638" s="446">
        <f t="shared" si="117"/>
        <v>9.4600000000000017E-2</v>
      </c>
      <c r="T638" s="447">
        <f t="shared" si="118"/>
        <v>-0.11292776669316018</v>
      </c>
      <c r="V638" s="448"/>
      <c r="W638" s="448"/>
      <c r="X638" s="448"/>
      <c r="Y638" s="448"/>
      <c r="Z638" s="448"/>
      <c r="AA638" s="448"/>
      <c r="AB638" s="448"/>
      <c r="AC638" s="448"/>
      <c r="AD638" s="448"/>
      <c r="AF638" s="448"/>
      <c r="AG638" s="448"/>
      <c r="AH638" s="448"/>
      <c r="AI638" s="448"/>
      <c r="AJ638" s="448"/>
      <c r="AK638" s="448"/>
      <c r="AL638" s="448"/>
      <c r="AM638" s="448"/>
      <c r="AN638" s="448"/>
      <c r="AP638" s="448"/>
      <c r="AQ638" s="448"/>
      <c r="AR638" s="448"/>
      <c r="AS638" s="448"/>
      <c r="AT638" s="448"/>
      <c r="AU638" s="448"/>
      <c r="AV638" s="448"/>
      <c r="AW638" s="448"/>
      <c r="AX638" s="448"/>
    </row>
    <row r="639" spans="1:50" x14ac:dyDescent="0.4">
      <c r="A639" s="442" t="str">
        <f t="shared" si="119"/>
        <v>111978</v>
      </c>
      <c r="B639" s="442">
        <v>28795</v>
      </c>
      <c r="C639" s="455">
        <v>2.1499999999999998E-2</v>
      </c>
      <c r="D639" s="438">
        <v>3.56E-2</v>
      </c>
      <c r="E639" s="438">
        <v>7.1000000000000004E-3</v>
      </c>
      <c r="F639" s="438">
        <v>7.5249999999999996E-3</v>
      </c>
      <c r="G639" s="438">
        <v>7.7000000000000002E-3</v>
      </c>
      <c r="H639" s="438">
        <v>7.6124999999999995E-3</v>
      </c>
      <c r="I639" s="438">
        <v>8.0666666666666664E-3</v>
      </c>
      <c r="J639" s="438">
        <f t="shared" si="108"/>
        <v>1.4399999999999998E-2</v>
      </c>
      <c r="K639" s="438">
        <f t="shared" si="112"/>
        <v>1.3887499999999999E-2</v>
      </c>
      <c r="L639" s="438">
        <f t="shared" si="113"/>
        <v>2.7533333333333333E-2</v>
      </c>
      <c r="M639" s="446">
        <f t="shared" si="109"/>
        <v>5.2951566228059743E-2</v>
      </c>
      <c r="N639" s="446">
        <f t="shared" si="110"/>
        <v>8.5199999999999998E-2</v>
      </c>
      <c r="O639" s="446">
        <f t="shared" si="114"/>
        <v>9.1349999999999987E-2</v>
      </c>
      <c r="P639" s="447">
        <f t="shared" si="111"/>
        <v>-3.2248433771940255E-2</v>
      </c>
      <c r="Q639" s="446">
        <f t="shared" si="115"/>
        <v>-3.8398433771940244E-2</v>
      </c>
      <c r="R639" s="446">
        <f t="shared" si="116"/>
        <v>-2.069187475911427E-2</v>
      </c>
      <c r="S639" s="446">
        <f t="shared" si="117"/>
        <v>9.6799999999999997E-2</v>
      </c>
      <c r="T639" s="447">
        <f t="shared" si="118"/>
        <v>-0.11749187475911427</v>
      </c>
      <c r="V639" s="448"/>
      <c r="W639" s="448"/>
      <c r="X639" s="448"/>
      <c r="Y639" s="448"/>
      <c r="Z639" s="448"/>
      <c r="AA639" s="448"/>
      <c r="AB639" s="448"/>
      <c r="AC639" s="448"/>
      <c r="AD639" s="448"/>
      <c r="AF639" s="448"/>
      <c r="AG639" s="448"/>
      <c r="AH639" s="448"/>
      <c r="AI639" s="448"/>
      <c r="AJ639" s="448"/>
      <c r="AK639" s="448"/>
      <c r="AL639" s="448"/>
      <c r="AM639" s="448"/>
      <c r="AN639" s="448"/>
      <c r="AP639" s="448"/>
      <c r="AQ639" s="448"/>
      <c r="AR639" s="448"/>
      <c r="AS639" s="448"/>
      <c r="AT639" s="448"/>
      <c r="AU639" s="448"/>
      <c r="AV639" s="448"/>
      <c r="AW639" s="448"/>
      <c r="AX639" s="448"/>
    </row>
    <row r="640" spans="1:50" x14ac:dyDescent="0.4">
      <c r="A640" s="442" t="str">
        <f t="shared" si="119"/>
        <v>121978</v>
      </c>
      <c r="B640" s="442">
        <v>28825</v>
      </c>
      <c r="C640" s="455">
        <v>1.9599999999999999E-2</v>
      </c>
      <c r="D640" s="438">
        <v>-1.49E-2</v>
      </c>
      <c r="E640" s="438">
        <v>6.7999999999999996E-3</v>
      </c>
      <c r="F640" s="438">
        <v>7.6333333333333331E-3</v>
      </c>
      <c r="G640" s="438">
        <v>7.7749999999999998E-3</v>
      </c>
      <c r="H640" s="438">
        <v>7.7041666666666665E-3</v>
      </c>
      <c r="I640" s="438">
        <v>8.083333333333333E-3</v>
      </c>
      <c r="J640" s="438">
        <f t="shared" si="108"/>
        <v>1.2799999999999999E-2</v>
      </c>
      <c r="K640" s="438">
        <f t="shared" si="112"/>
        <v>1.1895833333333333E-2</v>
      </c>
      <c r="L640" s="438">
        <f t="shared" si="113"/>
        <v>-2.2983333333333335E-2</v>
      </c>
      <c r="M640" s="446">
        <f t="shared" si="109"/>
        <v>6.5597436154967381E-2</v>
      </c>
      <c r="N640" s="446">
        <f t="shared" si="110"/>
        <v>8.1599999999999992E-2</v>
      </c>
      <c r="O640" s="446">
        <f t="shared" si="114"/>
        <v>9.2450000000000004E-2</v>
      </c>
      <c r="P640" s="447">
        <f t="shared" si="111"/>
        <v>-1.6002563845032611E-2</v>
      </c>
      <c r="Q640" s="446">
        <f t="shared" si="115"/>
        <v>-2.6852563845032623E-2</v>
      </c>
      <c r="R640" s="446">
        <f t="shared" si="116"/>
        <v>-3.7113051028249688E-2</v>
      </c>
      <c r="S640" s="446">
        <f t="shared" si="117"/>
        <v>9.7000000000000003E-2</v>
      </c>
      <c r="T640" s="447">
        <f t="shared" si="118"/>
        <v>-0.13411305102824969</v>
      </c>
      <c r="V640" s="448"/>
      <c r="W640" s="448"/>
      <c r="X640" s="448"/>
      <c r="Y640" s="448"/>
      <c r="Z640" s="448"/>
      <c r="AA640" s="448"/>
      <c r="AB640" s="448"/>
      <c r="AC640" s="448"/>
      <c r="AD640" s="448"/>
      <c r="AF640" s="448"/>
      <c r="AG640" s="448"/>
      <c r="AH640" s="448"/>
      <c r="AI640" s="448"/>
      <c r="AJ640" s="448"/>
      <c r="AK640" s="448"/>
      <c r="AL640" s="448"/>
      <c r="AM640" s="448"/>
      <c r="AN640" s="448"/>
      <c r="AP640" s="448"/>
      <c r="AQ640" s="448"/>
      <c r="AR640" s="448"/>
      <c r="AS640" s="448"/>
      <c r="AT640" s="448"/>
      <c r="AU640" s="448"/>
      <c r="AV640" s="448"/>
      <c r="AW640" s="448"/>
      <c r="AX640" s="448"/>
    </row>
    <row r="641" spans="1:50" x14ac:dyDescent="0.4">
      <c r="A641" s="442" t="str">
        <f t="shared" si="119"/>
        <v>11979</v>
      </c>
      <c r="B641" s="442">
        <v>28856</v>
      </c>
      <c r="C641" s="455">
        <v>4.4299999999999999E-2</v>
      </c>
      <c r="D641" s="438">
        <v>6.9199999999999998E-2</v>
      </c>
      <c r="E641" s="438">
        <v>7.9000000000000008E-3</v>
      </c>
      <c r="F641" s="438">
        <v>7.7083333333333335E-3</v>
      </c>
      <c r="G641" s="438">
        <v>7.9000000000000008E-3</v>
      </c>
      <c r="H641" s="438">
        <v>7.8041666666666676E-3</v>
      </c>
      <c r="I641" s="438">
        <v>8.2500000000000004E-3</v>
      </c>
      <c r="J641" s="438">
        <f t="shared" si="108"/>
        <v>3.6400000000000002E-2</v>
      </c>
      <c r="K641" s="438">
        <f t="shared" si="112"/>
        <v>3.6495833333333332E-2</v>
      </c>
      <c r="L641" s="438">
        <f t="shared" si="113"/>
        <v>6.0949999999999997E-2</v>
      </c>
      <c r="M641" s="446">
        <f t="shared" si="109"/>
        <v>0.18056800612840274</v>
      </c>
      <c r="N641" s="446">
        <f t="shared" si="110"/>
        <v>9.4800000000000009E-2</v>
      </c>
      <c r="O641" s="446">
        <f t="shared" si="114"/>
        <v>9.3650000000000011E-2</v>
      </c>
      <c r="P641" s="447">
        <f t="shared" si="111"/>
        <v>8.5768006128402727E-2</v>
      </c>
      <c r="Q641" s="446">
        <f t="shared" si="115"/>
        <v>8.6918006128402725E-2</v>
      </c>
      <c r="R641" s="446">
        <f t="shared" si="116"/>
        <v>8.748148921579757E-2</v>
      </c>
      <c r="S641" s="446">
        <f t="shared" si="117"/>
        <v>9.9000000000000005E-2</v>
      </c>
      <c r="T641" s="447">
        <f t="shared" si="118"/>
        <v>-1.1518510784202435E-2</v>
      </c>
      <c r="V641" s="448"/>
      <c r="W641" s="448"/>
      <c r="X641" s="448"/>
      <c r="Y641" s="448"/>
      <c r="Z641" s="448"/>
      <c r="AA641" s="448"/>
      <c r="AB641" s="448"/>
      <c r="AC641" s="448"/>
      <c r="AD641" s="448"/>
      <c r="AF641" s="448"/>
      <c r="AG641" s="448"/>
      <c r="AH641" s="448"/>
      <c r="AI641" s="448"/>
      <c r="AJ641" s="448"/>
      <c r="AK641" s="448"/>
      <c r="AL641" s="448"/>
      <c r="AM641" s="448"/>
      <c r="AN641" s="448"/>
      <c r="AP641" s="448"/>
      <c r="AQ641" s="448"/>
      <c r="AR641" s="448"/>
      <c r="AS641" s="448"/>
      <c r="AT641" s="448"/>
      <c r="AU641" s="448"/>
      <c r="AV641" s="448"/>
      <c r="AW641" s="448"/>
      <c r="AX641" s="448"/>
    </row>
    <row r="642" spans="1:50" x14ac:dyDescent="0.4">
      <c r="A642" s="442" t="str">
        <f t="shared" si="119"/>
        <v>21979</v>
      </c>
      <c r="B642" s="442">
        <v>28887</v>
      </c>
      <c r="C642" s="455">
        <v>-3.2099999999999997E-2</v>
      </c>
      <c r="D642" s="438">
        <v>-2.12E-2</v>
      </c>
      <c r="E642" s="438">
        <v>6.5000000000000006E-3</v>
      </c>
      <c r="F642" s="438">
        <v>7.7166666666666659E-3</v>
      </c>
      <c r="G642" s="438">
        <v>7.9166666666666656E-3</v>
      </c>
      <c r="H642" s="438">
        <v>7.8166666666666662E-3</v>
      </c>
      <c r="I642" s="438">
        <v>8.199999999999999E-3</v>
      </c>
      <c r="J642" s="438">
        <f t="shared" si="108"/>
        <v>-3.8599999999999995E-2</v>
      </c>
      <c r="K642" s="438">
        <f t="shared" si="112"/>
        <v>-3.9916666666666663E-2</v>
      </c>
      <c r="L642" s="438">
        <f t="shared" si="113"/>
        <v>-2.9399999999999999E-2</v>
      </c>
      <c r="M642" s="446">
        <f t="shared" si="109"/>
        <v>0.16634865074173799</v>
      </c>
      <c r="N642" s="446">
        <f t="shared" si="110"/>
        <v>7.8000000000000014E-2</v>
      </c>
      <c r="O642" s="446">
        <f t="shared" si="114"/>
        <v>9.3799999999999994E-2</v>
      </c>
      <c r="P642" s="447">
        <f t="shared" si="111"/>
        <v>8.8348650741737977E-2</v>
      </c>
      <c r="Q642" s="446">
        <f t="shared" si="115"/>
        <v>7.2548650741737997E-2</v>
      </c>
      <c r="R642" s="446">
        <f t="shared" si="116"/>
        <v>7.1067500145323814E-2</v>
      </c>
      <c r="S642" s="446">
        <f t="shared" si="117"/>
        <v>9.8399999999999987E-2</v>
      </c>
      <c r="T642" s="447">
        <f t="shared" si="118"/>
        <v>-2.7332499854676173E-2</v>
      </c>
      <c r="V642" s="448"/>
      <c r="W642" s="448"/>
      <c r="X642" s="448"/>
      <c r="Y642" s="448"/>
      <c r="Z642" s="448"/>
      <c r="AA642" s="448"/>
      <c r="AB642" s="448"/>
      <c r="AC642" s="448"/>
      <c r="AD642" s="448"/>
      <c r="AF642" s="448"/>
      <c r="AG642" s="448"/>
      <c r="AH642" s="448"/>
      <c r="AI642" s="448"/>
      <c r="AJ642" s="448"/>
      <c r="AK642" s="448"/>
      <c r="AL642" s="448"/>
      <c r="AM642" s="448"/>
      <c r="AN642" s="448"/>
      <c r="AP642" s="448"/>
      <c r="AQ642" s="448"/>
      <c r="AR642" s="448"/>
      <c r="AS642" s="448"/>
      <c r="AT642" s="448"/>
      <c r="AU642" s="448"/>
      <c r="AV642" s="448"/>
      <c r="AW642" s="448"/>
      <c r="AX642" s="448"/>
    </row>
    <row r="643" spans="1:50" x14ac:dyDescent="0.4">
      <c r="A643" s="442" t="str">
        <f t="shared" si="119"/>
        <v>31979</v>
      </c>
      <c r="B643" s="442">
        <v>28915</v>
      </c>
      <c r="C643" s="455">
        <v>5.96E-2</v>
      </c>
      <c r="D643" s="438">
        <v>1.9599999999999999E-2</v>
      </c>
      <c r="E643" s="438">
        <v>7.4000000000000003E-3</v>
      </c>
      <c r="F643" s="438">
        <v>7.8083333333333329E-3</v>
      </c>
      <c r="G643" s="438">
        <v>8.0083333333333326E-3</v>
      </c>
      <c r="H643" s="438">
        <v>7.9083333333333332E-3</v>
      </c>
      <c r="I643" s="438">
        <v>8.3666666666666663E-3</v>
      </c>
      <c r="J643" s="438">
        <f t="shared" si="108"/>
        <v>5.2199999999999996E-2</v>
      </c>
      <c r="K643" s="438">
        <f t="shared" si="112"/>
        <v>5.1691666666666664E-2</v>
      </c>
      <c r="L643" s="438">
        <f t="shared" si="113"/>
        <v>1.1233333333333333E-2</v>
      </c>
      <c r="M643" s="446">
        <f t="shared" si="109"/>
        <v>0.20056637878953332</v>
      </c>
      <c r="N643" s="446">
        <f t="shared" si="110"/>
        <v>8.8800000000000004E-2</v>
      </c>
      <c r="O643" s="446">
        <f t="shared" si="114"/>
        <v>9.4899999999999998E-2</v>
      </c>
      <c r="P643" s="447">
        <f t="shared" si="111"/>
        <v>0.11176637878953331</v>
      </c>
      <c r="Q643" s="446">
        <f t="shared" si="115"/>
        <v>0.10566637878953332</v>
      </c>
      <c r="R643" s="446">
        <f t="shared" si="116"/>
        <v>5.9327212288458941E-2</v>
      </c>
      <c r="S643" s="446">
        <f t="shared" si="117"/>
        <v>0.10039999999999999</v>
      </c>
      <c r="T643" s="447">
        <f t="shared" si="118"/>
        <v>-4.1072787711541048E-2</v>
      </c>
      <c r="V643" s="448"/>
      <c r="W643" s="448"/>
      <c r="X643" s="448"/>
      <c r="Y643" s="448"/>
      <c r="Z643" s="448"/>
      <c r="AA643" s="448"/>
      <c r="AB643" s="448"/>
      <c r="AC643" s="448"/>
      <c r="AD643" s="448"/>
      <c r="AF643" s="448"/>
      <c r="AG643" s="448"/>
      <c r="AH643" s="448"/>
      <c r="AI643" s="448"/>
      <c r="AJ643" s="448"/>
      <c r="AK643" s="448"/>
      <c r="AL643" s="448"/>
      <c r="AM643" s="448"/>
      <c r="AN643" s="448"/>
      <c r="AP643" s="448"/>
      <c r="AQ643" s="448"/>
      <c r="AR643" s="448"/>
      <c r="AS643" s="448"/>
      <c r="AT643" s="448"/>
      <c r="AU643" s="448"/>
      <c r="AV643" s="448"/>
      <c r="AW643" s="448"/>
      <c r="AX643" s="448"/>
    </row>
    <row r="644" spans="1:50" x14ac:dyDescent="0.4">
      <c r="A644" s="442" t="str">
        <f t="shared" si="119"/>
        <v>41979</v>
      </c>
      <c r="B644" s="442">
        <v>28946</v>
      </c>
      <c r="C644" s="455">
        <v>6.3E-3</v>
      </c>
      <c r="D644" s="438">
        <v>-2.4899999999999999E-2</v>
      </c>
      <c r="E644" s="438">
        <v>7.6E-3</v>
      </c>
      <c r="F644" s="438">
        <v>7.8166666666666679E-3</v>
      </c>
      <c r="G644" s="438">
        <v>8.0416666666666674E-3</v>
      </c>
      <c r="H644" s="438">
        <v>7.9291666666666677E-3</v>
      </c>
      <c r="I644" s="438">
        <v>8.416666666666666E-3</v>
      </c>
      <c r="J644" s="438">
        <f t="shared" si="108"/>
        <v>-1.2999999999999999E-3</v>
      </c>
      <c r="K644" s="438">
        <f t="shared" si="112"/>
        <v>-1.6291666666666677E-3</v>
      </c>
      <c r="L644" s="438">
        <f t="shared" si="113"/>
        <v>-3.3316666666666661E-2</v>
      </c>
      <c r="M644" s="446">
        <f t="shared" si="109"/>
        <v>0.10817276369098106</v>
      </c>
      <c r="N644" s="446">
        <f t="shared" si="110"/>
        <v>9.1200000000000003E-2</v>
      </c>
      <c r="O644" s="446">
        <f t="shared" si="114"/>
        <v>9.5150000000000012E-2</v>
      </c>
      <c r="P644" s="447">
        <f t="shared" si="111"/>
        <v>1.6972763690981052E-2</v>
      </c>
      <c r="Q644" s="446">
        <f t="shared" si="115"/>
        <v>1.3022763690981043E-2</v>
      </c>
      <c r="R644" s="446">
        <f t="shared" si="116"/>
        <v>2.2115539978702081E-2</v>
      </c>
      <c r="S644" s="446">
        <f t="shared" si="117"/>
        <v>0.10099999999999999</v>
      </c>
      <c r="T644" s="447">
        <f t="shared" si="118"/>
        <v>-7.8884460021297911E-2</v>
      </c>
      <c r="V644" s="448"/>
      <c r="W644" s="448"/>
      <c r="X644" s="448"/>
      <c r="Y644" s="448"/>
      <c r="Z644" s="448"/>
      <c r="AA644" s="448"/>
      <c r="AB644" s="448"/>
      <c r="AC644" s="448"/>
      <c r="AD644" s="448"/>
      <c r="AF644" s="448"/>
      <c r="AG644" s="448"/>
      <c r="AH644" s="448"/>
      <c r="AI644" s="448"/>
      <c r="AJ644" s="448"/>
      <c r="AK644" s="448"/>
      <c r="AL644" s="448"/>
      <c r="AM644" s="448"/>
      <c r="AN644" s="448"/>
      <c r="AP644" s="448"/>
      <c r="AQ644" s="448"/>
      <c r="AR644" s="448"/>
      <c r="AS644" s="448"/>
      <c r="AT644" s="448"/>
      <c r="AU644" s="448"/>
      <c r="AV644" s="448"/>
      <c r="AW644" s="448"/>
      <c r="AX644" s="448"/>
    </row>
    <row r="645" spans="1:50" x14ac:dyDescent="0.4">
      <c r="A645" s="442" t="str">
        <f t="shared" si="119"/>
        <v>51979</v>
      </c>
      <c r="B645" s="442">
        <v>28976</v>
      </c>
      <c r="C645" s="455">
        <v>-2.1700000000000001E-2</v>
      </c>
      <c r="D645" s="438">
        <v>1.4999999999999999E-2</v>
      </c>
      <c r="E645" s="438">
        <v>7.7000000000000002E-3</v>
      </c>
      <c r="F645" s="438">
        <v>7.9166666666666656E-3</v>
      </c>
      <c r="G645" s="438">
        <v>8.2166666666666673E-3</v>
      </c>
      <c r="H645" s="438">
        <v>8.0666666666666664E-3</v>
      </c>
      <c r="I645" s="438">
        <v>8.5833333333333334E-3</v>
      </c>
      <c r="J645" s="438">
        <f t="shared" si="108"/>
        <v>-2.9400000000000003E-2</v>
      </c>
      <c r="K645" s="438">
        <f t="shared" si="112"/>
        <v>-2.9766666666666667E-2</v>
      </c>
      <c r="L645" s="438">
        <f t="shared" si="113"/>
        <v>6.416666666666666E-3</v>
      </c>
      <c r="M645" s="446">
        <f t="shared" si="109"/>
        <v>7.4242384778920645E-2</v>
      </c>
      <c r="N645" s="446">
        <f t="shared" si="110"/>
        <v>9.240000000000001E-2</v>
      </c>
      <c r="O645" s="446">
        <f t="shared" si="114"/>
        <v>9.6799999999999997E-2</v>
      </c>
      <c r="P645" s="447">
        <f t="shared" si="111"/>
        <v>-1.8157615221079365E-2</v>
      </c>
      <c r="Q645" s="446">
        <f t="shared" si="115"/>
        <v>-2.2557615221079352E-2</v>
      </c>
      <c r="R645" s="446">
        <f t="shared" si="116"/>
        <v>3.3005350073068485E-2</v>
      </c>
      <c r="S645" s="446">
        <f t="shared" si="117"/>
        <v>0.10300000000000001</v>
      </c>
      <c r="T645" s="447">
        <f t="shared" si="118"/>
        <v>-6.9994649926931524E-2</v>
      </c>
      <c r="V645" s="448"/>
      <c r="W645" s="448"/>
      <c r="X645" s="448"/>
      <c r="Y645" s="448"/>
      <c r="Z645" s="448"/>
      <c r="AA645" s="448"/>
      <c r="AB645" s="448"/>
      <c r="AC645" s="448"/>
      <c r="AD645" s="448"/>
      <c r="AF645" s="448"/>
      <c r="AG645" s="448"/>
      <c r="AH645" s="448"/>
      <c r="AI645" s="448"/>
      <c r="AJ645" s="448"/>
      <c r="AK645" s="448"/>
      <c r="AL645" s="448"/>
      <c r="AM645" s="448"/>
      <c r="AN645" s="448"/>
      <c r="AP645" s="448"/>
      <c r="AQ645" s="448"/>
      <c r="AR645" s="448"/>
      <c r="AS645" s="448"/>
      <c r="AT645" s="448"/>
      <c r="AU645" s="448"/>
      <c r="AV645" s="448"/>
      <c r="AW645" s="448"/>
      <c r="AX645" s="448"/>
    </row>
    <row r="646" spans="1:50" x14ac:dyDescent="0.4">
      <c r="A646" s="442" t="str">
        <f t="shared" si="119"/>
        <v>61979</v>
      </c>
      <c r="B646" s="442">
        <v>29007</v>
      </c>
      <c r="C646" s="455">
        <v>4.3499999999999997E-2</v>
      </c>
      <c r="D646" s="438">
        <v>3.8600000000000002E-2</v>
      </c>
      <c r="E646" s="438">
        <v>7.1000000000000004E-3</v>
      </c>
      <c r="F646" s="438">
        <v>7.7416666666666658E-3</v>
      </c>
      <c r="G646" s="438">
        <v>8.0499999999999999E-3</v>
      </c>
      <c r="H646" s="438">
        <v>7.8958333333333328E-3</v>
      </c>
      <c r="I646" s="438">
        <v>8.4500000000000009E-3</v>
      </c>
      <c r="J646" s="438">
        <f t="shared" ref="J646:J709" si="120">C646-E646</f>
        <v>3.6399999999999995E-2</v>
      </c>
      <c r="K646" s="438">
        <f t="shared" si="112"/>
        <v>3.5604166666666666E-2</v>
      </c>
      <c r="L646" s="438">
        <f t="shared" si="113"/>
        <v>3.0150000000000003E-2</v>
      </c>
      <c r="M646" s="446">
        <f t="shared" si="109"/>
        <v>0.13665780624295598</v>
      </c>
      <c r="N646" s="446">
        <f t="shared" si="110"/>
        <v>8.5199999999999998E-2</v>
      </c>
      <c r="O646" s="446">
        <f t="shared" si="114"/>
        <v>9.4750000000000001E-2</v>
      </c>
      <c r="P646" s="447">
        <f t="shared" si="111"/>
        <v>5.1457806242955983E-2</v>
      </c>
      <c r="Q646" s="446">
        <f t="shared" si="115"/>
        <v>4.1907806242955981E-2</v>
      </c>
      <c r="R646" s="446">
        <f t="shared" si="116"/>
        <v>6.9030845541937724E-2</v>
      </c>
      <c r="S646" s="446">
        <f t="shared" si="117"/>
        <v>0.10140000000000002</v>
      </c>
      <c r="T646" s="447">
        <f t="shared" si="118"/>
        <v>-3.2369154458062294E-2</v>
      </c>
      <c r="V646" s="448"/>
      <c r="W646" s="448"/>
      <c r="X646" s="448"/>
      <c r="Y646" s="448"/>
      <c r="Z646" s="448"/>
      <c r="AA646" s="448"/>
      <c r="AB646" s="448"/>
      <c r="AC646" s="448"/>
      <c r="AD646" s="448"/>
      <c r="AF646" s="448"/>
      <c r="AG646" s="448"/>
      <c r="AH646" s="448"/>
      <c r="AI646" s="448"/>
      <c r="AJ646" s="448"/>
      <c r="AK646" s="448"/>
      <c r="AL646" s="448"/>
      <c r="AM646" s="448"/>
      <c r="AN646" s="448"/>
      <c r="AP646" s="448"/>
      <c r="AQ646" s="448"/>
      <c r="AR646" s="448"/>
      <c r="AS646" s="448"/>
      <c r="AT646" s="448"/>
      <c r="AU646" s="448"/>
      <c r="AV646" s="448"/>
      <c r="AW646" s="448"/>
      <c r="AX646" s="448"/>
    </row>
    <row r="647" spans="1:50" x14ac:dyDescent="0.4">
      <c r="A647" s="442" t="str">
        <f t="shared" si="119"/>
        <v>71979</v>
      </c>
      <c r="B647" s="442">
        <v>29037</v>
      </c>
      <c r="C647" s="455">
        <v>1.34E-2</v>
      </c>
      <c r="D647" s="438">
        <v>3.4200000000000001E-2</v>
      </c>
      <c r="E647" s="438">
        <v>7.6E-3</v>
      </c>
      <c r="F647" s="438">
        <v>7.6666666666666662E-3</v>
      </c>
      <c r="G647" s="438">
        <v>7.9083333333333332E-3</v>
      </c>
      <c r="H647" s="438">
        <v>7.7875000000000002E-3</v>
      </c>
      <c r="I647" s="438">
        <v>8.3166666666666667E-3</v>
      </c>
      <c r="J647" s="438">
        <f t="shared" si="120"/>
        <v>5.8000000000000005E-3</v>
      </c>
      <c r="K647" s="438">
        <f t="shared" si="112"/>
        <v>5.6125000000000003E-3</v>
      </c>
      <c r="L647" s="438">
        <f t="shared" si="113"/>
        <v>2.5883333333333335E-2</v>
      </c>
      <c r="M647" s="446">
        <f t="shared" si="109"/>
        <v>8.8433356181245371E-2</v>
      </c>
      <c r="N647" s="446">
        <f t="shared" si="110"/>
        <v>9.1200000000000003E-2</v>
      </c>
      <c r="O647" s="446">
        <f t="shared" si="114"/>
        <v>9.3450000000000005E-2</v>
      </c>
      <c r="P647" s="447">
        <f t="shared" si="111"/>
        <v>-2.7666438187546327E-3</v>
      </c>
      <c r="Q647" s="446">
        <f t="shared" si="115"/>
        <v>-5.0166438187546347E-3</v>
      </c>
      <c r="R647" s="446">
        <f t="shared" si="116"/>
        <v>7.1725184625311744E-2</v>
      </c>
      <c r="S647" s="446">
        <f t="shared" si="117"/>
        <v>9.98E-2</v>
      </c>
      <c r="T647" s="447">
        <f t="shared" si="118"/>
        <v>-2.8074815374688256E-2</v>
      </c>
      <c r="V647" s="448"/>
      <c r="W647" s="448"/>
      <c r="X647" s="448"/>
      <c r="Y647" s="448"/>
      <c r="Z647" s="448"/>
      <c r="AA647" s="448"/>
      <c r="AB647" s="448"/>
      <c r="AC647" s="448"/>
      <c r="AD647" s="448"/>
      <c r="AF647" s="448"/>
      <c r="AG647" s="448"/>
      <c r="AH647" s="448"/>
      <c r="AI647" s="448"/>
      <c r="AJ647" s="448"/>
      <c r="AK647" s="448"/>
      <c r="AL647" s="448"/>
      <c r="AM647" s="448"/>
      <c r="AN647" s="448"/>
      <c r="AP647" s="448"/>
      <c r="AQ647" s="448"/>
      <c r="AR647" s="448"/>
      <c r="AS647" s="448"/>
      <c r="AT647" s="448"/>
      <c r="AU647" s="448"/>
      <c r="AV647" s="448"/>
      <c r="AW647" s="448"/>
      <c r="AX647" s="448"/>
    </row>
    <row r="648" spans="1:50" x14ac:dyDescent="0.4">
      <c r="A648" s="442" t="str">
        <f t="shared" si="119"/>
        <v>81979</v>
      </c>
      <c r="B648" s="442">
        <v>29068</v>
      </c>
      <c r="C648" s="455">
        <v>5.7700000000000001E-2</v>
      </c>
      <c r="D648" s="438">
        <v>1.0200000000000001E-2</v>
      </c>
      <c r="E648" s="438">
        <v>7.3000000000000001E-3</v>
      </c>
      <c r="F648" s="438">
        <v>7.691666666666667E-3</v>
      </c>
      <c r="G648" s="438">
        <v>7.9416666666666663E-3</v>
      </c>
      <c r="H648" s="438">
        <v>7.8166666666666662E-3</v>
      </c>
      <c r="I648" s="438">
        <v>8.4500000000000009E-3</v>
      </c>
      <c r="J648" s="438">
        <f t="shared" si="120"/>
        <v>5.04E-2</v>
      </c>
      <c r="K648" s="438">
        <f t="shared" si="112"/>
        <v>4.9883333333333335E-2</v>
      </c>
      <c r="L648" s="438">
        <f t="shared" si="113"/>
        <v>1.7499999999999998E-3</v>
      </c>
      <c r="M648" s="446">
        <f t="shared" si="109"/>
        <v>0.11759631184632879</v>
      </c>
      <c r="N648" s="446">
        <f t="shared" si="110"/>
        <v>8.7599999999999997E-2</v>
      </c>
      <c r="O648" s="446">
        <f t="shared" si="114"/>
        <v>9.3799999999999994E-2</v>
      </c>
      <c r="P648" s="447">
        <f t="shared" si="111"/>
        <v>2.9996311846328796E-2</v>
      </c>
      <c r="Q648" s="446">
        <f t="shared" si="115"/>
        <v>2.3796311846328799E-2</v>
      </c>
      <c r="R648" s="446">
        <f t="shared" si="116"/>
        <v>8.2981676011293137E-2</v>
      </c>
      <c r="S648" s="446">
        <f t="shared" si="117"/>
        <v>0.10140000000000002</v>
      </c>
      <c r="T648" s="447">
        <f t="shared" si="118"/>
        <v>-1.8418323988706881E-2</v>
      </c>
      <c r="V648" s="448"/>
      <c r="W648" s="448"/>
      <c r="X648" s="448"/>
      <c r="Y648" s="448"/>
      <c r="Z648" s="448"/>
      <c r="AA648" s="448"/>
      <c r="AB648" s="448"/>
      <c r="AC648" s="448"/>
      <c r="AD648" s="448"/>
      <c r="AF648" s="448"/>
      <c r="AG648" s="448"/>
      <c r="AH648" s="448"/>
      <c r="AI648" s="448"/>
      <c r="AJ648" s="448"/>
      <c r="AK648" s="448"/>
      <c r="AL648" s="448"/>
      <c r="AM648" s="448"/>
      <c r="AN648" s="448"/>
      <c r="AP648" s="448"/>
      <c r="AQ648" s="448"/>
      <c r="AR648" s="448"/>
      <c r="AS648" s="448"/>
      <c r="AT648" s="448"/>
      <c r="AU648" s="448"/>
      <c r="AV648" s="448"/>
      <c r="AW648" s="448"/>
      <c r="AX648" s="448"/>
    </row>
    <row r="649" spans="1:50" x14ac:dyDescent="0.4">
      <c r="A649" s="442" t="str">
        <f t="shared" si="119"/>
        <v>91979</v>
      </c>
      <c r="B649" s="442">
        <v>29099</v>
      </c>
      <c r="C649" s="455">
        <v>4.3E-3</v>
      </c>
      <c r="D649" s="438">
        <v>-1.77E-2</v>
      </c>
      <c r="E649" s="438">
        <v>6.7999999999999996E-3</v>
      </c>
      <c r="F649" s="438">
        <v>7.8666666666666659E-3</v>
      </c>
      <c r="G649" s="438">
        <v>8.083333333333333E-3</v>
      </c>
      <c r="H649" s="438">
        <v>7.9749999999999995E-3</v>
      </c>
      <c r="I649" s="438">
        <v>8.6333333333333331E-3</v>
      </c>
      <c r="J649" s="438">
        <f t="shared" si="120"/>
        <v>-2.4999999999999996E-3</v>
      </c>
      <c r="K649" s="438">
        <f t="shared" si="112"/>
        <v>-3.6749999999999994E-3</v>
      </c>
      <c r="L649" s="438">
        <f t="shared" si="113"/>
        <v>-2.6333333333333334E-2</v>
      </c>
      <c r="M649" s="446">
        <f t="shared" si="109"/>
        <v>0.12600519260359921</v>
      </c>
      <c r="N649" s="446">
        <f t="shared" si="110"/>
        <v>8.1599999999999992E-2</v>
      </c>
      <c r="O649" s="446">
        <f t="shared" si="114"/>
        <v>9.5699999999999993E-2</v>
      </c>
      <c r="P649" s="447">
        <f t="shared" si="111"/>
        <v>4.4405192603599222E-2</v>
      </c>
      <c r="Q649" s="446">
        <f t="shared" si="115"/>
        <v>3.0305192603599221E-2</v>
      </c>
      <c r="R649" s="446">
        <f t="shared" si="116"/>
        <v>6.9803801635049734E-2</v>
      </c>
      <c r="S649" s="446">
        <f t="shared" si="117"/>
        <v>0.1036</v>
      </c>
      <c r="T649" s="447">
        <f t="shared" si="118"/>
        <v>-3.3796198364950264E-2</v>
      </c>
      <c r="V649" s="448"/>
      <c r="W649" s="448"/>
      <c r="X649" s="448"/>
      <c r="Y649" s="448"/>
      <c r="Z649" s="448"/>
      <c r="AA649" s="448"/>
      <c r="AB649" s="448"/>
      <c r="AC649" s="448"/>
      <c r="AD649" s="448"/>
      <c r="AF649" s="448"/>
      <c r="AG649" s="448"/>
      <c r="AH649" s="448"/>
      <c r="AI649" s="448"/>
      <c r="AJ649" s="448"/>
      <c r="AK649" s="448"/>
      <c r="AL649" s="448"/>
      <c r="AM649" s="448"/>
      <c r="AN649" s="448"/>
      <c r="AP649" s="448"/>
      <c r="AQ649" s="448"/>
      <c r="AR649" s="448"/>
      <c r="AS649" s="448"/>
      <c r="AT649" s="448"/>
      <c r="AU649" s="448"/>
      <c r="AV649" s="448"/>
      <c r="AW649" s="448"/>
      <c r="AX649" s="448"/>
    </row>
    <row r="650" spans="1:50" x14ac:dyDescent="0.4">
      <c r="A650" s="442" t="str">
        <f t="shared" si="119"/>
        <v>101979</v>
      </c>
      <c r="B650" s="442">
        <v>29129</v>
      </c>
      <c r="C650" s="455">
        <v>-6.4000000000000001E-2</v>
      </c>
      <c r="D650" s="438">
        <v>-5.0499999999999996E-2</v>
      </c>
      <c r="E650" s="438">
        <v>8.2000000000000007E-3</v>
      </c>
      <c r="F650" s="438">
        <v>8.4416666666666668E-3</v>
      </c>
      <c r="G650" s="438">
        <v>8.7166666666666677E-3</v>
      </c>
      <c r="H650" s="438">
        <v>8.5791666666666672E-3</v>
      </c>
      <c r="I650" s="438">
        <v>9.5000000000000015E-3</v>
      </c>
      <c r="J650" s="438">
        <f t="shared" si="120"/>
        <v>-7.22E-2</v>
      </c>
      <c r="K650" s="438">
        <f t="shared" si="112"/>
        <v>-7.2579166666666667E-2</v>
      </c>
      <c r="L650" s="438">
        <f t="shared" si="113"/>
        <v>-0.06</v>
      </c>
      <c r="M650" s="446">
        <f t="shared" si="109"/>
        <v>0.15462408005802919</v>
      </c>
      <c r="N650" s="446">
        <f t="shared" si="110"/>
        <v>9.8400000000000015E-2</v>
      </c>
      <c r="O650" s="446">
        <f t="shared" si="114"/>
        <v>0.10295000000000001</v>
      </c>
      <c r="P650" s="447">
        <f t="shared" si="111"/>
        <v>5.6224080058029174E-2</v>
      </c>
      <c r="Q650" s="446">
        <f t="shared" si="115"/>
        <v>5.1674080058029176E-2</v>
      </c>
      <c r="R650" s="446">
        <f t="shared" si="116"/>
        <v>9.0359284727865807E-2</v>
      </c>
      <c r="S650" s="446">
        <f t="shared" si="117"/>
        <v>0.11400000000000002</v>
      </c>
      <c r="T650" s="447">
        <f t="shared" si="118"/>
        <v>-2.3640715272134211E-2</v>
      </c>
      <c r="V650" s="448"/>
      <c r="W650" s="448"/>
      <c r="X650" s="448"/>
      <c r="Y650" s="448"/>
      <c r="Z650" s="448"/>
      <c r="AA650" s="448"/>
      <c r="AB650" s="448"/>
      <c r="AC650" s="448"/>
      <c r="AD650" s="448"/>
      <c r="AF650" s="448"/>
      <c r="AG650" s="448"/>
      <c r="AH650" s="448"/>
      <c r="AI650" s="448"/>
      <c r="AJ650" s="448"/>
      <c r="AK650" s="448"/>
      <c r="AL650" s="448"/>
      <c r="AM650" s="448"/>
      <c r="AN650" s="448"/>
      <c r="AP650" s="448"/>
      <c r="AQ650" s="448"/>
      <c r="AR650" s="448"/>
      <c r="AS650" s="448"/>
      <c r="AT650" s="448"/>
      <c r="AU650" s="448"/>
      <c r="AV650" s="448"/>
      <c r="AW650" s="448"/>
      <c r="AX650" s="448"/>
    </row>
    <row r="651" spans="1:50" x14ac:dyDescent="0.4">
      <c r="A651" s="442" t="str">
        <f t="shared" si="119"/>
        <v>111979</v>
      </c>
      <c r="B651" s="442">
        <v>29160</v>
      </c>
      <c r="C651" s="455">
        <v>4.7500000000000001E-2</v>
      </c>
      <c r="D651" s="438">
        <v>6.0699999999999997E-2</v>
      </c>
      <c r="E651" s="438">
        <v>8.3000000000000001E-3</v>
      </c>
      <c r="F651" s="438">
        <v>8.9666666666666662E-3</v>
      </c>
      <c r="G651" s="438">
        <v>9.3500000000000007E-3</v>
      </c>
      <c r="H651" s="438">
        <v>9.1583333333333326E-3</v>
      </c>
      <c r="I651" s="438">
        <v>9.9083333333333332E-3</v>
      </c>
      <c r="J651" s="438">
        <f t="shared" si="120"/>
        <v>3.9199999999999999E-2</v>
      </c>
      <c r="K651" s="438">
        <f t="shared" si="112"/>
        <v>3.834166666666667E-2</v>
      </c>
      <c r="L651" s="438">
        <f t="shared" si="113"/>
        <v>5.0791666666666666E-2</v>
      </c>
      <c r="M651" s="446">
        <f t="shared" si="109"/>
        <v>0.18401245605559025</v>
      </c>
      <c r="N651" s="446">
        <f t="shared" si="110"/>
        <v>9.9599999999999994E-2</v>
      </c>
      <c r="O651" s="446">
        <f t="shared" si="114"/>
        <v>0.1099</v>
      </c>
      <c r="P651" s="447">
        <f t="shared" si="111"/>
        <v>8.4412456055590251E-2</v>
      </c>
      <c r="Q651" s="446">
        <f t="shared" si="115"/>
        <v>7.4112456055590248E-2</v>
      </c>
      <c r="R651" s="446">
        <f t="shared" si="116"/>
        <v>0.11678649412016884</v>
      </c>
      <c r="S651" s="446">
        <f t="shared" si="117"/>
        <v>0.11890000000000001</v>
      </c>
      <c r="T651" s="447">
        <f t="shared" si="118"/>
        <v>-2.1135058798311679E-3</v>
      </c>
      <c r="V651" s="448"/>
      <c r="W651" s="448"/>
      <c r="X651" s="448"/>
      <c r="Y651" s="448"/>
      <c r="Z651" s="448"/>
      <c r="AA651" s="448"/>
      <c r="AB651" s="448"/>
      <c r="AC651" s="448"/>
      <c r="AD651" s="448"/>
      <c r="AF651" s="448"/>
      <c r="AG651" s="448"/>
      <c r="AH651" s="448"/>
      <c r="AI651" s="448"/>
      <c r="AJ651" s="448"/>
      <c r="AK651" s="448"/>
      <c r="AL651" s="448"/>
      <c r="AM651" s="448"/>
      <c r="AN651" s="448"/>
      <c r="AP651" s="448"/>
      <c r="AQ651" s="448"/>
      <c r="AR651" s="448"/>
      <c r="AS651" s="448"/>
      <c r="AT651" s="448"/>
      <c r="AU651" s="448"/>
      <c r="AV651" s="448"/>
      <c r="AW651" s="448"/>
      <c r="AX651" s="448"/>
    </row>
    <row r="652" spans="1:50" x14ac:dyDescent="0.4">
      <c r="A652" s="442" t="str">
        <f t="shared" si="119"/>
        <v>121979</v>
      </c>
      <c r="B652" s="442">
        <v>29190</v>
      </c>
      <c r="C652" s="455">
        <v>2.1399999999999999E-2</v>
      </c>
      <c r="D652" s="438">
        <v>2.2000000000000006E-3</v>
      </c>
      <c r="E652" s="438">
        <v>8.3000000000000001E-3</v>
      </c>
      <c r="F652" s="438">
        <v>8.9499999999999996E-3</v>
      </c>
      <c r="G652" s="438">
        <v>9.2916666666666668E-3</v>
      </c>
      <c r="H652" s="438">
        <v>9.1208333333333332E-3</v>
      </c>
      <c r="I652" s="438">
        <v>1.0125E-2</v>
      </c>
      <c r="J652" s="438">
        <f t="shared" si="120"/>
        <v>1.3099999999999999E-2</v>
      </c>
      <c r="K652" s="438">
        <f t="shared" si="112"/>
        <v>1.2279166666666666E-2</v>
      </c>
      <c r="L652" s="438">
        <f t="shared" si="113"/>
        <v>-7.9249999999999998E-3</v>
      </c>
      <c r="M652" s="446">
        <f t="shared" si="109"/>
        <v>0.18610270950880725</v>
      </c>
      <c r="N652" s="446">
        <f t="shared" si="110"/>
        <v>9.9599999999999994E-2</v>
      </c>
      <c r="O652" s="446">
        <f t="shared" si="114"/>
        <v>0.10944999999999999</v>
      </c>
      <c r="P652" s="447">
        <f t="shared" si="111"/>
        <v>8.6502709508807257E-2</v>
      </c>
      <c r="Q652" s="446">
        <f t="shared" si="115"/>
        <v>7.665270950880726E-2</v>
      </c>
      <c r="R652" s="446">
        <f t="shared" si="116"/>
        <v>0.1361723930638854</v>
      </c>
      <c r="S652" s="446">
        <f t="shared" si="117"/>
        <v>0.1215</v>
      </c>
      <c r="T652" s="447">
        <f t="shared" si="118"/>
        <v>1.4672393063885403E-2</v>
      </c>
      <c r="V652" s="448"/>
      <c r="W652" s="448"/>
      <c r="X652" s="448"/>
      <c r="Y652" s="448"/>
      <c r="Z652" s="448"/>
      <c r="AA652" s="448"/>
      <c r="AB652" s="448"/>
      <c r="AC652" s="448"/>
      <c r="AD652" s="448"/>
      <c r="AF652" s="448"/>
      <c r="AG652" s="448"/>
      <c r="AH652" s="448"/>
      <c r="AI652" s="448"/>
      <c r="AJ652" s="448"/>
      <c r="AK652" s="448"/>
      <c r="AL652" s="448"/>
      <c r="AM652" s="448"/>
      <c r="AN652" s="448"/>
      <c r="AP652" s="448"/>
      <c r="AQ652" s="448"/>
      <c r="AR652" s="448"/>
      <c r="AS652" s="448"/>
      <c r="AT652" s="448"/>
      <c r="AU652" s="448"/>
      <c r="AV652" s="448"/>
      <c r="AW652" s="448"/>
      <c r="AX652" s="448"/>
    </row>
    <row r="653" spans="1:50" x14ac:dyDescent="0.4">
      <c r="A653" s="442" t="str">
        <f t="shared" si="119"/>
        <v>11980</v>
      </c>
      <c r="B653" s="442">
        <v>29221</v>
      </c>
      <c r="C653" s="455">
        <v>6.2199999999999998E-2</v>
      </c>
      <c r="D653" s="438">
        <v>-2.3E-3</v>
      </c>
      <c r="E653" s="438">
        <v>8.3000000000000001E-3</v>
      </c>
      <c r="F653" s="438">
        <v>9.2416666666666671E-3</v>
      </c>
      <c r="G653" s="438">
        <v>9.633333333333334E-3</v>
      </c>
      <c r="H653" s="438">
        <v>9.4375000000000014E-3</v>
      </c>
      <c r="I653" s="438">
        <v>1.0177083333333335E-2</v>
      </c>
      <c r="J653" s="438">
        <f t="shared" si="120"/>
        <v>5.3899999999999997E-2</v>
      </c>
      <c r="K653" s="438">
        <f t="shared" si="112"/>
        <v>5.2762499999999997E-2</v>
      </c>
      <c r="L653" s="438">
        <f t="shared" si="113"/>
        <v>-1.2477083333333335E-2</v>
      </c>
      <c r="M653" s="446">
        <f t="shared" si="109"/>
        <v>0.20643330272934546</v>
      </c>
      <c r="N653" s="446">
        <f t="shared" si="110"/>
        <v>9.9599999999999994E-2</v>
      </c>
      <c r="O653" s="446">
        <f t="shared" si="114"/>
        <v>0.11325000000000002</v>
      </c>
      <c r="P653" s="447">
        <f t="shared" si="111"/>
        <v>0.10683330272934546</v>
      </c>
      <c r="Q653" s="446">
        <f t="shared" si="115"/>
        <v>9.3183302729345441E-2</v>
      </c>
      <c r="R653" s="446">
        <f t="shared" si="116"/>
        <v>6.0193786531835825E-2</v>
      </c>
      <c r="S653" s="446">
        <f t="shared" si="117"/>
        <v>0.12212500000000001</v>
      </c>
      <c r="T653" s="447">
        <f t="shared" si="118"/>
        <v>-6.1931213468164187E-2</v>
      </c>
      <c r="V653" s="448"/>
      <c r="W653" s="448"/>
      <c r="X653" s="448"/>
      <c r="Y653" s="448"/>
      <c r="Z653" s="448"/>
      <c r="AA653" s="448"/>
      <c r="AB653" s="448"/>
      <c r="AC653" s="448"/>
      <c r="AD653" s="448"/>
      <c r="AF653" s="448"/>
      <c r="AG653" s="448"/>
      <c r="AH653" s="448"/>
      <c r="AI653" s="448"/>
      <c r="AJ653" s="448"/>
      <c r="AK653" s="448"/>
      <c r="AL653" s="448"/>
      <c r="AM653" s="448"/>
      <c r="AN653" s="448"/>
      <c r="AP653" s="448"/>
      <c r="AQ653" s="448"/>
      <c r="AR653" s="448"/>
      <c r="AS653" s="448"/>
      <c r="AT653" s="448"/>
      <c r="AU653" s="448"/>
      <c r="AV653" s="448"/>
      <c r="AW653" s="448"/>
      <c r="AX653" s="448"/>
    </row>
    <row r="654" spans="1:50" x14ac:dyDescent="0.4">
      <c r="A654" s="442" t="str">
        <f t="shared" si="119"/>
        <v>21980</v>
      </c>
      <c r="B654" s="442">
        <v>29252</v>
      </c>
      <c r="C654" s="455">
        <v>-1E-4</v>
      </c>
      <c r="D654" s="438">
        <v>-2.4700000000000003E-2</v>
      </c>
      <c r="E654" s="438">
        <v>8.3999999999999995E-3</v>
      </c>
      <c r="F654" s="438">
        <v>1.0316666666666667E-2</v>
      </c>
      <c r="G654" s="438">
        <v>1.0608333333333332E-2</v>
      </c>
      <c r="H654" s="438">
        <v>1.0462500000000001E-2</v>
      </c>
      <c r="I654" s="438">
        <v>1.1028333333333333E-2</v>
      </c>
      <c r="J654" s="438">
        <f t="shared" si="120"/>
        <v>-8.4999999999999989E-3</v>
      </c>
      <c r="K654" s="438">
        <f t="shared" si="112"/>
        <v>-1.0562500000000001E-2</v>
      </c>
      <c r="L654" s="438">
        <f t="shared" si="113"/>
        <v>-3.5728333333333334E-2</v>
      </c>
      <c r="M654" s="446">
        <f t="shared" si="109"/>
        <v>0.24631951585811751</v>
      </c>
      <c r="N654" s="446">
        <f t="shared" si="110"/>
        <v>0.1008</v>
      </c>
      <c r="O654" s="446">
        <f t="shared" si="114"/>
        <v>0.12555000000000002</v>
      </c>
      <c r="P654" s="447">
        <f t="shared" si="111"/>
        <v>0.14551951585811751</v>
      </c>
      <c r="Q654" s="446">
        <f t="shared" si="115"/>
        <v>0.12076951585811749</v>
      </c>
      <c r="R654" s="446">
        <f t="shared" si="116"/>
        <v>5.6402738051183787E-2</v>
      </c>
      <c r="S654" s="446">
        <f t="shared" si="117"/>
        <v>0.13233999999999999</v>
      </c>
      <c r="T654" s="447">
        <f t="shared" si="118"/>
        <v>-7.5937261948816198E-2</v>
      </c>
      <c r="V654" s="448"/>
      <c r="W654" s="448"/>
      <c r="X654" s="448"/>
      <c r="Y654" s="448"/>
      <c r="Z654" s="448"/>
      <c r="AA654" s="448"/>
      <c r="AB654" s="448"/>
      <c r="AC654" s="448"/>
      <c r="AD654" s="448"/>
      <c r="AF654" s="448"/>
      <c r="AG654" s="448"/>
      <c r="AH654" s="448"/>
      <c r="AI654" s="448"/>
      <c r="AJ654" s="448"/>
      <c r="AK654" s="448"/>
      <c r="AL654" s="448"/>
      <c r="AM654" s="448"/>
      <c r="AN654" s="448"/>
      <c r="AP654" s="448"/>
      <c r="AQ654" s="448"/>
      <c r="AR654" s="448"/>
      <c r="AS654" s="448"/>
      <c r="AT654" s="448"/>
      <c r="AU654" s="448"/>
      <c r="AV654" s="448"/>
      <c r="AW654" s="448"/>
      <c r="AX654" s="448"/>
    </row>
    <row r="655" spans="1:50" x14ac:dyDescent="0.4">
      <c r="A655" s="442" t="str">
        <f t="shared" si="119"/>
        <v>31980</v>
      </c>
      <c r="B655" s="442">
        <v>29281</v>
      </c>
      <c r="C655" s="455">
        <v>-9.7199999999999995E-2</v>
      </c>
      <c r="D655" s="438">
        <v>-5.2900000000000003E-2</v>
      </c>
      <c r="E655" s="438">
        <v>9.9000000000000008E-3</v>
      </c>
      <c r="F655" s="438">
        <v>1.0800000000000001E-2</v>
      </c>
      <c r="G655" s="438">
        <v>1.1258333333333332E-2</v>
      </c>
      <c r="H655" s="438">
        <v>1.1029166666666668E-2</v>
      </c>
      <c r="I655" s="438">
        <v>1.2158333333333333E-2</v>
      </c>
      <c r="J655" s="438">
        <f t="shared" si="120"/>
        <v>-0.1071</v>
      </c>
      <c r="K655" s="438">
        <f t="shared" si="112"/>
        <v>-0.10822916666666667</v>
      </c>
      <c r="L655" s="438">
        <f t="shared" si="113"/>
        <v>-6.5058333333333329E-2</v>
      </c>
      <c r="M655" s="446">
        <f t="shared" si="109"/>
        <v>6.1888692824376035E-2</v>
      </c>
      <c r="N655" s="446">
        <f t="shared" si="110"/>
        <v>0.11880000000000002</v>
      </c>
      <c r="O655" s="446">
        <f t="shared" si="114"/>
        <v>0.13235000000000002</v>
      </c>
      <c r="P655" s="447">
        <f t="shared" si="111"/>
        <v>-5.6911307175623982E-2</v>
      </c>
      <c r="Q655" s="446">
        <f t="shared" si="115"/>
        <v>-7.0461307175623988E-2</v>
      </c>
      <c r="R655" s="446">
        <f t="shared" si="116"/>
        <v>-1.8714169077798659E-2</v>
      </c>
      <c r="S655" s="446">
        <f t="shared" si="117"/>
        <v>0.1459</v>
      </c>
      <c r="T655" s="447">
        <f t="shared" si="118"/>
        <v>-0.16461416907779866</v>
      </c>
      <c r="V655" s="448"/>
      <c r="W655" s="448"/>
      <c r="X655" s="448"/>
      <c r="Y655" s="448"/>
      <c r="Z655" s="448"/>
      <c r="AA655" s="448"/>
      <c r="AB655" s="448"/>
      <c r="AC655" s="448"/>
      <c r="AD655" s="448"/>
      <c r="AF655" s="448"/>
      <c r="AG655" s="448"/>
      <c r="AH655" s="448"/>
      <c r="AI655" s="448"/>
      <c r="AJ655" s="448"/>
      <c r="AK655" s="448"/>
      <c r="AL655" s="448"/>
      <c r="AM655" s="448"/>
      <c r="AN655" s="448"/>
      <c r="AP655" s="448"/>
      <c r="AQ655" s="448"/>
      <c r="AR655" s="448"/>
      <c r="AS655" s="448"/>
      <c r="AT655" s="448"/>
      <c r="AU655" s="448"/>
      <c r="AV655" s="448"/>
      <c r="AW655" s="448"/>
      <c r="AX655" s="448"/>
    </row>
    <row r="656" spans="1:50" x14ac:dyDescent="0.4">
      <c r="A656" s="442" t="str">
        <f t="shared" si="119"/>
        <v>41980</v>
      </c>
      <c r="B656" s="442">
        <v>29312</v>
      </c>
      <c r="C656" s="455">
        <v>4.6199999999999998E-2</v>
      </c>
      <c r="D656" s="438">
        <v>0.1186</v>
      </c>
      <c r="E656" s="438">
        <v>0.01</v>
      </c>
      <c r="F656" s="438">
        <v>1.0033333333333332E-2</v>
      </c>
      <c r="G656" s="438">
        <v>1.0883333333333333E-2</v>
      </c>
      <c r="H656" s="438">
        <v>1.0458333333333333E-2</v>
      </c>
      <c r="I656" s="438">
        <v>1.1908333333333333E-2</v>
      </c>
      <c r="J656" s="438">
        <f t="shared" si="120"/>
        <v>3.6199999999999996E-2</v>
      </c>
      <c r="K656" s="438">
        <f t="shared" si="112"/>
        <v>3.5741666666666665E-2</v>
      </c>
      <c r="L656" s="438">
        <f t="shared" si="113"/>
        <v>0.10669166666666666</v>
      </c>
      <c r="M656" s="446">
        <f t="shared" ref="M656:M719" si="121">((1+C645)*(1+C646)*(1+C647)*(1+C648)*(1+C649)*(1+C650)*(1+C651)*(1+C652)*(1+C653)*(1+C654)*(1+C655)*(1+C656))-1</f>
        <v>0.10399279581920129</v>
      </c>
      <c r="N656" s="446">
        <f t="shared" ref="N656:N719" si="122">E656*12</f>
        <v>0.12</v>
      </c>
      <c r="O656" s="446">
        <f t="shared" si="114"/>
        <v>0.1255</v>
      </c>
      <c r="P656" s="447">
        <f t="shared" ref="P656:P719" si="123">M656-N656</f>
        <v>-1.6007204180798706E-2</v>
      </c>
      <c r="Q656" s="446">
        <f t="shared" si="115"/>
        <v>-2.1507204180798711E-2</v>
      </c>
      <c r="R656" s="446">
        <f t="shared" si="116"/>
        <v>0.12569616497751457</v>
      </c>
      <c r="S656" s="446">
        <f t="shared" si="117"/>
        <v>0.1429</v>
      </c>
      <c r="T656" s="447">
        <f t="shared" si="118"/>
        <v>-1.7203835022485431E-2</v>
      </c>
      <c r="V656" s="448"/>
      <c r="W656" s="448"/>
      <c r="X656" s="448"/>
      <c r="Y656" s="448"/>
      <c r="Z656" s="448"/>
      <c r="AA656" s="448"/>
      <c r="AB656" s="448"/>
      <c r="AC656" s="448"/>
      <c r="AD656" s="448"/>
      <c r="AF656" s="448"/>
      <c r="AG656" s="448"/>
      <c r="AH656" s="448"/>
      <c r="AI656" s="448"/>
      <c r="AJ656" s="448"/>
      <c r="AK656" s="448"/>
      <c r="AL656" s="448"/>
      <c r="AM656" s="448"/>
      <c r="AN656" s="448"/>
      <c r="AP656" s="448"/>
      <c r="AQ656" s="448"/>
      <c r="AR656" s="448"/>
      <c r="AS656" s="448"/>
      <c r="AT656" s="448"/>
      <c r="AU656" s="448"/>
      <c r="AV656" s="448"/>
      <c r="AW656" s="448"/>
      <c r="AX656" s="448"/>
    </row>
    <row r="657" spans="1:50" x14ac:dyDescent="0.4">
      <c r="A657" s="442" t="str">
        <f t="shared" si="119"/>
        <v>51980</v>
      </c>
      <c r="B657" s="442">
        <v>29342</v>
      </c>
      <c r="C657" s="455">
        <v>5.1499999999999997E-2</v>
      </c>
      <c r="D657" s="438">
        <v>3.2299999999999995E-2</v>
      </c>
      <c r="E657" s="438">
        <v>8.6999999999999994E-3</v>
      </c>
      <c r="F657" s="438">
        <v>9.1583333333333343E-3</v>
      </c>
      <c r="G657" s="438">
        <v>9.9249999999999998E-3</v>
      </c>
      <c r="H657" s="438">
        <v>9.541666666666667E-3</v>
      </c>
      <c r="I657" s="438">
        <v>1.0613333333333334E-2</v>
      </c>
      <c r="J657" s="438">
        <f t="shared" si="120"/>
        <v>4.2799999999999998E-2</v>
      </c>
      <c r="K657" s="438">
        <f t="shared" si="112"/>
        <v>4.1958333333333334E-2</v>
      </c>
      <c r="L657" s="438">
        <f t="shared" si="113"/>
        <v>2.168666666666666E-2</v>
      </c>
      <c r="M657" s="446">
        <f t="shared" si="121"/>
        <v>0.18659759256249631</v>
      </c>
      <c r="N657" s="446">
        <f t="shared" si="122"/>
        <v>0.10439999999999999</v>
      </c>
      <c r="O657" s="446">
        <f t="shared" si="114"/>
        <v>0.1145</v>
      </c>
      <c r="P657" s="447">
        <f t="shared" si="123"/>
        <v>8.2197592562496313E-2</v>
      </c>
      <c r="Q657" s="446">
        <f t="shared" si="115"/>
        <v>7.2097592562496302E-2</v>
      </c>
      <c r="R657" s="446">
        <f t="shared" si="116"/>
        <v>0.14488290749388066</v>
      </c>
      <c r="S657" s="446">
        <f t="shared" si="117"/>
        <v>0.12736</v>
      </c>
      <c r="T657" s="447">
        <f t="shared" si="118"/>
        <v>1.7522907493880663E-2</v>
      </c>
      <c r="V657" s="448"/>
      <c r="W657" s="448"/>
      <c r="X657" s="448"/>
      <c r="Y657" s="448"/>
      <c r="Z657" s="448"/>
      <c r="AA657" s="448"/>
      <c r="AB657" s="448"/>
      <c r="AC657" s="448"/>
      <c r="AD657" s="448"/>
      <c r="AF657" s="448"/>
      <c r="AG657" s="448"/>
      <c r="AH657" s="448"/>
      <c r="AI657" s="448"/>
      <c r="AJ657" s="448"/>
      <c r="AK657" s="448"/>
      <c r="AL657" s="448"/>
      <c r="AM657" s="448"/>
      <c r="AN657" s="448"/>
      <c r="AP657" s="448"/>
      <c r="AQ657" s="448"/>
      <c r="AR657" s="448"/>
      <c r="AS657" s="448"/>
      <c r="AT657" s="448"/>
      <c r="AU657" s="448"/>
      <c r="AV657" s="448"/>
      <c r="AW657" s="448"/>
      <c r="AX657" s="448"/>
    </row>
    <row r="658" spans="1:50" x14ac:dyDescent="0.4">
      <c r="A658" s="442" t="str">
        <f t="shared" si="119"/>
        <v>61980</v>
      </c>
      <c r="B658" s="442">
        <v>29373</v>
      </c>
      <c r="C658" s="455">
        <v>3.1600000000000003E-2</v>
      </c>
      <c r="D658" s="438">
        <v>3.3700000000000001E-2</v>
      </c>
      <c r="E658" s="438">
        <v>8.6E-3</v>
      </c>
      <c r="F658" s="438">
        <v>8.8166666666666671E-3</v>
      </c>
      <c r="G658" s="438">
        <v>9.4916666666666673E-3</v>
      </c>
      <c r="H658" s="438">
        <v>9.1541666666666681E-3</v>
      </c>
      <c r="I658" s="438">
        <v>1.033125E-2</v>
      </c>
      <c r="J658" s="438">
        <f t="shared" si="120"/>
        <v>2.3000000000000003E-2</v>
      </c>
      <c r="K658" s="438">
        <f t="shared" si="112"/>
        <v>2.2445833333333335E-2</v>
      </c>
      <c r="L658" s="438">
        <f t="shared" si="113"/>
        <v>2.3368750000000001E-2</v>
      </c>
      <c r="M658" s="446">
        <f t="shared" si="121"/>
        <v>0.17306571776470658</v>
      </c>
      <c r="N658" s="446">
        <f t="shared" si="122"/>
        <v>0.1032</v>
      </c>
      <c r="O658" s="446">
        <f t="shared" si="114"/>
        <v>0.10985000000000002</v>
      </c>
      <c r="P658" s="447">
        <f t="shared" si="123"/>
        <v>6.9865717764706584E-2</v>
      </c>
      <c r="Q658" s="446">
        <f t="shared" si="115"/>
        <v>6.3215717764706567E-2</v>
      </c>
      <c r="R658" s="446">
        <f t="shared" si="116"/>
        <v>0.13948147648413611</v>
      </c>
      <c r="S658" s="446">
        <f t="shared" si="117"/>
        <v>0.123975</v>
      </c>
      <c r="T658" s="447">
        <f t="shared" si="118"/>
        <v>1.5506476484136111E-2</v>
      </c>
      <c r="V658" s="448"/>
      <c r="W658" s="448"/>
      <c r="X658" s="448"/>
      <c r="Y658" s="448"/>
      <c r="Z658" s="448"/>
      <c r="AA658" s="448"/>
      <c r="AB658" s="448"/>
      <c r="AC658" s="448"/>
      <c r="AD658" s="448"/>
      <c r="AF658" s="448"/>
      <c r="AG658" s="448"/>
      <c r="AH658" s="448"/>
      <c r="AI658" s="448"/>
      <c r="AJ658" s="448"/>
      <c r="AK658" s="448"/>
      <c r="AL658" s="448"/>
      <c r="AM658" s="448"/>
      <c r="AN658" s="448"/>
      <c r="AP658" s="448"/>
      <c r="AQ658" s="448"/>
      <c r="AR658" s="448"/>
      <c r="AS658" s="448"/>
      <c r="AT658" s="448"/>
      <c r="AU658" s="448"/>
      <c r="AV658" s="448"/>
      <c r="AW658" s="448"/>
      <c r="AX658" s="448"/>
    </row>
    <row r="659" spans="1:50" x14ac:dyDescent="0.4">
      <c r="A659" s="442" t="str">
        <f t="shared" si="119"/>
        <v>71980</v>
      </c>
      <c r="B659" s="442">
        <v>29403</v>
      </c>
      <c r="C659" s="455">
        <v>6.9599999999999995E-2</v>
      </c>
      <c r="D659" s="438">
        <v>-4.0999999999999995E-3</v>
      </c>
      <c r="E659" s="438">
        <v>8.3999999999999995E-3</v>
      </c>
      <c r="F659" s="438">
        <v>9.2250000000000006E-3</v>
      </c>
      <c r="G659" s="438">
        <v>9.5250000000000005E-3</v>
      </c>
      <c r="H659" s="438">
        <v>9.3749999999999997E-3</v>
      </c>
      <c r="I659" s="438">
        <v>1.0127083333333333E-2</v>
      </c>
      <c r="J659" s="438">
        <f t="shared" si="120"/>
        <v>6.1199999999999997E-2</v>
      </c>
      <c r="K659" s="438">
        <f t="shared" si="112"/>
        <v>6.0224999999999994E-2</v>
      </c>
      <c r="L659" s="438">
        <f t="shared" si="113"/>
        <v>-1.4227083333333333E-2</v>
      </c>
      <c r="M659" s="446">
        <f t="shared" si="121"/>
        <v>0.23812027996953811</v>
      </c>
      <c r="N659" s="446">
        <f t="shared" si="122"/>
        <v>0.1008</v>
      </c>
      <c r="O659" s="446">
        <f t="shared" si="114"/>
        <v>0.11249999999999999</v>
      </c>
      <c r="P659" s="447">
        <f t="shared" si="123"/>
        <v>0.13732027996953811</v>
      </c>
      <c r="Q659" s="446">
        <f t="shared" si="115"/>
        <v>0.12562027996953812</v>
      </c>
      <c r="R659" s="446">
        <f t="shared" si="116"/>
        <v>9.7282539577017602E-2</v>
      </c>
      <c r="S659" s="446">
        <f t="shared" si="117"/>
        <v>0.12152499999999999</v>
      </c>
      <c r="T659" s="447">
        <f t="shared" si="118"/>
        <v>-2.4242460422982393E-2</v>
      </c>
      <c r="V659" s="448"/>
      <c r="W659" s="448"/>
      <c r="X659" s="448"/>
      <c r="Y659" s="448"/>
      <c r="Z659" s="448"/>
      <c r="AA659" s="448"/>
      <c r="AB659" s="448"/>
      <c r="AC659" s="448"/>
      <c r="AD659" s="448"/>
      <c r="AF659" s="448"/>
      <c r="AG659" s="448"/>
      <c r="AH659" s="448"/>
      <c r="AI659" s="448"/>
      <c r="AJ659" s="448"/>
      <c r="AK659" s="448"/>
      <c r="AL659" s="448"/>
      <c r="AM659" s="448"/>
      <c r="AN659" s="448"/>
      <c r="AP659" s="448"/>
      <c r="AQ659" s="448"/>
      <c r="AR659" s="448"/>
      <c r="AS659" s="448"/>
      <c r="AT659" s="448"/>
      <c r="AU659" s="448"/>
      <c r="AV659" s="448"/>
      <c r="AW659" s="448"/>
      <c r="AX659" s="448"/>
    </row>
    <row r="660" spans="1:50" x14ac:dyDescent="0.4">
      <c r="A660" s="442" t="str">
        <f t="shared" si="119"/>
        <v>81980</v>
      </c>
      <c r="B660" s="442">
        <v>29434</v>
      </c>
      <c r="C660" s="455">
        <v>1.01E-2</v>
      </c>
      <c r="D660" s="438">
        <v>-1.3899999999999999E-2</v>
      </c>
      <c r="E660" s="438">
        <v>8.0999999999999996E-3</v>
      </c>
      <c r="F660" s="438">
        <v>9.7000000000000003E-3</v>
      </c>
      <c r="G660" s="438">
        <v>1.0075000000000001E-2</v>
      </c>
      <c r="H660" s="438">
        <v>9.8875000000000005E-3</v>
      </c>
      <c r="I660" s="438">
        <v>1.0549999999999999E-2</v>
      </c>
      <c r="J660" s="438">
        <f t="shared" si="120"/>
        <v>2E-3</v>
      </c>
      <c r="K660" s="438">
        <f t="shared" si="112"/>
        <v>2.1249999999999915E-4</v>
      </c>
      <c r="L660" s="438">
        <f t="shared" si="113"/>
        <v>-2.445E-2</v>
      </c>
      <c r="M660" s="446">
        <f t="shared" si="121"/>
        <v>0.18240077034814273</v>
      </c>
      <c r="N660" s="446">
        <f t="shared" si="122"/>
        <v>9.7199999999999995E-2</v>
      </c>
      <c r="O660" s="446">
        <f t="shared" si="114"/>
        <v>0.11865000000000001</v>
      </c>
      <c r="P660" s="447">
        <f t="shared" si="123"/>
        <v>8.5200770348142732E-2</v>
      </c>
      <c r="Q660" s="446">
        <f t="shared" si="115"/>
        <v>6.3750770348142721E-2</v>
      </c>
      <c r="R660" s="446">
        <f t="shared" si="116"/>
        <v>7.1105040860123703E-2</v>
      </c>
      <c r="S660" s="446">
        <f t="shared" si="117"/>
        <v>0.12659999999999999</v>
      </c>
      <c r="T660" s="447">
        <f t="shared" si="118"/>
        <v>-5.5494959139876288E-2</v>
      </c>
      <c r="V660" s="448"/>
      <c r="W660" s="448"/>
      <c r="X660" s="448"/>
      <c r="Y660" s="448"/>
      <c r="Z660" s="448"/>
      <c r="AA660" s="448"/>
      <c r="AB660" s="448"/>
      <c r="AC660" s="448"/>
      <c r="AD660" s="448"/>
      <c r="AF660" s="448"/>
      <c r="AG660" s="448"/>
      <c r="AH660" s="448"/>
      <c r="AI660" s="448"/>
      <c r="AJ660" s="448"/>
      <c r="AK660" s="448"/>
      <c r="AL660" s="448"/>
      <c r="AM660" s="448"/>
      <c r="AN660" s="448"/>
      <c r="AP660" s="448"/>
      <c r="AQ660" s="448"/>
      <c r="AR660" s="448"/>
      <c r="AS660" s="448"/>
      <c r="AT660" s="448"/>
      <c r="AU660" s="448"/>
      <c r="AV660" s="448"/>
      <c r="AW660" s="448"/>
      <c r="AX660" s="448"/>
    </row>
    <row r="661" spans="1:50" x14ac:dyDescent="0.4">
      <c r="A661" s="442" t="str">
        <f t="shared" si="119"/>
        <v>91980</v>
      </c>
      <c r="B661" s="442">
        <v>29465</v>
      </c>
      <c r="C661" s="455">
        <v>2.9399999999999999E-2</v>
      </c>
      <c r="D661" s="438">
        <v>-1.14E-2</v>
      </c>
      <c r="E661" s="438">
        <v>9.7000000000000003E-3</v>
      </c>
      <c r="F661" s="438">
        <v>1.0016666666666667E-2</v>
      </c>
      <c r="G661" s="438">
        <v>1.0433333333333333E-2</v>
      </c>
      <c r="H661" s="438">
        <v>1.0225E-2</v>
      </c>
      <c r="I661" s="438">
        <v>1.1077083333333333E-2</v>
      </c>
      <c r="J661" s="438">
        <f t="shared" si="120"/>
        <v>1.9699999999999999E-2</v>
      </c>
      <c r="K661" s="438">
        <f t="shared" si="112"/>
        <v>1.9174999999999998E-2</v>
      </c>
      <c r="L661" s="438">
        <f t="shared" si="113"/>
        <v>-2.2477083333333335E-2</v>
      </c>
      <c r="M661" s="446">
        <f t="shared" si="121"/>
        <v>0.21195195957022617</v>
      </c>
      <c r="N661" s="446">
        <f t="shared" si="122"/>
        <v>0.1164</v>
      </c>
      <c r="O661" s="446">
        <f t="shared" si="114"/>
        <v>0.1227</v>
      </c>
      <c r="P661" s="447">
        <f t="shared" si="123"/>
        <v>9.5551959570226164E-2</v>
      </c>
      <c r="Q661" s="446">
        <f t="shared" si="115"/>
        <v>8.9251959570226164E-2</v>
      </c>
      <c r="R661" s="446">
        <f t="shared" si="116"/>
        <v>7.7974593702858863E-2</v>
      </c>
      <c r="S661" s="446">
        <f t="shared" si="117"/>
        <v>0.13292499999999999</v>
      </c>
      <c r="T661" s="447">
        <f t="shared" si="118"/>
        <v>-5.4950406297141124E-2</v>
      </c>
      <c r="V661" s="448"/>
      <c r="W661" s="448"/>
      <c r="X661" s="448"/>
      <c r="Y661" s="448"/>
      <c r="Z661" s="448"/>
      <c r="AA661" s="448"/>
      <c r="AB661" s="448"/>
      <c r="AC661" s="448"/>
      <c r="AD661" s="448"/>
      <c r="AF661" s="448"/>
      <c r="AG661" s="448"/>
      <c r="AH661" s="448"/>
      <c r="AI661" s="448"/>
      <c r="AJ661" s="448"/>
      <c r="AK661" s="448"/>
      <c r="AL661" s="448"/>
      <c r="AM661" s="448"/>
      <c r="AN661" s="448"/>
      <c r="AP661" s="448"/>
      <c r="AQ661" s="448"/>
      <c r="AR661" s="448"/>
      <c r="AS661" s="448"/>
      <c r="AT661" s="448"/>
      <c r="AU661" s="448"/>
      <c r="AV661" s="448"/>
      <c r="AW661" s="448"/>
      <c r="AX661" s="448"/>
    </row>
    <row r="662" spans="1:50" x14ac:dyDescent="0.4">
      <c r="A662" s="442" t="str">
        <f t="shared" si="119"/>
        <v>101980</v>
      </c>
      <c r="B662" s="442">
        <v>29495</v>
      </c>
      <c r="C662" s="455">
        <v>2.0199999999999999E-2</v>
      </c>
      <c r="D662" s="438">
        <v>2.7400000000000001E-2</v>
      </c>
      <c r="E662" s="438">
        <v>9.7000000000000003E-3</v>
      </c>
      <c r="F662" s="438">
        <v>1.0258333333333335E-2</v>
      </c>
      <c r="G662" s="438">
        <v>1.0566666666666667E-2</v>
      </c>
      <c r="H662" s="438">
        <v>1.04125E-2</v>
      </c>
      <c r="I662" s="438">
        <v>1.1279999999999998E-2</v>
      </c>
      <c r="J662" s="438">
        <f t="shared" si="120"/>
        <v>1.0499999999999999E-2</v>
      </c>
      <c r="K662" s="438">
        <f t="shared" si="112"/>
        <v>9.7874999999999993E-3</v>
      </c>
      <c r="L662" s="438">
        <f t="shared" si="113"/>
        <v>1.6120000000000002E-2</v>
      </c>
      <c r="M662" s="446">
        <f t="shared" si="121"/>
        <v>0.32097584311276184</v>
      </c>
      <c r="N662" s="446">
        <f t="shared" si="122"/>
        <v>0.1164</v>
      </c>
      <c r="O662" s="446">
        <f t="shared" si="114"/>
        <v>0.12495000000000001</v>
      </c>
      <c r="P662" s="447">
        <f t="shared" si="123"/>
        <v>0.20457584311276183</v>
      </c>
      <c r="Q662" s="446">
        <f t="shared" si="115"/>
        <v>0.19602584311276183</v>
      </c>
      <c r="R662" s="446">
        <f t="shared" si="116"/>
        <v>0.16641505799928114</v>
      </c>
      <c r="S662" s="446">
        <f t="shared" si="117"/>
        <v>0.13535999999999998</v>
      </c>
      <c r="T662" s="447">
        <f t="shared" si="118"/>
        <v>3.1055057999281155E-2</v>
      </c>
      <c r="V662" s="448"/>
      <c r="W662" s="448"/>
      <c r="X662" s="448"/>
      <c r="Y662" s="448"/>
      <c r="Z662" s="448"/>
      <c r="AA662" s="448"/>
      <c r="AB662" s="448"/>
      <c r="AC662" s="448"/>
      <c r="AD662" s="448"/>
      <c r="AF662" s="448"/>
      <c r="AG662" s="448"/>
      <c r="AH662" s="448"/>
      <c r="AI662" s="448"/>
      <c r="AJ662" s="448"/>
      <c r="AK662" s="448"/>
      <c r="AL662" s="448"/>
      <c r="AM662" s="448"/>
      <c r="AN662" s="448"/>
      <c r="AP662" s="448"/>
      <c r="AQ662" s="448"/>
      <c r="AR662" s="448"/>
      <c r="AS662" s="448"/>
      <c r="AT662" s="448"/>
      <c r="AU662" s="448"/>
      <c r="AV662" s="448"/>
      <c r="AW662" s="448"/>
      <c r="AX662" s="448"/>
    </row>
    <row r="663" spans="1:50" x14ac:dyDescent="0.4">
      <c r="A663" s="442" t="str">
        <f t="shared" si="119"/>
        <v>111980</v>
      </c>
      <c r="B663" s="442">
        <v>29526</v>
      </c>
      <c r="C663" s="455">
        <v>0.1065</v>
      </c>
      <c r="D663" s="438">
        <v>5.0099999999999999E-2</v>
      </c>
      <c r="E663" s="438">
        <v>9.1000000000000004E-3</v>
      </c>
      <c r="F663" s="438">
        <v>1.0808333333333333E-2</v>
      </c>
      <c r="G663" s="438">
        <v>1.1116666666666665E-2</v>
      </c>
      <c r="H663" s="438">
        <v>1.09625E-2</v>
      </c>
      <c r="I663" s="438">
        <v>1.1677083333333333E-2</v>
      </c>
      <c r="J663" s="438">
        <f t="shared" si="120"/>
        <v>9.74E-2</v>
      </c>
      <c r="K663" s="438">
        <f t="shared" si="112"/>
        <v>9.5537499999999997E-2</v>
      </c>
      <c r="L663" s="438">
        <f t="shared" si="113"/>
        <v>3.8422916666666668E-2</v>
      </c>
      <c r="M663" s="446">
        <f t="shared" si="121"/>
        <v>0.39537925575586663</v>
      </c>
      <c r="N663" s="446">
        <f t="shared" si="122"/>
        <v>0.10920000000000001</v>
      </c>
      <c r="O663" s="446">
        <f t="shared" si="114"/>
        <v>0.13155</v>
      </c>
      <c r="P663" s="447">
        <f t="shared" si="123"/>
        <v>0.28617925575586661</v>
      </c>
      <c r="Q663" s="446">
        <f t="shared" si="115"/>
        <v>0.26382925575586663</v>
      </c>
      <c r="R663" s="446">
        <f t="shared" si="116"/>
        <v>0.15475860507687855</v>
      </c>
      <c r="S663" s="446">
        <f t="shared" si="117"/>
        <v>0.140125</v>
      </c>
      <c r="T663" s="447">
        <f t="shared" si="118"/>
        <v>1.4633605076878553E-2</v>
      </c>
      <c r="V663" s="448"/>
      <c r="W663" s="448"/>
      <c r="X663" s="448"/>
      <c r="Y663" s="448"/>
      <c r="Z663" s="448"/>
      <c r="AA663" s="448"/>
      <c r="AB663" s="448"/>
      <c r="AC663" s="448"/>
      <c r="AD663" s="448"/>
      <c r="AF663" s="448"/>
      <c r="AG663" s="448"/>
      <c r="AH663" s="448"/>
      <c r="AI663" s="448"/>
      <c r="AJ663" s="448"/>
      <c r="AK663" s="448"/>
      <c r="AL663" s="448"/>
      <c r="AM663" s="448"/>
      <c r="AN663" s="448"/>
      <c r="AP663" s="448"/>
      <c r="AQ663" s="448"/>
      <c r="AR663" s="448"/>
      <c r="AS663" s="448"/>
      <c r="AT663" s="448"/>
      <c r="AU663" s="448"/>
      <c r="AV663" s="448"/>
      <c r="AW663" s="448"/>
      <c r="AX663" s="448"/>
    </row>
    <row r="664" spans="1:50" x14ac:dyDescent="0.4">
      <c r="A664" s="442" t="str">
        <f t="shared" si="119"/>
        <v>121980</v>
      </c>
      <c r="B664" s="442">
        <v>29556</v>
      </c>
      <c r="C664" s="455">
        <v>-3.0200000000000001E-2</v>
      </c>
      <c r="D664" s="438">
        <v>-1.4000000000000002E-3</v>
      </c>
      <c r="E664" s="438">
        <v>1.0800000000000001E-2</v>
      </c>
      <c r="F664" s="438">
        <v>1.1008333333333334E-2</v>
      </c>
      <c r="G664" s="438">
        <v>1.1483333333333332E-2</v>
      </c>
      <c r="H664" s="438">
        <v>1.1245833333333333E-2</v>
      </c>
      <c r="I664" s="438">
        <v>1.2216666666666667E-2</v>
      </c>
      <c r="J664" s="438">
        <f t="shared" si="120"/>
        <v>-4.1000000000000002E-2</v>
      </c>
      <c r="K664" s="438">
        <f t="shared" si="112"/>
        <v>-4.1445833333333335E-2</v>
      </c>
      <c r="L664" s="438">
        <f t="shared" si="113"/>
        <v>-1.3616666666666668E-2</v>
      </c>
      <c r="M664" s="446">
        <f t="shared" si="121"/>
        <v>0.32488623676526296</v>
      </c>
      <c r="N664" s="446">
        <f t="shared" si="122"/>
        <v>0.12959999999999999</v>
      </c>
      <c r="O664" s="446">
        <f t="shared" si="114"/>
        <v>0.13495000000000001</v>
      </c>
      <c r="P664" s="447">
        <f t="shared" si="123"/>
        <v>0.19528623676526297</v>
      </c>
      <c r="Q664" s="446">
        <f t="shared" si="115"/>
        <v>0.18993623676526294</v>
      </c>
      <c r="R664" s="446">
        <f t="shared" si="116"/>
        <v>0.15061059971040835</v>
      </c>
      <c r="S664" s="446">
        <f t="shared" si="117"/>
        <v>0.14660000000000001</v>
      </c>
      <c r="T664" s="447">
        <f t="shared" si="118"/>
        <v>4.0105997104083468E-3</v>
      </c>
      <c r="V664" s="448"/>
      <c r="W664" s="448"/>
      <c r="X664" s="448"/>
      <c r="Y664" s="448"/>
      <c r="Z664" s="448"/>
      <c r="AA664" s="448"/>
      <c r="AB664" s="448"/>
      <c r="AC664" s="448"/>
      <c r="AD664" s="448"/>
      <c r="AF664" s="448"/>
      <c r="AG664" s="448"/>
      <c r="AH664" s="448"/>
      <c r="AI664" s="448"/>
      <c r="AJ664" s="448"/>
      <c r="AK664" s="448"/>
      <c r="AL664" s="448"/>
      <c r="AM664" s="448"/>
      <c r="AN664" s="448"/>
      <c r="AP664" s="448"/>
      <c r="AQ664" s="448"/>
      <c r="AR664" s="448"/>
      <c r="AS664" s="448"/>
      <c r="AT664" s="448"/>
      <c r="AU664" s="448"/>
      <c r="AV664" s="448"/>
      <c r="AW664" s="448"/>
      <c r="AX664" s="448"/>
    </row>
    <row r="665" spans="1:50" x14ac:dyDescent="0.4">
      <c r="A665" s="442" t="str">
        <f t="shared" si="119"/>
        <v>11981</v>
      </c>
      <c r="B665" s="442">
        <v>29587</v>
      </c>
      <c r="C665" s="455">
        <v>-4.1799999999999997E-2</v>
      </c>
      <c r="D665" s="438">
        <v>-1.8600000000000002E-2</v>
      </c>
      <c r="E665" s="438">
        <v>9.4000000000000004E-3</v>
      </c>
      <c r="F665" s="438">
        <v>1.0675E-2</v>
      </c>
      <c r="G665" s="438">
        <v>1.1266666666666668E-2</v>
      </c>
      <c r="H665" s="438">
        <v>1.0970833333333334E-2</v>
      </c>
      <c r="I665" s="438">
        <v>1.1894999999999999E-2</v>
      </c>
      <c r="J665" s="438">
        <f t="shared" si="120"/>
        <v>-5.1199999999999996E-2</v>
      </c>
      <c r="K665" s="438">
        <f t="shared" si="112"/>
        <v>-5.2770833333333329E-2</v>
      </c>
      <c r="L665" s="438">
        <f t="shared" si="113"/>
        <v>-3.0495000000000001E-2</v>
      </c>
      <c r="M665" s="446">
        <f t="shared" si="121"/>
        <v>0.19516662781818406</v>
      </c>
      <c r="N665" s="446">
        <f t="shared" si="122"/>
        <v>0.11280000000000001</v>
      </c>
      <c r="O665" s="446">
        <f t="shared" si="114"/>
        <v>0.13165000000000002</v>
      </c>
      <c r="P665" s="447">
        <f t="shared" si="123"/>
        <v>8.2366627818184046E-2</v>
      </c>
      <c r="Q665" s="446">
        <f t="shared" si="115"/>
        <v>6.351662781818404E-2</v>
      </c>
      <c r="R665" s="446">
        <f t="shared" si="116"/>
        <v>0.13181241110132769</v>
      </c>
      <c r="S665" s="446">
        <f t="shared" si="117"/>
        <v>0.14273999999999998</v>
      </c>
      <c r="T665" s="447">
        <f t="shared" si="118"/>
        <v>-1.0927588898672291E-2</v>
      </c>
      <c r="V665" s="448"/>
      <c r="W665" s="448"/>
      <c r="X665" s="448"/>
      <c r="Y665" s="448"/>
      <c r="Z665" s="448"/>
      <c r="AA665" s="448"/>
      <c r="AB665" s="448"/>
      <c r="AC665" s="448"/>
      <c r="AD665" s="448"/>
      <c r="AF665" s="448"/>
      <c r="AG665" s="448"/>
      <c r="AH665" s="448"/>
      <c r="AI665" s="448"/>
      <c r="AJ665" s="448"/>
      <c r="AK665" s="448"/>
      <c r="AL665" s="448"/>
      <c r="AM665" s="448"/>
      <c r="AN665" s="448"/>
      <c r="AP665" s="448"/>
      <c r="AQ665" s="448"/>
      <c r="AR665" s="448"/>
      <c r="AS665" s="448"/>
      <c r="AT665" s="448"/>
      <c r="AU665" s="448"/>
      <c r="AV665" s="448"/>
      <c r="AW665" s="448"/>
      <c r="AX665" s="448"/>
    </row>
    <row r="666" spans="1:50" x14ac:dyDescent="0.4">
      <c r="A666" s="442" t="str">
        <f t="shared" si="119"/>
        <v>21981</v>
      </c>
      <c r="B666" s="442">
        <v>29618</v>
      </c>
      <c r="C666" s="455">
        <v>1.7399999999999999E-2</v>
      </c>
      <c r="D666" s="438">
        <v>-2.2400000000000003E-2</v>
      </c>
      <c r="E666" s="438">
        <v>8.8000000000000005E-3</v>
      </c>
      <c r="F666" s="438">
        <v>1.1125000000000001E-2</v>
      </c>
      <c r="G666" s="438">
        <v>1.1575E-2</v>
      </c>
      <c r="H666" s="438">
        <v>1.1350000000000001E-2</v>
      </c>
      <c r="I666" s="438">
        <v>1.2233333333333334E-2</v>
      </c>
      <c r="J666" s="438">
        <f t="shared" si="120"/>
        <v>8.5999999999999983E-3</v>
      </c>
      <c r="K666" s="438">
        <f t="shared" si="112"/>
        <v>6.0499999999999981E-3</v>
      </c>
      <c r="L666" s="438">
        <f t="shared" si="113"/>
        <v>-3.4633333333333335E-2</v>
      </c>
      <c r="M666" s="446">
        <f t="shared" si="121"/>
        <v>0.21608413555577588</v>
      </c>
      <c r="N666" s="446">
        <f t="shared" si="122"/>
        <v>0.1056</v>
      </c>
      <c r="O666" s="446">
        <f t="shared" si="114"/>
        <v>0.13620000000000002</v>
      </c>
      <c r="P666" s="447">
        <f t="shared" si="123"/>
        <v>0.11048413555577588</v>
      </c>
      <c r="Q666" s="446">
        <f t="shared" si="115"/>
        <v>7.9884135555775865E-2</v>
      </c>
      <c r="R666" s="446">
        <f t="shared" si="116"/>
        <v>0.13448150629822408</v>
      </c>
      <c r="S666" s="446">
        <f t="shared" si="117"/>
        <v>0.14680000000000001</v>
      </c>
      <c r="T666" s="447">
        <f t="shared" si="118"/>
        <v>-1.2318493701775929E-2</v>
      </c>
      <c r="V666" s="448"/>
      <c r="W666" s="448"/>
      <c r="X666" s="448"/>
      <c r="Y666" s="448"/>
      <c r="Z666" s="448"/>
      <c r="AA666" s="448"/>
      <c r="AB666" s="448"/>
      <c r="AC666" s="448"/>
      <c r="AD666" s="448"/>
      <c r="AF666" s="448"/>
      <c r="AG666" s="448"/>
      <c r="AH666" s="448"/>
      <c r="AI666" s="448"/>
      <c r="AJ666" s="448"/>
      <c r="AK666" s="448"/>
      <c r="AL666" s="448"/>
      <c r="AM666" s="448"/>
      <c r="AN666" s="448"/>
      <c r="AP666" s="448"/>
      <c r="AQ666" s="448"/>
      <c r="AR666" s="448"/>
      <c r="AS666" s="448"/>
      <c r="AT666" s="448"/>
      <c r="AU666" s="448"/>
      <c r="AV666" s="448"/>
      <c r="AW666" s="448"/>
      <c r="AX666" s="448"/>
    </row>
    <row r="667" spans="1:50" x14ac:dyDescent="0.4">
      <c r="A667" s="442" t="str">
        <f t="shared" si="119"/>
        <v>31981</v>
      </c>
      <c r="B667" s="442">
        <v>29646</v>
      </c>
      <c r="C667" s="455">
        <v>0.04</v>
      </c>
      <c r="D667" s="438">
        <v>4.2000000000000003E-2</v>
      </c>
      <c r="E667" s="438">
        <v>1.11E-2</v>
      </c>
      <c r="F667" s="438">
        <v>1.1108333333333333E-2</v>
      </c>
      <c r="G667" s="438">
        <v>1.1583333333333334E-2</v>
      </c>
      <c r="H667" s="438">
        <v>1.1345833333333335E-2</v>
      </c>
      <c r="I667" s="438">
        <v>1.2604166666666668E-2</v>
      </c>
      <c r="J667" s="438">
        <f t="shared" si="120"/>
        <v>2.8900000000000002E-2</v>
      </c>
      <c r="K667" s="438">
        <f t="shared" si="112"/>
        <v>2.8654166666666668E-2</v>
      </c>
      <c r="L667" s="438">
        <f t="shared" si="113"/>
        <v>2.9395833333333336E-2</v>
      </c>
      <c r="M667" s="446">
        <f t="shared" si="121"/>
        <v>0.40089444060479296</v>
      </c>
      <c r="N667" s="446">
        <f t="shared" si="122"/>
        <v>0.13320000000000001</v>
      </c>
      <c r="O667" s="446">
        <f t="shared" si="114"/>
        <v>0.13615000000000002</v>
      </c>
      <c r="P667" s="447">
        <f t="shared" si="123"/>
        <v>0.26769444060479297</v>
      </c>
      <c r="Q667" s="446">
        <f t="shared" si="115"/>
        <v>0.26474444060479296</v>
      </c>
      <c r="R667" s="446">
        <f t="shared" si="116"/>
        <v>0.24815724798094108</v>
      </c>
      <c r="S667" s="446">
        <f t="shared" si="117"/>
        <v>0.15125000000000002</v>
      </c>
      <c r="T667" s="447">
        <f t="shared" si="118"/>
        <v>9.6907247980941053E-2</v>
      </c>
      <c r="V667" s="448"/>
      <c r="W667" s="448"/>
      <c r="X667" s="448"/>
      <c r="Y667" s="448"/>
      <c r="Z667" s="448"/>
      <c r="AA667" s="448"/>
      <c r="AB667" s="448"/>
      <c r="AC667" s="448"/>
      <c r="AD667" s="448"/>
      <c r="AF667" s="448"/>
      <c r="AG667" s="448"/>
      <c r="AH667" s="448"/>
      <c r="AI667" s="448"/>
      <c r="AJ667" s="448"/>
      <c r="AK667" s="448"/>
      <c r="AL667" s="448"/>
      <c r="AM667" s="448"/>
      <c r="AN667" s="448"/>
      <c r="AP667" s="448"/>
      <c r="AQ667" s="448"/>
      <c r="AR667" s="448"/>
      <c r="AS667" s="448"/>
      <c r="AT667" s="448"/>
      <c r="AU667" s="448"/>
      <c r="AV667" s="448"/>
      <c r="AW667" s="448"/>
      <c r="AX667" s="448"/>
    </row>
    <row r="668" spans="1:50" x14ac:dyDescent="0.4">
      <c r="A668" s="442" t="str">
        <f t="shared" si="119"/>
        <v>41981</v>
      </c>
      <c r="B668" s="442">
        <v>29677</v>
      </c>
      <c r="C668" s="455">
        <v>-1.9300000000000001E-2</v>
      </c>
      <c r="D668" s="438">
        <v>-9.5999999999999992E-3</v>
      </c>
      <c r="E668" s="438">
        <v>1.01E-2</v>
      </c>
      <c r="F668" s="438">
        <v>1.1566666666666668E-2</v>
      </c>
      <c r="G668" s="438">
        <v>1.1991666666666668E-2</v>
      </c>
      <c r="H668" s="438">
        <v>1.1779166666666667E-2</v>
      </c>
      <c r="I668" s="438">
        <v>1.2708333333333332E-2</v>
      </c>
      <c r="J668" s="438">
        <f t="shared" si="120"/>
        <v>-2.9400000000000003E-2</v>
      </c>
      <c r="K668" s="438">
        <f t="shared" si="112"/>
        <v>-3.1079166666666668E-2</v>
      </c>
      <c r="L668" s="438">
        <f t="shared" si="113"/>
        <v>-2.2308333333333333E-2</v>
      </c>
      <c r="M668" s="446">
        <f t="shared" si="121"/>
        <v>0.31318789705708339</v>
      </c>
      <c r="N668" s="446">
        <f t="shared" si="122"/>
        <v>0.1212</v>
      </c>
      <c r="O668" s="446">
        <f t="shared" si="114"/>
        <v>0.14135</v>
      </c>
      <c r="P668" s="447">
        <f t="shared" si="123"/>
        <v>0.19198789705708338</v>
      </c>
      <c r="Q668" s="446">
        <f t="shared" si="115"/>
        <v>0.17183789705708338</v>
      </c>
      <c r="R668" s="446">
        <f t="shared" si="116"/>
        <v>0.10510900983401039</v>
      </c>
      <c r="S668" s="446">
        <f t="shared" si="117"/>
        <v>0.15249999999999997</v>
      </c>
      <c r="T668" s="447">
        <f t="shared" si="118"/>
        <v>-4.7390990165989577E-2</v>
      </c>
      <c r="V668" s="448"/>
      <c r="W668" s="448"/>
      <c r="X668" s="448"/>
      <c r="Y668" s="448"/>
      <c r="Z668" s="448"/>
      <c r="AA668" s="448"/>
      <c r="AB668" s="448"/>
      <c r="AC668" s="448"/>
      <c r="AD668" s="448"/>
      <c r="AF668" s="448"/>
      <c r="AG668" s="448"/>
      <c r="AH668" s="448"/>
      <c r="AI668" s="448"/>
      <c r="AJ668" s="448"/>
      <c r="AK668" s="448"/>
      <c r="AL668" s="448"/>
      <c r="AM668" s="448"/>
      <c r="AN668" s="448"/>
      <c r="AP668" s="448"/>
      <c r="AQ668" s="448"/>
      <c r="AR668" s="448"/>
      <c r="AS668" s="448"/>
      <c r="AT668" s="448"/>
      <c r="AU668" s="448"/>
      <c r="AV668" s="448"/>
      <c r="AW668" s="448"/>
      <c r="AX668" s="448"/>
    </row>
    <row r="669" spans="1:50" x14ac:dyDescent="0.4">
      <c r="A669" s="442" t="str">
        <f t="shared" si="119"/>
        <v>51981</v>
      </c>
      <c r="B669" s="442">
        <v>29707</v>
      </c>
      <c r="C669" s="455">
        <v>2.5999999999999999E-3</v>
      </c>
      <c r="D669" s="438">
        <v>2.9100000000000001E-2</v>
      </c>
      <c r="E669" s="438">
        <v>1.04E-2</v>
      </c>
      <c r="F669" s="438">
        <v>1.1933333333333334E-2</v>
      </c>
      <c r="G669" s="438">
        <v>1.24E-2</v>
      </c>
      <c r="H669" s="438">
        <v>1.2166666666666668E-2</v>
      </c>
      <c r="I669" s="438">
        <v>1.3429999999999999E-2</v>
      </c>
      <c r="J669" s="438">
        <f t="shared" si="120"/>
        <v>-7.7999999999999996E-3</v>
      </c>
      <c r="K669" s="438">
        <f t="shared" ref="K669:K732" si="124">C669-H669</f>
        <v>-9.5666666666666678E-3</v>
      </c>
      <c r="L669" s="438">
        <f t="shared" ref="L669:L732" si="125">$D669-I669</f>
        <v>1.5670000000000003E-2</v>
      </c>
      <c r="M669" s="446">
        <f t="shared" si="121"/>
        <v>0.25211810327097628</v>
      </c>
      <c r="N669" s="446">
        <f t="shared" si="122"/>
        <v>0.12479999999999999</v>
      </c>
      <c r="O669" s="446">
        <f t="shared" si="114"/>
        <v>0.14600000000000002</v>
      </c>
      <c r="P669" s="447">
        <f t="shared" si="123"/>
        <v>0.12731810327097628</v>
      </c>
      <c r="Q669" s="446">
        <f t="shared" si="115"/>
        <v>0.10611810327097626</v>
      </c>
      <c r="R669" s="446">
        <f t="shared" si="116"/>
        <v>0.10168331107253747</v>
      </c>
      <c r="S669" s="446">
        <f t="shared" si="117"/>
        <v>0.16116</v>
      </c>
      <c r="T669" s="447">
        <f t="shared" si="118"/>
        <v>-5.9476688927462523E-2</v>
      </c>
      <c r="V669" s="448"/>
      <c r="W669" s="448"/>
      <c r="X669" s="448"/>
      <c r="Y669" s="448"/>
      <c r="Z669" s="448"/>
      <c r="AA669" s="448"/>
      <c r="AB669" s="448"/>
      <c r="AC669" s="448"/>
      <c r="AD669" s="448"/>
      <c r="AF669" s="448"/>
      <c r="AG669" s="448"/>
      <c r="AH669" s="448"/>
      <c r="AI669" s="448"/>
      <c r="AJ669" s="448"/>
      <c r="AK669" s="448"/>
      <c r="AL669" s="448"/>
      <c r="AM669" s="448"/>
      <c r="AN669" s="448"/>
      <c r="AP669" s="448"/>
      <c r="AQ669" s="448"/>
      <c r="AR669" s="448"/>
      <c r="AS669" s="448"/>
      <c r="AT669" s="448"/>
      <c r="AU669" s="448"/>
      <c r="AV669" s="448"/>
      <c r="AW669" s="448"/>
      <c r="AX669" s="448"/>
    </row>
    <row r="670" spans="1:50" x14ac:dyDescent="0.4">
      <c r="A670" s="442" t="str">
        <f t="shared" si="119"/>
        <v>61981</v>
      </c>
      <c r="B670" s="442">
        <v>29738</v>
      </c>
      <c r="C670" s="455">
        <v>-6.3E-3</v>
      </c>
      <c r="D670" s="438">
        <v>2.7200000000000002E-2</v>
      </c>
      <c r="E670" s="438">
        <v>1.09E-2</v>
      </c>
      <c r="F670" s="438">
        <v>1.1458333333333333E-2</v>
      </c>
      <c r="G670" s="438">
        <v>1.2008333333333334E-2</v>
      </c>
      <c r="H670" s="438">
        <v>1.1733333333333333E-2</v>
      </c>
      <c r="I670" s="438">
        <v>1.3160416666666667E-2</v>
      </c>
      <c r="J670" s="438">
        <f t="shared" si="120"/>
        <v>-1.72E-2</v>
      </c>
      <c r="K670" s="438">
        <f t="shared" si="124"/>
        <v>-1.8033333333333332E-2</v>
      </c>
      <c r="L670" s="438">
        <f t="shared" si="125"/>
        <v>1.4039583333333334E-2</v>
      </c>
      <c r="M670" s="446">
        <f t="shared" si="121"/>
        <v>0.20611647849977599</v>
      </c>
      <c r="N670" s="446">
        <f t="shared" si="122"/>
        <v>0.1308</v>
      </c>
      <c r="O670" s="446">
        <f t="shared" si="114"/>
        <v>0.14080000000000001</v>
      </c>
      <c r="P670" s="447">
        <f t="shared" si="123"/>
        <v>7.5316478499775991E-2</v>
      </c>
      <c r="Q670" s="446">
        <f t="shared" si="115"/>
        <v>6.5316478499775982E-2</v>
      </c>
      <c r="R670" s="446">
        <f t="shared" si="116"/>
        <v>9.4755825804111904E-2</v>
      </c>
      <c r="S670" s="446">
        <f t="shared" si="117"/>
        <v>0.15792500000000001</v>
      </c>
      <c r="T670" s="447">
        <f t="shared" si="118"/>
        <v>-6.3169174195888106E-2</v>
      </c>
      <c r="V670" s="448"/>
      <c r="W670" s="448"/>
      <c r="X670" s="448"/>
      <c r="Y670" s="448"/>
      <c r="Z670" s="448"/>
      <c r="AA670" s="448"/>
      <c r="AB670" s="448"/>
      <c r="AC670" s="448"/>
      <c r="AD670" s="448"/>
      <c r="AF670" s="448"/>
      <c r="AG670" s="448"/>
      <c r="AH670" s="448"/>
      <c r="AI670" s="448"/>
      <c r="AJ670" s="448"/>
      <c r="AK670" s="448"/>
      <c r="AL670" s="448"/>
      <c r="AM670" s="448"/>
      <c r="AN670" s="448"/>
      <c r="AP670" s="448"/>
      <c r="AQ670" s="448"/>
      <c r="AR670" s="448"/>
      <c r="AS670" s="448"/>
      <c r="AT670" s="448"/>
      <c r="AU670" s="448"/>
      <c r="AV670" s="448"/>
      <c r="AW670" s="448"/>
      <c r="AX670" s="448"/>
    </row>
    <row r="671" spans="1:50" x14ac:dyDescent="0.4">
      <c r="A671" s="442" t="str">
        <f t="shared" si="119"/>
        <v>71981</v>
      </c>
      <c r="B671" s="442">
        <v>29768</v>
      </c>
      <c r="C671" s="455">
        <v>2.0999999999999999E-3</v>
      </c>
      <c r="D671" s="438">
        <v>3.4099999999999998E-2</v>
      </c>
      <c r="E671" s="438">
        <v>1.09E-2</v>
      </c>
      <c r="F671" s="438">
        <v>1.1983333333333335E-2</v>
      </c>
      <c r="G671" s="438">
        <v>1.2324999999999999E-2</v>
      </c>
      <c r="H671" s="438">
        <v>1.2154166666666666E-2</v>
      </c>
      <c r="I671" s="438">
        <v>1.3393333333333333E-2</v>
      </c>
      <c r="J671" s="438">
        <f t="shared" si="120"/>
        <v>-8.8000000000000005E-3</v>
      </c>
      <c r="K671" s="438">
        <f t="shared" si="124"/>
        <v>-1.0054166666666666E-2</v>
      </c>
      <c r="L671" s="438">
        <f t="shared" si="125"/>
        <v>2.0706666666666665E-2</v>
      </c>
      <c r="M671" s="446">
        <f t="shared" si="121"/>
        <v>0.13000123700881239</v>
      </c>
      <c r="N671" s="446">
        <f t="shared" si="122"/>
        <v>0.1308</v>
      </c>
      <c r="O671" s="446">
        <f t="shared" si="114"/>
        <v>0.14584999999999998</v>
      </c>
      <c r="P671" s="447">
        <f t="shared" si="123"/>
        <v>-7.9876299118761263E-4</v>
      </c>
      <c r="Q671" s="446">
        <f t="shared" si="115"/>
        <v>-1.5848762991187593E-2</v>
      </c>
      <c r="R671" s="446">
        <f t="shared" si="116"/>
        <v>0.13674766489008139</v>
      </c>
      <c r="S671" s="446">
        <f t="shared" si="117"/>
        <v>0.16072</v>
      </c>
      <c r="T671" s="447">
        <f t="shared" si="118"/>
        <v>-2.3972335109918613E-2</v>
      </c>
      <c r="V671" s="448"/>
      <c r="W671" s="448"/>
      <c r="X671" s="448"/>
      <c r="Y671" s="448"/>
      <c r="Z671" s="448"/>
      <c r="AA671" s="448"/>
      <c r="AB671" s="448"/>
      <c r="AC671" s="448"/>
      <c r="AD671" s="448"/>
      <c r="AF671" s="448"/>
      <c r="AG671" s="448"/>
      <c r="AH671" s="448"/>
      <c r="AI671" s="448"/>
      <c r="AJ671" s="448"/>
      <c r="AK671" s="448"/>
      <c r="AL671" s="448"/>
      <c r="AM671" s="448"/>
      <c r="AN671" s="448"/>
      <c r="AP671" s="448"/>
      <c r="AQ671" s="448"/>
      <c r="AR671" s="448"/>
      <c r="AS671" s="448"/>
      <c r="AT671" s="448"/>
      <c r="AU671" s="448"/>
      <c r="AV671" s="448"/>
      <c r="AW671" s="448"/>
      <c r="AX671" s="448"/>
    </row>
    <row r="672" spans="1:50" x14ac:dyDescent="0.4">
      <c r="A672" s="442" t="str">
        <f t="shared" si="119"/>
        <v>81981</v>
      </c>
      <c r="B672" s="442">
        <v>29799</v>
      </c>
      <c r="C672" s="455">
        <v>-5.7700000000000001E-2</v>
      </c>
      <c r="D672" s="438">
        <v>-2.3999999999999994E-3</v>
      </c>
      <c r="E672" s="438">
        <v>1.0999999999999999E-2</v>
      </c>
      <c r="F672" s="438">
        <v>1.2408333333333334E-2</v>
      </c>
      <c r="G672" s="438">
        <v>1.2849999999999999E-2</v>
      </c>
      <c r="H672" s="438">
        <v>1.2629166666666667E-2</v>
      </c>
      <c r="I672" s="438">
        <v>1.3706250000000001E-2</v>
      </c>
      <c r="J672" s="438">
        <f t="shared" si="120"/>
        <v>-6.8699999999999997E-2</v>
      </c>
      <c r="K672" s="438">
        <f t="shared" si="124"/>
        <v>-7.0329166666666665E-2</v>
      </c>
      <c r="L672" s="438">
        <f t="shared" si="125"/>
        <v>-1.6106250000000003E-2</v>
      </c>
      <c r="M672" s="446">
        <f t="shared" si="121"/>
        <v>5.4153218130288172E-2</v>
      </c>
      <c r="N672" s="446">
        <f t="shared" si="122"/>
        <v>0.13200000000000001</v>
      </c>
      <c r="O672" s="446">
        <f t="shared" si="114"/>
        <v>0.15155000000000002</v>
      </c>
      <c r="P672" s="447">
        <f t="shared" si="123"/>
        <v>-7.7846781869711834E-2</v>
      </c>
      <c r="Q672" s="446">
        <f t="shared" si="115"/>
        <v>-9.7396781869711846E-2</v>
      </c>
      <c r="R672" s="446">
        <f t="shared" si="116"/>
        <v>0.15000453351013587</v>
      </c>
      <c r="S672" s="446">
        <f t="shared" si="117"/>
        <v>0.16447500000000001</v>
      </c>
      <c r="T672" s="447">
        <f t="shared" si="118"/>
        <v>-1.4470466489864137E-2</v>
      </c>
      <c r="V672" s="448"/>
      <c r="W672" s="448"/>
      <c r="X672" s="448"/>
      <c r="Y672" s="448"/>
      <c r="Z672" s="448"/>
      <c r="AA672" s="448"/>
      <c r="AB672" s="448"/>
      <c r="AC672" s="448"/>
      <c r="AD672" s="448"/>
      <c r="AF672" s="448"/>
      <c r="AG672" s="448"/>
      <c r="AH672" s="448"/>
      <c r="AI672" s="448"/>
      <c r="AJ672" s="448"/>
      <c r="AK672" s="448"/>
      <c r="AL672" s="448"/>
      <c r="AM672" s="448"/>
      <c r="AN672" s="448"/>
      <c r="AP672" s="448"/>
      <c r="AQ672" s="448"/>
      <c r="AR672" s="448"/>
      <c r="AS672" s="448"/>
      <c r="AT672" s="448"/>
      <c r="AU672" s="448"/>
      <c r="AV672" s="448"/>
      <c r="AW672" s="448"/>
      <c r="AX672" s="448"/>
    </row>
    <row r="673" spans="1:50" x14ac:dyDescent="0.4">
      <c r="A673" s="442" t="str">
        <f t="shared" si="119"/>
        <v>91981</v>
      </c>
      <c r="B673" s="442">
        <v>29830</v>
      </c>
      <c r="C673" s="455">
        <v>-4.9299999999999997E-2</v>
      </c>
      <c r="D673" s="438">
        <v>-4.0899999999999999E-2</v>
      </c>
      <c r="E673" s="438">
        <v>1.14E-2</v>
      </c>
      <c r="F673" s="438">
        <v>1.2908333333333332E-2</v>
      </c>
      <c r="G673" s="438">
        <v>1.3291666666666667E-2</v>
      </c>
      <c r="H673" s="438">
        <v>1.3100000000000001E-2</v>
      </c>
      <c r="I673" s="438">
        <v>1.4191666666666667E-2</v>
      </c>
      <c r="J673" s="438">
        <f t="shared" si="120"/>
        <v>-6.0699999999999997E-2</v>
      </c>
      <c r="K673" s="438">
        <f t="shared" si="124"/>
        <v>-6.2399999999999997E-2</v>
      </c>
      <c r="L673" s="438">
        <f t="shared" si="125"/>
        <v>-5.5091666666666664E-2</v>
      </c>
      <c r="M673" s="446">
        <f t="shared" si="121"/>
        <v>-2.6439222385404415E-2</v>
      </c>
      <c r="N673" s="446">
        <f t="shared" si="122"/>
        <v>0.1368</v>
      </c>
      <c r="O673" s="446">
        <f t="shared" si="114"/>
        <v>0.15720000000000001</v>
      </c>
      <c r="P673" s="447">
        <f t="shared" si="123"/>
        <v>-0.16323922238540442</v>
      </c>
      <c r="Q673" s="446">
        <f t="shared" si="115"/>
        <v>-0.18363922238540442</v>
      </c>
      <c r="R673" s="446">
        <f t="shared" si="116"/>
        <v>0.11568819349541881</v>
      </c>
      <c r="S673" s="446">
        <f t="shared" si="117"/>
        <v>0.17030000000000001</v>
      </c>
      <c r="T673" s="447">
        <f t="shared" si="118"/>
        <v>-5.4611806504581195E-2</v>
      </c>
      <c r="V673" s="448"/>
      <c r="W673" s="448"/>
      <c r="X673" s="448"/>
      <c r="Y673" s="448"/>
      <c r="Z673" s="448"/>
      <c r="AA673" s="448"/>
      <c r="AB673" s="448"/>
      <c r="AC673" s="448"/>
      <c r="AD673" s="448"/>
      <c r="AF673" s="448"/>
      <c r="AG673" s="448"/>
      <c r="AH673" s="448"/>
      <c r="AI673" s="448"/>
      <c r="AJ673" s="448"/>
      <c r="AK673" s="448"/>
      <c r="AL673" s="448"/>
      <c r="AM673" s="448"/>
      <c r="AN673" s="448"/>
      <c r="AP673" s="448"/>
      <c r="AQ673" s="448"/>
      <c r="AR673" s="448"/>
      <c r="AS673" s="448"/>
      <c r="AT673" s="448"/>
      <c r="AU673" s="448"/>
      <c r="AV673" s="448"/>
      <c r="AW673" s="448"/>
      <c r="AX673" s="448"/>
    </row>
    <row r="674" spans="1:50" x14ac:dyDescent="0.4">
      <c r="A674" s="442" t="str">
        <f t="shared" si="119"/>
        <v>101981</v>
      </c>
      <c r="B674" s="442">
        <v>29860</v>
      </c>
      <c r="C674" s="455">
        <v>5.3999999999999999E-2</v>
      </c>
      <c r="D674" s="438">
        <v>6.1699999999999998E-2</v>
      </c>
      <c r="E674" s="438">
        <v>1.1699999999999999E-2</v>
      </c>
      <c r="F674" s="438">
        <v>1.2833333333333334E-2</v>
      </c>
      <c r="G674" s="438">
        <v>1.3183333333333333E-2</v>
      </c>
      <c r="H674" s="438">
        <v>1.3008333333333334E-2</v>
      </c>
      <c r="I674" s="438">
        <v>1.4379166666666665E-2</v>
      </c>
      <c r="J674" s="438">
        <f t="shared" si="120"/>
        <v>4.2300000000000004E-2</v>
      </c>
      <c r="K674" s="438">
        <f t="shared" si="124"/>
        <v>4.0991666666666662E-2</v>
      </c>
      <c r="L674" s="438">
        <f t="shared" si="125"/>
        <v>4.7320833333333333E-2</v>
      </c>
      <c r="M674" s="446">
        <f t="shared" si="121"/>
        <v>5.8155847929657334E-3</v>
      </c>
      <c r="N674" s="446">
        <f t="shared" si="122"/>
        <v>0.14039999999999997</v>
      </c>
      <c r="O674" s="446">
        <f t="shared" si="114"/>
        <v>0.15610000000000002</v>
      </c>
      <c r="P674" s="447">
        <f t="shared" si="123"/>
        <v>-0.13458441520703424</v>
      </c>
      <c r="Q674" s="446">
        <f t="shared" si="115"/>
        <v>-0.15028441520703428</v>
      </c>
      <c r="R674" s="446">
        <f t="shared" si="116"/>
        <v>0.1529357164046008</v>
      </c>
      <c r="S674" s="446">
        <f t="shared" si="117"/>
        <v>0.17254999999999998</v>
      </c>
      <c r="T674" s="447">
        <f t="shared" si="118"/>
        <v>-1.9614283595399185E-2</v>
      </c>
      <c r="V674" s="448"/>
      <c r="W674" s="448"/>
      <c r="X674" s="448"/>
      <c r="Y674" s="448"/>
      <c r="Z674" s="448"/>
      <c r="AA674" s="448"/>
      <c r="AB674" s="448"/>
      <c r="AC674" s="448"/>
      <c r="AD674" s="448"/>
      <c r="AF674" s="448"/>
      <c r="AG674" s="448"/>
      <c r="AH674" s="448"/>
      <c r="AI674" s="448"/>
      <c r="AJ674" s="448"/>
      <c r="AK674" s="448"/>
      <c r="AL674" s="448"/>
      <c r="AM674" s="448"/>
      <c r="AN674" s="448"/>
      <c r="AP674" s="448"/>
      <c r="AQ674" s="448"/>
      <c r="AR674" s="448"/>
      <c r="AS674" s="448"/>
      <c r="AT674" s="448"/>
      <c r="AU674" s="448"/>
      <c r="AV674" s="448"/>
      <c r="AW674" s="448"/>
      <c r="AX674" s="448"/>
    </row>
    <row r="675" spans="1:50" x14ac:dyDescent="0.4">
      <c r="A675" s="442" t="str">
        <f t="shared" si="119"/>
        <v>111981</v>
      </c>
      <c r="B675" s="442">
        <v>29891</v>
      </c>
      <c r="C675" s="455">
        <v>4.1300000000000003E-2</v>
      </c>
      <c r="D675" s="438">
        <v>4.8100000000000004E-2</v>
      </c>
      <c r="E675" s="438">
        <v>1.1299999999999999E-2</v>
      </c>
      <c r="F675" s="438">
        <v>1.1850000000000001E-2</v>
      </c>
      <c r="G675" s="438">
        <v>1.2475E-2</v>
      </c>
      <c r="H675" s="438">
        <v>1.21625E-2</v>
      </c>
      <c r="I675" s="438">
        <v>1.3679166666666666E-2</v>
      </c>
      <c r="J675" s="438">
        <f t="shared" si="120"/>
        <v>3.0000000000000006E-2</v>
      </c>
      <c r="K675" s="438">
        <f t="shared" si="124"/>
        <v>2.9137500000000004E-2</v>
      </c>
      <c r="L675" s="438">
        <f t="shared" si="125"/>
        <v>3.4420833333333338E-2</v>
      </c>
      <c r="M675" s="446">
        <f t="shared" si="121"/>
        <v>-5.3451632675178051E-2</v>
      </c>
      <c r="N675" s="446">
        <f t="shared" si="122"/>
        <v>0.1356</v>
      </c>
      <c r="O675" s="446">
        <f t="shared" si="114"/>
        <v>0.14595</v>
      </c>
      <c r="P675" s="447">
        <f t="shared" si="123"/>
        <v>-0.18905163267517805</v>
      </c>
      <c r="Q675" s="446">
        <f t="shared" si="115"/>
        <v>-0.19940163267517805</v>
      </c>
      <c r="R675" s="446">
        <f t="shared" si="116"/>
        <v>0.15073985750277274</v>
      </c>
      <c r="S675" s="446">
        <f t="shared" si="117"/>
        <v>0.16414999999999999</v>
      </c>
      <c r="T675" s="447">
        <f t="shared" si="118"/>
        <v>-1.3410142497227245E-2</v>
      </c>
      <c r="V675" s="448"/>
      <c r="W675" s="448"/>
      <c r="X675" s="448"/>
      <c r="Y675" s="448"/>
      <c r="Z675" s="448"/>
      <c r="AA675" s="448"/>
      <c r="AB675" s="448"/>
      <c r="AC675" s="448"/>
      <c r="AD675" s="448"/>
      <c r="AF675" s="448"/>
      <c r="AG675" s="448"/>
      <c r="AH675" s="448"/>
      <c r="AI675" s="448"/>
      <c r="AJ675" s="448"/>
      <c r="AK675" s="448"/>
      <c r="AL675" s="448"/>
      <c r="AM675" s="448"/>
      <c r="AN675" s="448"/>
      <c r="AP675" s="448"/>
      <c r="AQ675" s="448"/>
      <c r="AR675" s="448"/>
      <c r="AS675" s="448"/>
      <c r="AT675" s="448"/>
      <c r="AU675" s="448"/>
      <c r="AV675" s="448"/>
      <c r="AW675" s="448"/>
      <c r="AX675" s="448"/>
    </row>
    <row r="676" spans="1:50" x14ac:dyDescent="0.4">
      <c r="A676" s="442" t="str">
        <f t="shared" si="119"/>
        <v>121981</v>
      </c>
      <c r="B676" s="442">
        <v>29921</v>
      </c>
      <c r="C676" s="455">
        <v>-2.5600000000000001E-2</v>
      </c>
      <c r="D676" s="438">
        <v>-3.0499999999999999E-2</v>
      </c>
      <c r="E676" s="438">
        <v>0.01</v>
      </c>
      <c r="F676" s="438">
        <v>1.1858333333333334E-2</v>
      </c>
      <c r="G676" s="438">
        <v>1.2500000000000001E-2</v>
      </c>
      <c r="H676" s="438">
        <v>1.2179166666666665E-2</v>
      </c>
      <c r="I676" s="438">
        <v>1.3468333333333334E-2</v>
      </c>
      <c r="J676" s="438">
        <f t="shared" si="120"/>
        <v>-3.56E-2</v>
      </c>
      <c r="K676" s="438">
        <f t="shared" si="124"/>
        <v>-3.7779166666666669E-2</v>
      </c>
      <c r="L676" s="438">
        <f t="shared" si="125"/>
        <v>-4.3968333333333331E-2</v>
      </c>
      <c r="M676" s="446">
        <f t="shared" si="121"/>
        <v>-4.8961920889558197E-2</v>
      </c>
      <c r="N676" s="446">
        <f t="shared" si="122"/>
        <v>0.12</v>
      </c>
      <c r="O676" s="446">
        <f t="shared" si="114"/>
        <v>0.14614999999999997</v>
      </c>
      <c r="P676" s="447">
        <f t="shared" si="123"/>
        <v>-0.16896192088955819</v>
      </c>
      <c r="Q676" s="446">
        <f t="shared" si="115"/>
        <v>-0.19511192088955817</v>
      </c>
      <c r="R676" s="446">
        <f t="shared" si="116"/>
        <v>0.11720638078203316</v>
      </c>
      <c r="S676" s="446">
        <f t="shared" si="117"/>
        <v>0.16162000000000001</v>
      </c>
      <c r="T676" s="447">
        <f t="shared" si="118"/>
        <v>-4.4413619217966854E-2</v>
      </c>
      <c r="V676" s="448"/>
      <c r="W676" s="448"/>
      <c r="X676" s="448"/>
      <c r="Y676" s="448"/>
      <c r="Z676" s="448"/>
      <c r="AA676" s="448"/>
      <c r="AB676" s="448"/>
      <c r="AC676" s="448"/>
      <c r="AD676" s="448"/>
      <c r="AF676" s="448"/>
      <c r="AG676" s="448"/>
      <c r="AH676" s="448"/>
      <c r="AI676" s="448"/>
      <c r="AJ676" s="448"/>
      <c r="AK676" s="448"/>
      <c r="AL676" s="448"/>
      <c r="AM676" s="448"/>
      <c r="AN676" s="448"/>
      <c r="AP676" s="448"/>
      <c r="AQ676" s="448"/>
      <c r="AR676" s="448"/>
      <c r="AS676" s="448"/>
      <c r="AT676" s="448"/>
      <c r="AU676" s="448"/>
      <c r="AV676" s="448"/>
      <c r="AW676" s="448"/>
      <c r="AX676" s="448"/>
    </row>
    <row r="677" spans="1:50" x14ac:dyDescent="0.4">
      <c r="A677" s="442" t="str">
        <f t="shared" si="119"/>
        <v>11982</v>
      </c>
      <c r="B677" s="442">
        <v>29952</v>
      </c>
      <c r="C677" s="455">
        <v>-1.3100000000000001E-2</v>
      </c>
      <c r="D677" s="438">
        <v>3.7000000000000002E-3</v>
      </c>
      <c r="E677" s="438">
        <v>1.0800000000000001E-2</v>
      </c>
      <c r="F677" s="438">
        <v>1.265E-2</v>
      </c>
      <c r="G677" s="438">
        <v>1.3125E-2</v>
      </c>
      <c r="H677" s="438">
        <v>1.2887499999999998E-2</v>
      </c>
      <c r="I677" s="438">
        <v>1.4000000000000002E-2</v>
      </c>
      <c r="J677" s="438">
        <f t="shared" si="120"/>
        <v>-2.3900000000000001E-2</v>
      </c>
      <c r="K677" s="438">
        <f t="shared" si="124"/>
        <v>-2.5987499999999997E-2</v>
      </c>
      <c r="L677" s="438">
        <f t="shared" si="125"/>
        <v>-1.0300000000000002E-2</v>
      </c>
      <c r="M677" s="446">
        <f t="shared" si="121"/>
        <v>-2.0476434696206747E-2</v>
      </c>
      <c r="N677" s="446">
        <f t="shared" si="122"/>
        <v>0.12959999999999999</v>
      </c>
      <c r="O677" s="446">
        <f t="shared" si="114"/>
        <v>0.15464999999999998</v>
      </c>
      <c r="P677" s="447">
        <f t="shared" si="123"/>
        <v>-0.15007643469620674</v>
      </c>
      <c r="Q677" s="446">
        <f t="shared" si="115"/>
        <v>-0.17512643469620673</v>
      </c>
      <c r="R677" s="446">
        <f t="shared" si="116"/>
        <v>0.14259226043501805</v>
      </c>
      <c r="S677" s="446">
        <f t="shared" si="117"/>
        <v>0.16800000000000004</v>
      </c>
      <c r="T677" s="447">
        <f t="shared" si="118"/>
        <v>-2.540773956498199E-2</v>
      </c>
      <c r="V677" s="448"/>
      <c r="W677" s="448"/>
      <c r="X677" s="448"/>
      <c r="Y677" s="448"/>
      <c r="Z677" s="448"/>
      <c r="AA677" s="448"/>
      <c r="AB677" s="448"/>
      <c r="AC677" s="448"/>
      <c r="AD677" s="448"/>
      <c r="AF677" s="448"/>
      <c r="AG677" s="448"/>
      <c r="AH677" s="448"/>
      <c r="AI677" s="448"/>
      <c r="AJ677" s="448"/>
      <c r="AK677" s="448"/>
      <c r="AL677" s="448"/>
      <c r="AM677" s="448"/>
      <c r="AN677" s="448"/>
      <c r="AP677" s="448"/>
      <c r="AQ677" s="448"/>
      <c r="AR677" s="448"/>
      <c r="AS677" s="448"/>
      <c r="AT677" s="448"/>
      <c r="AU677" s="448"/>
      <c r="AV677" s="448"/>
      <c r="AW677" s="448"/>
      <c r="AX677" s="448"/>
    </row>
    <row r="678" spans="1:50" x14ac:dyDescent="0.4">
      <c r="A678" s="442" t="str">
        <f t="shared" si="119"/>
        <v>21982</v>
      </c>
      <c r="B678" s="442">
        <v>29983</v>
      </c>
      <c r="C678" s="455">
        <v>-5.5899999999999998E-2</v>
      </c>
      <c r="D678" s="438">
        <v>-3.4999999999999996E-3</v>
      </c>
      <c r="E678" s="438">
        <v>1.03E-2</v>
      </c>
      <c r="F678" s="438">
        <v>1.2725E-2</v>
      </c>
      <c r="G678" s="438">
        <v>1.3100000000000001E-2</v>
      </c>
      <c r="H678" s="438">
        <v>1.29125E-2</v>
      </c>
      <c r="I678" s="438">
        <v>1.4095833333333332E-2</v>
      </c>
      <c r="J678" s="438">
        <f t="shared" si="120"/>
        <v>-6.6199999999999995E-2</v>
      </c>
      <c r="K678" s="438">
        <f t="shared" si="124"/>
        <v>-6.8812499999999999E-2</v>
      </c>
      <c r="L678" s="438">
        <f t="shared" si="125"/>
        <v>-1.7595833333333331E-2</v>
      </c>
      <c r="M678" s="446">
        <f t="shared" si="121"/>
        <v>-9.1047574205512904E-2</v>
      </c>
      <c r="N678" s="446">
        <f t="shared" si="122"/>
        <v>0.1236</v>
      </c>
      <c r="O678" s="446">
        <f t="shared" si="114"/>
        <v>0.15495</v>
      </c>
      <c r="P678" s="447">
        <f t="shared" si="123"/>
        <v>-0.21464757420551289</v>
      </c>
      <c r="Q678" s="446">
        <f t="shared" si="115"/>
        <v>-0.24599757420551291</v>
      </c>
      <c r="R678" s="446">
        <f t="shared" si="116"/>
        <v>0.16468206579735578</v>
      </c>
      <c r="S678" s="446">
        <f t="shared" si="117"/>
        <v>0.16914999999999997</v>
      </c>
      <c r="T678" s="447">
        <f t="shared" si="118"/>
        <v>-4.4679342026441859E-3</v>
      </c>
      <c r="V678" s="448"/>
      <c r="W678" s="448"/>
      <c r="X678" s="448"/>
      <c r="Y678" s="448"/>
      <c r="Z678" s="448"/>
      <c r="AA678" s="448"/>
      <c r="AB678" s="448"/>
      <c r="AC678" s="448"/>
      <c r="AD678" s="448"/>
      <c r="AF678" s="448"/>
      <c r="AG678" s="448"/>
      <c r="AH678" s="448"/>
      <c r="AI678" s="448"/>
      <c r="AJ678" s="448"/>
      <c r="AK678" s="448"/>
      <c r="AL678" s="448"/>
      <c r="AM678" s="448"/>
      <c r="AN678" s="448"/>
      <c r="AP678" s="448"/>
      <c r="AQ678" s="448"/>
      <c r="AR678" s="448"/>
      <c r="AS678" s="448"/>
      <c r="AT678" s="448"/>
      <c r="AU678" s="448"/>
      <c r="AV678" s="448"/>
      <c r="AW678" s="448"/>
      <c r="AX678" s="448"/>
    </row>
    <row r="679" spans="1:50" x14ac:dyDescent="0.4">
      <c r="A679" s="442" t="str">
        <f t="shared" si="119"/>
        <v>31982</v>
      </c>
      <c r="B679" s="442">
        <v>30011</v>
      </c>
      <c r="C679" s="455">
        <v>-5.1999999999999998E-3</v>
      </c>
      <c r="D679" s="438">
        <v>1.6800000000000002E-2</v>
      </c>
      <c r="E679" s="438">
        <v>1.24E-2</v>
      </c>
      <c r="F679" s="438">
        <v>1.2150000000000001E-2</v>
      </c>
      <c r="G679" s="438">
        <v>1.2675000000000001E-2</v>
      </c>
      <c r="H679" s="438">
        <v>1.24125E-2</v>
      </c>
      <c r="I679" s="438">
        <v>1.3739999999999999E-2</v>
      </c>
      <c r="J679" s="438">
        <f t="shared" si="120"/>
        <v>-1.7599999999999998E-2</v>
      </c>
      <c r="K679" s="438">
        <f t="shared" si="124"/>
        <v>-1.76125E-2</v>
      </c>
      <c r="L679" s="438">
        <f t="shared" si="125"/>
        <v>3.0600000000000037E-3</v>
      </c>
      <c r="M679" s="446">
        <f t="shared" si="121"/>
        <v>-0.13055204501888851</v>
      </c>
      <c r="N679" s="446">
        <f t="shared" si="122"/>
        <v>0.14879999999999999</v>
      </c>
      <c r="O679" s="446">
        <f t="shared" si="114"/>
        <v>0.14895</v>
      </c>
      <c r="P679" s="447">
        <f t="shared" si="123"/>
        <v>-0.2793520450188885</v>
      </c>
      <c r="Q679" s="446">
        <f t="shared" si="115"/>
        <v>-0.27950204501888853</v>
      </c>
      <c r="R679" s="446">
        <f t="shared" si="116"/>
        <v>0.13651509069361967</v>
      </c>
      <c r="S679" s="446">
        <f t="shared" si="117"/>
        <v>0.16487999999999997</v>
      </c>
      <c r="T679" s="447">
        <f t="shared" si="118"/>
        <v>-2.8364909306380304E-2</v>
      </c>
      <c r="V679" s="448"/>
      <c r="W679" s="448"/>
      <c r="X679" s="448"/>
      <c r="Y679" s="448"/>
      <c r="Z679" s="448"/>
      <c r="AA679" s="448"/>
      <c r="AB679" s="448"/>
      <c r="AC679" s="448"/>
      <c r="AD679" s="448"/>
      <c r="AF679" s="448"/>
      <c r="AG679" s="448"/>
      <c r="AH679" s="448"/>
      <c r="AI679" s="448"/>
      <c r="AJ679" s="448"/>
      <c r="AK679" s="448"/>
      <c r="AL679" s="448"/>
      <c r="AM679" s="448"/>
      <c r="AN679" s="448"/>
      <c r="AP679" s="448"/>
      <c r="AQ679" s="448"/>
      <c r="AR679" s="448"/>
      <c r="AS679" s="448"/>
      <c r="AT679" s="448"/>
      <c r="AU679" s="448"/>
      <c r="AV679" s="448"/>
      <c r="AW679" s="448"/>
      <c r="AX679" s="448"/>
    </row>
    <row r="680" spans="1:50" x14ac:dyDescent="0.4">
      <c r="A680" s="442" t="str">
        <f t="shared" si="119"/>
        <v>41982</v>
      </c>
      <c r="B680" s="442">
        <v>30042</v>
      </c>
      <c r="C680" s="455">
        <v>4.5199999999999997E-2</v>
      </c>
      <c r="D680" s="438">
        <v>5.4800000000000001E-2</v>
      </c>
      <c r="E680" s="438">
        <v>1.1199999999999998E-2</v>
      </c>
      <c r="F680" s="438">
        <v>1.205E-2</v>
      </c>
      <c r="G680" s="438">
        <v>1.2416666666666666E-2</v>
      </c>
      <c r="H680" s="438">
        <v>1.2233333333333334E-2</v>
      </c>
      <c r="I680" s="438">
        <v>1.3664583333333334E-2</v>
      </c>
      <c r="J680" s="438">
        <f t="shared" si="120"/>
        <v>3.4000000000000002E-2</v>
      </c>
      <c r="K680" s="438">
        <f t="shared" si="124"/>
        <v>3.2966666666666665E-2</v>
      </c>
      <c r="L680" s="438">
        <f t="shared" si="125"/>
        <v>4.1135416666666667E-2</v>
      </c>
      <c r="M680" s="446">
        <f t="shared" si="121"/>
        <v>-7.3369019530684643E-2</v>
      </c>
      <c r="N680" s="446">
        <f t="shared" si="122"/>
        <v>0.13439999999999996</v>
      </c>
      <c r="O680" s="446">
        <f t="shared" ref="O680:O743" si="126">H680*12</f>
        <v>0.14680000000000001</v>
      </c>
      <c r="P680" s="447">
        <f t="shared" si="123"/>
        <v>-0.20776901953068461</v>
      </c>
      <c r="Q680" s="446">
        <f t="shared" ref="Q680:Q743" si="127">M680-O680</f>
        <v>-0.22016901953068466</v>
      </c>
      <c r="R680" s="446">
        <f t="shared" ref="R680:R743" si="128">((1+D669)*(1+D670)*(1+D671)*(1+D672)*(1+D673)*(1+D674)*(1+D675)*(1+D676)*(1+D677)*(1+D678)*(1+D679)*(1+D680))-1</f>
        <v>0.21041611234211399</v>
      </c>
      <c r="S680" s="446">
        <f t="shared" ref="S680:S743" si="129">I680*12</f>
        <v>0.16397500000000001</v>
      </c>
      <c r="T680" s="447">
        <f t="shared" ref="T680:T743" si="130">R680-S680</f>
        <v>4.6441112342113983E-2</v>
      </c>
      <c r="V680" s="448"/>
      <c r="W680" s="448"/>
      <c r="X680" s="448"/>
      <c r="Y680" s="448"/>
      <c r="Z680" s="448"/>
      <c r="AA680" s="448"/>
      <c r="AB680" s="448"/>
      <c r="AC680" s="448"/>
      <c r="AD680" s="448"/>
      <c r="AF680" s="448"/>
      <c r="AG680" s="448"/>
      <c r="AH680" s="448"/>
      <c r="AI680" s="448"/>
      <c r="AJ680" s="448"/>
      <c r="AK680" s="448"/>
      <c r="AL680" s="448"/>
      <c r="AM680" s="448"/>
      <c r="AN680" s="448"/>
      <c r="AP680" s="448"/>
      <c r="AQ680" s="448"/>
      <c r="AR680" s="448"/>
      <c r="AS680" s="448"/>
      <c r="AT680" s="448"/>
      <c r="AU680" s="448"/>
      <c r="AV680" s="448"/>
      <c r="AW680" s="448"/>
      <c r="AX680" s="448"/>
    </row>
    <row r="681" spans="1:50" x14ac:dyDescent="0.4">
      <c r="A681" s="442" t="str">
        <f t="shared" ref="A681:A744" si="131">MONTH(B681)&amp;YEAR(B681)</f>
        <v>51982</v>
      </c>
      <c r="B681" s="442">
        <v>30072</v>
      </c>
      <c r="C681" s="455">
        <v>-3.4099999999999998E-2</v>
      </c>
      <c r="D681" s="438">
        <v>-1.8700000000000001E-2</v>
      </c>
      <c r="E681" s="438">
        <v>1.01E-2</v>
      </c>
      <c r="F681" s="438">
        <v>1.1883333333333333E-2</v>
      </c>
      <c r="G681" s="438">
        <v>1.2308333333333333E-2</v>
      </c>
      <c r="H681" s="438">
        <v>1.2095833333333332E-2</v>
      </c>
      <c r="I681" s="438">
        <v>1.3399999999999999E-2</v>
      </c>
      <c r="J681" s="438">
        <f t="shared" si="120"/>
        <v>-4.4199999999999996E-2</v>
      </c>
      <c r="K681" s="438">
        <f t="shared" si="124"/>
        <v>-4.6195833333333332E-2</v>
      </c>
      <c r="L681" s="438">
        <f t="shared" si="125"/>
        <v>-3.2100000000000004E-2</v>
      </c>
      <c r="M681" s="446">
        <f t="shared" si="121"/>
        <v>-0.10728818667932183</v>
      </c>
      <c r="N681" s="446">
        <f t="shared" si="122"/>
        <v>0.1212</v>
      </c>
      <c r="O681" s="446">
        <f t="shared" si="126"/>
        <v>0.14514999999999997</v>
      </c>
      <c r="P681" s="447">
        <f t="shared" si="123"/>
        <v>-0.22848818667932183</v>
      </c>
      <c r="Q681" s="446">
        <f t="shared" si="127"/>
        <v>-0.25243818667932183</v>
      </c>
      <c r="R681" s="446">
        <f t="shared" si="128"/>
        <v>0.15419427756419846</v>
      </c>
      <c r="S681" s="446">
        <f t="shared" si="129"/>
        <v>0.1608</v>
      </c>
      <c r="T681" s="447">
        <f t="shared" si="130"/>
        <v>-6.6057224358015421E-3</v>
      </c>
      <c r="V681" s="448"/>
      <c r="W681" s="448"/>
      <c r="X681" s="448"/>
      <c r="Y681" s="448"/>
      <c r="Z681" s="448"/>
      <c r="AA681" s="448"/>
      <c r="AB681" s="448"/>
      <c r="AC681" s="448"/>
      <c r="AD681" s="448"/>
      <c r="AF681" s="448"/>
      <c r="AG681" s="448"/>
      <c r="AH681" s="448"/>
      <c r="AI681" s="448"/>
      <c r="AJ681" s="448"/>
      <c r="AK681" s="448"/>
      <c r="AL681" s="448"/>
      <c r="AM681" s="448"/>
      <c r="AN681" s="448"/>
      <c r="AP681" s="448"/>
      <c r="AQ681" s="448"/>
      <c r="AR681" s="448"/>
      <c r="AS681" s="448"/>
      <c r="AT681" s="448"/>
      <c r="AU681" s="448"/>
      <c r="AV681" s="448"/>
      <c r="AW681" s="448"/>
      <c r="AX681" s="448"/>
    </row>
    <row r="682" spans="1:50" x14ac:dyDescent="0.4">
      <c r="A682" s="442" t="str">
        <f t="shared" si="131"/>
        <v>61982</v>
      </c>
      <c r="B682" s="442">
        <v>30103</v>
      </c>
      <c r="C682" s="455">
        <v>-1.4999999999999999E-2</v>
      </c>
      <c r="D682" s="438">
        <v>-1.6099999999999996E-2</v>
      </c>
      <c r="E682" s="438">
        <v>1.2E-2</v>
      </c>
      <c r="F682" s="438">
        <v>1.2341666666666666E-2</v>
      </c>
      <c r="G682" s="438">
        <v>1.2716666666666668E-2</v>
      </c>
      <c r="H682" s="438">
        <v>1.2529166666666668E-2</v>
      </c>
      <c r="I682" s="438">
        <v>1.3616666666666666E-2</v>
      </c>
      <c r="J682" s="438">
        <f t="shared" si="120"/>
        <v>-2.7E-2</v>
      </c>
      <c r="K682" s="438">
        <f t="shared" si="124"/>
        <v>-2.7529166666666667E-2</v>
      </c>
      <c r="L682" s="438">
        <f t="shared" si="125"/>
        <v>-2.9716666666666662E-2</v>
      </c>
      <c r="M682" s="446">
        <f t="shared" si="121"/>
        <v>-0.11510401920009261</v>
      </c>
      <c r="N682" s="446">
        <f t="shared" si="122"/>
        <v>0.14400000000000002</v>
      </c>
      <c r="O682" s="446">
        <f t="shared" si="126"/>
        <v>0.15035000000000001</v>
      </c>
      <c r="P682" s="447">
        <f t="shared" si="123"/>
        <v>-0.25910401920009263</v>
      </c>
      <c r="Q682" s="446">
        <f t="shared" si="127"/>
        <v>-0.26545401920009259</v>
      </c>
      <c r="R682" s="446">
        <f t="shared" si="128"/>
        <v>0.10554103358198486</v>
      </c>
      <c r="S682" s="446">
        <f t="shared" si="129"/>
        <v>0.16339999999999999</v>
      </c>
      <c r="T682" s="447">
        <f t="shared" si="130"/>
        <v>-5.7858966418015134E-2</v>
      </c>
      <c r="V682" s="448"/>
      <c r="W682" s="448"/>
      <c r="X682" s="448"/>
      <c r="Y682" s="448"/>
      <c r="Z682" s="448"/>
      <c r="AA682" s="448"/>
      <c r="AB682" s="448"/>
      <c r="AC682" s="448"/>
      <c r="AD682" s="448"/>
      <c r="AF682" s="448"/>
      <c r="AG682" s="448"/>
      <c r="AH682" s="448"/>
      <c r="AI682" s="448"/>
      <c r="AJ682" s="448"/>
      <c r="AK682" s="448"/>
      <c r="AL682" s="448"/>
      <c r="AM682" s="448"/>
      <c r="AN682" s="448"/>
      <c r="AP682" s="448"/>
      <c r="AQ682" s="448"/>
      <c r="AR682" s="448"/>
      <c r="AS682" s="448"/>
      <c r="AT682" s="448"/>
      <c r="AU682" s="448"/>
      <c r="AV682" s="448"/>
      <c r="AW682" s="448"/>
      <c r="AX682" s="448"/>
    </row>
    <row r="683" spans="1:50" x14ac:dyDescent="0.4">
      <c r="A683" s="442" t="str">
        <f t="shared" si="131"/>
        <v>71982</v>
      </c>
      <c r="B683" s="442">
        <v>30133</v>
      </c>
      <c r="C683" s="455">
        <v>-1.78E-2</v>
      </c>
      <c r="D683" s="438">
        <v>-1.9800000000000002E-2</v>
      </c>
      <c r="E683" s="438">
        <v>1.14E-2</v>
      </c>
      <c r="F683" s="438">
        <v>1.2175E-2</v>
      </c>
      <c r="G683" s="438">
        <v>1.2675000000000001E-2</v>
      </c>
      <c r="H683" s="438">
        <v>1.2425000000000002E-2</v>
      </c>
      <c r="I683" s="438">
        <v>1.3716666666666669E-2</v>
      </c>
      <c r="J683" s="438">
        <f t="shared" si="120"/>
        <v>-2.92E-2</v>
      </c>
      <c r="K683" s="438">
        <f t="shared" si="124"/>
        <v>-3.0225000000000002E-2</v>
      </c>
      <c r="L683" s="438">
        <f t="shared" si="125"/>
        <v>-3.3516666666666667E-2</v>
      </c>
      <c r="M683" s="446">
        <f t="shared" si="121"/>
        <v>-0.13267654690982034</v>
      </c>
      <c r="N683" s="446">
        <f t="shared" si="122"/>
        <v>0.1368</v>
      </c>
      <c r="O683" s="446">
        <f t="shared" si="126"/>
        <v>0.14910000000000001</v>
      </c>
      <c r="P683" s="447">
        <f t="shared" si="123"/>
        <v>-0.26947654690982037</v>
      </c>
      <c r="Q683" s="446">
        <f t="shared" si="127"/>
        <v>-0.28177654690982035</v>
      </c>
      <c r="R683" s="446">
        <f t="shared" si="128"/>
        <v>4.7917339828896122E-2</v>
      </c>
      <c r="S683" s="446">
        <f t="shared" si="129"/>
        <v>0.16460000000000002</v>
      </c>
      <c r="T683" s="447">
        <f t="shared" si="130"/>
        <v>-0.1166826601711039</v>
      </c>
      <c r="V683" s="448"/>
      <c r="W683" s="448"/>
      <c r="X683" s="448"/>
      <c r="Y683" s="448"/>
      <c r="Z683" s="448"/>
      <c r="AA683" s="448"/>
      <c r="AB683" s="448"/>
      <c r="AC683" s="448"/>
      <c r="AD683" s="448"/>
      <c r="AF683" s="448"/>
      <c r="AG683" s="448"/>
      <c r="AH683" s="448"/>
      <c r="AI683" s="448"/>
      <c r="AJ683" s="448"/>
      <c r="AK683" s="448"/>
      <c r="AL683" s="448"/>
      <c r="AM683" s="448"/>
      <c r="AN683" s="448"/>
      <c r="AP683" s="448"/>
      <c r="AQ683" s="448"/>
      <c r="AR683" s="448"/>
      <c r="AS683" s="448"/>
      <c r="AT683" s="448"/>
      <c r="AU683" s="448"/>
      <c r="AV683" s="448"/>
      <c r="AW683" s="448"/>
      <c r="AX683" s="448"/>
    </row>
    <row r="684" spans="1:50" x14ac:dyDescent="0.4">
      <c r="A684" s="442" t="str">
        <f t="shared" si="131"/>
        <v>81982</v>
      </c>
      <c r="B684" s="442">
        <v>30164</v>
      </c>
      <c r="C684" s="455">
        <v>0.12139999999999999</v>
      </c>
      <c r="D684" s="438">
        <v>0.1211</v>
      </c>
      <c r="E684" s="438">
        <v>1.1199999999999998E-2</v>
      </c>
      <c r="F684" s="438">
        <v>1.1425000000000001E-2</v>
      </c>
      <c r="G684" s="438">
        <v>1.2066666666666668E-2</v>
      </c>
      <c r="H684" s="438">
        <v>1.1745833333333336E-2</v>
      </c>
      <c r="I684" s="438">
        <v>1.3266666666666666E-2</v>
      </c>
      <c r="J684" s="438">
        <f t="shared" si="120"/>
        <v>0.11019999999999999</v>
      </c>
      <c r="K684" s="438">
        <f t="shared" si="124"/>
        <v>0.10965416666666666</v>
      </c>
      <c r="L684" s="438">
        <f t="shared" si="125"/>
        <v>0.10783333333333334</v>
      </c>
      <c r="M684" s="446">
        <f t="shared" si="121"/>
        <v>3.2172896418685593E-2</v>
      </c>
      <c r="N684" s="446">
        <f t="shared" si="122"/>
        <v>0.13439999999999996</v>
      </c>
      <c r="O684" s="446">
        <f t="shared" si="126"/>
        <v>0.14095000000000002</v>
      </c>
      <c r="P684" s="447">
        <f t="shared" si="123"/>
        <v>-0.10222710358131437</v>
      </c>
      <c r="Q684" s="446">
        <f t="shared" si="127"/>
        <v>-0.10877710358131443</v>
      </c>
      <c r="R684" s="446">
        <f t="shared" si="128"/>
        <v>0.17764648123714455</v>
      </c>
      <c r="S684" s="446">
        <f t="shared" si="129"/>
        <v>0.15920000000000001</v>
      </c>
      <c r="T684" s="447">
        <f t="shared" si="130"/>
        <v>1.8446481237144541E-2</v>
      </c>
      <c r="V684" s="448"/>
      <c r="W684" s="448"/>
      <c r="X684" s="448"/>
      <c r="Y684" s="448"/>
      <c r="Z684" s="448"/>
      <c r="AA684" s="448"/>
      <c r="AB684" s="448"/>
      <c r="AC684" s="448"/>
      <c r="AD684" s="448"/>
      <c r="AF684" s="448"/>
      <c r="AG684" s="448"/>
      <c r="AH684" s="448"/>
      <c r="AI684" s="448"/>
      <c r="AJ684" s="448"/>
      <c r="AK684" s="448"/>
      <c r="AL684" s="448"/>
      <c r="AM684" s="448"/>
      <c r="AN684" s="448"/>
      <c r="AP684" s="448"/>
      <c r="AQ684" s="448"/>
      <c r="AR684" s="448"/>
      <c r="AS684" s="448"/>
      <c r="AT684" s="448"/>
      <c r="AU684" s="448"/>
      <c r="AV684" s="448"/>
      <c r="AW684" s="448"/>
      <c r="AX684" s="448"/>
    </row>
    <row r="685" spans="1:50" x14ac:dyDescent="0.4">
      <c r="A685" s="442" t="str">
        <f t="shared" si="131"/>
        <v>91982</v>
      </c>
      <c r="B685" s="442">
        <v>30195</v>
      </c>
      <c r="C685" s="455">
        <v>1.2500000000000001E-2</v>
      </c>
      <c r="D685" s="438">
        <v>5.1999999999999998E-3</v>
      </c>
      <c r="E685" s="438">
        <v>0.01</v>
      </c>
      <c r="F685" s="438">
        <v>1.0783333333333334E-2</v>
      </c>
      <c r="G685" s="438">
        <v>1.1433333333333334E-2</v>
      </c>
      <c r="H685" s="438">
        <v>1.1108333333333333E-2</v>
      </c>
      <c r="I685" s="438">
        <v>1.2875000000000001E-2</v>
      </c>
      <c r="J685" s="438">
        <f t="shared" si="120"/>
        <v>2.5000000000000005E-3</v>
      </c>
      <c r="K685" s="438">
        <f t="shared" si="124"/>
        <v>1.3916666666666678E-3</v>
      </c>
      <c r="L685" s="438">
        <f t="shared" si="125"/>
        <v>-7.6750000000000013E-3</v>
      </c>
      <c r="M685" s="446">
        <f t="shared" si="121"/>
        <v>9.9269020325990276E-2</v>
      </c>
      <c r="N685" s="446">
        <f t="shared" si="122"/>
        <v>0.12</v>
      </c>
      <c r="O685" s="446">
        <f t="shared" si="126"/>
        <v>0.1333</v>
      </c>
      <c r="P685" s="447">
        <f t="shared" si="123"/>
        <v>-2.073097967400972E-2</v>
      </c>
      <c r="Q685" s="446">
        <f t="shared" si="127"/>
        <v>-3.4030979674009726E-2</v>
      </c>
      <c r="R685" s="446">
        <f t="shared" si="128"/>
        <v>0.2342511134809484</v>
      </c>
      <c r="S685" s="446">
        <f t="shared" si="129"/>
        <v>0.15450000000000003</v>
      </c>
      <c r="T685" s="447">
        <f t="shared" si="130"/>
        <v>7.9751113480948377E-2</v>
      </c>
      <c r="V685" s="448"/>
      <c r="W685" s="448"/>
      <c r="X685" s="448"/>
      <c r="Y685" s="448"/>
      <c r="Z685" s="448"/>
      <c r="AA685" s="448"/>
      <c r="AB685" s="448"/>
      <c r="AC685" s="448"/>
      <c r="AD685" s="448"/>
      <c r="AF685" s="448"/>
      <c r="AG685" s="448"/>
      <c r="AH685" s="448"/>
      <c r="AI685" s="448"/>
      <c r="AJ685" s="448"/>
      <c r="AK685" s="448"/>
      <c r="AL685" s="448"/>
      <c r="AM685" s="448"/>
      <c r="AN685" s="448"/>
      <c r="AP685" s="448"/>
      <c r="AQ685" s="448"/>
      <c r="AR685" s="448"/>
      <c r="AS685" s="448"/>
      <c r="AT685" s="448"/>
      <c r="AU685" s="448"/>
      <c r="AV685" s="448"/>
      <c r="AW685" s="448"/>
      <c r="AX685" s="448"/>
    </row>
    <row r="686" spans="1:50" x14ac:dyDescent="0.4">
      <c r="A686" s="442" t="str">
        <f t="shared" si="131"/>
        <v>101982</v>
      </c>
      <c r="B686" s="442">
        <v>30225</v>
      </c>
      <c r="C686" s="455">
        <v>0.11509999999999999</v>
      </c>
      <c r="D686" s="438">
        <v>6.59E-2</v>
      </c>
      <c r="E686" s="438">
        <v>9.1000000000000004E-3</v>
      </c>
      <c r="F686" s="438">
        <v>1.01E-2</v>
      </c>
      <c r="G686" s="438">
        <v>1.0808333333333333E-2</v>
      </c>
      <c r="H686" s="438">
        <v>1.0454166666666667E-2</v>
      </c>
      <c r="I686" s="438">
        <v>1.2486666666666667E-2</v>
      </c>
      <c r="J686" s="438">
        <f t="shared" si="120"/>
        <v>0.106</v>
      </c>
      <c r="K686" s="438">
        <f t="shared" si="124"/>
        <v>0.10464583333333333</v>
      </c>
      <c r="L686" s="438">
        <f t="shared" si="125"/>
        <v>5.3413333333333333E-2</v>
      </c>
      <c r="M686" s="446">
        <f t="shared" si="121"/>
        <v>0.16299324911338875</v>
      </c>
      <c r="N686" s="446">
        <f t="shared" si="122"/>
        <v>0.10920000000000001</v>
      </c>
      <c r="O686" s="446">
        <f t="shared" si="126"/>
        <v>0.12545000000000001</v>
      </c>
      <c r="P686" s="447">
        <f t="shared" si="123"/>
        <v>5.3793249113388744E-2</v>
      </c>
      <c r="Q686" s="446">
        <f t="shared" si="127"/>
        <v>3.7543249113388744E-2</v>
      </c>
      <c r="R686" s="446">
        <f t="shared" si="128"/>
        <v>0.23913371183888388</v>
      </c>
      <c r="S686" s="446">
        <f t="shared" si="129"/>
        <v>0.14984</v>
      </c>
      <c r="T686" s="447">
        <f t="shared" si="130"/>
        <v>8.9293711838883877E-2</v>
      </c>
      <c r="V686" s="448"/>
      <c r="W686" s="448"/>
      <c r="X686" s="448"/>
      <c r="Y686" s="448"/>
      <c r="Z686" s="448"/>
      <c r="AA686" s="448"/>
      <c r="AB686" s="448"/>
      <c r="AC686" s="448"/>
      <c r="AD686" s="448"/>
      <c r="AF686" s="448"/>
      <c r="AG686" s="448"/>
      <c r="AH686" s="448"/>
      <c r="AI686" s="448"/>
      <c r="AJ686" s="448"/>
      <c r="AK686" s="448"/>
      <c r="AL686" s="448"/>
      <c r="AM686" s="448"/>
      <c r="AN686" s="448"/>
      <c r="AP686" s="448"/>
      <c r="AQ686" s="448"/>
      <c r="AR686" s="448"/>
      <c r="AS686" s="448"/>
      <c r="AT686" s="448"/>
      <c r="AU686" s="448"/>
      <c r="AV686" s="448"/>
      <c r="AW686" s="448"/>
      <c r="AX686" s="448"/>
    </row>
    <row r="687" spans="1:50" x14ac:dyDescent="0.4">
      <c r="A687" s="442" t="str">
        <f t="shared" si="131"/>
        <v>111982</v>
      </c>
      <c r="B687" s="442">
        <v>30256</v>
      </c>
      <c r="C687" s="455">
        <v>4.0399999999999998E-2</v>
      </c>
      <c r="D687" s="438">
        <v>1.6999999999999993E-3</v>
      </c>
      <c r="E687" s="438">
        <v>9.4999999999999998E-3</v>
      </c>
      <c r="F687" s="438">
        <v>9.7333333333333334E-3</v>
      </c>
      <c r="G687" s="438">
        <v>1.0425E-2</v>
      </c>
      <c r="H687" s="438">
        <v>1.0079166666666665E-2</v>
      </c>
      <c r="I687" s="438">
        <v>1.2052083333333335E-2</v>
      </c>
      <c r="J687" s="438">
        <f t="shared" si="120"/>
        <v>3.0899999999999997E-2</v>
      </c>
      <c r="K687" s="438">
        <f t="shared" si="124"/>
        <v>3.0320833333333332E-2</v>
      </c>
      <c r="L687" s="438">
        <f t="shared" si="125"/>
        <v>-1.0352083333333335E-2</v>
      </c>
      <c r="M687" s="446">
        <f t="shared" si="121"/>
        <v>0.16198806912279773</v>
      </c>
      <c r="N687" s="446">
        <f t="shared" si="122"/>
        <v>0.11399999999999999</v>
      </c>
      <c r="O687" s="446">
        <f t="shared" si="126"/>
        <v>0.12094999999999997</v>
      </c>
      <c r="P687" s="447">
        <f t="shared" si="123"/>
        <v>4.7988069122797739E-2</v>
      </c>
      <c r="Q687" s="446">
        <f t="shared" si="127"/>
        <v>4.1038069122797755E-2</v>
      </c>
      <c r="R687" s="446">
        <f t="shared" si="128"/>
        <v>0.18427653768629915</v>
      </c>
      <c r="S687" s="446">
        <f t="shared" si="129"/>
        <v>0.144625</v>
      </c>
      <c r="T687" s="447">
        <f t="shared" si="130"/>
        <v>3.9651537686299143E-2</v>
      </c>
      <c r="V687" s="448"/>
      <c r="W687" s="448"/>
      <c r="X687" s="448"/>
      <c r="Y687" s="448"/>
      <c r="Z687" s="448"/>
      <c r="AA687" s="448"/>
      <c r="AB687" s="448"/>
      <c r="AC687" s="448"/>
      <c r="AD687" s="448"/>
      <c r="AF687" s="448"/>
      <c r="AG687" s="448"/>
      <c r="AH687" s="448"/>
      <c r="AI687" s="448"/>
      <c r="AJ687" s="448"/>
      <c r="AK687" s="448"/>
      <c r="AL687" s="448"/>
      <c r="AM687" s="448"/>
      <c r="AN687" s="448"/>
      <c r="AP687" s="448"/>
      <c r="AQ687" s="448"/>
      <c r="AR687" s="448"/>
      <c r="AS687" s="448"/>
      <c r="AT687" s="448"/>
      <c r="AU687" s="448"/>
      <c r="AV687" s="448"/>
      <c r="AW687" s="448"/>
      <c r="AX687" s="448"/>
    </row>
    <row r="688" spans="1:50" x14ac:dyDescent="0.4">
      <c r="A688" s="442" t="str">
        <f t="shared" si="131"/>
        <v>121982</v>
      </c>
      <c r="B688" s="442">
        <v>30286</v>
      </c>
      <c r="C688" s="455">
        <v>1.9300000000000001E-2</v>
      </c>
      <c r="D688" s="438">
        <v>3.5999999999999997E-2</v>
      </c>
      <c r="E688" s="438">
        <v>9.2999999999999992E-3</v>
      </c>
      <c r="F688" s="438">
        <v>9.8583333333333335E-3</v>
      </c>
      <c r="G688" s="438">
        <v>1.0366666666666666E-2</v>
      </c>
      <c r="H688" s="438">
        <v>1.01125E-2</v>
      </c>
      <c r="I688" s="438">
        <v>1.2021333333333334E-2</v>
      </c>
      <c r="J688" s="438">
        <f t="shared" si="120"/>
        <v>1.0000000000000002E-2</v>
      </c>
      <c r="K688" s="438">
        <f t="shared" si="124"/>
        <v>9.1875000000000012E-3</v>
      </c>
      <c r="L688" s="438">
        <f t="shared" si="125"/>
        <v>2.3978666666666662E-2</v>
      </c>
      <c r="M688" s="446">
        <f t="shared" si="121"/>
        <v>0.21553205958217148</v>
      </c>
      <c r="N688" s="446">
        <f t="shared" si="122"/>
        <v>0.11159999999999999</v>
      </c>
      <c r="O688" s="446">
        <f t="shared" si="126"/>
        <v>0.12135</v>
      </c>
      <c r="P688" s="447">
        <f t="shared" si="123"/>
        <v>0.10393205958217148</v>
      </c>
      <c r="Q688" s="446">
        <f t="shared" si="127"/>
        <v>9.4182059582171476E-2</v>
      </c>
      <c r="R688" s="446">
        <f t="shared" si="128"/>
        <v>0.26550850236514245</v>
      </c>
      <c r="S688" s="446">
        <f t="shared" si="129"/>
        <v>0.144256</v>
      </c>
      <c r="T688" s="447">
        <f t="shared" si="130"/>
        <v>0.12125250236514246</v>
      </c>
      <c r="V688" s="448"/>
      <c r="W688" s="448"/>
      <c r="X688" s="448"/>
      <c r="Y688" s="448"/>
      <c r="Z688" s="448"/>
      <c r="AA688" s="448"/>
      <c r="AB688" s="448"/>
      <c r="AC688" s="448"/>
      <c r="AD688" s="448"/>
      <c r="AF688" s="448"/>
      <c r="AG688" s="448"/>
      <c r="AH688" s="448"/>
      <c r="AI688" s="448"/>
      <c r="AJ688" s="448"/>
      <c r="AK688" s="448"/>
      <c r="AL688" s="448"/>
      <c r="AM688" s="448"/>
      <c r="AN688" s="448"/>
      <c r="AP688" s="448"/>
      <c r="AQ688" s="448"/>
      <c r="AR688" s="448"/>
      <c r="AS688" s="448"/>
      <c r="AT688" s="448"/>
      <c r="AU688" s="448"/>
      <c r="AV688" s="448"/>
      <c r="AW688" s="448"/>
      <c r="AX688" s="448"/>
    </row>
    <row r="689" spans="1:50" x14ac:dyDescent="0.4">
      <c r="A689" s="442" t="str">
        <f t="shared" si="131"/>
        <v>11983</v>
      </c>
      <c r="B689" s="442">
        <v>30317</v>
      </c>
      <c r="C689" s="455">
        <v>3.7199999999999997E-2</v>
      </c>
      <c r="D689" s="438">
        <v>3.7199999999999997E-2</v>
      </c>
      <c r="E689" s="438">
        <v>8.6999999999999994E-3</v>
      </c>
      <c r="F689" s="438">
        <v>9.8249999999999987E-3</v>
      </c>
      <c r="G689" s="438">
        <v>1.0291666666666666E-2</v>
      </c>
      <c r="H689" s="438">
        <v>1.0058333333333334E-2</v>
      </c>
      <c r="I689" s="438">
        <v>1.18675E-2</v>
      </c>
      <c r="J689" s="438">
        <f t="shared" si="120"/>
        <v>2.8499999999999998E-2</v>
      </c>
      <c r="K689" s="438">
        <f t="shared" si="124"/>
        <v>2.7141666666666661E-2</v>
      </c>
      <c r="L689" s="438">
        <f t="shared" si="125"/>
        <v>2.5332499999999997E-2</v>
      </c>
      <c r="M689" s="446">
        <f t="shared" si="121"/>
        <v>0.27748490444688256</v>
      </c>
      <c r="N689" s="446">
        <f t="shared" si="122"/>
        <v>0.10439999999999999</v>
      </c>
      <c r="O689" s="446">
        <f t="shared" si="126"/>
        <v>0.1207</v>
      </c>
      <c r="P689" s="447">
        <f t="shared" si="123"/>
        <v>0.17308490444688257</v>
      </c>
      <c r="Q689" s="446">
        <f t="shared" si="127"/>
        <v>0.15678490444688256</v>
      </c>
      <c r="R689" s="446">
        <f t="shared" si="128"/>
        <v>0.30774675565719423</v>
      </c>
      <c r="S689" s="446">
        <f t="shared" si="129"/>
        <v>0.14240999999999998</v>
      </c>
      <c r="T689" s="447">
        <f t="shared" si="130"/>
        <v>0.16533675565719425</v>
      </c>
      <c r="V689" s="448"/>
      <c r="W689" s="448"/>
      <c r="X689" s="448"/>
      <c r="Y689" s="448"/>
      <c r="Z689" s="448"/>
      <c r="AA689" s="448"/>
      <c r="AB689" s="448"/>
      <c r="AC689" s="448"/>
      <c r="AD689" s="448"/>
      <c r="AF689" s="448"/>
      <c r="AG689" s="448"/>
      <c r="AH689" s="448"/>
      <c r="AI689" s="448"/>
      <c r="AJ689" s="448"/>
      <c r="AK689" s="448"/>
      <c r="AL689" s="448"/>
      <c r="AM689" s="448"/>
      <c r="AN689" s="448"/>
      <c r="AP689" s="448"/>
      <c r="AQ689" s="448"/>
      <c r="AR689" s="448"/>
      <c r="AS689" s="448"/>
      <c r="AT689" s="448"/>
      <c r="AU689" s="448"/>
      <c r="AV689" s="448"/>
      <c r="AW689" s="448"/>
      <c r="AX689" s="448"/>
    </row>
    <row r="690" spans="1:50" x14ac:dyDescent="0.4">
      <c r="A690" s="442" t="str">
        <f t="shared" si="131"/>
        <v>21983</v>
      </c>
      <c r="B690" s="442">
        <v>30348</v>
      </c>
      <c r="C690" s="455">
        <v>2.29E-2</v>
      </c>
      <c r="D690" s="438">
        <v>-4.9999999999999871E-4</v>
      </c>
      <c r="E690" s="438">
        <v>8.0999999999999996E-3</v>
      </c>
      <c r="F690" s="438">
        <v>1.0008333333333333E-2</v>
      </c>
      <c r="G690" s="438">
        <v>1.0483333333333334E-2</v>
      </c>
      <c r="H690" s="438">
        <v>1.0245833333333332E-2</v>
      </c>
      <c r="I690" s="438">
        <v>1.1898250000000001E-2</v>
      </c>
      <c r="J690" s="438">
        <f t="shared" si="120"/>
        <v>1.4800000000000001E-2</v>
      </c>
      <c r="K690" s="438">
        <f t="shared" si="124"/>
        <v>1.2654166666666668E-2</v>
      </c>
      <c r="L690" s="438">
        <f t="shared" si="125"/>
        <v>-1.239825E-2</v>
      </c>
      <c r="M690" s="446">
        <f t="shared" si="121"/>
        <v>0.38411112038842865</v>
      </c>
      <c r="N690" s="446">
        <f t="shared" si="122"/>
        <v>9.7199999999999995E-2</v>
      </c>
      <c r="O690" s="446">
        <f t="shared" si="126"/>
        <v>0.12294999999999999</v>
      </c>
      <c r="P690" s="447">
        <f t="shared" si="123"/>
        <v>0.28691112038842864</v>
      </c>
      <c r="Q690" s="446">
        <f t="shared" si="127"/>
        <v>0.26116112038842865</v>
      </c>
      <c r="R690" s="446">
        <f t="shared" si="128"/>
        <v>0.31168377549359283</v>
      </c>
      <c r="S690" s="446">
        <f t="shared" si="129"/>
        <v>0.14277900000000002</v>
      </c>
      <c r="T690" s="447">
        <f t="shared" si="130"/>
        <v>0.16890477549359281</v>
      </c>
      <c r="V690" s="448"/>
      <c r="W690" s="448"/>
      <c r="X690" s="448"/>
      <c r="Y690" s="448"/>
      <c r="Z690" s="448"/>
      <c r="AA690" s="448"/>
      <c r="AB690" s="448"/>
      <c r="AC690" s="448"/>
      <c r="AD690" s="448"/>
      <c r="AF690" s="448"/>
      <c r="AG690" s="448"/>
      <c r="AH690" s="448"/>
      <c r="AI690" s="448"/>
      <c r="AJ690" s="448"/>
      <c r="AK690" s="448"/>
      <c r="AL690" s="448"/>
      <c r="AM690" s="448"/>
      <c r="AN690" s="448"/>
      <c r="AP690" s="448"/>
      <c r="AQ690" s="448"/>
      <c r="AR690" s="448"/>
      <c r="AS690" s="448"/>
      <c r="AT690" s="448"/>
      <c r="AU690" s="448"/>
      <c r="AV690" s="448"/>
      <c r="AW690" s="448"/>
      <c r="AX690" s="448"/>
    </row>
    <row r="691" spans="1:50" x14ac:dyDescent="0.4">
      <c r="A691" s="442" t="str">
        <f t="shared" si="131"/>
        <v>31983</v>
      </c>
      <c r="B691" s="442">
        <v>30376</v>
      </c>
      <c r="C691" s="455">
        <v>3.6900000000000002E-2</v>
      </c>
      <c r="D691" s="438">
        <v>1.7000000000000001E-3</v>
      </c>
      <c r="E691" s="438">
        <v>8.8999999999999999E-3</v>
      </c>
      <c r="F691" s="438">
        <v>9.7750000000000007E-3</v>
      </c>
      <c r="G691" s="438">
        <v>1.0266666666666667E-2</v>
      </c>
      <c r="H691" s="438">
        <v>1.0020833333333333E-2</v>
      </c>
      <c r="I691" s="438">
        <v>1.1689499999999999E-2</v>
      </c>
      <c r="J691" s="438">
        <f t="shared" si="120"/>
        <v>2.8000000000000004E-2</v>
      </c>
      <c r="K691" s="438">
        <f t="shared" si="124"/>
        <v>2.6879166666666669E-2</v>
      </c>
      <c r="L691" s="438">
        <f t="shared" si="125"/>
        <v>-9.9894999999999984E-3</v>
      </c>
      <c r="M691" s="446">
        <f t="shared" si="121"/>
        <v>0.44268679204941863</v>
      </c>
      <c r="N691" s="446">
        <f t="shared" si="122"/>
        <v>0.10680000000000001</v>
      </c>
      <c r="O691" s="446">
        <f t="shared" si="126"/>
        <v>0.12025</v>
      </c>
      <c r="P691" s="447">
        <f t="shared" si="123"/>
        <v>0.33588679204941863</v>
      </c>
      <c r="Q691" s="446">
        <f t="shared" si="127"/>
        <v>0.32243679204941866</v>
      </c>
      <c r="R691" s="446">
        <f t="shared" si="128"/>
        <v>0.29220460062149134</v>
      </c>
      <c r="S691" s="446">
        <f t="shared" si="129"/>
        <v>0.14027399999999998</v>
      </c>
      <c r="T691" s="447">
        <f t="shared" si="130"/>
        <v>0.15193060062149136</v>
      </c>
      <c r="V691" s="448"/>
      <c r="W691" s="448"/>
      <c r="X691" s="448"/>
      <c r="Y691" s="448"/>
      <c r="Z691" s="448"/>
      <c r="AA691" s="448"/>
      <c r="AB691" s="448"/>
      <c r="AC691" s="448"/>
      <c r="AD691" s="448"/>
      <c r="AF691" s="448"/>
      <c r="AG691" s="448"/>
      <c r="AH691" s="448"/>
      <c r="AI691" s="448"/>
      <c r="AJ691" s="448"/>
      <c r="AK691" s="448"/>
      <c r="AL691" s="448"/>
      <c r="AM691" s="448"/>
      <c r="AN691" s="448"/>
      <c r="AP691" s="448"/>
      <c r="AQ691" s="448"/>
      <c r="AR691" s="448"/>
      <c r="AS691" s="448"/>
      <c r="AT691" s="448"/>
      <c r="AU691" s="448"/>
      <c r="AV691" s="448"/>
      <c r="AW691" s="448"/>
      <c r="AX691" s="448"/>
    </row>
    <row r="692" spans="1:50" x14ac:dyDescent="0.4">
      <c r="A692" s="442" t="str">
        <f t="shared" si="131"/>
        <v>41983</v>
      </c>
      <c r="B692" s="442">
        <v>30407</v>
      </c>
      <c r="C692" s="455">
        <v>7.8799999999999995E-2</v>
      </c>
      <c r="D692" s="438">
        <v>5.7099999999999998E-2</v>
      </c>
      <c r="E692" s="438">
        <v>8.5000000000000006E-3</v>
      </c>
      <c r="F692" s="438">
        <v>9.5916666666666667E-3</v>
      </c>
      <c r="G692" s="438">
        <v>1.0050000000000002E-2</v>
      </c>
      <c r="H692" s="438">
        <v>9.8208333333333342E-3</v>
      </c>
      <c r="I692" s="438">
        <v>1.1364583333333334E-2</v>
      </c>
      <c r="J692" s="438">
        <f t="shared" si="120"/>
        <v>7.0300000000000001E-2</v>
      </c>
      <c r="K692" s="438">
        <f t="shared" si="124"/>
        <v>6.8979166666666661E-2</v>
      </c>
      <c r="L692" s="438">
        <f t="shared" si="125"/>
        <v>4.5735416666666667E-2</v>
      </c>
      <c r="M692" s="446">
        <f t="shared" si="121"/>
        <v>0.48906478306822909</v>
      </c>
      <c r="N692" s="446">
        <f t="shared" si="122"/>
        <v>0.10200000000000001</v>
      </c>
      <c r="O692" s="446">
        <f t="shared" si="126"/>
        <v>0.11785000000000001</v>
      </c>
      <c r="P692" s="447">
        <f t="shared" si="123"/>
        <v>0.38706478306822911</v>
      </c>
      <c r="Q692" s="446">
        <f t="shared" si="127"/>
        <v>0.37121478306822908</v>
      </c>
      <c r="R692" s="446">
        <f t="shared" si="128"/>
        <v>0.29502226328875514</v>
      </c>
      <c r="S692" s="446">
        <f t="shared" si="129"/>
        <v>0.13637500000000002</v>
      </c>
      <c r="T692" s="447">
        <f t="shared" si="130"/>
        <v>0.15864726328875511</v>
      </c>
      <c r="V692" s="448"/>
      <c r="W692" s="448"/>
      <c r="X692" s="448"/>
      <c r="Y692" s="448"/>
      <c r="Z692" s="448"/>
      <c r="AA692" s="448"/>
      <c r="AB692" s="448"/>
      <c r="AC692" s="448"/>
      <c r="AD692" s="448"/>
      <c r="AF692" s="448"/>
      <c r="AG692" s="448"/>
      <c r="AH692" s="448"/>
      <c r="AI692" s="448"/>
      <c r="AJ692" s="448"/>
      <c r="AK692" s="448"/>
      <c r="AL692" s="448"/>
      <c r="AM692" s="448"/>
      <c r="AN692" s="448"/>
      <c r="AP692" s="448"/>
      <c r="AQ692" s="448"/>
      <c r="AR692" s="448"/>
      <c r="AS692" s="448"/>
      <c r="AT692" s="448"/>
      <c r="AU692" s="448"/>
      <c r="AV692" s="448"/>
      <c r="AW692" s="448"/>
      <c r="AX692" s="448"/>
    </row>
    <row r="693" spans="1:50" x14ac:dyDescent="0.4">
      <c r="A693" s="442" t="str">
        <f t="shared" si="131"/>
        <v>51983</v>
      </c>
      <c r="B693" s="442">
        <v>30437</v>
      </c>
      <c r="C693" s="455">
        <v>-8.6999999999999994E-3</v>
      </c>
      <c r="D693" s="438">
        <v>1.2400000000000001E-2</v>
      </c>
      <c r="E693" s="438">
        <v>9.1000000000000004E-3</v>
      </c>
      <c r="F693" s="438">
        <v>9.5500000000000012E-3</v>
      </c>
      <c r="G693" s="438">
        <v>9.9583333333333329E-3</v>
      </c>
      <c r="H693" s="438">
        <v>9.7541666666666662E-3</v>
      </c>
      <c r="I693" s="438">
        <v>1.1242833333333334E-2</v>
      </c>
      <c r="J693" s="438">
        <f t="shared" si="120"/>
        <v>-1.78E-2</v>
      </c>
      <c r="K693" s="438">
        <f t="shared" si="124"/>
        <v>-1.8454166666666667E-2</v>
      </c>
      <c r="L693" s="438">
        <f t="shared" si="125"/>
        <v>1.1571666666666675E-3</v>
      </c>
      <c r="M693" s="446">
        <f t="shared" si="121"/>
        <v>0.52822229988149449</v>
      </c>
      <c r="N693" s="446">
        <f t="shared" si="122"/>
        <v>0.10920000000000001</v>
      </c>
      <c r="O693" s="446">
        <f t="shared" si="126"/>
        <v>0.11704999999999999</v>
      </c>
      <c r="P693" s="447">
        <f t="shared" si="123"/>
        <v>0.41902229988149448</v>
      </c>
      <c r="Q693" s="446">
        <f t="shared" si="127"/>
        <v>0.41117229988149451</v>
      </c>
      <c r="R693" s="446">
        <f t="shared" si="128"/>
        <v>0.33606495399320813</v>
      </c>
      <c r="S693" s="446">
        <f t="shared" si="129"/>
        <v>0.13491400000000001</v>
      </c>
      <c r="T693" s="447">
        <f t="shared" si="130"/>
        <v>0.20115095399320812</v>
      </c>
      <c r="V693" s="448"/>
      <c r="W693" s="448"/>
      <c r="X693" s="448"/>
      <c r="Y693" s="448"/>
      <c r="Z693" s="448"/>
      <c r="AA693" s="448"/>
      <c r="AB693" s="448"/>
      <c r="AC693" s="448"/>
      <c r="AD693" s="448"/>
      <c r="AF693" s="448"/>
      <c r="AG693" s="448"/>
      <c r="AH693" s="448"/>
      <c r="AI693" s="448"/>
      <c r="AJ693" s="448"/>
      <c r="AK693" s="448"/>
      <c r="AL693" s="448"/>
      <c r="AM693" s="448"/>
      <c r="AN693" s="448"/>
      <c r="AP693" s="448"/>
      <c r="AQ693" s="448"/>
      <c r="AR693" s="448"/>
      <c r="AS693" s="448"/>
      <c r="AT693" s="448"/>
      <c r="AU693" s="448"/>
      <c r="AV693" s="448"/>
      <c r="AW693" s="448"/>
      <c r="AX693" s="448"/>
    </row>
    <row r="694" spans="1:50" x14ac:dyDescent="0.4">
      <c r="A694" s="442" t="str">
        <f t="shared" si="131"/>
        <v>61983</v>
      </c>
      <c r="B694" s="442">
        <v>30468</v>
      </c>
      <c r="C694" s="455">
        <v>3.8899999999999997E-2</v>
      </c>
      <c r="D694" s="438">
        <v>-1.23E-2</v>
      </c>
      <c r="E694" s="438">
        <v>8.9999999999999993E-3</v>
      </c>
      <c r="F694" s="438">
        <v>9.7833333333333331E-3</v>
      </c>
      <c r="G694" s="438">
        <v>1.0125E-2</v>
      </c>
      <c r="H694" s="438">
        <v>9.9541666666666667E-3</v>
      </c>
      <c r="I694" s="438">
        <v>1.1372750000000001E-2</v>
      </c>
      <c r="J694" s="438">
        <f t="shared" si="120"/>
        <v>2.9899999999999996E-2</v>
      </c>
      <c r="K694" s="438">
        <f t="shared" si="124"/>
        <v>2.894583333333333E-2</v>
      </c>
      <c r="L694" s="438">
        <f t="shared" si="125"/>
        <v>-2.3672749999999999E-2</v>
      </c>
      <c r="M694" s="446">
        <f t="shared" si="121"/>
        <v>0.6118478653267867</v>
      </c>
      <c r="N694" s="446">
        <f t="shared" si="122"/>
        <v>0.10799999999999998</v>
      </c>
      <c r="O694" s="446">
        <f t="shared" si="126"/>
        <v>0.11945</v>
      </c>
      <c r="P694" s="447">
        <f t="shared" si="123"/>
        <v>0.50384786532678671</v>
      </c>
      <c r="Q694" s="446">
        <f t="shared" si="127"/>
        <v>0.4923978653267867</v>
      </c>
      <c r="R694" s="446">
        <f t="shared" si="128"/>
        <v>0.3412250788282265</v>
      </c>
      <c r="S694" s="446">
        <f t="shared" si="129"/>
        <v>0.13647300000000001</v>
      </c>
      <c r="T694" s="447">
        <f t="shared" si="130"/>
        <v>0.20475207882822649</v>
      </c>
      <c r="V694" s="448"/>
      <c r="W694" s="448"/>
      <c r="X694" s="448"/>
      <c r="Y694" s="448"/>
      <c r="Z694" s="448"/>
      <c r="AA694" s="448"/>
      <c r="AB694" s="448"/>
      <c r="AC694" s="448"/>
      <c r="AD694" s="448"/>
      <c r="AF694" s="448"/>
      <c r="AG694" s="448"/>
      <c r="AH694" s="448"/>
      <c r="AI694" s="448"/>
      <c r="AJ694" s="448"/>
      <c r="AK694" s="448"/>
      <c r="AL694" s="448"/>
      <c r="AM694" s="448"/>
      <c r="AN694" s="448"/>
      <c r="AP694" s="448"/>
      <c r="AQ694" s="448"/>
      <c r="AR694" s="448"/>
      <c r="AS694" s="448"/>
      <c r="AT694" s="448"/>
      <c r="AU694" s="448"/>
      <c r="AV694" s="448"/>
      <c r="AW694" s="448"/>
      <c r="AX694" s="448"/>
    </row>
    <row r="695" spans="1:50" x14ac:dyDescent="0.4">
      <c r="A695" s="442" t="str">
        <f t="shared" si="131"/>
        <v>71983</v>
      </c>
      <c r="B695" s="442">
        <v>30498</v>
      </c>
      <c r="C695" s="455">
        <v>-2.9499999999999998E-2</v>
      </c>
      <c r="D695" s="438">
        <v>3.39E-2</v>
      </c>
      <c r="E695" s="438">
        <v>8.8000000000000005E-3</v>
      </c>
      <c r="F695" s="438">
        <v>1.0125E-2</v>
      </c>
      <c r="G695" s="438">
        <v>1.0324999999999999E-2</v>
      </c>
      <c r="H695" s="438">
        <v>1.0225E-2</v>
      </c>
      <c r="I695" s="438">
        <v>1.1310000000000001E-2</v>
      </c>
      <c r="J695" s="438">
        <f t="shared" si="120"/>
        <v>-3.8300000000000001E-2</v>
      </c>
      <c r="K695" s="438">
        <f t="shared" si="124"/>
        <v>-3.9724999999999996E-2</v>
      </c>
      <c r="L695" s="438">
        <f t="shared" si="125"/>
        <v>2.2589999999999999E-2</v>
      </c>
      <c r="M695" s="446">
        <f t="shared" si="121"/>
        <v>0.59264747841544163</v>
      </c>
      <c r="N695" s="446">
        <f t="shared" si="122"/>
        <v>0.1056</v>
      </c>
      <c r="O695" s="446">
        <f t="shared" si="126"/>
        <v>0.1227</v>
      </c>
      <c r="P695" s="447">
        <f t="shared" si="123"/>
        <v>0.4870474784154416</v>
      </c>
      <c r="Q695" s="446">
        <f t="shared" si="127"/>
        <v>0.4699474784154416</v>
      </c>
      <c r="R695" s="446">
        <f t="shared" si="128"/>
        <v>0.4147037431141638</v>
      </c>
      <c r="S695" s="446">
        <f t="shared" si="129"/>
        <v>0.13572000000000001</v>
      </c>
      <c r="T695" s="447">
        <f t="shared" si="130"/>
        <v>0.2789837431141638</v>
      </c>
      <c r="V695" s="448"/>
      <c r="W695" s="448"/>
      <c r="X695" s="448"/>
      <c r="Y695" s="448"/>
      <c r="Z695" s="448"/>
      <c r="AA695" s="448"/>
      <c r="AB695" s="448"/>
      <c r="AC695" s="448"/>
      <c r="AD695" s="448"/>
      <c r="AF695" s="448"/>
      <c r="AG695" s="448"/>
      <c r="AH695" s="448"/>
      <c r="AI695" s="448"/>
      <c r="AJ695" s="448"/>
      <c r="AK695" s="448"/>
      <c r="AL695" s="448"/>
      <c r="AM695" s="448"/>
      <c r="AN695" s="448"/>
      <c r="AP695" s="448"/>
      <c r="AQ695" s="448"/>
      <c r="AR695" s="448"/>
      <c r="AS695" s="448"/>
      <c r="AT695" s="448"/>
      <c r="AU695" s="448"/>
      <c r="AV695" s="448"/>
      <c r="AW695" s="448"/>
      <c r="AX695" s="448"/>
    </row>
    <row r="696" spans="1:50" x14ac:dyDescent="0.4">
      <c r="A696" s="442" t="str">
        <f t="shared" si="131"/>
        <v>81983</v>
      </c>
      <c r="B696" s="442">
        <v>30529</v>
      </c>
      <c r="C696" s="455">
        <v>1.4999999999999999E-2</v>
      </c>
      <c r="D696" s="438">
        <v>4.0000000000000001E-3</v>
      </c>
      <c r="E696" s="438">
        <v>1.03E-2</v>
      </c>
      <c r="F696" s="438">
        <v>1.0425E-2</v>
      </c>
      <c r="G696" s="438">
        <v>1.06E-2</v>
      </c>
      <c r="H696" s="438">
        <v>1.0512500000000001E-2</v>
      </c>
      <c r="I696" s="438">
        <v>1.1305833333333333E-2</v>
      </c>
      <c r="J696" s="438">
        <f t="shared" si="120"/>
        <v>4.6999999999999993E-3</v>
      </c>
      <c r="K696" s="438">
        <f t="shared" si="124"/>
        <v>4.4874999999999984E-3</v>
      </c>
      <c r="L696" s="438">
        <f t="shared" si="125"/>
        <v>-7.3058333333333326E-3</v>
      </c>
      <c r="M696" s="446">
        <f t="shared" si="121"/>
        <v>0.44153485874056764</v>
      </c>
      <c r="N696" s="446">
        <f t="shared" si="122"/>
        <v>0.1236</v>
      </c>
      <c r="O696" s="446">
        <f t="shared" si="126"/>
        <v>0.12615000000000001</v>
      </c>
      <c r="P696" s="447">
        <f t="shared" si="123"/>
        <v>0.31793485874056765</v>
      </c>
      <c r="Q696" s="446">
        <f t="shared" si="127"/>
        <v>0.31538485874056765</v>
      </c>
      <c r="R696" s="446">
        <f t="shared" si="128"/>
        <v>0.26693654275855905</v>
      </c>
      <c r="S696" s="446">
        <f t="shared" si="129"/>
        <v>0.13566999999999999</v>
      </c>
      <c r="T696" s="447">
        <f t="shared" si="130"/>
        <v>0.13126654275855906</v>
      </c>
      <c r="V696" s="448"/>
      <c r="W696" s="448"/>
      <c r="X696" s="448"/>
      <c r="Y696" s="448"/>
      <c r="Z696" s="448"/>
      <c r="AA696" s="448"/>
      <c r="AB696" s="448"/>
      <c r="AC696" s="448"/>
      <c r="AD696" s="448"/>
      <c r="AF696" s="448"/>
      <c r="AG696" s="448"/>
      <c r="AH696" s="448"/>
      <c r="AI696" s="448"/>
      <c r="AJ696" s="448"/>
      <c r="AK696" s="448"/>
      <c r="AL696" s="448"/>
      <c r="AM696" s="448"/>
      <c r="AN696" s="448"/>
      <c r="AP696" s="448"/>
      <c r="AQ696" s="448"/>
      <c r="AR696" s="448"/>
      <c r="AS696" s="448"/>
      <c r="AT696" s="448"/>
      <c r="AU696" s="448"/>
      <c r="AV696" s="448"/>
      <c r="AW696" s="448"/>
      <c r="AX696" s="448"/>
    </row>
    <row r="697" spans="1:50" x14ac:dyDescent="0.4">
      <c r="A697" s="442" t="str">
        <f t="shared" si="131"/>
        <v>91983</v>
      </c>
      <c r="B697" s="442">
        <v>30560</v>
      </c>
      <c r="C697" s="455">
        <v>1.38E-2</v>
      </c>
      <c r="D697" s="438">
        <v>4.4500000000000005E-2</v>
      </c>
      <c r="E697" s="438">
        <v>9.5999999999999992E-3</v>
      </c>
      <c r="F697" s="438">
        <v>1.0308333333333333E-2</v>
      </c>
      <c r="G697" s="438">
        <v>1.0516666666666665E-2</v>
      </c>
      <c r="H697" s="438">
        <v>1.0412499999999998E-2</v>
      </c>
      <c r="I697" s="438">
        <v>1.1197250000000001E-2</v>
      </c>
      <c r="J697" s="438">
        <f t="shared" si="120"/>
        <v>4.2000000000000006E-3</v>
      </c>
      <c r="K697" s="438">
        <f t="shared" si="124"/>
        <v>3.3875000000000016E-3</v>
      </c>
      <c r="L697" s="438">
        <f t="shared" si="125"/>
        <v>3.3302750000000006E-2</v>
      </c>
      <c r="M697" s="446">
        <f t="shared" si="121"/>
        <v>0.44338571831228424</v>
      </c>
      <c r="N697" s="446">
        <f t="shared" si="122"/>
        <v>0.1152</v>
      </c>
      <c r="O697" s="446">
        <f t="shared" si="126"/>
        <v>0.12494999999999998</v>
      </c>
      <c r="P697" s="447">
        <f t="shared" si="123"/>
        <v>0.32818571831228427</v>
      </c>
      <c r="Q697" s="446">
        <f t="shared" si="127"/>
        <v>0.31843571831228423</v>
      </c>
      <c r="R697" s="446">
        <f t="shared" si="128"/>
        <v>0.31646957711034052</v>
      </c>
      <c r="S697" s="446">
        <f t="shared" si="129"/>
        <v>0.13436700000000001</v>
      </c>
      <c r="T697" s="447">
        <f t="shared" si="130"/>
        <v>0.1821025771103405</v>
      </c>
      <c r="V697" s="448"/>
      <c r="W697" s="448"/>
      <c r="X697" s="448"/>
      <c r="Y697" s="448"/>
      <c r="Z697" s="448"/>
      <c r="AA697" s="448"/>
      <c r="AB697" s="448"/>
      <c r="AC697" s="448"/>
      <c r="AD697" s="448"/>
      <c r="AF697" s="448"/>
      <c r="AG697" s="448"/>
      <c r="AH697" s="448"/>
      <c r="AI697" s="448"/>
      <c r="AJ697" s="448"/>
      <c r="AK697" s="448"/>
      <c r="AL697" s="448"/>
      <c r="AM697" s="448"/>
      <c r="AN697" s="448"/>
      <c r="AP697" s="448"/>
      <c r="AQ697" s="448"/>
      <c r="AR697" s="448"/>
      <c r="AS697" s="448"/>
      <c r="AT697" s="448"/>
      <c r="AU697" s="448"/>
      <c r="AV697" s="448"/>
      <c r="AW697" s="448"/>
      <c r="AX697" s="448"/>
    </row>
    <row r="698" spans="1:50" x14ac:dyDescent="0.4">
      <c r="A698" s="442" t="str">
        <f t="shared" si="131"/>
        <v>101983</v>
      </c>
      <c r="B698" s="442">
        <v>30590</v>
      </c>
      <c r="C698" s="455">
        <v>-1.1599999999999999E-2</v>
      </c>
      <c r="D698" s="438">
        <v>5.3199999999999997E-2</v>
      </c>
      <c r="E698" s="438">
        <v>9.4999999999999998E-3</v>
      </c>
      <c r="F698" s="438">
        <v>1.0208333333333333E-2</v>
      </c>
      <c r="G698" s="438">
        <v>1.0408333333333332E-2</v>
      </c>
      <c r="H698" s="438">
        <v>1.0308333333333333E-2</v>
      </c>
      <c r="I698" s="438">
        <v>1.1043666666666667E-2</v>
      </c>
      <c r="J698" s="438">
        <f t="shared" si="120"/>
        <v>-2.1100000000000001E-2</v>
      </c>
      <c r="K698" s="438">
        <f t="shared" si="124"/>
        <v>-2.1908333333333332E-2</v>
      </c>
      <c r="L698" s="438">
        <f t="shared" si="125"/>
        <v>4.215633333333333E-2</v>
      </c>
      <c r="M698" s="446">
        <f t="shared" si="121"/>
        <v>0.27938520668985878</v>
      </c>
      <c r="N698" s="446">
        <f t="shared" si="122"/>
        <v>0.11399999999999999</v>
      </c>
      <c r="O698" s="446">
        <f t="shared" si="126"/>
        <v>0.12369999999999999</v>
      </c>
      <c r="P698" s="447">
        <f t="shared" si="123"/>
        <v>0.16538520668985879</v>
      </c>
      <c r="Q698" s="446">
        <f t="shared" si="127"/>
        <v>0.1556852066898588</v>
      </c>
      <c r="R698" s="446">
        <f t="shared" si="128"/>
        <v>0.3007840872620422</v>
      </c>
      <c r="S698" s="446">
        <f t="shared" si="129"/>
        <v>0.132524</v>
      </c>
      <c r="T698" s="447">
        <f t="shared" si="130"/>
        <v>0.1682600872620422</v>
      </c>
      <c r="V698" s="448"/>
      <c r="W698" s="448"/>
      <c r="X698" s="448"/>
      <c r="Y698" s="448"/>
      <c r="Z698" s="448"/>
      <c r="AA698" s="448"/>
      <c r="AB698" s="448"/>
      <c r="AC698" s="448"/>
      <c r="AD698" s="448"/>
      <c r="AF698" s="448"/>
      <c r="AG698" s="448"/>
      <c r="AH698" s="448"/>
      <c r="AI698" s="448"/>
      <c r="AJ698" s="448"/>
      <c r="AK698" s="448"/>
      <c r="AL698" s="448"/>
      <c r="AM698" s="448"/>
      <c r="AN698" s="448"/>
      <c r="AP698" s="448"/>
      <c r="AQ698" s="448"/>
      <c r="AR698" s="448"/>
      <c r="AS698" s="448"/>
      <c r="AT698" s="448"/>
      <c r="AU698" s="448"/>
      <c r="AV698" s="448"/>
      <c r="AW698" s="448"/>
      <c r="AX698" s="448"/>
    </row>
    <row r="699" spans="1:50" x14ac:dyDescent="0.4">
      <c r="A699" s="442" t="str">
        <f t="shared" si="131"/>
        <v>111983</v>
      </c>
      <c r="B699" s="442">
        <v>30621</v>
      </c>
      <c r="C699" s="455">
        <v>2.1100000000000001E-2</v>
      </c>
      <c r="D699" s="438">
        <v>-2.0400000000000001E-2</v>
      </c>
      <c r="E699" s="438">
        <v>9.4000000000000004E-3</v>
      </c>
      <c r="F699" s="438">
        <v>1.0341666666666667E-2</v>
      </c>
      <c r="G699" s="438">
        <v>1.0508333333333333E-2</v>
      </c>
      <c r="H699" s="438">
        <v>1.0425E-2</v>
      </c>
      <c r="I699" s="438">
        <v>1.1152749999999999E-2</v>
      </c>
      <c r="J699" s="438">
        <f t="shared" si="120"/>
        <v>1.17E-2</v>
      </c>
      <c r="K699" s="438">
        <f t="shared" si="124"/>
        <v>1.0675E-2</v>
      </c>
      <c r="L699" s="438">
        <f t="shared" si="125"/>
        <v>-3.1552750000000004E-2</v>
      </c>
      <c r="M699" s="446">
        <f t="shared" si="121"/>
        <v>0.25565189787679232</v>
      </c>
      <c r="N699" s="446">
        <f t="shared" si="122"/>
        <v>0.11280000000000001</v>
      </c>
      <c r="O699" s="446">
        <f t="shared" si="126"/>
        <v>0.12509999999999999</v>
      </c>
      <c r="P699" s="447">
        <f t="shared" si="123"/>
        <v>0.14285189787679231</v>
      </c>
      <c r="Q699" s="446">
        <f t="shared" si="127"/>
        <v>0.13055189787679233</v>
      </c>
      <c r="R699" s="446">
        <f t="shared" si="128"/>
        <v>0.27208554645292704</v>
      </c>
      <c r="S699" s="446">
        <f t="shared" si="129"/>
        <v>0.13383299999999998</v>
      </c>
      <c r="T699" s="447">
        <f t="shared" si="130"/>
        <v>0.13825254645292706</v>
      </c>
      <c r="V699" s="448"/>
      <c r="W699" s="448"/>
      <c r="X699" s="448"/>
      <c r="Y699" s="448"/>
      <c r="Z699" s="448"/>
      <c r="AA699" s="448"/>
      <c r="AB699" s="448"/>
      <c r="AC699" s="448"/>
      <c r="AD699" s="448"/>
      <c r="AF699" s="448"/>
      <c r="AG699" s="448"/>
      <c r="AH699" s="448"/>
      <c r="AI699" s="448"/>
      <c r="AJ699" s="448"/>
      <c r="AK699" s="448"/>
      <c r="AL699" s="448"/>
      <c r="AM699" s="448"/>
      <c r="AN699" s="448"/>
      <c r="AP699" s="448"/>
      <c r="AQ699" s="448"/>
      <c r="AR699" s="448"/>
      <c r="AS699" s="448"/>
      <c r="AT699" s="448"/>
      <c r="AU699" s="448"/>
      <c r="AV699" s="448"/>
      <c r="AW699" s="448"/>
      <c r="AX699" s="448"/>
    </row>
    <row r="700" spans="1:50" x14ac:dyDescent="0.4">
      <c r="A700" s="442" t="str">
        <f t="shared" si="131"/>
        <v>121983</v>
      </c>
      <c r="B700" s="442">
        <v>30651</v>
      </c>
      <c r="C700" s="455">
        <v>-5.1999999999999998E-3</v>
      </c>
      <c r="D700" s="438">
        <v>-2.2600000000000002E-2</v>
      </c>
      <c r="E700" s="438">
        <v>9.4000000000000004E-3</v>
      </c>
      <c r="F700" s="438">
        <v>1.0475000000000002E-2</v>
      </c>
      <c r="G700" s="438">
        <v>1.0633333333333333E-2</v>
      </c>
      <c r="H700" s="438">
        <v>1.0554166666666667E-2</v>
      </c>
      <c r="I700" s="438">
        <v>1.126425E-2</v>
      </c>
      <c r="J700" s="438">
        <f t="shared" si="120"/>
        <v>-1.46E-2</v>
      </c>
      <c r="K700" s="438">
        <f t="shared" si="124"/>
        <v>-1.5754166666666666E-2</v>
      </c>
      <c r="L700" s="438">
        <f t="shared" si="125"/>
        <v>-3.3864249999999999E-2</v>
      </c>
      <c r="M700" s="446">
        <f t="shared" si="121"/>
        <v>0.22547091926599894</v>
      </c>
      <c r="N700" s="446">
        <f t="shared" si="122"/>
        <v>0.11280000000000001</v>
      </c>
      <c r="O700" s="446">
        <f t="shared" si="126"/>
        <v>0.12664999999999998</v>
      </c>
      <c r="P700" s="447">
        <f t="shared" si="123"/>
        <v>0.11267091926599893</v>
      </c>
      <c r="Q700" s="446">
        <f t="shared" si="127"/>
        <v>9.8820919265998952E-2</v>
      </c>
      <c r="R700" s="446">
        <f t="shared" si="128"/>
        <v>0.2001316728794309</v>
      </c>
      <c r="S700" s="446">
        <f t="shared" si="129"/>
        <v>0.13517099999999999</v>
      </c>
      <c r="T700" s="447">
        <f t="shared" si="130"/>
        <v>6.4960672879430914E-2</v>
      </c>
      <c r="V700" s="448"/>
      <c r="W700" s="448"/>
      <c r="X700" s="448"/>
      <c r="Y700" s="448"/>
      <c r="Z700" s="448"/>
      <c r="AA700" s="448"/>
      <c r="AB700" s="448"/>
      <c r="AC700" s="448"/>
      <c r="AD700" s="448"/>
      <c r="AF700" s="448"/>
      <c r="AG700" s="448"/>
      <c r="AH700" s="448"/>
      <c r="AI700" s="448"/>
      <c r="AJ700" s="448"/>
      <c r="AK700" s="448"/>
      <c r="AL700" s="448"/>
      <c r="AM700" s="448"/>
      <c r="AN700" s="448"/>
      <c r="AP700" s="448"/>
      <c r="AQ700" s="448"/>
      <c r="AR700" s="448"/>
      <c r="AS700" s="448"/>
      <c r="AT700" s="448"/>
      <c r="AU700" s="448"/>
      <c r="AV700" s="448"/>
      <c r="AW700" s="448"/>
      <c r="AX700" s="448"/>
    </row>
    <row r="701" spans="1:50" x14ac:dyDescent="0.4">
      <c r="A701" s="442" t="str">
        <f t="shared" si="131"/>
        <v>11984</v>
      </c>
      <c r="B701" s="442">
        <v>30682</v>
      </c>
      <c r="C701" s="455">
        <v>-5.5999999999999999E-3</v>
      </c>
      <c r="D701" s="438">
        <v>4.82E-2</v>
      </c>
      <c r="E701" s="438">
        <v>1.03E-2</v>
      </c>
      <c r="F701" s="438">
        <v>1.0166666666666666E-2</v>
      </c>
      <c r="G701" s="438">
        <v>1.0591666666666668E-2</v>
      </c>
      <c r="H701" s="438">
        <v>1.0379166666666668E-2</v>
      </c>
      <c r="I701" s="438">
        <v>1.1167083333333333E-2</v>
      </c>
      <c r="J701" s="438">
        <f t="shared" si="120"/>
        <v>-1.5900000000000001E-2</v>
      </c>
      <c r="K701" s="438">
        <f t="shared" si="124"/>
        <v>-1.5979166666666669E-2</v>
      </c>
      <c r="L701" s="438">
        <f t="shared" si="125"/>
        <v>3.7032916666666665E-2</v>
      </c>
      <c r="M701" s="446">
        <f t="shared" si="121"/>
        <v>0.17490193031055679</v>
      </c>
      <c r="N701" s="446">
        <f t="shared" si="122"/>
        <v>0.1236</v>
      </c>
      <c r="O701" s="446">
        <f t="shared" si="126"/>
        <v>0.12455000000000002</v>
      </c>
      <c r="P701" s="447">
        <f t="shared" si="123"/>
        <v>5.1301930310556784E-2</v>
      </c>
      <c r="Q701" s="446">
        <f t="shared" si="127"/>
        <v>5.0351930310556764E-2</v>
      </c>
      <c r="R701" s="446">
        <f t="shared" si="128"/>
        <v>0.21285964087178932</v>
      </c>
      <c r="S701" s="446">
        <f t="shared" si="129"/>
        <v>0.13400499999999999</v>
      </c>
      <c r="T701" s="447">
        <f t="shared" si="130"/>
        <v>7.8854640871789339E-2</v>
      </c>
      <c r="V701" s="448"/>
      <c r="W701" s="448"/>
      <c r="X701" s="448"/>
      <c r="Y701" s="448"/>
      <c r="Z701" s="448"/>
      <c r="AA701" s="448"/>
      <c r="AB701" s="448"/>
      <c r="AC701" s="448"/>
      <c r="AD701" s="448"/>
      <c r="AF701" s="448"/>
      <c r="AG701" s="448"/>
      <c r="AH701" s="448"/>
      <c r="AI701" s="448"/>
      <c r="AJ701" s="448"/>
      <c r="AK701" s="448"/>
      <c r="AL701" s="448"/>
      <c r="AM701" s="448"/>
      <c r="AN701" s="448"/>
      <c r="AP701" s="448"/>
      <c r="AQ701" s="448"/>
      <c r="AR701" s="448"/>
      <c r="AS701" s="448"/>
      <c r="AT701" s="448"/>
      <c r="AU701" s="448"/>
      <c r="AV701" s="448"/>
      <c r="AW701" s="448"/>
      <c r="AX701" s="448"/>
    </row>
    <row r="702" spans="1:50" x14ac:dyDescent="0.4">
      <c r="A702" s="442" t="str">
        <f t="shared" si="131"/>
        <v>21984</v>
      </c>
      <c r="B702" s="442">
        <v>30713</v>
      </c>
      <c r="C702" s="455">
        <v>-3.5200000000000002E-2</v>
      </c>
      <c r="D702" s="438">
        <v>-4.1100000000000005E-2</v>
      </c>
      <c r="E702" s="438">
        <v>9.1999999999999998E-3</v>
      </c>
      <c r="F702" s="438">
        <v>1.0066666666666666E-2</v>
      </c>
      <c r="G702" s="438">
        <v>1.0583333333333333E-2</v>
      </c>
      <c r="H702" s="438">
        <v>1.0324999999999999E-2</v>
      </c>
      <c r="I702" s="438">
        <v>1.1164166666666666E-2</v>
      </c>
      <c r="J702" s="438">
        <f t="shared" si="120"/>
        <v>-4.4400000000000002E-2</v>
      </c>
      <c r="K702" s="438">
        <f t="shared" si="124"/>
        <v>-4.5525000000000003E-2</v>
      </c>
      <c r="L702" s="438">
        <f t="shared" si="125"/>
        <v>-5.2264166666666667E-2</v>
      </c>
      <c r="M702" s="446">
        <f t="shared" si="121"/>
        <v>0.10816832766020701</v>
      </c>
      <c r="N702" s="446">
        <f t="shared" si="122"/>
        <v>0.1104</v>
      </c>
      <c r="O702" s="446">
        <f t="shared" si="126"/>
        <v>0.12389999999999998</v>
      </c>
      <c r="P702" s="447">
        <f t="shared" si="123"/>
        <v>-2.2316723397929894E-3</v>
      </c>
      <c r="Q702" s="446">
        <f t="shared" si="127"/>
        <v>-1.5731672339792974E-2</v>
      </c>
      <c r="R702" s="446">
        <f t="shared" si="128"/>
        <v>0.16359290608500099</v>
      </c>
      <c r="S702" s="446">
        <f t="shared" si="129"/>
        <v>0.13396999999999998</v>
      </c>
      <c r="T702" s="447">
        <f t="shared" si="130"/>
        <v>2.9622906085001011E-2</v>
      </c>
      <c r="V702" s="448"/>
      <c r="W702" s="448"/>
      <c r="X702" s="448"/>
      <c r="Y702" s="448"/>
      <c r="Z702" s="448"/>
      <c r="AA702" s="448"/>
      <c r="AB702" s="448"/>
      <c r="AC702" s="448"/>
      <c r="AD702" s="448"/>
      <c r="AF702" s="448"/>
      <c r="AG702" s="448"/>
      <c r="AH702" s="448"/>
      <c r="AI702" s="448"/>
      <c r="AJ702" s="448"/>
      <c r="AK702" s="448"/>
      <c r="AL702" s="448"/>
      <c r="AM702" s="448"/>
      <c r="AN702" s="448"/>
      <c r="AP702" s="448"/>
      <c r="AQ702" s="448"/>
      <c r="AR702" s="448"/>
      <c r="AS702" s="448"/>
      <c r="AT702" s="448"/>
      <c r="AU702" s="448"/>
      <c r="AV702" s="448"/>
      <c r="AW702" s="448"/>
      <c r="AX702" s="448"/>
    </row>
    <row r="703" spans="1:50" x14ac:dyDescent="0.4">
      <c r="A703" s="442" t="str">
        <f t="shared" si="131"/>
        <v>31984</v>
      </c>
      <c r="B703" s="442">
        <v>30742</v>
      </c>
      <c r="C703" s="455">
        <v>1.7299999999999999E-2</v>
      </c>
      <c r="D703" s="438">
        <v>-5.4999999999999997E-3</v>
      </c>
      <c r="E703" s="438">
        <v>9.7999999999999997E-3</v>
      </c>
      <c r="F703" s="438">
        <v>1.0475000000000002E-2</v>
      </c>
      <c r="G703" s="438">
        <v>1.1016666666666668E-2</v>
      </c>
      <c r="H703" s="438">
        <v>1.0745833333333335E-2</v>
      </c>
      <c r="I703" s="438">
        <v>1.1476916666666665E-2</v>
      </c>
      <c r="J703" s="438">
        <f t="shared" si="120"/>
        <v>7.4999999999999997E-3</v>
      </c>
      <c r="K703" s="438">
        <f t="shared" si="124"/>
        <v>6.5541666666666647E-3</v>
      </c>
      <c r="L703" s="438">
        <f t="shared" si="125"/>
        <v>-1.6976916666666664E-2</v>
      </c>
      <c r="M703" s="446">
        <f t="shared" si="121"/>
        <v>8.7221178251257303E-2</v>
      </c>
      <c r="N703" s="446">
        <f t="shared" si="122"/>
        <v>0.1176</v>
      </c>
      <c r="O703" s="446">
        <f t="shared" si="126"/>
        <v>0.12895000000000001</v>
      </c>
      <c r="P703" s="447">
        <f t="shared" si="123"/>
        <v>-3.0378821748742693E-2</v>
      </c>
      <c r="Q703" s="446">
        <f t="shared" si="127"/>
        <v>-4.1728821748742706E-2</v>
      </c>
      <c r="R703" s="446">
        <f t="shared" si="128"/>
        <v>0.15522925536740884</v>
      </c>
      <c r="S703" s="446">
        <f t="shared" si="129"/>
        <v>0.13772299999999998</v>
      </c>
      <c r="T703" s="447">
        <f t="shared" si="130"/>
        <v>1.7506255367408852E-2</v>
      </c>
      <c r="V703" s="448"/>
      <c r="W703" s="448"/>
      <c r="X703" s="448"/>
      <c r="Y703" s="448"/>
      <c r="Z703" s="448"/>
      <c r="AA703" s="448"/>
      <c r="AB703" s="448"/>
      <c r="AC703" s="448"/>
      <c r="AD703" s="448"/>
      <c r="AF703" s="448"/>
      <c r="AG703" s="448"/>
      <c r="AH703" s="448"/>
      <c r="AI703" s="448"/>
      <c r="AJ703" s="448"/>
      <c r="AK703" s="448"/>
      <c r="AL703" s="448"/>
      <c r="AM703" s="448"/>
      <c r="AN703" s="448"/>
      <c r="AP703" s="448"/>
      <c r="AQ703" s="448"/>
      <c r="AR703" s="448"/>
      <c r="AS703" s="448"/>
      <c r="AT703" s="448"/>
      <c r="AU703" s="448"/>
      <c r="AV703" s="448"/>
      <c r="AW703" s="448"/>
      <c r="AX703" s="448"/>
    </row>
    <row r="704" spans="1:50" x14ac:dyDescent="0.4">
      <c r="A704" s="442" t="str">
        <f t="shared" si="131"/>
        <v>41984</v>
      </c>
      <c r="B704" s="442">
        <v>30773</v>
      </c>
      <c r="C704" s="455">
        <v>9.4999999999999998E-3</v>
      </c>
      <c r="D704" s="438">
        <v>1.5900000000000001E-2</v>
      </c>
      <c r="E704" s="438">
        <v>1.04E-2</v>
      </c>
      <c r="F704" s="438">
        <v>1.0675E-2</v>
      </c>
      <c r="G704" s="438">
        <v>1.1233333333333333E-2</v>
      </c>
      <c r="H704" s="438">
        <v>1.0954166666666668E-2</v>
      </c>
      <c r="I704" s="438">
        <v>1.1774166666666665E-2</v>
      </c>
      <c r="J704" s="438">
        <f t="shared" si="120"/>
        <v>-8.9999999999999976E-4</v>
      </c>
      <c r="K704" s="438">
        <f t="shared" si="124"/>
        <v>-1.4541666666666678E-3</v>
      </c>
      <c r="L704" s="438">
        <f t="shared" si="125"/>
        <v>4.1258333333333355E-3</v>
      </c>
      <c r="M704" s="446">
        <f t="shared" si="121"/>
        <v>1.7380218246796586E-2</v>
      </c>
      <c r="N704" s="446">
        <f t="shared" si="122"/>
        <v>0.12479999999999999</v>
      </c>
      <c r="O704" s="446">
        <f t="shared" si="126"/>
        <v>0.13145000000000001</v>
      </c>
      <c r="P704" s="447">
        <f t="shared" si="123"/>
        <v>-0.10741978175320341</v>
      </c>
      <c r="Q704" s="446">
        <f t="shared" si="127"/>
        <v>-0.11406978175320343</v>
      </c>
      <c r="R704" s="446">
        <f t="shared" si="128"/>
        <v>0.11020471150104139</v>
      </c>
      <c r="S704" s="446">
        <f t="shared" si="129"/>
        <v>0.14128999999999997</v>
      </c>
      <c r="T704" s="447">
        <f t="shared" si="130"/>
        <v>-3.1085288498958585E-2</v>
      </c>
      <c r="V704" s="448"/>
      <c r="W704" s="448"/>
      <c r="X704" s="448"/>
      <c r="Y704" s="448"/>
      <c r="Z704" s="448"/>
      <c r="AA704" s="448"/>
      <c r="AB704" s="448"/>
      <c r="AC704" s="448"/>
      <c r="AD704" s="448"/>
      <c r="AF704" s="448"/>
      <c r="AG704" s="448"/>
      <c r="AH704" s="448"/>
      <c r="AI704" s="448"/>
      <c r="AJ704" s="448"/>
      <c r="AK704" s="448"/>
      <c r="AL704" s="448"/>
      <c r="AM704" s="448"/>
      <c r="AN704" s="448"/>
      <c r="AP704" s="448"/>
      <c r="AQ704" s="448"/>
      <c r="AR704" s="448"/>
      <c r="AS704" s="448"/>
      <c r="AT704" s="448"/>
      <c r="AU704" s="448"/>
      <c r="AV704" s="448"/>
      <c r="AW704" s="448"/>
      <c r="AX704" s="448"/>
    </row>
    <row r="705" spans="1:50" x14ac:dyDescent="0.4">
      <c r="A705" s="442" t="str">
        <f t="shared" si="131"/>
        <v>51984</v>
      </c>
      <c r="B705" s="442">
        <v>30803</v>
      </c>
      <c r="C705" s="455">
        <v>-5.5399999999999998E-2</v>
      </c>
      <c r="D705" s="438">
        <v>-2.3E-2</v>
      </c>
      <c r="E705" s="438">
        <v>1.03E-2</v>
      </c>
      <c r="F705" s="438">
        <v>1.1066666666666667E-2</v>
      </c>
      <c r="G705" s="438">
        <v>1.175E-2</v>
      </c>
      <c r="H705" s="438">
        <v>1.1408333333333333E-2</v>
      </c>
      <c r="I705" s="438">
        <v>1.2399583333333332E-2</v>
      </c>
      <c r="J705" s="438">
        <f t="shared" si="120"/>
        <v>-6.5699999999999995E-2</v>
      </c>
      <c r="K705" s="438">
        <f t="shared" si="124"/>
        <v>-6.6808333333333331E-2</v>
      </c>
      <c r="L705" s="438">
        <f t="shared" si="125"/>
        <v>-3.5399583333333332E-2</v>
      </c>
      <c r="M705" s="446">
        <f t="shared" si="121"/>
        <v>-3.0548417072608025E-2</v>
      </c>
      <c r="N705" s="446">
        <f t="shared" si="122"/>
        <v>0.1236</v>
      </c>
      <c r="O705" s="446">
        <f t="shared" si="126"/>
        <v>0.13689999999999999</v>
      </c>
      <c r="P705" s="447">
        <f t="shared" si="123"/>
        <v>-0.15414841707260801</v>
      </c>
      <c r="Q705" s="446">
        <f t="shared" si="127"/>
        <v>-0.16744841707260802</v>
      </c>
      <c r="R705" s="446">
        <f t="shared" si="128"/>
        <v>7.1384831229274415E-2</v>
      </c>
      <c r="S705" s="446">
        <f t="shared" si="129"/>
        <v>0.14879499999999998</v>
      </c>
      <c r="T705" s="447">
        <f t="shared" si="130"/>
        <v>-7.7410168770725568E-2</v>
      </c>
      <c r="V705" s="448"/>
      <c r="W705" s="448"/>
      <c r="X705" s="448"/>
      <c r="Y705" s="448"/>
      <c r="Z705" s="448"/>
      <c r="AA705" s="448"/>
      <c r="AB705" s="448"/>
      <c r="AC705" s="448"/>
      <c r="AD705" s="448"/>
      <c r="AF705" s="448"/>
      <c r="AG705" s="448"/>
      <c r="AH705" s="448"/>
      <c r="AI705" s="448"/>
      <c r="AJ705" s="448"/>
      <c r="AK705" s="448"/>
      <c r="AL705" s="448"/>
      <c r="AM705" s="448"/>
      <c r="AN705" s="448"/>
      <c r="AP705" s="448"/>
      <c r="AQ705" s="448"/>
      <c r="AR705" s="448"/>
      <c r="AS705" s="448"/>
      <c r="AT705" s="448"/>
      <c r="AU705" s="448"/>
      <c r="AV705" s="448"/>
      <c r="AW705" s="448"/>
      <c r="AX705" s="448"/>
    </row>
    <row r="706" spans="1:50" x14ac:dyDescent="0.4">
      <c r="A706" s="442" t="str">
        <f t="shared" si="131"/>
        <v>61984</v>
      </c>
      <c r="B706" s="442">
        <v>30834</v>
      </c>
      <c r="C706" s="455">
        <v>2.1700000000000001E-2</v>
      </c>
      <c r="D706" s="438">
        <v>6.9000000000000008E-3</v>
      </c>
      <c r="E706" s="438">
        <v>1.06E-2</v>
      </c>
      <c r="F706" s="438">
        <v>1.1291666666666667E-2</v>
      </c>
      <c r="G706" s="438">
        <v>1.1941666666666666E-2</v>
      </c>
      <c r="H706" s="438">
        <v>1.1616666666666666E-2</v>
      </c>
      <c r="I706" s="438">
        <v>1.2580916666666666E-2</v>
      </c>
      <c r="J706" s="438">
        <f t="shared" si="120"/>
        <v>1.11E-2</v>
      </c>
      <c r="K706" s="438">
        <f t="shared" si="124"/>
        <v>1.0083333333333335E-2</v>
      </c>
      <c r="L706" s="438">
        <f t="shared" si="125"/>
        <v>-5.6809166666666648E-3</v>
      </c>
      <c r="M706" s="446">
        <f t="shared" si="121"/>
        <v>-4.6598630978037514E-2</v>
      </c>
      <c r="N706" s="446">
        <f t="shared" si="122"/>
        <v>0.12720000000000001</v>
      </c>
      <c r="O706" s="446">
        <f t="shared" si="126"/>
        <v>0.1394</v>
      </c>
      <c r="P706" s="447">
        <f t="shared" si="123"/>
        <v>-0.17379863097803752</v>
      </c>
      <c r="Q706" s="446">
        <f t="shared" si="127"/>
        <v>-0.18599863097803751</v>
      </c>
      <c r="R706" s="446">
        <f t="shared" si="128"/>
        <v>9.2211589110819059E-2</v>
      </c>
      <c r="S706" s="446">
        <f t="shared" si="129"/>
        <v>0.15097099999999999</v>
      </c>
      <c r="T706" s="447">
        <f t="shared" si="130"/>
        <v>-5.8759410889180935E-2</v>
      </c>
      <c r="V706" s="448"/>
      <c r="W706" s="448"/>
      <c r="X706" s="448"/>
      <c r="Y706" s="448"/>
      <c r="Z706" s="448"/>
      <c r="AA706" s="448"/>
      <c r="AB706" s="448"/>
      <c r="AC706" s="448"/>
      <c r="AD706" s="448"/>
      <c r="AF706" s="448"/>
      <c r="AG706" s="448"/>
      <c r="AH706" s="448"/>
      <c r="AI706" s="448"/>
      <c r="AJ706" s="448"/>
      <c r="AK706" s="448"/>
      <c r="AL706" s="448"/>
      <c r="AM706" s="448"/>
      <c r="AN706" s="448"/>
      <c r="AP706" s="448"/>
      <c r="AQ706" s="448"/>
      <c r="AR706" s="448"/>
      <c r="AS706" s="448"/>
      <c r="AT706" s="448"/>
      <c r="AU706" s="448"/>
      <c r="AV706" s="448"/>
      <c r="AW706" s="448"/>
      <c r="AX706" s="448"/>
    </row>
    <row r="707" spans="1:50" x14ac:dyDescent="0.4">
      <c r="A707" s="442" t="str">
        <f t="shared" si="131"/>
        <v>71984</v>
      </c>
      <c r="B707" s="442">
        <v>30864</v>
      </c>
      <c r="C707" s="455">
        <v>-1.24E-2</v>
      </c>
      <c r="D707" s="438">
        <v>4.3299999999999998E-2</v>
      </c>
      <c r="E707" s="438">
        <v>1.1599999999999999E-2</v>
      </c>
      <c r="F707" s="438">
        <v>1.1199999999999998E-2</v>
      </c>
      <c r="G707" s="438">
        <v>1.1766666666666665E-2</v>
      </c>
      <c r="H707" s="438">
        <v>1.1483333333333332E-2</v>
      </c>
      <c r="I707" s="438">
        <v>1.2383750000000001E-2</v>
      </c>
      <c r="J707" s="438">
        <f t="shared" si="120"/>
        <v>-2.4E-2</v>
      </c>
      <c r="K707" s="438">
        <f t="shared" si="124"/>
        <v>-2.3883333333333333E-2</v>
      </c>
      <c r="L707" s="438">
        <f t="shared" si="125"/>
        <v>3.0916249999999999E-2</v>
      </c>
      <c r="M707" s="446">
        <f t="shared" si="121"/>
        <v>-2.9799905156011941E-2</v>
      </c>
      <c r="N707" s="446">
        <f t="shared" si="122"/>
        <v>0.13919999999999999</v>
      </c>
      <c r="O707" s="446">
        <f t="shared" si="126"/>
        <v>0.13779999999999998</v>
      </c>
      <c r="P707" s="447">
        <f t="shared" si="123"/>
        <v>-0.16899990515601193</v>
      </c>
      <c r="Q707" s="446">
        <f t="shared" si="127"/>
        <v>-0.16759990515601192</v>
      </c>
      <c r="R707" s="446">
        <f t="shared" si="128"/>
        <v>0.10214174573877344</v>
      </c>
      <c r="S707" s="446">
        <f t="shared" si="129"/>
        <v>0.14860500000000001</v>
      </c>
      <c r="T707" s="447">
        <f t="shared" si="130"/>
        <v>-4.6463254261226578E-2</v>
      </c>
      <c r="V707" s="448"/>
      <c r="W707" s="448"/>
      <c r="X707" s="448"/>
      <c r="Y707" s="448"/>
      <c r="Z707" s="448"/>
      <c r="AA707" s="448"/>
      <c r="AB707" s="448"/>
      <c r="AC707" s="448"/>
      <c r="AD707" s="448"/>
      <c r="AF707" s="448"/>
      <c r="AG707" s="448"/>
      <c r="AH707" s="448"/>
      <c r="AI707" s="448"/>
      <c r="AJ707" s="448"/>
      <c r="AK707" s="448"/>
      <c r="AL707" s="448"/>
      <c r="AM707" s="448"/>
      <c r="AN707" s="448"/>
      <c r="AP707" s="448"/>
      <c r="AQ707" s="448"/>
      <c r="AR707" s="448"/>
      <c r="AS707" s="448"/>
      <c r="AT707" s="448"/>
      <c r="AU707" s="448"/>
      <c r="AV707" s="448"/>
      <c r="AW707" s="448"/>
      <c r="AX707" s="448"/>
    </row>
    <row r="708" spans="1:50" x14ac:dyDescent="0.4">
      <c r="A708" s="442" t="str">
        <f t="shared" si="131"/>
        <v>81984</v>
      </c>
      <c r="B708" s="442">
        <v>30895</v>
      </c>
      <c r="C708" s="455">
        <v>0.1104</v>
      </c>
      <c r="D708" s="438">
        <v>6.4600000000000005E-2</v>
      </c>
      <c r="E708" s="438">
        <v>1.06E-2</v>
      </c>
      <c r="F708" s="438">
        <v>1.0725E-2</v>
      </c>
      <c r="G708" s="438">
        <v>1.1225000000000001E-2</v>
      </c>
      <c r="H708" s="438">
        <v>1.0975000000000002E-2</v>
      </c>
      <c r="I708" s="438">
        <v>1.202425E-2</v>
      </c>
      <c r="J708" s="438">
        <f t="shared" si="120"/>
        <v>9.98E-2</v>
      </c>
      <c r="K708" s="438">
        <f t="shared" si="124"/>
        <v>9.9424999999999999E-2</v>
      </c>
      <c r="L708" s="438">
        <f t="shared" si="125"/>
        <v>5.2575750000000004E-2</v>
      </c>
      <c r="M708" s="446">
        <f t="shared" si="121"/>
        <v>6.1389345137698781E-2</v>
      </c>
      <c r="N708" s="446">
        <f t="shared" si="122"/>
        <v>0.12720000000000001</v>
      </c>
      <c r="O708" s="446">
        <f t="shared" si="126"/>
        <v>0.13170000000000004</v>
      </c>
      <c r="P708" s="447">
        <f t="shared" si="123"/>
        <v>-6.5810654862301227E-2</v>
      </c>
      <c r="Q708" s="446">
        <f t="shared" si="127"/>
        <v>-7.0310654862301258E-2</v>
      </c>
      <c r="R708" s="446">
        <f t="shared" si="128"/>
        <v>0.16866544075049617</v>
      </c>
      <c r="S708" s="446">
        <f t="shared" si="129"/>
        <v>0.144291</v>
      </c>
      <c r="T708" s="447">
        <f t="shared" si="130"/>
        <v>2.4374440750496162E-2</v>
      </c>
      <c r="V708" s="448"/>
      <c r="W708" s="448"/>
      <c r="X708" s="448"/>
      <c r="Y708" s="448"/>
      <c r="Z708" s="448"/>
      <c r="AA708" s="448"/>
      <c r="AB708" s="448"/>
      <c r="AC708" s="448"/>
      <c r="AD708" s="448"/>
      <c r="AF708" s="448"/>
      <c r="AG708" s="448"/>
      <c r="AH708" s="448"/>
      <c r="AI708" s="448"/>
      <c r="AJ708" s="448"/>
      <c r="AK708" s="448"/>
      <c r="AL708" s="448"/>
      <c r="AM708" s="448"/>
      <c r="AN708" s="448"/>
      <c r="AP708" s="448"/>
      <c r="AQ708" s="448"/>
      <c r="AR708" s="448"/>
      <c r="AS708" s="448"/>
      <c r="AT708" s="448"/>
      <c r="AU708" s="448"/>
      <c r="AV708" s="448"/>
      <c r="AW708" s="448"/>
      <c r="AX708" s="448"/>
    </row>
    <row r="709" spans="1:50" x14ac:dyDescent="0.4">
      <c r="A709" s="442" t="str">
        <f t="shared" si="131"/>
        <v>91984</v>
      </c>
      <c r="B709" s="442">
        <v>30926</v>
      </c>
      <c r="C709" s="455">
        <v>2.0000000000000001E-4</v>
      </c>
      <c r="D709" s="438">
        <v>4.3800000000000006E-2</v>
      </c>
      <c r="E709" s="438">
        <v>9.4000000000000004E-3</v>
      </c>
      <c r="F709" s="438">
        <v>1.0549999999999999E-2</v>
      </c>
      <c r="G709" s="438">
        <v>1.1058333333333331E-2</v>
      </c>
      <c r="H709" s="438">
        <v>1.0804166666666665E-2</v>
      </c>
      <c r="I709" s="438">
        <v>1.1822833333333333E-2</v>
      </c>
      <c r="J709" s="438">
        <f t="shared" si="120"/>
        <v>-9.1999999999999998E-3</v>
      </c>
      <c r="K709" s="438">
        <f t="shared" si="124"/>
        <v>-1.0604166666666665E-2</v>
      </c>
      <c r="L709" s="438">
        <f t="shared" si="125"/>
        <v>3.1977166666666675E-2</v>
      </c>
      <c r="M709" s="446">
        <f t="shared" si="121"/>
        <v>4.7150940034253352E-2</v>
      </c>
      <c r="N709" s="446">
        <f t="shared" si="122"/>
        <v>0.11280000000000001</v>
      </c>
      <c r="O709" s="446">
        <f t="shared" si="126"/>
        <v>0.12964999999999999</v>
      </c>
      <c r="P709" s="447">
        <f t="shared" si="123"/>
        <v>-6.5649059965746659E-2</v>
      </c>
      <c r="Q709" s="446">
        <f t="shared" si="127"/>
        <v>-8.2499059965746635E-2</v>
      </c>
      <c r="R709" s="446">
        <f t="shared" si="128"/>
        <v>0.1678822279132286</v>
      </c>
      <c r="S709" s="446">
        <f t="shared" si="129"/>
        <v>0.141874</v>
      </c>
      <c r="T709" s="447">
        <f t="shared" si="130"/>
        <v>2.6008227913228599E-2</v>
      </c>
      <c r="V709" s="448"/>
      <c r="W709" s="448"/>
      <c r="X709" s="448"/>
      <c r="Y709" s="448"/>
      <c r="Z709" s="448"/>
      <c r="AA709" s="448"/>
      <c r="AB709" s="448"/>
      <c r="AC709" s="448"/>
      <c r="AD709" s="448"/>
      <c r="AF709" s="448"/>
      <c r="AG709" s="448"/>
      <c r="AH709" s="448"/>
      <c r="AI709" s="448"/>
      <c r="AJ709" s="448"/>
      <c r="AK709" s="448"/>
      <c r="AL709" s="448"/>
      <c r="AM709" s="448"/>
      <c r="AN709" s="448"/>
      <c r="AP709" s="448"/>
      <c r="AQ709" s="448"/>
      <c r="AR709" s="448"/>
      <c r="AS709" s="448"/>
      <c r="AT709" s="448"/>
      <c r="AU709" s="448"/>
      <c r="AV709" s="448"/>
      <c r="AW709" s="448"/>
      <c r="AX709" s="448"/>
    </row>
    <row r="710" spans="1:50" x14ac:dyDescent="0.4">
      <c r="A710" s="442" t="str">
        <f t="shared" si="131"/>
        <v>101984</v>
      </c>
      <c r="B710" s="442">
        <v>30956</v>
      </c>
      <c r="C710" s="455">
        <v>3.8999999999999998E-3</v>
      </c>
      <c r="D710" s="438">
        <v>2.7199999999999998E-2</v>
      </c>
      <c r="E710" s="438">
        <v>1.0800000000000001E-2</v>
      </c>
      <c r="F710" s="438">
        <v>1.0525E-2</v>
      </c>
      <c r="G710" s="438">
        <v>1.0925000000000001E-2</v>
      </c>
      <c r="H710" s="438">
        <v>1.0725E-2</v>
      </c>
      <c r="I710" s="438">
        <v>1.1524666666666666E-2</v>
      </c>
      <c r="J710" s="438">
        <f t="shared" ref="J710:J773" si="132">C710-E710</f>
        <v>-6.9000000000000008E-3</v>
      </c>
      <c r="K710" s="438">
        <f t="shared" si="124"/>
        <v>-6.8250000000000003E-3</v>
      </c>
      <c r="L710" s="438">
        <f t="shared" si="125"/>
        <v>1.5675333333333333E-2</v>
      </c>
      <c r="M710" s="446">
        <f t="shared" si="121"/>
        <v>6.3572266997558691E-2</v>
      </c>
      <c r="N710" s="446">
        <f t="shared" si="122"/>
        <v>0.12959999999999999</v>
      </c>
      <c r="O710" s="446">
        <f t="shared" si="126"/>
        <v>0.12870000000000001</v>
      </c>
      <c r="P710" s="447">
        <f t="shared" si="123"/>
        <v>-6.6027733002441302E-2</v>
      </c>
      <c r="Q710" s="446">
        <f t="shared" si="127"/>
        <v>-6.5127733002441318E-2</v>
      </c>
      <c r="R710" s="446">
        <f t="shared" si="128"/>
        <v>0.13905110568977297</v>
      </c>
      <c r="S710" s="446">
        <f t="shared" si="129"/>
        <v>0.13829599999999997</v>
      </c>
      <c r="T710" s="447">
        <f t="shared" si="130"/>
        <v>7.5510568977299464E-4</v>
      </c>
      <c r="V710" s="448"/>
      <c r="W710" s="448"/>
      <c r="X710" s="448"/>
      <c r="Y710" s="448"/>
      <c r="Z710" s="448"/>
      <c r="AA710" s="448"/>
      <c r="AB710" s="448"/>
      <c r="AC710" s="448"/>
      <c r="AD710" s="448"/>
      <c r="AF710" s="448"/>
      <c r="AG710" s="448"/>
      <c r="AH710" s="448"/>
      <c r="AI710" s="448"/>
      <c r="AJ710" s="448"/>
      <c r="AK710" s="448"/>
      <c r="AL710" s="448"/>
      <c r="AM710" s="448"/>
      <c r="AN710" s="448"/>
      <c r="AP710" s="448"/>
      <c r="AQ710" s="448"/>
      <c r="AR710" s="448"/>
      <c r="AS710" s="448"/>
      <c r="AT710" s="448"/>
      <c r="AU710" s="448"/>
      <c r="AV710" s="448"/>
      <c r="AW710" s="448"/>
      <c r="AX710" s="448"/>
    </row>
    <row r="711" spans="1:50" x14ac:dyDescent="0.4">
      <c r="A711" s="442" t="str">
        <f t="shared" si="131"/>
        <v>111984</v>
      </c>
      <c r="B711" s="442">
        <v>30987</v>
      </c>
      <c r="C711" s="455">
        <v>-1.12E-2</v>
      </c>
      <c r="D711" s="438">
        <v>2.7000000000000003E-2</v>
      </c>
      <c r="E711" s="438">
        <v>9.1000000000000004E-3</v>
      </c>
      <c r="F711" s="438">
        <v>1.0241666666666666E-2</v>
      </c>
      <c r="G711" s="438">
        <v>1.0549999999999999E-2</v>
      </c>
      <c r="H711" s="438">
        <v>1.0395833333333333E-2</v>
      </c>
      <c r="I711" s="438">
        <v>1.1038916666666667E-2</v>
      </c>
      <c r="J711" s="438">
        <f t="shared" si="132"/>
        <v>-2.0299999999999999E-2</v>
      </c>
      <c r="K711" s="438">
        <f t="shared" si="124"/>
        <v>-2.1595833333333335E-2</v>
      </c>
      <c r="L711" s="438">
        <f t="shared" si="125"/>
        <v>1.5961083333333334E-2</v>
      </c>
      <c r="M711" s="446">
        <f t="shared" si="121"/>
        <v>2.9928760755250305E-2</v>
      </c>
      <c r="N711" s="446">
        <f t="shared" si="122"/>
        <v>0.10920000000000001</v>
      </c>
      <c r="O711" s="446">
        <f t="shared" si="126"/>
        <v>0.12475</v>
      </c>
      <c r="P711" s="447">
        <f t="shared" si="123"/>
        <v>-7.92712392447497E-2</v>
      </c>
      <c r="Q711" s="446">
        <f t="shared" si="127"/>
        <v>-9.4821239244749694E-2</v>
      </c>
      <c r="R711" s="446">
        <f t="shared" si="128"/>
        <v>0.19416648177153628</v>
      </c>
      <c r="S711" s="446">
        <f t="shared" si="129"/>
        <v>0.132467</v>
      </c>
      <c r="T711" s="447">
        <f t="shared" si="130"/>
        <v>6.169948177153628E-2</v>
      </c>
      <c r="V711" s="448"/>
      <c r="W711" s="448"/>
      <c r="X711" s="448"/>
      <c r="Y711" s="448"/>
      <c r="Z711" s="448"/>
      <c r="AA711" s="448"/>
      <c r="AB711" s="448"/>
      <c r="AC711" s="448"/>
      <c r="AD711" s="448"/>
      <c r="AF711" s="448"/>
      <c r="AG711" s="448"/>
      <c r="AH711" s="448"/>
      <c r="AI711" s="448"/>
      <c r="AJ711" s="448"/>
      <c r="AK711" s="448"/>
      <c r="AL711" s="448"/>
      <c r="AM711" s="448"/>
      <c r="AN711" s="448"/>
      <c r="AP711" s="448"/>
      <c r="AQ711" s="448"/>
      <c r="AR711" s="448"/>
      <c r="AS711" s="448"/>
      <c r="AT711" s="448"/>
      <c r="AU711" s="448"/>
      <c r="AV711" s="448"/>
      <c r="AW711" s="448"/>
      <c r="AX711" s="448"/>
    </row>
    <row r="712" spans="1:50" x14ac:dyDescent="0.4">
      <c r="A712" s="442" t="str">
        <f t="shared" si="131"/>
        <v>121984</v>
      </c>
      <c r="B712" s="442">
        <v>31017</v>
      </c>
      <c r="C712" s="455">
        <v>2.63E-2</v>
      </c>
      <c r="D712" s="438">
        <v>3.1599999999999996E-2</v>
      </c>
      <c r="E712" s="438">
        <v>9.7999999999999997E-3</v>
      </c>
      <c r="F712" s="438">
        <v>1.0108333333333335E-2</v>
      </c>
      <c r="G712" s="438">
        <v>1.0416666666666668E-2</v>
      </c>
      <c r="H712" s="438">
        <v>1.0262500000000001E-2</v>
      </c>
      <c r="I712" s="438">
        <v>1.0891249999999998E-2</v>
      </c>
      <c r="J712" s="438">
        <f t="shared" si="132"/>
        <v>1.6500000000000001E-2</v>
      </c>
      <c r="K712" s="438">
        <f t="shared" si="124"/>
        <v>1.60375E-2</v>
      </c>
      <c r="L712" s="438">
        <f t="shared" si="125"/>
        <v>2.0708749999999998E-2</v>
      </c>
      <c r="M712" s="446">
        <f t="shared" si="121"/>
        <v>6.2541100887729906E-2</v>
      </c>
      <c r="N712" s="446">
        <f t="shared" si="122"/>
        <v>0.1176</v>
      </c>
      <c r="O712" s="446">
        <f t="shared" si="126"/>
        <v>0.12315000000000001</v>
      </c>
      <c r="P712" s="447">
        <f t="shared" si="123"/>
        <v>-5.505889911227009E-2</v>
      </c>
      <c r="Q712" s="446">
        <f t="shared" si="127"/>
        <v>-6.0608899112270104E-2</v>
      </c>
      <c r="R712" s="446">
        <f t="shared" si="128"/>
        <v>0.26038688622418338</v>
      </c>
      <c r="S712" s="446">
        <f t="shared" si="129"/>
        <v>0.13069499999999998</v>
      </c>
      <c r="T712" s="447">
        <f t="shared" si="130"/>
        <v>0.1296918862241834</v>
      </c>
      <c r="V712" s="448"/>
      <c r="W712" s="448"/>
      <c r="X712" s="448"/>
      <c r="Y712" s="448"/>
      <c r="Z712" s="448"/>
      <c r="AA712" s="448"/>
      <c r="AB712" s="448"/>
      <c r="AC712" s="448"/>
      <c r="AD712" s="448"/>
      <c r="AF712" s="448"/>
      <c r="AG712" s="448"/>
      <c r="AH712" s="448"/>
      <c r="AI712" s="448"/>
      <c r="AJ712" s="448"/>
      <c r="AK712" s="448"/>
      <c r="AL712" s="448"/>
      <c r="AM712" s="448"/>
      <c r="AN712" s="448"/>
      <c r="AP712" s="448"/>
      <c r="AQ712" s="448"/>
      <c r="AR712" s="448"/>
      <c r="AS712" s="448"/>
      <c r="AT712" s="448"/>
      <c r="AU712" s="448"/>
      <c r="AV712" s="448"/>
      <c r="AW712" s="448"/>
      <c r="AX712" s="448"/>
    </row>
    <row r="713" spans="1:50" x14ac:dyDescent="0.4">
      <c r="A713" s="442" t="str">
        <f t="shared" si="131"/>
        <v>11985</v>
      </c>
      <c r="B713" s="442">
        <v>31048</v>
      </c>
      <c r="C713" s="455">
        <v>7.7899999999999997E-2</v>
      </c>
      <c r="D713" s="438">
        <v>2.35E-2</v>
      </c>
      <c r="E713" s="438">
        <v>9.5999999999999992E-3</v>
      </c>
      <c r="F713" s="438">
        <v>1.0066666666666666E-2</v>
      </c>
      <c r="G713" s="438">
        <v>1.0358333333333334E-2</v>
      </c>
      <c r="H713" s="438">
        <v>1.0212499999999999E-2</v>
      </c>
      <c r="I713" s="438">
        <v>1.0821583333333334E-2</v>
      </c>
      <c r="J713" s="438">
        <f t="shared" si="132"/>
        <v>6.83E-2</v>
      </c>
      <c r="K713" s="438">
        <f t="shared" si="124"/>
        <v>6.7687499999999998E-2</v>
      </c>
      <c r="L713" s="438">
        <f t="shared" si="125"/>
        <v>1.2678416666666666E-2</v>
      </c>
      <c r="M713" s="446">
        <f t="shared" si="121"/>
        <v>0.15176292502703559</v>
      </c>
      <c r="N713" s="446">
        <f t="shared" si="122"/>
        <v>0.1152</v>
      </c>
      <c r="O713" s="446">
        <f t="shared" si="126"/>
        <v>0.12254999999999999</v>
      </c>
      <c r="P713" s="447">
        <f t="shared" si="123"/>
        <v>3.6562925027035592E-2</v>
      </c>
      <c r="Q713" s="446">
        <f t="shared" si="127"/>
        <v>2.9212925027035597E-2</v>
      </c>
      <c r="R713" s="446">
        <f t="shared" si="128"/>
        <v>0.23068687087430995</v>
      </c>
      <c r="S713" s="446">
        <f t="shared" si="129"/>
        <v>0.129859</v>
      </c>
      <c r="T713" s="447">
        <f t="shared" si="130"/>
        <v>0.10082787087430994</v>
      </c>
      <c r="V713" s="448"/>
      <c r="W713" s="448"/>
      <c r="X713" s="448"/>
      <c r="Y713" s="448"/>
      <c r="Z713" s="448"/>
      <c r="AA713" s="448"/>
      <c r="AB713" s="448"/>
      <c r="AC713" s="448"/>
      <c r="AD713" s="448"/>
      <c r="AF713" s="448"/>
      <c r="AG713" s="448"/>
      <c r="AH713" s="448"/>
      <c r="AI713" s="448"/>
      <c r="AJ713" s="448"/>
      <c r="AK713" s="448"/>
      <c r="AL713" s="448"/>
      <c r="AM713" s="448"/>
      <c r="AN713" s="448"/>
      <c r="AP713" s="448"/>
      <c r="AQ713" s="448"/>
      <c r="AR713" s="448"/>
      <c r="AS713" s="448"/>
      <c r="AT713" s="448"/>
      <c r="AU713" s="448"/>
      <c r="AV713" s="448"/>
      <c r="AW713" s="448"/>
      <c r="AX713" s="448"/>
    </row>
    <row r="714" spans="1:50" x14ac:dyDescent="0.4">
      <c r="A714" s="442" t="str">
        <f t="shared" si="131"/>
        <v>21985</v>
      </c>
      <c r="B714" s="442">
        <v>31079</v>
      </c>
      <c r="C714" s="455">
        <v>1.2200000000000001E-2</v>
      </c>
      <c r="D714" s="438">
        <v>1.9300000000000001E-2</v>
      </c>
      <c r="E714" s="438">
        <v>8.2000000000000007E-3</v>
      </c>
      <c r="F714" s="438">
        <v>1.0108333333333335E-2</v>
      </c>
      <c r="G714" s="438">
        <v>1.0408333333333332E-2</v>
      </c>
      <c r="H714" s="438">
        <v>1.0258333333333335E-2</v>
      </c>
      <c r="I714" s="438">
        <v>1.0861833333333333E-2</v>
      </c>
      <c r="J714" s="438">
        <f t="shared" si="132"/>
        <v>4.0000000000000001E-3</v>
      </c>
      <c r="K714" s="438">
        <f t="shared" si="124"/>
        <v>1.9416666666666662E-3</v>
      </c>
      <c r="L714" s="438">
        <f t="shared" si="125"/>
        <v>8.4381666666666685E-3</v>
      </c>
      <c r="M714" s="446">
        <f t="shared" si="121"/>
        <v>0.2083482926123188</v>
      </c>
      <c r="N714" s="446">
        <f t="shared" si="122"/>
        <v>9.8400000000000015E-2</v>
      </c>
      <c r="O714" s="446">
        <f t="shared" si="126"/>
        <v>0.12310000000000001</v>
      </c>
      <c r="P714" s="447">
        <f t="shared" si="123"/>
        <v>0.10994829261231878</v>
      </c>
      <c r="Q714" s="446">
        <f t="shared" si="127"/>
        <v>8.5248292612318782E-2</v>
      </c>
      <c r="R714" s="446">
        <f t="shared" si="128"/>
        <v>0.30820641097318235</v>
      </c>
      <c r="S714" s="446">
        <f t="shared" si="129"/>
        <v>0.13034199999999999</v>
      </c>
      <c r="T714" s="447">
        <f t="shared" si="130"/>
        <v>0.17786441097318237</v>
      </c>
      <c r="V714" s="448"/>
      <c r="W714" s="448"/>
      <c r="X714" s="448"/>
      <c r="Y714" s="448"/>
      <c r="Z714" s="448"/>
      <c r="AA714" s="448"/>
      <c r="AB714" s="448"/>
      <c r="AC714" s="448"/>
      <c r="AD714" s="448"/>
      <c r="AF714" s="448"/>
      <c r="AG714" s="448"/>
      <c r="AH714" s="448"/>
      <c r="AI714" s="448"/>
      <c r="AJ714" s="448"/>
      <c r="AK714" s="448"/>
      <c r="AL714" s="448"/>
      <c r="AM714" s="448"/>
      <c r="AN714" s="448"/>
      <c r="AP714" s="448"/>
      <c r="AQ714" s="448"/>
      <c r="AR714" s="448"/>
      <c r="AS714" s="448"/>
      <c r="AT714" s="448"/>
      <c r="AU714" s="448"/>
      <c r="AV714" s="448"/>
      <c r="AW714" s="448"/>
      <c r="AX714" s="448"/>
    </row>
    <row r="715" spans="1:50" x14ac:dyDescent="0.4">
      <c r="A715" s="442" t="str">
        <f t="shared" si="131"/>
        <v>31985</v>
      </c>
      <c r="B715" s="442">
        <v>31107</v>
      </c>
      <c r="C715" s="455">
        <v>6.9999999999999999E-4</v>
      </c>
      <c r="D715" s="438">
        <v>3.6200000000000003E-2</v>
      </c>
      <c r="E715" s="438">
        <v>9.4000000000000004E-3</v>
      </c>
      <c r="F715" s="438">
        <v>1.0466666666666666E-2</v>
      </c>
      <c r="G715" s="438">
        <v>1.0758333333333335E-2</v>
      </c>
      <c r="H715" s="438">
        <v>1.06125E-2</v>
      </c>
      <c r="I715" s="438">
        <v>1.1501166666666666E-2</v>
      </c>
      <c r="J715" s="438">
        <f t="shared" si="132"/>
        <v>-8.7000000000000011E-3</v>
      </c>
      <c r="K715" s="438">
        <f t="shared" si="124"/>
        <v>-9.9125000000000012E-3</v>
      </c>
      <c r="L715" s="438">
        <f t="shared" si="125"/>
        <v>2.4698833333333337E-2</v>
      </c>
      <c r="M715" s="446">
        <f t="shared" si="121"/>
        <v>0.18863082317619906</v>
      </c>
      <c r="N715" s="446">
        <f t="shared" si="122"/>
        <v>0.11280000000000001</v>
      </c>
      <c r="O715" s="446">
        <f t="shared" si="126"/>
        <v>0.12735000000000002</v>
      </c>
      <c r="P715" s="447">
        <f t="shared" si="123"/>
        <v>7.5830823176199047E-2</v>
      </c>
      <c r="Q715" s="446">
        <f t="shared" si="127"/>
        <v>6.128082317619904E-2</v>
      </c>
      <c r="R715" s="446">
        <f t="shared" si="128"/>
        <v>0.36306031478171108</v>
      </c>
      <c r="S715" s="446">
        <f t="shared" si="129"/>
        <v>0.138014</v>
      </c>
      <c r="T715" s="447">
        <f t="shared" si="130"/>
        <v>0.22504631478171108</v>
      </c>
      <c r="V715" s="448"/>
      <c r="W715" s="448"/>
      <c r="X715" s="448"/>
      <c r="Y715" s="448"/>
      <c r="Z715" s="448"/>
      <c r="AA715" s="448"/>
      <c r="AB715" s="448"/>
      <c r="AC715" s="448"/>
      <c r="AD715" s="448"/>
      <c r="AF715" s="448"/>
      <c r="AG715" s="448"/>
      <c r="AH715" s="448"/>
      <c r="AI715" s="448"/>
      <c r="AJ715" s="448"/>
      <c r="AK715" s="448"/>
      <c r="AL715" s="448"/>
      <c r="AM715" s="448"/>
      <c r="AN715" s="448"/>
      <c r="AP715" s="448"/>
      <c r="AQ715" s="448"/>
      <c r="AR715" s="448"/>
      <c r="AS715" s="448"/>
      <c r="AT715" s="448"/>
      <c r="AU715" s="448"/>
      <c r="AV715" s="448"/>
      <c r="AW715" s="448"/>
      <c r="AX715" s="448"/>
    </row>
    <row r="716" spans="1:50" x14ac:dyDescent="0.4">
      <c r="A716" s="442" t="str">
        <f t="shared" si="131"/>
        <v>41985</v>
      </c>
      <c r="B716" s="442">
        <v>31138</v>
      </c>
      <c r="C716" s="455">
        <v>-8.9999999999999998E-4</v>
      </c>
      <c r="D716" s="438">
        <v>2.07E-2</v>
      </c>
      <c r="E716" s="438">
        <v>1.0200000000000001E-2</v>
      </c>
      <c r="F716" s="438">
        <v>1.0191666666666668E-2</v>
      </c>
      <c r="G716" s="438">
        <v>1.0574999999999999E-2</v>
      </c>
      <c r="H716" s="438">
        <v>1.0383333333333333E-2</v>
      </c>
      <c r="I716" s="438">
        <v>1.1322250000000001E-2</v>
      </c>
      <c r="J716" s="438">
        <f t="shared" si="132"/>
        <v>-1.11E-2</v>
      </c>
      <c r="K716" s="438">
        <f t="shared" si="124"/>
        <v>-1.1283333333333333E-2</v>
      </c>
      <c r="L716" s="438">
        <f t="shared" si="125"/>
        <v>9.3777499999999989E-3</v>
      </c>
      <c r="M716" s="446">
        <f t="shared" si="121"/>
        <v>0.17638539419053023</v>
      </c>
      <c r="N716" s="446">
        <f t="shared" si="122"/>
        <v>0.12240000000000001</v>
      </c>
      <c r="O716" s="446">
        <f t="shared" si="126"/>
        <v>0.12459999999999999</v>
      </c>
      <c r="P716" s="447">
        <f t="shared" si="123"/>
        <v>5.3985394190530223E-2</v>
      </c>
      <c r="Q716" s="446">
        <f t="shared" si="127"/>
        <v>5.1785394190530243E-2</v>
      </c>
      <c r="R716" s="446">
        <f t="shared" si="128"/>
        <v>0.36950060369888016</v>
      </c>
      <c r="S716" s="446">
        <f t="shared" si="129"/>
        <v>0.13586700000000002</v>
      </c>
      <c r="T716" s="447">
        <f t="shared" si="130"/>
        <v>0.23363360369888014</v>
      </c>
      <c r="V716" s="448"/>
      <c r="W716" s="448"/>
      <c r="X716" s="448"/>
      <c r="Y716" s="448"/>
      <c r="Z716" s="448"/>
      <c r="AA716" s="448"/>
      <c r="AB716" s="448"/>
      <c r="AC716" s="448"/>
      <c r="AD716" s="448"/>
      <c r="AF716" s="448"/>
      <c r="AG716" s="448"/>
      <c r="AH716" s="448"/>
      <c r="AI716" s="448"/>
      <c r="AJ716" s="448"/>
      <c r="AK716" s="448"/>
      <c r="AL716" s="448"/>
      <c r="AM716" s="448"/>
      <c r="AN716" s="448"/>
      <c r="AP716" s="448"/>
      <c r="AQ716" s="448"/>
      <c r="AR716" s="448"/>
      <c r="AS716" s="448"/>
      <c r="AT716" s="448"/>
      <c r="AU716" s="448"/>
      <c r="AV716" s="448"/>
      <c r="AW716" s="448"/>
      <c r="AX716" s="448"/>
    </row>
    <row r="717" spans="1:50" x14ac:dyDescent="0.4">
      <c r="A717" s="442" t="str">
        <f t="shared" si="131"/>
        <v>51985</v>
      </c>
      <c r="B717" s="442">
        <v>31168</v>
      </c>
      <c r="C717" s="455">
        <v>5.7799999999999997E-2</v>
      </c>
      <c r="D717" s="438">
        <v>6.0600000000000008E-2</v>
      </c>
      <c r="E717" s="438">
        <v>9.7000000000000003E-3</v>
      </c>
      <c r="F717" s="438">
        <v>9.7666666666666666E-3</v>
      </c>
      <c r="G717" s="438">
        <v>1.0250000000000002E-2</v>
      </c>
      <c r="H717" s="438">
        <v>1.0008333333333334E-2</v>
      </c>
      <c r="I717" s="438">
        <v>1.0978416666666666E-2</v>
      </c>
      <c r="J717" s="438">
        <f t="shared" si="132"/>
        <v>4.8099999999999997E-2</v>
      </c>
      <c r="K717" s="438">
        <f t="shared" si="124"/>
        <v>4.7791666666666663E-2</v>
      </c>
      <c r="L717" s="438">
        <f t="shared" si="125"/>
        <v>4.9621583333333344E-2</v>
      </c>
      <c r="M717" s="446">
        <f t="shared" si="121"/>
        <v>0.31736234382251016</v>
      </c>
      <c r="N717" s="446">
        <f t="shared" si="122"/>
        <v>0.1164</v>
      </c>
      <c r="O717" s="446">
        <f t="shared" si="126"/>
        <v>0.12010000000000001</v>
      </c>
      <c r="P717" s="447">
        <f t="shared" si="123"/>
        <v>0.20096234382251016</v>
      </c>
      <c r="Q717" s="446">
        <f t="shared" si="127"/>
        <v>0.19726234382251015</v>
      </c>
      <c r="R717" s="446">
        <f t="shared" si="128"/>
        <v>0.48668612106758635</v>
      </c>
      <c r="S717" s="446">
        <f t="shared" si="129"/>
        <v>0.131741</v>
      </c>
      <c r="T717" s="447">
        <f t="shared" si="130"/>
        <v>0.35494512106758636</v>
      </c>
      <c r="V717" s="448"/>
      <c r="W717" s="448"/>
      <c r="X717" s="448"/>
      <c r="Y717" s="448"/>
      <c r="Z717" s="448"/>
      <c r="AA717" s="448"/>
      <c r="AB717" s="448"/>
      <c r="AC717" s="448"/>
      <c r="AD717" s="448"/>
      <c r="AF717" s="448"/>
      <c r="AG717" s="448"/>
      <c r="AH717" s="448"/>
      <c r="AI717" s="448"/>
      <c r="AJ717" s="448"/>
      <c r="AK717" s="448"/>
      <c r="AL717" s="448"/>
      <c r="AM717" s="448"/>
      <c r="AN717" s="448"/>
      <c r="AP717" s="448"/>
      <c r="AQ717" s="448"/>
      <c r="AR717" s="448"/>
      <c r="AS717" s="448"/>
      <c r="AT717" s="448"/>
      <c r="AU717" s="448"/>
      <c r="AV717" s="448"/>
      <c r="AW717" s="448"/>
      <c r="AX717" s="448"/>
    </row>
    <row r="718" spans="1:50" x14ac:dyDescent="0.4">
      <c r="A718" s="442" t="str">
        <f t="shared" si="131"/>
        <v>61985</v>
      </c>
      <c r="B718" s="442">
        <v>31199</v>
      </c>
      <c r="C718" s="455">
        <v>1.5699999999999999E-2</v>
      </c>
      <c r="D718" s="438">
        <v>2.7900000000000001E-2</v>
      </c>
      <c r="E718" s="438">
        <v>8.0000000000000002E-3</v>
      </c>
      <c r="F718" s="438">
        <v>9.116666666666667E-3</v>
      </c>
      <c r="G718" s="438">
        <v>9.5500000000000012E-3</v>
      </c>
      <c r="H718" s="438">
        <v>9.3333333333333341E-3</v>
      </c>
      <c r="I718" s="438">
        <v>1.0119583333333333E-2</v>
      </c>
      <c r="J718" s="438">
        <f t="shared" si="132"/>
        <v>7.6999999999999985E-3</v>
      </c>
      <c r="K718" s="438">
        <f t="shared" si="124"/>
        <v>6.3666666666666646E-3</v>
      </c>
      <c r="L718" s="438">
        <f t="shared" si="125"/>
        <v>1.7780416666666667E-2</v>
      </c>
      <c r="M718" s="446">
        <f t="shared" si="121"/>
        <v>0.30962604739211508</v>
      </c>
      <c r="N718" s="446">
        <f t="shared" si="122"/>
        <v>9.6000000000000002E-2</v>
      </c>
      <c r="O718" s="446">
        <f t="shared" si="126"/>
        <v>0.11200000000000002</v>
      </c>
      <c r="P718" s="447">
        <f t="shared" si="123"/>
        <v>0.21362604739211508</v>
      </c>
      <c r="Q718" s="446">
        <f t="shared" si="127"/>
        <v>0.19762604739211506</v>
      </c>
      <c r="R718" s="446">
        <f t="shared" si="128"/>
        <v>0.51769258500881121</v>
      </c>
      <c r="S718" s="446">
        <f t="shared" si="129"/>
        <v>0.12143499999999999</v>
      </c>
      <c r="T718" s="447">
        <f t="shared" si="130"/>
        <v>0.39625758500881125</v>
      </c>
      <c r="V718" s="448"/>
      <c r="W718" s="448"/>
      <c r="X718" s="448"/>
      <c r="Y718" s="448"/>
      <c r="Z718" s="448"/>
      <c r="AA718" s="448"/>
      <c r="AB718" s="448"/>
      <c r="AC718" s="448"/>
      <c r="AD718" s="448"/>
      <c r="AF718" s="448"/>
      <c r="AG718" s="448"/>
      <c r="AH718" s="448"/>
      <c r="AI718" s="448"/>
      <c r="AJ718" s="448"/>
      <c r="AK718" s="448"/>
      <c r="AL718" s="448"/>
      <c r="AM718" s="448"/>
      <c r="AN718" s="448"/>
      <c r="AP718" s="448"/>
      <c r="AQ718" s="448"/>
      <c r="AR718" s="448"/>
      <c r="AS718" s="448"/>
      <c r="AT718" s="448"/>
      <c r="AU718" s="448"/>
      <c r="AV718" s="448"/>
      <c r="AW718" s="448"/>
      <c r="AX718" s="448"/>
    </row>
    <row r="719" spans="1:50" x14ac:dyDescent="0.4">
      <c r="A719" s="442" t="str">
        <f t="shared" si="131"/>
        <v>71985</v>
      </c>
      <c r="B719" s="442">
        <v>31229</v>
      </c>
      <c r="C719" s="455">
        <v>-1.5E-3</v>
      </c>
      <c r="D719" s="438">
        <v>-4.2700000000000002E-2</v>
      </c>
      <c r="E719" s="438">
        <v>9.4000000000000004E-3</v>
      </c>
      <c r="F719" s="438">
        <v>9.141666666666666E-3</v>
      </c>
      <c r="G719" s="438">
        <v>9.5166666666666663E-3</v>
      </c>
      <c r="H719" s="438">
        <v>9.3291666666666662E-3</v>
      </c>
      <c r="I719" s="438">
        <v>1.0053750000000002E-2</v>
      </c>
      <c r="J719" s="438">
        <f t="shared" si="132"/>
        <v>-1.09E-2</v>
      </c>
      <c r="K719" s="438">
        <f t="shared" si="124"/>
        <v>-1.0829166666666666E-2</v>
      </c>
      <c r="L719" s="438">
        <f t="shared" si="125"/>
        <v>-5.2753750000000002E-2</v>
      </c>
      <c r="M719" s="446">
        <f t="shared" si="121"/>
        <v>0.3240802028361951</v>
      </c>
      <c r="N719" s="446">
        <f t="shared" si="122"/>
        <v>0.11280000000000001</v>
      </c>
      <c r="O719" s="446">
        <f t="shared" si="126"/>
        <v>0.11194999999999999</v>
      </c>
      <c r="P719" s="447">
        <f t="shared" si="123"/>
        <v>0.21128020283619509</v>
      </c>
      <c r="Q719" s="446">
        <f t="shared" si="127"/>
        <v>0.2121302028361951</v>
      </c>
      <c r="R719" s="446">
        <f t="shared" si="128"/>
        <v>0.39258804910278511</v>
      </c>
      <c r="S719" s="446">
        <f t="shared" si="129"/>
        <v>0.12064500000000003</v>
      </c>
      <c r="T719" s="447">
        <f t="shared" si="130"/>
        <v>0.27194304910278511</v>
      </c>
      <c r="V719" s="448"/>
      <c r="W719" s="448"/>
      <c r="X719" s="448"/>
      <c r="Y719" s="448"/>
      <c r="Z719" s="448"/>
      <c r="AA719" s="448"/>
      <c r="AB719" s="448"/>
      <c r="AC719" s="448"/>
      <c r="AD719" s="448"/>
      <c r="AF719" s="448"/>
      <c r="AG719" s="448"/>
      <c r="AH719" s="448"/>
      <c r="AI719" s="448"/>
      <c r="AJ719" s="448"/>
      <c r="AK719" s="448"/>
      <c r="AL719" s="448"/>
      <c r="AM719" s="448"/>
      <c r="AN719" s="448"/>
      <c r="AP719" s="448"/>
      <c r="AQ719" s="448"/>
      <c r="AR719" s="448"/>
      <c r="AS719" s="448"/>
      <c r="AT719" s="448"/>
      <c r="AU719" s="448"/>
      <c r="AV719" s="448"/>
      <c r="AW719" s="448"/>
      <c r="AX719" s="448"/>
    </row>
    <row r="720" spans="1:50" x14ac:dyDescent="0.4">
      <c r="A720" s="442" t="str">
        <f t="shared" si="131"/>
        <v>81985</v>
      </c>
      <c r="B720" s="442">
        <v>31260</v>
      </c>
      <c r="C720" s="455">
        <v>-8.5000000000000006E-3</v>
      </c>
      <c r="D720" s="438">
        <v>1.8099999999999998E-2</v>
      </c>
      <c r="E720" s="438">
        <v>8.5000000000000006E-3</v>
      </c>
      <c r="F720" s="438">
        <v>9.208333333333334E-3</v>
      </c>
      <c r="G720" s="438">
        <v>9.5583333333333336E-3</v>
      </c>
      <c r="H720" s="438">
        <v>9.3833333333333338E-3</v>
      </c>
      <c r="I720" s="438">
        <v>1.0114416666666666E-2</v>
      </c>
      <c r="J720" s="438">
        <f t="shared" si="132"/>
        <v>-1.7000000000000001E-2</v>
      </c>
      <c r="K720" s="438">
        <f t="shared" si="124"/>
        <v>-1.7883333333333334E-2</v>
      </c>
      <c r="L720" s="438">
        <f t="shared" si="125"/>
        <v>7.9855833333333324E-3</v>
      </c>
      <c r="M720" s="446">
        <f t="shared" ref="M720:M783" si="133">((1+C709)*(1+C710)*(1+C711)*(1+C712)*(1+C713)*(1+C714)*(1+C715)*(1+C716)*(1+C717)*(1+C718)*(1+C719)*(1+C720))-1</f>
        <v>0.18229964077097249</v>
      </c>
      <c r="N720" s="446">
        <f t="shared" ref="N720:N783" si="134">E720*12</f>
        <v>0.10200000000000001</v>
      </c>
      <c r="O720" s="446">
        <f t="shared" si="126"/>
        <v>0.11260000000000001</v>
      </c>
      <c r="P720" s="447">
        <f t="shared" ref="P720:P783" si="135">M720-N720</f>
        <v>8.0299640770972486E-2</v>
      </c>
      <c r="Q720" s="446">
        <f t="shared" si="127"/>
        <v>6.9699640770972487E-2</v>
      </c>
      <c r="R720" s="446">
        <f t="shared" si="128"/>
        <v>0.33176206349008575</v>
      </c>
      <c r="S720" s="446">
        <f t="shared" si="129"/>
        <v>0.12137299999999998</v>
      </c>
      <c r="T720" s="447">
        <f t="shared" si="130"/>
        <v>0.21038906349008576</v>
      </c>
      <c r="V720" s="448"/>
      <c r="W720" s="448"/>
      <c r="X720" s="448"/>
      <c r="Y720" s="448"/>
      <c r="Z720" s="448"/>
      <c r="AA720" s="448"/>
      <c r="AB720" s="448"/>
      <c r="AC720" s="448"/>
      <c r="AD720" s="448"/>
      <c r="AF720" s="448"/>
      <c r="AG720" s="448"/>
      <c r="AH720" s="448"/>
      <c r="AI720" s="448"/>
      <c r="AJ720" s="448"/>
      <c r="AK720" s="448"/>
      <c r="AL720" s="448"/>
      <c r="AM720" s="448"/>
      <c r="AN720" s="448"/>
      <c r="AP720" s="448"/>
      <c r="AQ720" s="448"/>
      <c r="AR720" s="448"/>
      <c r="AS720" s="448"/>
      <c r="AT720" s="448"/>
      <c r="AU720" s="448"/>
      <c r="AV720" s="448"/>
      <c r="AW720" s="448"/>
      <c r="AX720" s="448"/>
    </row>
    <row r="721" spans="1:50" x14ac:dyDescent="0.4">
      <c r="A721" s="442" t="str">
        <f t="shared" si="131"/>
        <v>91985</v>
      </c>
      <c r="B721" s="442">
        <v>31291</v>
      </c>
      <c r="C721" s="455">
        <v>-3.1300000000000001E-2</v>
      </c>
      <c r="D721" s="438">
        <v>-5.21E-2</v>
      </c>
      <c r="E721" s="438">
        <v>8.8000000000000005E-3</v>
      </c>
      <c r="F721" s="438">
        <v>9.2250000000000006E-3</v>
      </c>
      <c r="G721" s="438">
        <v>9.5500000000000012E-3</v>
      </c>
      <c r="H721" s="438">
        <v>9.3875E-3</v>
      </c>
      <c r="I721" s="438">
        <v>1.0110083333333332E-2</v>
      </c>
      <c r="J721" s="438">
        <f t="shared" si="132"/>
        <v>-4.0100000000000004E-2</v>
      </c>
      <c r="K721" s="438">
        <f t="shared" si="124"/>
        <v>-4.0687500000000001E-2</v>
      </c>
      <c r="L721" s="438">
        <f t="shared" si="125"/>
        <v>-6.2210083333333333E-2</v>
      </c>
      <c r="M721" s="446">
        <f t="shared" si="133"/>
        <v>0.14506464908502381</v>
      </c>
      <c r="N721" s="446">
        <f t="shared" si="134"/>
        <v>0.1056</v>
      </c>
      <c r="O721" s="446">
        <f t="shared" si="126"/>
        <v>0.11265</v>
      </c>
      <c r="P721" s="447">
        <f t="shared" si="135"/>
        <v>3.9464649085023812E-2</v>
      </c>
      <c r="Q721" s="446">
        <f t="shared" si="127"/>
        <v>3.2414649085023811E-2</v>
      </c>
      <c r="R721" s="446">
        <f t="shared" si="128"/>
        <v>0.20940530751317499</v>
      </c>
      <c r="S721" s="446">
        <f t="shared" si="129"/>
        <v>0.12132099999999998</v>
      </c>
      <c r="T721" s="447">
        <f t="shared" si="130"/>
        <v>8.8084307513175003E-2</v>
      </c>
      <c r="V721" s="448"/>
      <c r="W721" s="448"/>
      <c r="X721" s="448"/>
      <c r="Y721" s="448"/>
      <c r="Z721" s="448"/>
      <c r="AA721" s="448"/>
      <c r="AB721" s="448"/>
      <c r="AC721" s="448"/>
      <c r="AD721" s="448"/>
      <c r="AF721" s="448"/>
      <c r="AG721" s="448"/>
      <c r="AH721" s="448"/>
      <c r="AI721" s="448"/>
      <c r="AJ721" s="448"/>
      <c r="AK721" s="448"/>
      <c r="AL721" s="448"/>
      <c r="AM721" s="448"/>
      <c r="AN721" s="448"/>
      <c r="AP721" s="448"/>
      <c r="AQ721" s="448"/>
      <c r="AR721" s="448"/>
      <c r="AS721" s="448"/>
      <c r="AT721" s="448"/>
      <c r="AU721" s="448"/>
      <c r="AV721" s="448"/>
      <c r="AW721" s="448"/>
      <c r="AX721" s="448"/>
    </row>
    <row r="722" spans="1:50" x14ac:dyDescent="0.4">
      <c r="A722" s="442" t="str">
        <f t="shared" si="131"/>
        <v>101985</v>
      </c>
      <c r="B722" s="442">
        <v>31321</v>
      </c>
      <c r="C722" s="455">
        <v>4.6199999999999998E-2</v>
      </c>
      <c r="D722" s="438">
        <v>6.3799999999999996E-2</v>
      </c>
      <c r="E722" s="438">
        <v>8.8999999999999999E-3</v>
      </c>
      <c r="F722" s="438">
        <v>9.1833333333333333E-3</v>
      </c>
      <c r="G722" s="438">
        <v>9.5416666666666653E-3</v>
      </c>
      <c r="H722" s="438">
        <v>9.362500000000001E-3</v>
      </c>
      <c r="I722" s="438">
        <v>1.0011583333333334E-2</v>
      </c>
      <c r="J722" s="438">
        <f t="shared" si="132"/>
        <v>3.73E-2</v>
      </c>
      <c r="K722" s="438">
        <f t="shared" si="124"/>
        <v>3.6837499999999995E-2</v>
      </c>
      <c r="L722" s="438">
        <f t="shared" si="125"/>
        <v>5.3788416666666658E-2</v>
      </c>
      <c r="M722" s="446">
        <f t="shared" si="133"/>
        <v>0.19331271627926272</v>
      </c>
      <c r="N722" s="446">
        <f t="shared" si="134"/>
        <v>0.10680000000000001</v>
      </c>
      <c r="O722" s="446">
        <f t="shared" si="126"/>
        <v>0.11235000000000001</v>
      </c>
      <c r="P722" s="447">
        <f t="shared" si="135"/>
        <v>8.6512716279262714E-2</v>
      </c>
      <c r="Q722" s="446">
        <f t="shared" si="127"/>
        <v>8.0962716279262714E-2</v>
      </c>
      <c r="R722" s="446">
        <f t="shared" si="128"/>
        <v>0.25249743587667028</v>
      </c>
      <c r="S722" s="446">
        <f t="shared" si="129"/>
        <v>0.12013900000000001</v>
      </c>
      <c r="T722" s="447">
        <f t="shared" si="130"/>
        <v>0.13235843587667029</v>
      </c>
      <c r="V722" s="448"/>
      <c r="W722" s="448"/>
      <c r="X722" s="448"/>
      <c r="Y722" s="448"/>
      <c r="Z722" s="448"/>
      <c r="AA722" s="448"/>
      <c r="AB722" s="448"/>
      <c r="AC722" s="448"/>
      <c r="AD722" s="448"/>
      <c r="AF722" s="448"/>
      <c r="AG722" s="448"/>
      <c r="AH722" s="448"/>
      <c r="AI722" s="448"/>
      <c r="AJ722" s="448"/>
      <c r="AK722" s="448"/>
      <c r="AL722" s="448"/>
      <c r="AM722" s="448"/>
      <c r="AN722" s="448"/>
      <c r="AP722" s="448"/>
      <c r="AQ722" s="448"/>
      <c r="AR722" s="448"/>
      <c r="AS722" s="448"/>
      <c r="AT722" s="448"/>
      <c r="AU722" s="448"/>
      <c r="AV722" s="448"/>
      <c r="AW722" s="448"/>
      <c r="AX722" s="448"/>
    </row>
    <row r="723" spans="1:50" x14ac:dyDescent="0.4">
      <c r="A723" s="442" t="str">
        <f t="shared" si="131"/>
        <v>111985</v>
      </c>
      <c r="B723" s="442">
        <v>31352</v>
      </c>
      <c r="C723" s="455">
        <v>6.8599999999999994E-2</v>
      </c>
      <c r="D723" s="438">
        <v>5.2200000000000003E-2</v>
      </c>
      <c r="E723" s="438">
        <v>8.0999999999999996E-3</v>
      </c>
      <c r="F723" s="438">
        <v>8.7916666666666681E-3</v>
      </c>
      <c r="G723" s="438">
        <v>9.2250000000000006E-3</v>
      </c>
      <c r="H723" s="438">
        <v>9.0083333333333335E-3</v>
      </c>
      <c r="I723" s="438">
        <v>9.5949999999999994E-3</v>
      </c>
      <c r="J723" s="438">
        <f t="shared" si="132"/>
        <v>6.0499999999999998E-2</v>
      </c>
      <c r="K723" s="438">
        <f t="shared" si="124"/>
        <v>5.9591666666666661E-2</v>
      </c>
      <c r="L723" s="438">
        <f t="shared" si="125"/>
        <v>4.2605000000000004E-2</v>
      </c>
      <c r="M723" s="446">
        <f t="shared" si="133"/>
        <v>0.2896176867071405</v>
      </c>
      <c r="N723" s="446">
        <f t="shared" si="134"/>
        <v>9.7199999999999995E-2</v>
      </c>
      <c r="O723" s="446">
        <f t="shared" si="126"/>
        <v>0.1081</v>
      </c>
      <c r="P723" s="447">
        <f t="shared" si="135"/>
        <v>0.19241768670714049</v>
      </c>
      <c r="Q723" s="446">
        <f t="shared" si="127"/>
        <v>0.1815176867071405</v>
      </c>
      <c r="R723" s="446">
        <f t="shared" si="128"/>
        <v>0.28323057646488103</v>
      </c>
      <c r="S723" s="446">
        <f t="shared" si="129"/>
        <v>0.11513999999999999</v>
      </c>
      <c r="T723" s="447">
        <f t="shared" si="130"/>
        <v>0.16809057646488104</v>
      </c>
      <c r="V723" s="448"/>
      <c r="W723" s="448"/>
      <c r="X723" s="448"/>
      <c r="Y723" s="448"/>
      <c r="Z723" s="448"/>
      <c r="AA723" s="448"/>
      <c r="AB723" s="448"/>
      <c r="AC723" s="448"/>
      <c r="AD723" s="448"/>
      <c r="AF723" s="448"/>
      <c r="AG723" s="448"/>
      <c r="AH723" s="448"/>
      <c r="AI723" s="448"/>
      <c r="AJ723" s="448"/>
      <c r="AK723" s="448"/>
      <c r="AL723" s="448"/>
      <c r="AM723" s="448"/>
      <c r="AN723" s="448"/>
      <c r="AP723" s="448"/>
      <c r="AQ723" s="448"/>
      <c r="AR723" s="448"/>
      <c r="AS723" s="448"/>
      <c r="AT723" s="448"/>
      <c r="AU723" s="448"/>
      <c r="AV723" s="448"/>
      <c r="AW723" s="448"/>
      <c r="AX723" s="448"/>
    </row>
    <row r="724" spans="1:50" x14ac:dyDescent="0.4">
      <c r="A724" s="442" t="str">
        <f t="shared" si="131"/>
        <v>121985</v>
      </c>
      <c r="B724" s="442">
        <v>31382</v>
      </c>
      <c r="C724" s="455">
        <v>4.8399999999999999E-2</v>
      </c>
      <c r="D724" s="438">
        <v>6.9400000000000003E-2</v>
      </c>
      <c r="E724" s="438">
        <v>8.6E-3</v>
      </c>
      <c r="F724" s="438">
        <v>8.4666666666666675E-3</v>
      </c>
      <c r="G724" s="438">
        <v>8.8583333333333344E-3</v>
      </c>
      <c r="H724" s="438">
        <v>8.6625000000000001E-3</v>
      </c>
      <c r="I724" s="438">
        <v>9.173333333333332E-3</v>
      </c>
      <c r="J724" s="438">
        <f t="shared" si="132"/>
        <v>3.9800000000000002E-2</v>
      </c>
      <c r="K724" s="438">
        <f t="shared" si="124"/>
        <v>3.9737499999999995E-2</v>
      </c>
      <c r="L724" s="438">
        <f t="shared" si="125"/>
        <v>6.0226666666666671E-2</v>
      </c>
      <c r="M724" s="446">
        <f t="shared" si="133"/>
        <v>0.31738788146133268</v>
      </c>
      <c r="N724" s="446">
        <f t="shared" si="134"/>
        <v>0.1032</v>
      </c>
      <c r="O724" s="446">
        <f t="shared" si="126"/>
        <v>0.10395</v>
      </c>
      <c r="P724" s="447">
        <f t="shared" si="135"/>
        <v>0.21418788146133266</v>
      </c>
      <c r="Q724" s="446">
        <f t="shared" si="127"/>
        <v>0.21343788146133269</v>
      </c>
      <c r="R724" s="446">
        <f t="shared" si="128"/>
        <v>0.33025085156217893</v>
      </c>
      <c r="S724" s="446">
        <f t="shared" si="129"/>
        <v>0.11007999999999998</v>
      </c>
      <c r="T724" s="447">
        <f t="shared" si="130"/>
        <v>0.22017085156217894</v>
      </c>
      <c r="V724" s="448"/>
      <c r="W724" s="448"/>
      <c r="X724" s="448"/>
      <c r="Y724" s="448"/>
      <c r="Z724" s="448"/>
      <c r="AA724" s="448"/>
      <c r="AB724" s="448"/>
      <c r="AC724" s="448"/>
      <c r="AD724" s="448"/>
      <c r="AF724" s="448"/>
      <c r="AG724" s="448"/>
      <c r="AH724" s="448"/>
      <c r="AI724" s="448"/>
      <c r="AJ724" s="448"/>
      <c r="AK724" s="448"/>
      <c r="AL724" s="448"/>
      <c r="AM724" s="448"/>
      <c r="AN724" s="448"/>
      <c r="AP724" s="448"/>
      <c r="AQ724" s="448"/>
      <c r="AR724" s="448"/>
      <c r="AS724" s="448"/>
      <c r="AT724" s="448"/>
      <c r="AU724" s="448"/>
      <c r="AV724" s="448"/>
      <c r="AW724" s="448"/>
      <c r="AX724" s="448"/>
    </row>
    <row r="725" spans="1:50" x14ac:dyDescent="0.4">
      <c r="A725" s="442" t="str">
        <f t="shared" si="131"/>
        <v>11986</v>
      </c>
      <c r="B725" s="442">
        <v>31413</v>
      </c>
      <c r="C725" s="455">
        <v>5.5999999999999999E-3</v>
      </c>
      <c r="D725" s="438">
        <v>2.9300000000000003E-2</v>
      </c>
      <c r="E725" s="438">
        <v>7.9000000000000008E-3</v>
      </c>
      <c r="F725" s="438">
        <v>8.3750000000000005E-3</v>
      </c>
      <c r="G725" s="438">
        <v>8.7166666666666677E-3</v>
      </c>
      <c r="H725" s="438">
        <v>8.5458333333333341E-3</v>
      </c>
      <c r="I725" s="438">
        <v>8.9988333333333344E-3</v>
      </c>
      <c r="J725" s="438">
        <f t="shared" si="132"/>
        <v>-2.3000000000000008E-3</v>
      </c>
      <c r="K725" s="438">
        <f t="shared" si="124"/>
        <v>-2.9458333333333342E-3</v>
      </c>
      <c r="L725" s="438">
        <f t="shared" si="125"/>
        <v>2.0301166666666669E-2</v>
      </c>
      <c r="M725" s="446">
        <f t="shared" si="133"/>
        <v>0.22902426347297222</v>
      </c>
      <c r="N725" s="446">
        <f t="shared" si="134"/>
        <v>9.4800000000000009E-2</v>
      </c>
      <c r="O725" s="446">
        <f t="shared" si="126"/>
        <v>0.10255</v>
      </c>
      <c r="P725" s="447">
        <f t="shared" si="135"/>
        <v>0.13422426347297223</v>
      </c>
      <c r="Q725" s="446">
        <f t="shared" si="127"/>
        <v>0.12647426347297222</v>
      </c>
      <c r="R725" s="446">
        <f t="shared" si="128"/>
        <v>0.33778915633898454</v>
      </c>
      <c r="S725" s="446">
        <f t="shared" si="129"/>
        <v>0.10798600000000001</v>
      </c>
      <c r="T725" s="447">
        <f t="shared" si="130"/>
        <v>0.22980315633898452</v>
      </c>
      <c r="V725" s="448"/>
      <c r="W725" s="448"/>
      <c r="X725" s="448"/>
      <c r="Y725" s="448"/>
      <c r="Z725" s="448"/>
      <c r="AA725" s="448"/>
      <c r="AB725" s="448"/>
      <c r="AC725" s="448"/>
      <c r="AD725" s="448"/>
      <c r="AF725" s="448"/>
      <c r="AG725" s="448"/>
      <c r="AH725" s="448"/>
      <c r="AI725" s="448"/>
      <c r="AJ725" s="448"/>
      <c r="AK725" s="448"/>
      <c r="AL725" s="448"/>
      <c r="AM725" s="448"/>
      <c r="AN725" s="448"/>
      <c r="AP725" s="448"/>
      <c r="AQ725" s="448"/>
      <c r="AR725" s="448"/>
      <c r="AS725" s="448"/>
      <c r="AT725" s="448"/>
      <c r="AU725" s="448"/>
      <c r="AV725" s="448"/>
      <c r="AW725" s="448"/>
      <c r="AX725" s="448"/>
    </row>
    <row r="726" spans="1:50" x14ac:dyDescent="0.4">
      <c r="A726" s="442" t="str">
        <f t="shared" si="131"/>
        <v>21986</v>
      </c>
      <c r="B726" s="442">
        <v>31444</v>
      </c>
      <c r="C726" s="455">
        <v>7.4700000000000003E-2</v>
      </c>
      <c r="D726" s="438">
        <v>6.2300000000000001E-2</v>
      </c>
      <c r="E726" s="438">
        <v>7.3000000000000001E-3</v>
      </c>
      <c r="F726" s="438">
        <v>8.0583333333333323E-3</v>
      </c>
      <c r="G726" s="438">
        <v>8.4416666666666668E-3</v>
      </c>
      <c r="H726" s="438">
        <v>8.2500000000000004E-3</v>
      </c>
      <c r="I726" s="438">
        <v>8.5969166666666659E-3</v>
      </c>
      <c r="J726" s="438">
        <f t="shared" si="132"/>
        <v>6.7400000000000002E-2</v>
      </c>
      <c r="K726" s="438">
        <f t="shared" si="124"/>
        <v>6.6450000000000009E-2</v>
      </c>
      <c r="L726" s="438">
        <f t="shared" si="125"/>
        <v>5.3703083333333332E-2</v>
      </c>
      <c r="M726" s="446">
        <f t="shared" si="133"/>
        <v>0.30491244413594454</v>
      </c>
      <c r="N726" s="446">
        <f t="shared" si="134"/>
        <v>8.7599999999999997E-2</v>
      </c>
      <c r="O726" s="446">
        <f t="shared" si="126"/>
        <v>9.9000000000000005E-2</v>
      </c>
      <c r="P726" s="447">
        <f t="shared" si="135"/>
        <v>0.21731244413594453</v>
      </c>
      <c r="Q726" s="446">
        <f t="shared" si="127"/>
        <v>0.20591244413594453</v>
      </c>
      <c r="R726" s="446">
        <f t="shared" si="128"/>
        <v>0.39422488058363925</v>
      </c>
      <c r="S726" s="446">
        <f t="shared" si="129"/>
        <v>0.10316299999999999</v>
      </c>
      <c r="T726" s="447">
        <f t="shared" si="130"/>
        <v>0.29106188058363924</v>
      </c>
      <c r="V726" s="448"/>
      <c r="W726" s="448"/>
      <c r="X726" s="448"/>
      <c r="Y726" s="448"/>
      <c r="Z726" s="448"/>
      <c r="AA726" s="448"/>
      <c r="AB726" s="448"/>
      <c r="AC726" s="448"/>
      <c r="AD726" s="448"/>
      <c r="AF726" s="448"/>
      <c r="AG726" s="448"/>
      <c r="AH726" s="448"/>
      <c r="AI726" s="448"/>
      <c r="AJ726" s="448"/>
      <c r="AK726" s="448"/>
      <c r="AL726" s="448"/>
      <c r="AM726" s="448"/>
      <c r="AN726" s="448"/>
      <c r="AP726" s="448"/>
      <c r="AQ726" s="448"/>
      <c r="AR726" s="448"/>
      <c r="AS726" s="448"/>
      <c r="AT726" s="448"/>
      <c r="AU726" s="448"/>
      <c r="AV726" s="448"/>
      <c r="AW726" s="448"/>
      <c r="AX726" s="448"/>
    </row>
    <row r="727" spans="1:50" x14ac:dyDescent="0.4">
      <c r="A727" s="442" t="str">
        <f t="shared" si="131"/>
        <v>31986</v>
      </c>
      <c r="B727" s="442">
        <v>31472</v>
      </c>
      <c r="C727" s="455">
        <v>5.5800000000000002E-2</v>
      </c>
      <c r="D727" s="438">
        <v>5.1400000000000008E-2</v>
      </c>
      <c r="E727" s="438">
        <v>7.1000000000000004E-3</v>
      </c>
      <c r="F727" s="438">
        <v>7.4999999999999997E-3</v>
      </c>
      <c r="G727" s="438">
        <v>7.9083333333333332E-3</v>
      </c>
      <c r="H727" s="438">
        <v>7.7041666666666673E-3</v>
      </c>
      <c r="I727" s="438">
        <v>7.9274999999999988E-3</v>
      </c>
      <c r="J727" s="438">
        <f t="shared" si="132"/>
        <v>4.87E-2</v>
      </c>
      <c r="K727" s="438">
        <f t="shared" si="124"/>
        <v>4.8095833333333338E-2</v>
      </c>
      <c r="L727" s="438">
        <f t="shared" si="125"/>
        <v>4.3472500000000011E-2</v>
      </c>
      <c r="M727" s="446">
        <f t="shared" si="133"/>
        <v>0.37676282454155108</v>
      </c>
      <c r="N727" s="446">
        <f t="shared" si="134"/>
        <v>8.5199999999999998E-2</v>
      </c>
      <c r="O727" s="446">
        <f t="shared" si="126"/>
        <v>9.2450000000000004E-2</v>
      </c>
      <c r="P727" s="447">
        <f t="shared" si="135"/>
        <v>0.29156282454155108</v>
      </c>
      <c r="Q727" s="446">
        <f t="shared" si="127"/>
        <v>0.28431282454155105</v>
      </c>
      <c r="R727" s="446">
        <f t="shared" si="128"/>
        <v>0.41467674140671495</v>
      </c>
      <c r="S727" s="446">
        <f t="shared" si="129"/>
        <v>9.5129999999999992E-2</v>
      </c>
      <c r="T727" s="447">
        <f t="shared" si="130"/>
        <v>0.31954674140671496</v>
      </c>
      <c r="V727" s="448"/>
      <c r="W727" s="448"/>
      <c r="X727" s="448"/>
      <c r="Y727" s="448"/>
      <c r="Z727" s="448"/>
      <c r="AA727" s="448"/>
      <c r="AB727" s="448"/>
      <c r="AC727" s="448"/>
      <c r="AD727" s="448"/>
      <c r="AF727" s="448"/>
      <c r="AG727" s="448"/>
      <c r="AH727" s="448"/>
      <c r="AI727" s="448"/>
      <c r="AJ727" s="448"/>
      <c r="AK727" s="448"/>
      <c r="AL727" s="448"/>
      <c r="AM727" s="448"/>
      <c r="AN727" s="448"/>
      <c r="AP727" s="448"/>
      <c r="AQ727" s="448"/>
      <c r="AR727" s="448"/>
      <c r="AS727" s="448"/>
      <c r="AT727" s="448"/>
      <c r="AU727" s="448"/>
      <c r="AV727" s="448"/>
      <c r="AW727" s="448"/>
      <c r="AX727" s="448"/>
    </row>
    <row r="728" spans="1:50" x14ac:dyDescent="0.4">
      <c r="A728" s="442" t="str">
        <f t="shared" si="131"/>
        <v>41986</v>
      </c>
      <c r="B728" s="442">
        <v>31503</v>
      </c>
      <c r="C728" s="455">
        <v>-1.1299999999999999E-2</v>
      </c>
      <c r="D728" s="438">
        <v>-3.3300000000000003E-2</v>
      </c>
      <c r="E728" s="438">
        <v>6.3E-3</v>
      </c>
      <c r="F728" s="438">
        <v>7.324999999999999E-3</v>
      </c>
      <c r="G728" s="438">
        <v>7.6750000000000004E-3</v>
      </c>
      <c r="H728" s="438">
        <v>7.4999999999999997E-3</v>
      </c>
      <c r="I728" s="438">
        <v>7.609083333333334E-3</v>
      </c>
      <c r="J728" s="438">
        <f t="shared" si="132"/>
        <v>-1.7599999999999998E-2</v>
      </c>
      <c r="K728" s="438">
        <f t="shared" si="124"/>
        <v>-1.8799999999999997E-2</v>
      </c>
      <c r="L728" s="438">
        <f t="shared" si="125"/>
        <v>-4.0909083333333339E-2</v>
      </c>
      <c r="M728" s="446">
        <f t="shared" si="133"/>
        <v>0.362431593057984</v>
      </c>
      <c r="N728" s="446">
        <f t="shared" si="134"/>
        <v>7.5600000000000001E-2</v>
      </c>
      <c r="O728" s="446">
        <f t="shared" si="126"/>
        <v>0.09</v>
      </c>
      <c r="P728" s="447">
        <f t="shared" si="135"/>
        <v>0.286831593057984</v>
      </c>
      <c r="Q728" s="446">
        <f t="shared" si="127"/>
        <v>0.27243159305798403</v>
      </c>
      <c r="R728" s="446">
        <f t="shared" si="128"/>
        <v>0.33983345343183236</v>
      </c>
      <c r="S728" s="446">
        <f t="shared" si="129"/>
        <v>9.1309000000000001E-2</v>
      </c>
      <c r="T728" s="447">
        <f t="shared" si="130"/>
        <v>0.24852445343183235</v>
      </c>
      <c r="V728" s="448"/>
      <c r="W728" s="448"/>
      <c r="X728" s="448"/>
      <c r="Y728" s="448"/>
      <c r="Z728" s="448"/>
      <c r="AA728" s="448"/>
      <c r="AB728" s="448"/>
      <c r="AC728" s="448"/>
      <c r="AD728" s="448"/>
      <c r="AF728" s="448"/>
      <c r="AG728" s="448"/>
      <c r="AH728" s="448"/>
      <c r="AI728" s="448"/>
      <c r="AJ728" s="448"/>
      <c r="AK728" s="448"/>
      <c r="AL728" s="448"/>
      <c r="AM728" s="448"/>
      <c r="AN728" s="448"/>
      <c r="AP728" s="448"/>
      <c r="AQ728" s="448"/>
      <c r="AR728" s="448"/>
      <c r="AS728" s="448"/>
      <c r="AT728" s="448"/>
      <c r="AU728" s="448"/>
      <c r="AV728" s="448"/>
      <c r="AW728" s="448"/>
      <c r="AX728" s="448"/>
    </row>
    <row r="729" spans="1:50" x14ac:dyDescent="0.4">
      <c r="A729" s="442" t="str">
        <f t="shared" si="131"/>
        <v>51986</v>
      </c>
      <c r="B729" s="442">
        <v>31533</v>
      </c>
      <c r="C729" s="455">
        <v>5.3199999999999997E-2</v>
      </c>
      <c r="D729" s="438">
        <v>5.2500000000000012E-2</v>
      </c>
      <c r="E729" s="438">
        <v>6.1999999999999998E-3</v>
      </c>
      <c r="F729" s="438">
        <v>7.5749999999999993E-3</v>
      </c>
      <c r="G729" s="438">
        <v>7.8583333333333335E-3</v>
      </c>
      <c r="H729" s="438">
        <v>7.7166666666666659E-3</v>
      </c>
      <c r="I729" s="438">
        <v>7.9722500000000002E-3</v>
      </c>
      <c r="J729" s="438">
        <f t="shared" si="132"/>
        <v>4.7E-2</v>
      </c>
      <c r="K729" s="438">
        <f t="shared" si="124"/>
        <v>4.5483333333333334E-2</v>
      </c>
      <c r="L729" s="438">
        <f t="shared" si="125"/>
        <v>4.4527750000000012E-2</v>
      </c>
      <c r="M729" s="446">
        <f t="shared" si="133"/>
        <v>0.35650685744816468</v>
      </c>
      <c r="N729" s="446">
        <f t="shared" si="134"/>
        <v>7.4399999999999994E-2</v>
      </c>
      <c r="O729" s="446">
        <f t="shared" si="126"/>
        <v>9.2599999999999988E-2</v>
      </c>
      <c r="P729" s="447">
        <f t="shared" si="135"/>
        <v>0.28210685744816466</v>
      </c>
      <c r="Q729" s="446">
        <f t="shared" si="127"/>
        <v>0.26390685744816467</v>
      </c>
      <c r="R729" s="446">
        <f t="shared" si="128"/>
        <v>0.3296008954714349</v>
      </c>
      <c r="S729" s="446">
        <f t="shared" si="129"/>
        <v>9.5667000000000002E-2</v>
      </c>
      <c r="T729" s="447">
        <f t="shared" si="130"/>
        <v>0.23393389547143489</v>
      </c>
      <c r="V729" s="448"/>
      <c r="W729" s="448"/>
      <c r="X729" s="448"/>
      <c r="Y729" s="448"/>
      <c r="Z729" s="448"/>
      <c r="AA729" s="448"/>
      <c r="AB729" s="448"/>
      <c r="AC729" s="448"/>
      <c r="AD729" s="448"/>
      <c r="AF729" s="448"/>
      <c r="AG729" s="448"/>
      <c r="AH729" s="448"/>
      <c r="AI729" s="448"/>
      <c r="AJ729" s="448"/>
      <c r="AK729" s="448"/>
      <c r="AL729" s="448"/>
      <c r="AM729" s="448"/>
      <c r="AN729" s="448"/>
      <c r="AP729" s="448"/>
      <c r="AQ729" s="448"/>
      <c r="AR729" s="448"/>
      <c r="AS729" s="448"/>
      <c r="AT729" s="448"/>
      <c r="AU729" s="448"/>
      <c r="AV729" s="448"/>
      <c r="AW729" s="448"/>
      <c r="AX729" s="448"/>
    </row>
    <row r="730" spans="1:50" x14ac:dyDescent="0.4">
      <c r="A730" s="442" t="str">
        <f t="shared" si="131"/>
        <v>61986</v>
      </c>
      <c r="B730" s="442">
        <v>31564</v>
      </c>
      <c r="C730" s="455">
        <v>1.6899999999999998E-2</v>
      </c>
      <c r="D730" s="438">
        <v>5.9699999999999996E-2</v>
      </c>
      <c r="E730" s="438">
        <v>7.000000000000001E-3</v>
      </c>
      <c r="F730" s="438">
        <v>7.6083333333333333E-3</v>
      </c>
      <c r="G730" s="438">
        <v>7.9083333333333332E-3</v>
      </c>
      <c r="H730" s="438">
        <v>7.7583333333333341E-3</v>
      </c>
      <c r="I730" s="438">
        <v>8.0456666666666662E-3</v>
      </c>
      <c r="J730" s="438">
        <f t="shared" si="132"/>
        <v>9.8999999999999973E-3</v>
      </c>
      <c r="K730" s="438">
        <f t="shared" si="124"/>
        <v>9.1416666666666643E-3</v>
      </c>
      <c r="L730" s="438">
        <f t="shared" si="125"/>
        <v>5.165433333333333E-2</v>
      </c>
      <c r="M730" s="446">
        <f t="shared" si="133"/>
        <v>0.35810950412428655</v>
      </c>
      <c r="N730" s="446">
        <f t="shared" si="134"/>
        <v>8.4000000000000019E-2</v>
      </c>
      <c r="O730" s="446">
        <f t="shared" si="126"/>
        <v>9.3100000000000016E-2</v>
      </c>
      <c r="P730" s="447">
        <f t="shared" si="135"/>
        <v>0.27410950412428653</v>
      </c>
      <c r="Q730" s="446">
        <f t="shared" si="127"/>
        <v>0.26500950412428653</v>
      </c>
      <c r="R730" s="446">
        <f t="shared" si="128"/>
        <v>0.37073457430788936</v>
      </c>
      <c r="S730" s="446">
        <f t="shared" si="129"/>
        <v>9.6547999999999995E-2</v>
      </c>
      <c r="T730" s="447">
        <f t="shared" si="130"/>
        <v>0.2741865743078894</v>
      </c>
      <c r="V730" s="448"/>
      <c r="W730" s="448"/>
      <c r="X730" s="448"/>
      <c r="Y730" s="448"/>
      <c r="Z730" s="448"/>
      <c r="AA730" s="448"/>
      <c r="AB730" s="448"/>
      <c r="AC730" s="448"/>
      <c r="AD730" s="448"/>
      <c r="AF730" s="448"/>
      <c r="AG730" s="448"/>
      <c r="AH730" s="448"/>
      <c r="AI730" s="448"/>
      <c r="AJ730" s="448"/>
      <c r="AK730" s="448"/>
      <c r="AL730" s="448"/>
      <c r="AM730" s="448"/>
      <c r="AN730" s="448"/>
      <c r="AP730" s="448"/>
      <c r="AQ730" s="448"/>
      <c r="AR730" s="448"/>
      <c r="AS730" s="448"/>
      <c r="AT730" s="448"/>
      <c r="AU730" s="448"/>
      <c r="AV730" s="448"/>
      <c r="AW730" s="448"/>
      <c r="AX730" s="448"/>
    </row>
    <row r="731" spans="1:50" x14ac:dyDescent="0.4">
      <c r="A731" s="442" t="str">
        <f t="shared" si="131"/>
        <v>71986</v>
      </c>
      <c r="B731" s="442">
        <v>31594</v>
      </c>
      <c r="C731" s="455">
        <v>-5.5899999999999998E-2</v>
      </c>
      <c r="D731" s="438">
        <v>2.8300000000000002E-2</v>
      </c>
      <c r="E731" s="438">
        <v>6.6E-3</v>
      </c>
      <c r="F731" s="438">
        <v>7.4000000000000012E-3</v>
      </c>
      <c r="G731" s="438">
        <v>7.7333333333333334E-3</v>
      </c>
      <c r="H731" s="438">
        <v>7.5666666666666669E-3</v>
      </c>
      <c r="I731" s="438">
        <v>7.7954166666666666E-3</v>
      </c>
      <c r="J731" s="438">
        <f t="shared" si="132"/>
        <v>-6.25E-2</v>
      </c>
      <c r="K731" s="438">
        <f t="shared" si="124"/>
        <v>-6.3466666666666671E-2</v>
      </c>
      <c r="L731" s="438">
        <f t="shared" si="125"/>
        <v>2.0504583333333336E-2</v>
      </c>
      <c r="M731" s="446">
        <f t="shared" si="133"/>
        <v>0.28411735888206291</v>
      </c>
      <c r="N731" s="446">
        <f t="shared" si="134"/>
        <v>7.9199999999999993E-2</v>
      </c>
      <c r="O731" s="446">
        <f t="shared" si="126"/>
        <v>9.0800000000000006E-2</v>
      </c>
      <c r="P731" s="447">
        <f t="shared" si="135"/>
        <v>0.20491735888206292</v>
      </c>
      <c r="Q731" s="446">
        <f t="shared" si="127"/>
        <v>0.19331735888206292</v>
      </c>
      <c r="R731" s="446">
        <f t="shared" si="128"/>
        <v>0.47239774653797428</v>
      </c>
      <c r="S731" s="446">
        <f t="shared" si="129"/>
        <v>9.3545000000000003E-2</v>
      </c>
      <c r="T731" s="447">
        <f t="shared" si="130"/>
        <v>0.37885274653797429</v>
      </c>
      <c r="V731" s="448"/>
      <c r="W731" s="448"/>
      <c r="X731" s="448"/>
      <c r="Y731" s="448"/>
      <c r="Z731" s="448"/>
      <c r="AA731" s="448"/>
      <c r="AB731" s="448"/>
      <c r="AC731" s="448"/>
      <c r="AD731" s="448"/>
      <c r="AF731" s="448"/>
      <c r="AG731" s="448"/>
      <c r="AH731" s="448"/>
      <c r="AI731" s="448"/>
      <c r="AJ731" s="448"/>
      <c r="AK731" s="448"/>
      <c r="AL731" s="448"/>
      <c r="AM731" s="448"/>
      <c r="AN731" s="448"/>
      <c r="AP731" s="448"/>
      <c r="AQ731" s="448"/>
      <c r="AR731" s="448"/>
      <c r="AS731" s="448"/>
      <c r="AT731" s="448"/>
      <c r="AU731" s="448"/>
      <c r="AV731" s="448"/>
      <c r="AW731" s="448"/>
      <c r="AX731" s="448"/>
    </row>
    <row r="732" spans="1:50" x14ac:dyDescent="0.4">
      <c r="A732" s="442" t="str">
        <f t="shared" si="131"/>
        <v>81986</v>
      </c>
      <c r="B732" s="442">
        <v>31625</v>
      </c>
      <c r="C732" s="455">
        <v>7.4200000000000002E-2</v>
      </c>
      <c r="D732" s="438">
        <v>8.8399999999999992E-2</v>
      </c>
      <c r="E732" s="438">
        <v>6.3E-3</v>
      </c>
      <c r="F732" s="438">
        <v>7.2666666666666669E-3</v>
      </c>
      <c r="G732" s="438">
        <v>7.6833333333333345E-3</v>
      </c>
      <c r="H732" s="438">
        <v>7.4750000000000007E-3</v>
      </c>
      <c r="I732" s="438">
        <v>7.7555833333333322E-3</v>
      </c>
      <c r="J732" s="438">
        <f t="shared" si="132"/>
        <v>6.7900000000000002E-2</v>
      </c>
      <c r="K732" s="438">
        <f t="shared" si="124"/>
        <v>6.6725000000000007E-2</v>
      </c>
      <c r="L732" s="438">
        <f t="shared" si="125"/>
        <v>8.0644416666666663E-2</v>
      </c>
      <c r="M732" s="446">
        <f t="shared" si="133"/>
        <v>0.3912242732335971</v>
      </c>
      <c r="N732" s="446">
        <f t="shared" si="134"/>
        <v>7.5600000000000001E-2</v>
      </c>
      <c r="O732" s="446">
        <f t="shared" si="126"/>
        <v>8.9700000000000002E-2</v>
      </c>
      <c r="P732" s="447">
        <f t="shared" si="135"/>
        <v>0.3156242732335971</v>
      </c>
      <c r="Q732" s="446">
        <f t="shared" si="127"/>
        <v>0.3015242732335971</v>
      </c>
      <c r="R732" s="446">
        <f t="shared" si="128"/>
        <v>0.57406709294954394</v>
      </c>
      <c r="S732" s="446">
        <f t="shared" si="129"/>
        <v>9.3066999999999983E-2</v>
      </c>
      <c r="T732" s="447">
        <f t="shared" si="130"/>
        <v>0.48100009294954393</v>
      </c>
      <c r="V732" s="448"/>
      <c r="W732" s="448"/>
      <c r="X732" s="448"/>
      <c r="Y732" s="448"/>
      <c r="Z732" s="448"/>
      <c r="AA732" s="448"/>
      <c r="AB732" s="448"/>
      <c r="AC732" s="448"/>
      <c r="AD732" s="448"/>
      <c r="AF732" s="448"/>
      <c r="AG732" s="448"/>
      <c r="AH732" s="448"/>
      <c r="AI732" s="448"/>
      <c r="AJ732" s="448"/>
      <c r="AK732" s="448"/>
      <c r="AL732" s="448"/>
      <c r="AM732" s="448"/>
      <c r="AN732" s="448"/>
      <c r="AP732" s="448"/>
      <c r="AQ732" s="448"/>
      <c r="AR732" s="448"/>
      <c r="AS732" s="448"/>
      <c r="AT732" s="448"/>
      <c r="AU732" s="448"/>
      <c r="AV732" s="448"/>
      <c r="AW732" s="448"/>
      <c r="AX732" s="448"/>
    </row>
    <row r="733" spans="1:50" x14ac:dyDescent="0.4">
      <c r="A733" s="442" t="str">
        <f t="shared" si="131"/>
        <v>91986</v>
      </c>
      <c r="B733" s="442">
        <v>31656</v>
      </c>
      <c r="C733" s="455">
        <v>-8.2699999999999996E-2</v>
      </c>
      <c r="D733" s="438">
        <v>-0.11370000000000001</v>
      </c>
      <c r="E733" s="438">
        <v>6.5000000000000006E-3</v>
      </c>
      <c r="F733" s="438">
        <v>7.4083333333333336E-3</v>
      </c>
      <c r="G733" s="438">
        <v>7.7999999999999988E-3</v>
      </c>
      <c r="H733" s="438">
        <v>7.6041666666666662E-3</v>
      </c>
      <c r="I733" s="438">
        <v>7.9194166666666666E-3</v>
      </c>
      <c r="J733" s="438">
        <f t="shared" si="132"/>
        <v>-8.9200000000000002E-2</v>
      </c>
      <c r="K733" s="438">
        <f t="shared" ref="K733:K796" si="136">C733-H733</f>
        <v>-9.0304166666666658E-2</v>
      </c>
      <c r="L733" s="438">
        <f t="shared" ref="L733:L796" si="137">$D733-I733</f>
        <v>-0.12161941666666667</v>
      </c>
      <c r="M733" s="446">
        <f t="shared" si="133"/>
        <v>0.31740479595042714</v>
      </c>
      <c r="N733" s="446">
        <f t="shared" si="134"/>
        <v>7.8000000000000014E-2</v>
      </c>
      <c r="O733" s="446">
        <f t="shared" si="126"/>
        <v>9.1249999999999998E-2</v>
      </c>
      <c r="P733" s="447">
        <f t="shared" si="135"/>
        <v>0.23940479595042713</v>
      </c>
      <c r="Q733" s="446">
        <f t="shared" si="127"/>
        <v>0.22615479595042715</v>
      </c>
      <c r="R733" s="446">
        <f t="shared" si="128"/>
        <v>0.47177514978497825</v>
      </c>
      <c r="S733" s="446">
        <f t="shared" si="129"/>
        <v>9.5033000000000006E-2</v>
      </c>
      <c r="T733" s="447">
        <f t="shared" si="130"/>
        <v>0.37674214978497822</v>
      </c>
      <c r="V733" s="448"/>
      <c r="W733" s="448"/>
      <c r="X733" s="448"/>
      <c r="Y733" s="448"/>
      <c r="Z733" s="448"/>
      <c r="AA733" s="448"/>
      <c r="AB733" s="448"/>
      <c r="AC733" s="448"/>
      <c r="AD733" s="448"/>
      <c r="AF733" s="448"/>
      <c r="AG733" s="448"/>
      <c r="AH733" s="448"/>
      <c r="AI733" s="448"/>
      <c r="AJ733" s="448"/>
      <c r="AK733" s="448"/>
      <c r="AL733" s="448"/>
      <c r="AM733" s="448"/>
      <c r="AN733" s="448"/>
      <c r="AP733" s="448"/>
      <c r="AQ733" s="448"/>
      <c r="AR733" s="448"/>
      <c r="AS733" s="448"/>
      <c r="AT733" s="448"/>
      <c r="AU733" s="448"/>
      <c r="AV733" s="448"/>
      <c r="AW733" s="448"/>
      <c r="AX733" s="448"/>
    </row>
    <row r="734" spans="1:50" x14ac:dyDescent="0.4">
      <c r="A734" s="442" t="str">
        <f t="shared" si="131"/>
        <v>101986</v>
      </c>
      <c r="B734" s="442">
        <v>31686</v>
      </c>
      <c r="C734" s="455">
        <v>5.7700000000000001E-2</v>
      </c>
      <c r="D734" s="438">
        <v>5.050000000000001E-2</v>
      </c>
      <c r="E734" s="438">
        <v>6.8999999999999999E-3</v>
      </c>
      <c r="F734" s="438">
        <v>7.3833333333333329E-3</v>
      </c>
      <c r="G734" s="438">
        <v>7.7749999999999998E-3</v>
      </c>
      <c r="H734" s="438">
        <v>7.5791666666666655E-3</v>
      </c>
      <c r="I734" s="438">
        <v>7.9395000000000004E-3</v>
      </c>
      <c r="J734" s="438">
        <f t="shared" si="132"/>
        <v>5.0799999999999998E-2</v>
      </c>
      <c r="K734" s="438">
        <f t="shared" si="136"/>
        <v>5.0120833333333337E-2</v>
      </c>
      <c r="L734" s="438">
        <f t="shared" si="137"/>
        <v>4.2560500000000008E-2</v>
      </c>
      <c r="M734" s="446">
        <f t="shared" si="133"/>
        <v>0.33188592303265807</v>
      </c>
      <c r="N734" s="446">
        <f t="shared" si="134"/>
        <v>8.2799999999999999E-2</v>
      </c>
      <c r="O734" s="446">
        <f t="shared" si="126"/>
        <v>9.0949999999999989E-2</v>
      </c>
      <c r="P734" s="447">
        <f t="shared" si="135"/>
        <v>0.24908592303265809</v>
      </c>
      <c r="Q734" s="446">
        <f t="shared" si="127"/>
        <v>0.24093592303265809</v>
      </c>
      <c r="R734" s="446">
        <f t="shared" si="128"/>
        <v>0.45337450164421833</v>
      </c>
      <c r="S734" s="446">
        <f t="shared" si="129"/>
        <v>9.5273999999999998E-2</v>
      </c>
      <c r="T734" s="447">
        <f t="shared" si="130"/>
        <v>0.35810050164421836</v>
      </c>
      <c r="V734" s="448"/>
      <c r="W734" s="448"/>
      <c r="X734" s="448"/>
      <c r="Y734" s="448"/>
      <c r="Z734" s="448"/>
      <c r="AA734" s="448"/>
      <c r="AB734" s="448"/>
      <c r="AC734" s="448"/>
      <c r="AD734" s="448"/>
      <c r="AF734" s="448"/>
      <c r="AG734" s="448"/>
      <c r="AH734" s="448"/>
      <c r="AI734" s="448"/>
      <c r="AJ734" s="448"/>
      <c r="AK734" s="448"/>
      <c r="AL734" s="448"/>
      <c r="AM734" s="448"/>
      <c r="AN734" s="448"/>
      <c r="AP734" s="448"/>
      <c r="AQ734" s="448"/>
      <c r="AR734" s="448"/>
      <c r="AS734" s="448"/>
      <c r="AT734" s="448"/>
      <c r="AU734" s="448"/>
      <c r="AV734" s="448"/>
      <c r="AW734" s="448"/>
      <c r="AX734" s="448"/>
    </row>
    <row r="735" spans="1:50" x14ac:dyDescent="0.4">
      <c r="A735" s="442" t="str">
        <f t="shared" si="131"/>
        <v>111986</v>
      </c>
      <c r="B735" s="442">
        <v>31717</v>
      </c>
      <c r="C735" s="455">
        <v>2.4299999999999999E-2</v>
      </c>
      <c r="D735" s="438">
        <v>2.1099999999999997E-2</v>
      </c>
      <c r="E735" s="438">
        <v>5.8999999999999999E-3</v>
      </c>
      <c r="F735" s="438">
        <v>7.2333333333333329E-3</v>
      </c>
      <c r="G735" s="438">
        <v>7.6666666666666662E-3</v>
      </c>
      <c r="H735" s="438">
        <v>7.4499999999999992E-3</v>
      </c>
      <c r="I735" s="438">
        <v>7.744749999999999E-3</v>
      </c>
      <c r="J735" s="438">
        <f t="shared" si="132"/>
        <v>1.84E-2</v>
      </c>
      <c r="K735" s="438">
        <f t="shared" si="136"/>
        <v>1.685E-2</v>
      </c>
      <c r="L735" s="438">
        <f t="shared" si="137"/>
        <v>1.3355249999999999E-2</v>
      </c>
      <c r="M735" s="446">
        <f t="shared" si="133"/>
        <v>0.27667111263555233</v>
      </c>
      <c r="N735" s="446">
        <f t="shared" si="134"/>
        <v>7.0800000000000002E-2</v>
      </c>
      <c r="O735" s="446">
        <f t="shared" si="126"/>
        <v>8.9399999999999993E-2</v>
      </c>
      <c r="P735" s="447">
        <f t="shared" si="135"/>
        <v>0.20587111263555233</v>
      </c>
      <c r="Q735" s="446">
        <f t="shared" si="127"/>
        <v>0.18727111263555235</v>
      </c>
      <c r="R735" s="446">
        <f t="shared" si="128"/>
        <v>0.41041693939261692</v>
      </c>
      <c r="S735" s="446">
        <f t="shared" si="129"/>
        <v>9.2936999999999992E-2</v>
      </c>
      <c r="T735" s="447">
        <f t="shared" si="130"/>
        <v>0.31747993939261693</v>
      </c>
      <c r="V735" s="448"/>
      <c r="W735" s="448"/>
      <c r="X735" s="448"/>
      <c r="Y735" s="448"/>
      <c r="Z735" s="448"/>
      <c r="AA735" s="448"/>
      <c r="AB735" s="448"/>
      <c r="AC735" s="448"/>
      <c r="AD735" s="448"/>
      <c r="AF735" s="448"/>
      <c r="AG735" s="448"/>
      <c r="AH735" s="448"/>
      <c r="AI735" s="448"/>
      <c r="AJ735" s="448"/>
      <c r="AK735" s="448"/>
      <c r="AL735" s="448"/>
      <c r="AM735" s="448"/>
      <c r="AN735" s="448"/>
      <c r="AP735" s="448"/>
      <c r="AQ735" s="448"/>
      <c r="AR735" s="448"/>
      <c r="AS735" s="448"/>
      <c r="AT735" s="448"/>
      <c r="AU735" s="448"/>
      <c r="AV735" s="448"/>
      <c r="AW735" s="448"/>
      <c r="AX735" s="448"/>
    </row>
    <row r="736" spans="1:50" x14ac:dyDescent="0.4">
      <c r="A736" s="442" t="str">
        <f t="shared" si="131"/>
        <v>121986</v>
      </c>
      <c r="B736" s="442">
        <v>31747</v>
      </c>
      <c r="C736" s="455">
        <v>-2.5499999999999998E-2</v>
      </c>
      <c r="D736" s="438">
        <v>-2.5399999999999999E-2</v>
      </c>
      <c r="E736" s="438">
        <v>7.000000000000001E-3</v>
      </c>
      <c r="F736" s="438">
        <v>7.0750000000000006E-3</v>
      </c>
      <c r="G736" s="438">
        <v>7.5166666666666663E-3</v>
      </c>
      <c r="H736" s="438">
        <v>7.2958333333333321E-3</v>
      </c>
      <c r="I736" s="438">
        <v>7.5995833333333341E-3</v>
      </c>
      <c r="J736" s="438">
        <f t="shared" si="132"/>
        <v>-3.2500000000000001E-2</v>
      </c>
      <c r="K736" s="438">
        <f t="shared" si="136"/>
        <v>-3.279583333333333E-2</v>
      </c>
      <c r="L736" s="438">
        <f t="shared" si="137"/>
        <v>-3.2999583333333332E-2</v>
      </c>
      <c r="M736" s="446">
        <f t="shared" si="133"/>
        <v>0.18668065553543101</v>
      </c>
      <c r="N736" s="446">
        <f t="shared" si="134"/>
        <v>8.4000000000000019E-2</v>
      </c>
      <c r="O736" s="446">
        <f t="shared" si="126"/>
        <v>8.7549999999999989E-2</v>
      </c>
      <c r="P736" s="447">
        <f t="shared" si="135"/>
        <v>0.10268065553543099</v>
      </c>
      <c r="Q736" s="446">
        <f t="shared" si="127"/>
        <v>9.9130655535431017E-2</v>
      </c>
      <c r="R736" s="446">
        <f t="shared" si="128"/>
        <v>0.28538652434266387</v>
      </c>
      <c r="S736" s="446">
        <f t="shared" si="129"/>
        <v>9.1195000000000012E-2</v>
      </c>
      <c r="T736" s="447">
        <f t="shared" si="130"/>
        <v>0.19419152434266385</v>
      </c>
      <c r="V736" s="448"/>
      <c r="W736" s="448"/>
      <c r="X736" s="448"/>
      <c r="Y736" s="448"/>
      <c r="Z736" s="448"/>
      <c r="AA736" s="448"/>
      <c r="AB736" s="448"/>
      <c r="AC736" s="448"/>
      <c r="AD736" s="448"/>
      <c r="AF736" s="448"/>
      <c r="AG736" s="448"/>
      <c r="AH736" s="448"/>
      <c r="AI736" s="448"/>
      <c r="AJ736" s="448"/>
      <c r="AK736" s="448"/>
      <c r="AL736" s="448"/>
      <c r="AM736" s="448"/>
      <c r="AN736" s="448"/>
      <c r="AP736" s="448"/>
      <c r="AQ736" s="448"/>
      <c r="AR736" s="448"/>
      <c r="AS736" s="448"/>
      <c r="AT736" s="448"/>
      <c r="AU736" s="448"/>
      <c r="AV736" s="448"/>
      <c r="AW736" s="448"/>
      <c r="AX736" s="448"/>
    </row>
    <row r="737" spans="1:50" x14ac:dyDescent="0.4">
      <c r="A737" s="442" t="str">
        <f t="shared" si="131"/>
        <v>11987</v>
      </c>
      <c r="B737" s="442">
        <v>31778</v>
      </c>
      <c r="C737" s="455">
        <v>0.13469999999999999</v>
      </c>
      <c r="D737" s="438">
        <v>9.8400000000000001E-2</v>
      </c>
      <c r="E737" s="438">
        <v>6.4000000000000003E-3</v>
      </c>
      <c r="F737" s="438">
        <v>6.9666666666666661E-3</v>
      </c>
      <c r="G737" s="438">
        <v>7.3833333333333329E-3</v>
      </c>
      <c r="H737" s="438">
        <v>7.175E-3</v>
      </c>
      <c r="I737" s="438">
        <v>7.4537500000000003E-3</v>
      </c>
      <c r="J737" s="438">
        <f t="shared" si="132"/>
        <v>0.1283</v>
      </c>
      <c r="K737" s="438">
        <f t="shared" si="136"/>
        <v>0.127525</v>
      </c>
      <c r="L737" s="438">
        <f t="shared" si="137"/>
        <v>9.0946250000000006E-2</v>
      </c>
      <c r="M737" s="446">
        <f t="shared" si="133"/>
        <v>0.33902798313052274</v>
      </c>
      <c r="N737" s="446">
        <f t="shared" si="134"/>
        <v>7.6800000000000007E-2</v>
      </c>
      <c r="O737" s="446">
        <f t="shared" si="126"/>
        <v>8.6099999999999996E-2</v>
      </c>
      <c r="P737" s="447">
        <f t="shared" si="135"/>
        <v>0.26222798313052276</v>
      </c>
      <c r="Q737" s="446">
        <f t="shared" si="127"/>
        <v>0.25292798313052273</v>
      </c>
      <c r="R737" s="446">
        <f t="shared" si="128"/>
        <v>0.37167838175262924</v>
      </c>
      <c r="S737" s="446">
        <f t="shared" si="129"/>
        <v>8.9444999999999997E-2</v>
      </c>
      <c r="T737" s="447">
        <f t="shared" si="130"/>
        <v>0.28223338175262924</v>
      </c>
      <c r="V737" s="448"/>
      <c r="W737" s="448"/>
      <c r="X737" s="448"/>
      <c r="Y737" s="448"/>
      <c r="Z737" s="448"/>
      <c r="AA737" s="448"/>
      <c r="AB737" s="448"/>
      <c r="AC737" s="448"/>
      <c r="AD737" s="448"/>
      <c r="AF737" s="448"/>
      <c r="AG737" s="448"/>
      <c r="AH737" s="448"/>
      <c r="AI737" s="448"/>
      <c r="AJ737" s="448"/>
      <c r="AK737" s="448"/>
      <c r="AL737" s="448"/>
      <c r="AM737" s="448"/>
      <c r="AN737" s="448"/>
      <c r="AP737" s="448"/>
      <c r="AQ737" s="448"/>
      <c r="AR737" s="448"/>
      <c r="AS737" s="448"/>
      <c r="AT737" s="448"/>
      <c r="AU737" s="448"/>
      <c r="AV737" s="448"/>
      <c r="AW737" s="448"/>
      <c r="AX737" s="448"/>
    </row>
    <row r="738" spans="1:50" x14ac:dyDescent="0.4">
      <c r="A738" s="442" t="str">
        <f t="shared" si="131"/>
        <v>21987</v>
      </c>
      <c r="B738" s="442">
        <v>31809</v>
      </c>
      <c r="C738" s="455">
        <v>3.95E-2</v>
      </c>
      <c r="D738" s="438">
        <v>-3.0100000000000002E-2</v>
      </c>
      <c r="E738" s="438">
        <v>5.8999999999999999E-3</v>
      </c>
      <c r="F738" s="438">
        <v>6.9833333333333336E-3</v>
      </c>
      <c r="G738" s="438">
        <v>7.4000000000000012E-3</v>
      </c>
      <c r="H738" s="438">
        <v>7.1916666666666674E-3</v>
      </c>
      <c r="I738" s="438">
        <v>7.5030833333333338E-3</v>
      </c>
      <c r="J738" s="438">
        <f t="shared" si="132"/>
        <v>3.3599999999999998E-2</v>
      </c>
      <c r="K738" s="438">
        <f t="shared" si="136"/>
        <v>3.2308333333333335E-2</v>
      </c>
      <c r="L738" s="438">
        <f t="shared" si="137"/>
        <v>-3.7603083333333336E-2</v>
      </c>
      <c r="M738" s="446">
        <f t="shared" si="133"/>
        <v>0.29517036239339212</v>
      </c>
      <c r="N738" s="446">
        <f t="shared" si="134"/>
        <v>7.0800000000000002E-2</v>
      </c>
      <c r="O738" s="446">
        <f t="shared" si="126"/>
        <v>8.6300000000000016E-2</v>
      </c>
      <c r="P738" s="447">
        <f t="shared" si="135"/>
        <v>0.22437036239339211</v>
      </c>
      <c r="Q738" s="446">
        <f t="shared" si="127"/>
        <v>0.2088703623933921</v>
      </c>
      <c r="R738" s="446">
        <f t="shared" si="128"/>
        <v>0.25236831635307855</v>
      </c>
      <c r="S738" s="446">
        <f t="shared" si="129"/>
        <v>9.0037000000000006E-2</v>
      </c>
      <c r="T738" s="447">
        <f t="shared" si="130"/>
        <v>0.16233131635307854</v>
      </c>
      <c r="V738" s="448"/>
      <c r="W738" s="448"/>
      <c r="X738" s="448"/>
      <c r="Y738" s="448"/>
      <c r="Z738" s="448"/>
      <c r="AA738" s="448"/>
      <c r="AB738" s="448"/>
      <c r="AC738" s="448"/>
      <c r="AD738" s="448"/>
      <c r="AF738" s="448"/>
      <c r="AG738" s="448"/>
      <c r="AH738" s="448"/>
      <c r="AI738" s="448"/>
      <c r="AJ738" s="448"/>
      <c r="AK738" s="448"/>
      <c r="AL738" s="448"/>
      <c r="AM738" s="448"/>
      <c r="AN738" s="448"/>
      <c r="AP738" s="448"/>
      <c r="AQ738" s="448"/>
      <c r="AR738" s="448"/>
      <c r="AS738" s="448"/>
      <c r="AT738" s="448"/>
      <c r="AU738" s="448"/>
      <c r="AV738" s="448"/>
      <c r="AW738" s="448"/>
      <c r="AX738" s="448"/>
    </row>
    <row r="739" spans="1:50" x14ac:dyDescent="0.4">
      <c r="A739" s="442" t="str">
        <f t="shared" si="131"/>
        <v>31987</v>
      </c>
      <c r="B739" s="442">
        <v>31837</v>
      </c>
      <c r="C739" s="455">
        <v>2.8899999999999999E-2</v>
      </c>
      <c r="D739" s="438">
        <v>-1.89E-2</v>
      </c>
      <c r="E739" s="438">
        <v>6.6E-3</v>
      </c>
      <c r="F739" s="438">
        <v>6.9666666666666661E-3</v>
      </c>
      <c r="G739" s="438">
        <v>7.3666666666666672E-3</v>
      </c>
      <c r="H739" s="438">
        <v>7.1666666666666667E-3</v>
      </c>
      <c r="I739" s="438">
        <v>7.4409166666666669E-3</v>
      </c>
      <c r="J739" s="438">
        <f t="shared" si="132"/>
        <v>2.23E-2</v>
      </c>
      <c r="K739" s="438">
        <f t="shared" si="136"/>
        <v>2.1733333333333334E-2</v>
      </c>
      <c r="L739" s="438">
        <f t="shared" si="137"/>
        <v>-2.6340916666666665E-2</v>
      </c>
      <c r="M739" s="446">
        <f t="shared" si="133"/>
        <v>0.26217161002705169</v>
      </c>
      <c r="N739" s="446">
        <f t="shared" si="134"/>
        <v>7.9199999999999993E-2</v>
      </c>
      <c r="O739" s="446">
        <f t="shared" si="126"/>
        <v>8.5999999999999993E-2</v>
      </c>
      <c r="P739" s="447">
        <f t="shared" si="135"/>
        <v>0.1829716100270517</v>
      </c>
      <c r="Q739" s="446">
        <f t="shared" si="127"/>
        <v>0.1761716100270517</v>
      </c>
      <c r="R739" s="446">
        <f t="shared" si="128"/>
        <v>0.16863092559825499</v>
      </c>
      <c r="S739" s="446">
        <f t="shared" si="129"/>
        <v>8.9291000000000009E-2</v>
      </c>
      <c r="T739" s="447">
        <f t="shared" si="130"/>
        <v>7.9339925598254979E-2</v>
      </c>
      <c r="V739" s="448"/>
      <c r="W739" s="448"/>
      <c r="X739" s="448"/>
      <c r="Y739" s="448"/>
      <c r="Z739" s="448"/>
      <c r="AA739" s="448"/>
      <c r="AB739" s="448"/>
      <c r="AC739" s="448"/>
      <c r="AD739" s="448"/>
      <c r="AF739" s="448"/>
      <c r="AG739" s="448"/>
      <c r="AH739" s="448"/>
      <c r="AI739" s="448"/>
      <c r="AJ739" s="448"/>
      <c r="AK739" s="448"/>
      <c r="AL739" s="448"/>
      <c r="AM739" s="448"/>
      <c r="AN739" s="448"/>
      <c r="AP739" s="448"/>
      <c r="AQ739" s="448"/>
      <c r="AR739" s="448"/>
      <c r="AS739" s="448"/>
      <c r="AT739" s="448"/>
      <c r="AU739" s="448"/>
      <c r="AV739" s="448"/>
      <c r="AW739" s="448"/>
      <c r="AX739" s="448"/>
    </row>
    <row r="740" spans="1:50" x14ac:dyDescent="0.4">
      <c r="A740" s="442" t="str">
        <f t="shared" si="131"/>
        <v>41987</v>
      </c>
      <c r="B740" s="442">
        <v>31868</v>
      </c>
      <c r="C740" s="455">
        <v>-8.8999999999999999E-3</v>
      </c>
      <c r="D740" s="438">
        <v>-4.1399999999999999E-2</v>
      </c>
      <c r="E740" s="438">
        <v>6.5000000000000006E-3</v>
      </c>
      <c r="F740" s="438">
        <v>7.3749999999999996E-3</v>
      </c>
      <c r="G740" s="438">
        <v>7.6250000000000007E-3</v>
      </c>
      <c r="H740" s="438">
        <v>7.4999999999999997E-3</v>
      </c>
      <c r="I740" s="438">
        <v>7.7940833333333334E-3</v>
      </c>
      <c r="J740" s="438">
        <f t="shared" si="132"/>
        <v>-1.54E-2</v>
      </c>
      <c r="K740" s="438">
        <f t="shared" si="136"/>
        <v>-1.6399999999999998E-2</v>
      </c>
      <c r="L740" s="438">
        <f t="shared" si="137"/>
        <v>-4.9194083333333333E-2</v>
      </c>
      <c r="M740" s="446">
        <f t="shared" si="133"/>
        <v>0.26523544320603887</v>
      </c>
      <c r="N740" s="446">
        <f t="shared" si="134"/>
        <v>7.8000000000000014E-2</v>
      </c>
      <c r="O740" s="446">
        <f t="shared" si="126"/>
        <v>0.09</v>
      </c>
      <c r="P740" s="447">
        <f t="shared" si="135"/>
        <v>0.18723544320603885</v>
      </c>
      <c r="Q740" s="446">
        <f t="shared" si="127"/>
        <v>0.17523544320603887</v>
      </c>
      <c r="R740" s="446">
        <f t="shared" si="128"/>
        <v>0.15883894204870885</v>
      </c>
      <c r="S740" s="446">
        <f t="shared" si="129"/>
        <v>9.3529000000000001E-2</v>
      </c>
      <c r="T740" s="447">
        <f t="shared" si="130"/>
        <v>6.5309942048708852E-2</v>
      </c>
      <c r="V740" s="448"/>
      <c r="W740" s="448"/>
      <c r="X740" s="448"/>
      <c r="Y740" s="448"/>
      <c r="Z740" s="448"/>
      <c r="AA740" s="448"/>
      <c r="AB740" s="448"/>
      <c r="AC740" s="448"/>
      <c r="AD740" s="448"/>
      <c r="AF740" s="448"/>
      <c r="AG740" s="448"/>
      <c r="AH740" s="448"/>
      <c r="AI740" s="448"/>
      <c r="AJ740" s="448"/>
      <c r="AK740" s="448"/>
      <c r="AL740" s="448"/>
      <c r="AM740" s="448"/>
      <c r="AN740" s="448"/>
      <c r="AP740" s="448"/>
      <c r="AQ740" s="448"/>
      <c r="AR740" s="448"/>
      <c r="AS740" s="448"/>
      <c r="AT740" s="448"/>
      <c r="AU740" s="448"/>
      <c r="AV740" s="448"/>
      <c r="AW740" s="448"/>
      <c r="AX740" s="448"/>
    </row>
    <row r="741" spans="1:50" x14ac:dyDescent="0.4">
      <c r="A741" s="442" t="str">
        <f t="shared" si="131"/>
        <v>51987</v>
      </c>
      <c r="B741" s="442">
        <v>31898</v>
      </c>
      <c r="C741" s="455">
        <v>8.6999999999999994E-3</v>
      </c>
      <c r="D741" s="438">
        <v>-6.4000000000000003E-3</v>
      </c>
      <c r="E741" s="438">
        <v>6.6E-3</v>
      </c>
      <c r="F741" s="438">
        <v>7.7749999999999998E-3</v>
      </c>
      <c r="G741" s="438">
        <v>7.9916666666666678E-3</v>
      </c>
      <c r="H741" s="438">
        <v>7.8833333333333325E-3</v>
      </c>
      <c r="I741" s="438">
        <v>8.2208333333333335E-3</v>
      </c>
      <c r="J741" s="438">
        <f t="shared" si="132"/>
        <v>2.0999999999999994E-3</v>
      </c>
      <c r="K741" s="438">
        <f t="shared" si="136"/>
        <v>8.1666666666666693E-4</v>
      </c>
      <c r="L741" s="438">
        <f t="shared" si="137"/>
        <v>-1.4620833333333333E-2</v>
      </c>
      <c r="M741" s="446">
        <f t="shared" si="133"/>
        <v>0.21177648268318627</v>
      </c>
      <c r="N741" s="446">
        <f t="shared" si="134"/>
        <v>7.9199999999999993E-2</v>
      </c>
      <c r="O741" s="446">
        <f t="shared" si="126"/>
        <v>9.459999999999999E-2</v>
      </c>
      <c r="P741" s="447">
        <f t="shared" si="135"/>
        <v>0.13257648268318628</v>
      </c>
      <c r="Q741" s="446">
        <f t="shared" si="127"/>
        <v>0.11717648268318628</v>
      </c>
      <c r="R741" s="446">
        <f t="shared" si="128"/>
        <v>9.3988002678952576E-2</v>
      </c>
      <c r="S741" s="446">
        <f t="shared" si="129"/>
        <v>9.8650000000000002E-2</v>
      </c>
      <c r="T741" s="447">
        <f t="shared" si="130"/>
        <v>-4.6619973210474258E-3</v>
      </c>
      <c r="V741" s="448"/>
      <c r="W741" s="448"/>
      <c r="X741" s="448"/>
      <c r="Y741" s="448"/>
      <c r="Z741" s="448"/>
      <c r="AA741" s="448"/>
      <c r="AB741" s="448"/>
      <c r="AC741" s="448"/>
      <c r="AD741" s="448"/>
      <c r="AF741" s="448"/>
      <c r="AG741" s="448"/>
      <c r="AH741" s="448"/>
      <c r="AI741" s="448"/>
      <c r="AJ741" s="448"/>
      <c r="AK741" s="448"/>
      <c r="AL741" s="448"/>
      <c r="AM741" s="448"/>
      <c r="AN741" s="448"/>
      <c r="AP741" s="448"/>
      <c r="AQ741" s="448"/>
      <c r="AR741" s="448"/>
      <c r="AS741" s="448"/>
      <c r="AT741" s="448"/>
      <c r="AU741" s="448"/>
      <c r="AV741" s="448"/>
      <c r="AW741" s="448"/>
      <c r="AX741" s="448"/>
    </row>
    <row r="742" spans="1:50" x14ac:dyDescent="0.4">
      <c r="A742" s="442" t="str">
        <f t="shared" si="131"/>
        <v>61987</v>
      </c>
      <c r="B742" s="442">
        <v>31929</v>
      </c>
      <c r="C742" s="455">
        <v>5.0500000000000003E-2</v>
      </c>
      <c r="D742" s="438">
        <v>4.3899999999999995E-2</v>
      </c>
      <c r="E742" s="438">
        <v>7.4999999999999997E-3</v>
      </c>
      <c r="F742" s="438">
        <v>7.7666666666666674E-3</v>
      </c>
      <c r="G742" s="438">
        <v>8.0416666666666674E-3</v>
      </c>
      <c r="H742" s="438">
        <v>7.904166666666667E-3</v>
      </c>
      <c r="I742" s="438">
        <v>8.3485E-3</v>
      </c>
      <c r="J742" s="438">
        <f t="shared" si="132"/>
        <v>4.3000000000000003E-2</v>
      </c>
      <c r="K742" s="438">
        <f t="shared" si="136"/>
        <v>4.2595833333333333E-2</v>
      </c>
      <c r="L742" s="438">
        <f t="shared" si="137"/>
        <v>3.5551499999999993E-2</v>
      </c>
      <c r="M742" s="446">
        <f t="shared" si="133"/>
        <v>0.25181551289083171</v>
      </c>
      <c r="N742" s="446">
        <f t="shared" si="134"/>
        <v>0.09</v>
      </c>
      <c r="O742" s="446">
        <f t="shared" si="126"/>
        <v>9.4850000000000004E-2</v>
      </c>
      <c r="P742" s="447">
        <f t="shared" si="135"/>
        <v>0.16181551289083171</v>
      </c>
      <c r="Q742" s="446">
        <f t="shared" si="127"/>
        <v>0.15696551289083172</v>
      </c>
      <c r="R742" s="446">
        <f t="shared" si="128"/>
        <v>7.7676772668263228E-2</v>
      </c>
      <c r="S742" s="446">
        <f t="shared" si="129"/>
        <v>0.10018199999999999</v>
      </c>
      <c r="T742" s="447">
        <f t="shared" si="130"/>
        <v>-2.2505227331736766E-2</v>
      </c>
      <c r="V742" s="448"/>
      <c r="W742" s="448"/>
      <c r="X742" s="448"/>
      <c r="Y742" s="448"/>
      <c r="Z742" s="448"/>
      <c r="AA742" s="448"/>
      <c r="AB742" s="448"/>
      <c r="AC742" s="448"/>
      <c r="AD742" s="448"/>
      <c r="AF742" s="448"/>
      <c r="AG742" s="448"/>
      <c r="AH742" s="448"/>
      <c r="AI742" s="448"/>
      <c r="AJ742" s="448"/>
      <c r="AK742" s="448"/>
      <c r="AL742" s="448"/>
      <c r="AM742" s="448"/>
      <c r="AN742" s="448"/>
      <c r="AP742" s="448"/>
      <c r="AQ742" s="448"/>
      <c r="AR742" s="448"/>
      <c r="AS742" s="448"/>
      <c r="AT742" s="448"/>
      <c r="AU742" s="448"/>
      <c r="AV742" s="448"/>
      <c r="AW742" s="448"/>
      <c r="AX742" s="448"/>
    </row>
    <row r="743" spans="1:50" x14ac:dyDescent="0.4">
      <c r="A743" s="442" t="str">
        <f t="shared" si="131"/>
        <v>71987</v>
      </c>
      <c r="B743" s="442">
        <v>31959</v>
      </c>
      <c r="C743" s="455">
        <v>5.0700000000000002E-2</v>
      </c>
      <c r="D743" s="438">
        <v>-2.5000000000000005E-3</v>
      </c>
      <c r="E743" s="438">
        <v>7.3000000000000001E-3</v>
      </c>
      <c r="F743" s="438">
        <v>7.8500000000000011E-3</v>
      </c>
      <c r="G743" s="438">
        <v>8.0416666666666674E-3</v>
      </c>
      <c r="H743" s="438">
        <v>7.9458333333333343E-3</v>
      </c>
      <c r="I743" s="438">
        <v>8.445833333333333E-3</v>
      </c>
      <c r="J743" s="438">
        <f t="shared" si="132"/>
        <v>4.3400000000000001E-2</v>
      </c>
      <c r="K743" s="438">
        <f t="shared" si="136"/>
        <v>4.2754166666666669E-2</v>
      </c>
      <c r="L743" s="438">
        <f t="shared" si="137"/>
        <v>-1.0945833333333333E-2</v>
      </c>
      <c r="M743" s="446">
        <f t="shared" si="133"/>
        <v>0.39316021543734481</v>
      </c>
      <c r="N743" s="446">
        <f t="shared" si="134"/>
        <v>8.7599999999999997E-2</v>
      </c>
      <c r="O743" s="446">
        <f t="shared" si="126"/>
        <v>9.5350000000000018E-2</v>
      </c>
      <c r="P743" s="447">
        <f t="shared" si="135"/>
        <v>0.3055602154373448</v>
      </c>
      <c r="Q743" s="446">
        <f t="shared" si="127"/>
        <v>0.29781021543734476</v>
      </c>
      <c r="R743" s="446">
        <f t="shared" si="128"/>
        <v>4.5397822363700158E-2</v>
      </c>
      <c r="S743" s="446">
        <f t="shared" si="129"/>
        <v>0.10135</v>
      </c>
      <c r="T743" s="447">
        <f t="shared" si="130"/>
        <v>-5.5952177636299838E-2</v>
      </c>
      <c r="V743" s="448"/>
      <c r="W743" s="448"/>
      <c r="X743" s="448"/>
      <c r="Y743" s="448"/>
      <c r="Z743" s="448"/>
      <c r="AA743" s="448"/>
      <c r="AB743" s="448"/>
      <c r="AC743" s="448"/>
      <c r="AD743" s="448"/>
      <c r="AF743" s="448"/>
      <c r="AG743" s="448"/>
      <c r="AH743" s="448"/>
      <c r="AI743" s="448"/>
      <c r="AJ743" s="448"/>
      <c r="AK743" s="448"/>
      <c r="AL743" s="448"/>
      <c r="AM743" s="448"/>
      <c r="AN743" s="448"/>
      <c r="AP743" s="448"/>
      <c r="AQ743" s="448"/>
      <c r="AR743" s="448"/>
      <c r="AS743" s="448"/>
      <c r="AT743" s="448"/>
      <c r="AU743" s="448"/>
      <c r="AV743" s="448"/>
      <c r="AW743" s="448"/>
      <c r="AX743" s="448"/>
    </row>
    <row r="744" spans="1:50" x14ac:dyDescent="0.4">
      <c r="A744" s="442" t="str">
        <f t="shared" si="131"/>
        <v>81987</v>
      </c>
      <c r="B744" s="442">
        <v>31990</v>
      </c>
      <c r="C744" s="455">
        <v>3.73E-2</v>
      </c>
      <c r="D744" s="438">
        <v>5.2699999999999997E-2</v>
      </c>
      <c r="E744" s="438">
        <v>7.4999999999999997E-3</v>
      </c>
      <c r="F744" s="438">
        <v>8.0583333333333323E-3</v>
      </c>
      <c r="G744" s="438">
        <v>8.2166666666666673E-3</v>
      </c>
      <c r="H744" s="438">
        <v>8.1374999999999989E-3</v>
      </c>
      <c r="I744" s="438">
        <v>8.7027500000000004E-3</v>
      </c>
      <c r="J744" s="438">
        <f t="shared" si="132"/>
        <v>2.98E-2</v>
      </c>
      <c r="K744" s="438">
        <f t="shared" si="136"/>
        <v>2.9162500000000001E-2</v>
      </c>
      <c r="L744" s="438">
        <f t="shared" si="137"/>
        <v>4.3997249999999995E-2</v>
      </c>
      <c r="M744" s="446">
        <f t="shared" si="133"/>
        <v>0.34530356681545116</v>
      </c>
      <c r="N744" s="446">
        <f t="shared" si="134"/>
        <v>0.09</v>
      </c>
      <c r="O744" s="446">
        <f t="shared" ref="O744:O807" si="138">H744*12</f>
        <v>9.7649999999999987E-2</v>
      </c>
      <c r="P744" s="447">
        <f t="shared" si="135"/>
        <v>0.25530356681545119</v>
      </c>
      <c r="Q744" s="446">
        <f t="shared" ref="Q744:Q807" si="139">M744-O744</f>
        <v>0.24765356681545117</v>
      </c>
      <c r="R744" s="446">
        <f t="shared" ref="R744:R807" si="140">((1+D733)*(1+D734)*(1+D735)*(1+D736)*(1+D737)*(1+D738)*(1+D739)*(1+D740)*(1+D741)*(1+D742)*(1+D743)*(1+D744))-1</f>
        <v>1.1108312754746663E-2</v>
      </c>
      <c r="S744" s="446">
        <f t="shared" ref="S744:S807" si="141">I744*12</f>
        <v>0.104433</v>
      </c>
      <c r="T744" s="447">
        <f t="shared" ref="T744:T807" si="142">R744-S744</f>
        <v>-9.3324687245253335E-2</v>
      </c>
      <c r="V744" s="448"/>
      <c r="W744" s="448"/>
      <c r="X744" s="448"/>
      <c r="Y744" s="448"/>
      <c r="Z744" s="448"/>
      <c r="AA744" s="448"/>
      <c r="AB744" s="448"/>
      <c r="AC744" s="448"/>
      <c r="AD744" s="448"/>
      <c r="AF744" s="448"/>
      <c r="AG744" s="448"/>
      <c r="AH744" s="448"/>
      <c r="AI744" s="448"/>
      <c r="AJ744" s="448"/>
      <c r="AK744" s="448"/>
      <c r="AL744" s="448"/>
      <c r="AM744" s="448"/>
      <c r="AN744" s="448"/>
      <c r="AP744" s="448"/>
      <c r="AQ744" s="448"/>
      <c r="AR744" s="448"/>
      <c r="AS744" s="448"/>
      <c r="AT744" s="448"/>
      <c r="AU744" s="448"/>
      <c r="AV744" s="448"/>
      <c r="AW744" s="448"/>
      <c r="AX744" s="448"/>
    </row>
    <row r="745" spans="1:50" x14ac:dyDescent="0.4">
      <c r="A745" s="442" t="str">
        <f t="shared" ref="A745:A808" si="143">MONTH(B745)&amp;YEAR(B745)</f>
        <v>91987</v>
      </c>
      <c r="B745" s="442">
        <v>32021</v>
      </c>
      <c r="C745" s="455">
        <v>-2.1899999999999999E-2</v>
      </c>
      <c r="D745" s="438">
        <v>2.0999999999999999E-3</v>
      </c>
      <c r="E745" s="438">
        <v>7.4999999999999997E-3</v>
      </c>
      <c r="F745" s="438">
        <v>8.4833333333333323E-3</v>
      </c>
      <c r="G745" s="438">
        <v>8.624999999999999E-3</v>
      </c>
      <c r="H745" s="438">
        <v>8.5541666666666665E-3</v>
      </c>
      <c r="I745" s="438">
        <v>9.3135000000000006E-3</v>
      </c>
      <c r="J745" s="438">
        <f t="shared" si="132"/>
        <v>-2.9399999999999999E-2</v>
      </c>
      <c r="K745" s="438">
        <f t="shared" si="136"/>
        <v>-3.0454166666666664E-2</v>
      </c>
      <c r="L745" s="438">
        <f t="shared" si="137"/>
        <v>-7.2135000000000012E-3</v>
      </c>
      <c r="M745" s="446">
        <f t="shared" si="133"/>
        <v>0.43447227592084703</v>
      </c>
      <c r="N745" s="446">
        <f t="shared" si="134"/>
        <v>0.09</v>
      </c>
      <c r="O745" s="446">
        <f t="shared" si="138"/>
        <v>0.10264999999999999</v>
      </c>
      <c r="P745" s="447">
        <f t="shared" si="135"/>
        <v>0.34447227592084706</v>
      </c>
      <c r="Q745" s="446">
        <f t="shared" si="139"/>
        <v>0.33182227592084701</v>
      </c>
      <c r="R745" s="446">
        <f t="shared" si="140"/>
        <v>0.14321520953574685</v>
      </c>
      <c r="S745" s="446">
        <f t="shared" si="141"/>
        <v>0.111762</v>
      </c>
      <c r="T745" s="447">
        <f t="shared" si="142"/>
        <v>3.1453209535746846E-2</v>
      </c>
      <c r="V745" s="448"/>
      <c r="W745" s="448"/>
      <c r="X745" s="448"/>
      <c r="Y745" s="448"/>
      <c r="Z745" s="448"/>
      <c r="AA745" s="448"/>
      <c r="AB745" s="448"/>
      <c r="AC745" s="448"/>
      <c r="AD745" s="448"/>
      <c r="AF745" s="448"/>
      <c r="AG745" s="448"/>
      <c r="AH745" s="448"/>
      <c r="AI745" s="448"/>
      <c r="AJ745" s="448"/>
      <c r="AK745" s="448"/>
      <c r="AL745" s="448"/>
      <c r="AM745" s="448"/>
      <c r="AN745" s="448"/>
      <c r="AP745" s="448"/>
      <c r="AQ745" s="448"/>
      <c r="AR745" s="448"/>
      <c r="AS745" s="448"/>
      <c r="AT745" s="448"/>
      <c r="AU745" s="448"/>
      <c r="AV745" s="448"/>
      <c r="AW745" s="448"/>
      <c r="AX745" s="448"/>
    </row>
    <row r="746" spans="1:50" x14ac:dyDescent="0.4">
      <c r="A746" s="442" t="str">
        <f t="shared" si="143"/>
        <v>101987</v>
      </c>
      <c r="B746" s="442">
        <v>32051</v>
      </c>
      <c r="C746" s="455">
        <v>-0.21540000000000001</v>
      </c>
      <c r="D746" s="438">
        <v>-7.0500000000000007E-2</v>
      </c>
      <c r="E746" s="438">
        <v>7.9000000000000008E-3</v>
      </c>
      <c r="F746" s="438">
        <v>8.7666666666666657E-3</v>
      </c>
      <c r="G746" s="438">
        <v>8.9499999999999996E-3</v>
      </c>
      <c r="H746" s="438">
        <v>8.8583333333333326E-3</v>
      </c>
      <c r="I746" s="438">
        <v>9.4654999999999982E-3</v>
      </c>
      <c r="J746" s="438">
        <f t="shared" si="132"/>
        <v>-0.2233</v>
      </c>
      <c r="K746" s="438">
        <f t="shared" si="136"/>
        <v>-0.22425833333333334</v>
      </c>
      <c r="L746" s="438">
        <f t="shared" si="137"/>
        <v>-7.9965500000000009E-2</v>
      </c>
      <c r="M746" s="446">
        <f t="shared" si="133"/>
        <v>6.4089011711729427E-2</v>
      </c>
      <c r="N746" s="446">
        <f t="shared" si="134"/>
        <v>9.4800000000000009E-2</v>
      </c>
      <c r="O746" s="446">
        <f t="shared" si="138"/>
        <v>0.10629999999999999</v>
      </c>
      <c r="P746" s="447">
        <f t="shared" si="135"/>
        <v>-3.0710988288270583E-2</v>
      </c>
      <c r="Q746" s="446">
        <f t="shared" si="139"/>
        <v>-4.2210988288270565E-2</v>
      </c>
      <c r="R746" s="446">
        <f t="shared" si="140"/>
        <v>1.153597074105317E-2</v>
      </c>
      <c r="S746" s="446">
        <f t="shared" si="141"/>
        <v>0.11358599999999998</v>
      </c>
      <c r="T746" s="447">
        <f t="shared" si="142"/>
        <v>-0.10205002925894681</v>
      </c>
      <c r="V746" s="448"/>
      <c r="W746" s="448"/>
      <c r="X746" s="448"/>
      <c r="Y746" s="448"/>
      <c r="Z746" s="448"/>
      <c r="AA746" s="448"/>
      <c r="AB746" s="448"/>
      <c r="AC746" s="448"/>
      <c r="AD746" s="448"/>
      <c r="AF746" s="448"/>
      <c r="AG746" s="448"/>
      <c r="AH746" s="448"/>
      <c r="AI746" s="448"/>
      <c r="AJ746" s="448"/>
      <c r="AK746" s="448"/>
      <c r="AL746" s="448"/>
      <c r="AM746" s="448"/>
      <c r="AN746" s="448"/>
      <c r="AP746" s="448"/>
      <c r="AQ746" s="448"/>
      <c r="AR746" s="448"/>
      <c r="AS746" s="448"/>
      <c r="AT746" s="448"/>
      <c r="AU746" s="448"/>
      <c r="AV746" s="448"/>
      <c r="AW746" s="448"/>
      <c r="AX746" s="448"/>
    </row>
    <row r="747" spans="1:50" x14ac:dyDescent="0.4">
      <c r="A747" s="442" t="str">
        <f t="shared" si="143"/>
        <v>111987</v>
      </c>
      <c r="B747" s="442">
        <v>32082</v>
      </c>
      <c r="C747" s="455">
        <v>-8.2400000000000001E-2</v>
      </c>
      <c r="D747" s="438">
        <v>-5.5499999999999987E-2</v>
      </c>
      <c r="E747" s="438">
        <v>7.4999999999999997E-3</v>
      </c>
      <c r="F747" s="438">
        <v>8.3416666666666656E-3</v>
      </c>
      <c r="G747" s="438">
        <v>8.5583333333333327E-3</v>
      </c>
      <c r="H747" s="438">
        <v>8.4499999999999992E-3</v>
      </c>
      <c r="I747" s="438">
        <v>9.0204166666666679E-3</v>
      </c>
      <c r="J747" s="438">
        <f t="shared" si="132"/>
        <v>-8.9900000000000008E-2</v>
      </c>
      <c r="K747" s="438">
        <f t="shared" si="136"/>
        <v>-9.085E-2</v>
      </c>
      <c r="L747" s="438">
        <f t="shared" si="137"/>
        <v>-6.452041666666665E-2</v>
      </c>
      <c r="M747" s="446">
        <f t="shared" si="133"/>
        <v>-4.675575793548481E-2</v>
      </c>
      <c r="N747" s="446">
        <f t="shared" si="134"/>
        <v>0.09</v>
      </c>
      <c r="O747" s="446">
        <f t="shared" si="138"/>
        <v>0.10139999999999999</v>
      </c>
      <c r="P747" s="447">
        <f t="shared" si="135"/>
        <v>-0.13675575793548481</v>
      </c>
      <c r="Q747" s="446">
        <f t="shared" si="139"/>
        <v>-0.1481557579354848</v>
      </c>
      <c r="R747" s="446">
        <f t="shared" si="140"/>
        <v>-6.4346563152556269E-2</v>
      </c>
      <c r="S747" s="446">
        <f t="shared" si="141"/>
        <v>0.10824500000000001</v>
      </c>
      <c r="T747" s="447">
        <f t="shared" si="142"/>
        <v>-0.17259156315255628</v>
      </c>
      <c r="V747" s="448"/>
      <c r="W747" s="448"/>
      <c r="X747" s="448"/>
      <c r="Y747" s="448"/>
      <c r="Z747" s="448"/>
      <c r="AA747" s="448"/>
      <c r="AB747" s="448"/>
      <c r="AC747" s="448"/>
      <c r="AD747" s="448"/>
      <c r="AF747" s="448"/>
      <c r="AG747" s="448"/>
      <c r="AH747" s="448"/>
      <c r="AI747" s="448"/>
      <c r="AJ747" s="448"/>
      <c r="AK747" s="448"/>
      <c r="AL747" s="448"/>
      <c r="AM747" s="448"/>
      <c r="AN747" s="448"/>
      <c r="AP747" s="448"/>
      <c r="AQ747" s="448"/>
      <c r="AR747" s="448"/>
      <c r="AS747" s="448"/>
      <c r="AT747" s="448"/>
      <c r="AU747" s="448"/>
      <c r="AV747" s="448"/>
      <c r="AW747" s="448"/>
      <c r="AX747" s="448"/>
    </row>
    <row r="748" spans="1:50" x14ac:dyDescent="0.4">
      <c r="A748" s="442" t="str">
        <f t="shared" si="143"/>
        <v>121987</v>
      </c>
      <c r="B748" s="442">
        <v>32112</v>
      </c>
      <c r="C748" s="455">
        <v>7.6100000000000001E-2</v>
      </c>
      <c r="D748" s="438">
        <v>1.0800000000000001E-2</v>
      </c>
      <c r="E748" s="438">
        <v>7.7999999999999988E-3</v>
      </c>
      <c r="F748" s="438">
        <v>8.4249999999999985E-3</v>
      </c>
      <c r="G748" s="438">
        <v>8.6083333333333342E-3</v>
      </c>
      <c r="H748" s="438">
        <v>8.5166666666666654E-3</v>
      </c>
      <c r="I748" s="438">
        <v>9.1140000000000006E-3</v>
      </c>
      <c r="J748" s="438">
        <f t="shared" si="132"/>
        <v>6.83E-2</v>
      </c>
      <c r="K748" s="438">
        <f t="shared" si="136"/>
        <v>6.7583333333333329E-2</v>
      </c>
      <c r="L748" s="438">
        <f t="shared" si="137"/>
        <v>1.686E-3</v>
      </c>
      <c r="M748" s="446">
        <f t="shared" si="133"/>
        <v>5.262814662455062E-2</v>
      </c>
      <c r="N748" s="446">
        <f t="shared" si="134"/>
        <v>9.3599999999999989E-2</v>
      </c>
      <c r="O748" s="446">
        <f t="shared" si="138"/>
        <v>0.10219999999999999</v>
      </c>
      <c r="P748" s="447">
        <f t="shared" si="135"/>
        <v>-4.0971853375449369E-2</v>
      </c>
      <c r="Q748" s="446">
        <f t="shared" si="139"/>
        <v>-4.9571853375449365E-2</v>
      </c>
      <c r="R748" s="446">
        <f t="shared" si="140"/>
        <v>-2.959317261912997E-2</v>
      </c>
      <c r="S748" s="446">
        <f t="shared" si="141"/>
        <v>0.10936800000000001</v>
      </c>
      <c r="T748" s="447">
        <f t="shared" si="142"/>
        <v>-0.13896117261912999</v>
      </c>
      <c r="V748" s="448"/>
      <c r="W748" s="448"/>
      <c r="X748" s="448"/>
      <c r="Y748" s="448"/>
      <c r="Z748" s="448"/>
      <c r="AA748" s="448"/>
      <c r="AB748" s="448"/>
      <c r="AC748" s="448"/>
      <c r="AD748" s="448"/>
      <c r="AF748" s="448"/>
      <c r="AG748" s="448"/>
      <c r="AH748" s="448"/>
      <c r="AI748" s="448"/>
      <c r="AJ748" s="448"/>
      <c r="AK748" s="448"/>
      <c r="AL748" s="448"/>
      <c r="AM748" s="448"/>
      <c r="AN748" s="448"/>
      <c r="AP748" s="448"/>
      <c r="AQ748" s="448"/>
      <c r="AR748" s="448"/>
      <c r="AS748" s="448"/>
      <c r="AT748" s="448"/>
      <c r="AU748" s="448"/>
      <c r="AV748" s="448"/>
      <c r="AW748" s="448"/>
      <c r="AX748" s="448"/>
    </row>
    <row r="749" spans="1:50" x14ac:dyDescent="0.4">
      <c r="A749" s="442" t="str">
        <f t="shared" si="143"/>
        <v>11988</v>
      </c>
      <c r="B749" s="442">
        <v>32143</v>
      </c>
      <c r="C749" s="455">
        <v>4.2099999999999999E-2</v>
      </c>
      <c r="D749" s="438">
        <v>0.1153</v>
      </c>
      <c r="E749" s="438">
        <v>7.1999999999999998E-3</v>
      </c>
      <c r="F749" s="438">
        <v>8.2333333333333338E-3</v>
      </c>
      <c r="G749" s="438">
        <v>8.4083333333333336E-3</v>
      </c>
      <c r="H749" s="438">
        <v>8.3208333333333329E-3</v>
      </c>
      <c r="I749" s="438">
        <v>8.9983333333333339E-3</v>
      </c>
      <c r="J749" s="438">
        <f t="shared" si="132"/>
        <v>3.49E-2</v>
      </c>
      <c r="K749" s="438">
        <f t="shared" si="136"/>
        <v>3.3779166666666666E-2</v>
      </c>
      <c r="L749" s="438">
        <f t="shared" si="137"/>
        <v>0.10630166666666667</v>
      </c>
      <c r="M749" s="446">
        <f t="shared" si="133"/>
        <v>-3.3274176789067966E-2</v>
      </c>
      <c r="N749" s="446">
        <f t="shared" si="134"/>
        <v>8.6400000000000005E-2</v>
      </c>
      <c r="O749" s="446">
        <f t="shared" si="138"/>
        <v>9.9849999999999994E-2</v>
      </c>
      <c r="P749" s="447">
        <f t="shared" si="135"/>
        <v>-0.11967417678906797</v>
      </c>
      <c r="Q749" s="446">
        <f t="shared" si="139"/>
        <v>-0.13312417678906796</v>
      </c>
      <c r="R749" s="446">
        <f t="shared" si="140"/>
        <v>-1.4662477623921588E-2</v>
      </c>
      <c r="S749" s="446">
        <f t="shared" si="141"/>
        <v>0.10798000000000001</v>
      </c>
      <c r="T749" s="447">
        <f t="shared" si="142"/>
        <v>-0.12264247762392159</v>
      </c>
      <c r="V749" s="448"/>
      <c r="W749" s="448"/>
      <c r="X749" s="448"/>
      <c r="Y749" s="448"/>
      <c r="Z749" s="448"/>
      <c r="AA749" s="448"/>
      <c r="AB749" s="448"/>
      <c r="AC749" s="448"/>
      <c r="AD749" s="448"/>
      <c r="AF749" s="448"/>
      <c r="AG749" s="448"/>
      <c r="AH749" s="448"/>
      <c r="AI749" s="448"/>
      <c r="AJ749" s="448"/>
      <c r="AK749" s="448"/>
      <c r="AL749" s="448"/>
      <c r="AM749" s="448"/>
      <c r="AN749" s="448"/>
      <c r="AP749" s="448"/>
      <c r="AQ749" s="448"/>
      <c r="AR749" s="448"/>
      <c r="AS749" s="448"/>
      <c r="AT749" s="448"/>
      <c r="AU749" s="448"/>
      <c r="AV749" s="448"/>
      <c r="AW749" s="448"/>
      <c r="AX749" s="448"/>
    </row>
    <row r="750" spans="1:50" x14ac:dyDescent="0.4">
      <c r="A750" s="442" t="str">
        <f t="shared" si="143"/>
        <v>21988</v>
      </c>
      <c r="B750" s="442">
        <v>32174</v>
      </c>
      <c r="C750" s="455">
        <v>4.6600000000000003E-2</v>
      </c>
      <c r="D750" s="438">
        <v>-1.7500000000000002E-2</v>
      </c>
      <c r="E750" s="438">
        <v>7.1000000000000004E-3</v>
      </c>
      <c r="F750" s="438">
        <v>7.8333333333333328E-3</v>
      </c>
      <c r="G750" s="438">
        <v>8.0000000000000002E-3</v>
      </c>
      <c r="H750" s="438">
        <v>7.9166666666666656E-3</v>
      </c>
      <c r="I750" s="438">
        <v>8.4295833333333341E-3</v>
      </c>
      <c r="J750" s="438">
        <f t="shared" si="132"/>
        <v>3.95E-2</v>
      </c>
      <c r="K750" s="438">
        <f t="shared" si="136"/>
        <v>3.8683333333333333E-2</v>
      </c>
      <c r="L750" s="438">
        <f t="shared" si="137"/>
        <v>-2.5929583333333336E-2</v>
      </c>
      <c r="M750" s="446">
        <f t="shared" si="133"/>
        <v>-2.6671239468435526E-2</v>
      </c>
      <c r="N750" s="446">
        <f t="shared" si="134"/>
        <v>8.5199999999999998E-2</v>
      </c>
      <c r="O750" s="446">
        <f t="shared" si="138"/>
        <v>9.4999999999999987E-2</v>
      </c>
      <c r="P750" s="447">
        <f t="shared" si="135"/>
        <v>-0.11187123946843552</v>
      </c>
      <c r="Q750" s="446">
        <f t="shared" si="139"/>
        <v>-0.12167123946843551</v>
      </c>
      <c r="R750" s="446">
        <f t="shared" si="140"/>
        <v>-1.8619283075606008E-3</v>
      </c>
      <c r="S750" s="446">
        <f t="shared" si="141"/>
        <v>0.10115500000000001</v>
      </c>
      <c r="T750" s="447">
        <f t="shared" si="142"/>
        <v>-0.10301692830756061</v>
      </c>
      <c r="V750" s="448"/>
      <c r="W750" s="448"/>
      <c r="X750" s="448"/>
      <c r="Y750" s="448"/>
      <c r="Z750" s="448"/>
      <c r="AA750" s="448"/>
      <c r="AB750" s="448"/>
      <c r="AC750" s="448"/>
      <c r="AD750" s="448"/>
      <c r="AF750" s="448"/>
      <c r="AG750" s="448"/>
      <c r="AH750" s="448"/>
      <c r="AI750" s="448"/>
      <c r="AJ750" s="448"/>
      <c r="AK750" s="448"/>
      <c r="AL750" s="448"/>
      <c r="AM750" s="448"/>
      <c r="AN750" s="448"/>
      <c r="AP750" s="448"/>
      <c r="AQ750" s="448"/>
      <c r="AR750" s="448"/>
      <c r="AS750" s="448"/>
      <c r="AT750" s="448"/>
      <c r="AU750" s="448"/>
      <c r="AV750" s="448"/>
      <c r="AW750" s="448"/>
      <c r="AX750" s="448"/>
    </row>
    <row r="751" spans="1:50" x14ac:dyDescent="0.4">
      <c r="A751" s="442" t="str">
        <f t="shared" si="143"/>
        <v>31988</v>
      </c>
      <c r="B751" s="442">
        <v>32203</v>
      </c>
      <c r="C751" s="455">
        <v>-3.09E-2</v>
      </c>
      <c r="D751" s="438">
        <v>-5.2699999999999997E-2</v>
      </c>
      <c r="E751" s="438">
        <v>7.1999999999999998E-3</v>
      </c>
      <c r="F751" s="438">
        <v>7.8250000000000004E-3</v>
      </c>
      <c r="G751" s="438">
        <v>7.9916666666666678E-3</v>
      </c>
      <c r="H751" s="438">
        <v>7.9083333333333332E-3</v>
      </c>
      <c r="I751" s="438">
        <v>8.3956666666666676E-3</v>
      </c>
      <c r="J751" s="438">
        <f t="shared" si="132"/>
        <v>-3.8100000000000002E-2</v>
      </c>
      <c r="K751" s="438">
        <f t="shared" si="136"/>
        <v>-3.8808333333333334E-2</v>
      </c>
      <c r="L751" s="438">
        <f t="shared" si="137"/>
        <v>-6.1095666666666666E-2</v>
      </c>
      <c r="M751" s="446">
        <f t="shared" si="133"/>
        <v>-8.3241421099096824E-2</v>
      </c>
      <c r="N751" s="446">
        <f t="shared" si="134"/>
        <v>8.6400000000000005E-2</v>
      </c>
      <c r="O751" s="446">
        <f t="shared" si="138"/>
        <v>9.4899999999999998E-2</v>
      </c>
      <c r="P751" s="447">
        <f t="shared" si="135"/>
        <v>-0.16964142109909683</v>
      </c>
      <c r="Q751" s="446">
        <f t="shared" si="139"/>
        <v>-0.17814142109909681</v>
      </c>
      <c r="R751" s="446">
        <f t="shared" si="140"/>
        <v>-3.6248909067120749E-2</v>
      </c>
      <c r="S751" s="446">
        <f t="shared" si="141"/>
        <v>0.100748</v>
      </c>
      <c r="T751" s="447">
        <f t="shared" si="142"/>
        <v>-0.13699690906712075</v>
      </c>
      <c r="V751" s="448"/>
      <c r="W751" s="448"/>
      <c r="X751" s="448"/>
      <c r="Y751" s="448"/>
      <c r="Z751" s="448"/>
      <c r="AA751" s="448"/>
      <c r="AB751" s="448"/>
      <c r="AC751" s="448"/>
      <c r="AD751" s="448"/>
      <c r="AF751" s="448"/>
      <c r="AG751" s="448"/>
      <c r="AH751" s="448"/>
      <c r="AI751" s="448"/>
      <c r="AJ751" s="448"/>
      <c r="AK751" s="448"/>
      <c r="AL751" s="448"/>
      <c r="AM751" s="448"/>
      <c r="AN751" s="448"/>
      <c r="AP751" s="448"/>
      <c r="AQ751" s="448"/>
      <c r="AR751" s="448"/>
      <c r="AS751" s="448"/>
      <c r="AT751" s="448"/>
      <c r="AU751" s="448"/>
      <c r="AV751" s="448"/>
      <c r="AW751" s="448"/>
      <c r="AX751" s="448"/>
    </row>
    <row r="752" spans="1:50" x14ac:dyDescent="0.4">
      <c r="A752" s="442" t="str">
        <f t="shared" si="143"/>
        <v>41988</v>
      </c>
      <c r="B752" s="442">
        <v>32234</v>
      </c>
      <c r="C752" s="455">
        <v>1.11E-2</v>
      </c>
      <c r="D752" s="438">
        <v>1.9000000000000006E-3</v>
      </c>
      <c r="E752" s="438">
        <v>7.000000000000001E-3</v>
      </c>
      <c r="F752" s="438">
        <v>8.0583333333333323E-3</v>
      </c>
      <c r="G752" s="438">
        <v>8.2166666666666673E-3</v>
      </c>
      <c r="H752" s="438">
        <v>8.1374999999999989E-3</v>
      </c>
      <c r="I752" s="438">
        <v>8.7683333333333328E-3</v>
      </c>
      <c r="J752" s="438">
        <f t="shared" si="132"/>
        <v>4.0999999999999995E-3</v>
      </c>
      <c r="K752" s="438">
        <f t="shared" si="136"/>
        <v>2.9625000000000016E-3</v>
      </c>
      <c r="L752" s="438">
        <f t="shared" si="137"/>
        <v>-6.8683333333333322E-3</v>
      </c>
      <c r="M752" s="446">
        <f t="shared" si="133"/>
        <v>-6.4741601123294412E-2</v>
      </c>
      <c r="N752" s="446">
        <f t="shared" si="134"/>
        <v>8.4000000000000019E-2</v>
      </c>
      <c r="O752" s="446">
        <f t="shared" si="138"/>
        <v>9.7649999999999987E-2</v>
      </c>
      <c r="P752" s="447">
        <f t="shared" si="135"/>
        <v>-0.14874160112329443</v>
      </c>
      <c r="Q752" s="446">
        <f t="shared" si="139"/>
        <v>-0.1623916011232944</v>
      </c>
      <c r="R752" s="446">
        <f t="shared" si="140"/>
        <v>7.2837659145126299E-3</v>
      </c>
      <c r="S752" s="446">
        <f t="shared" si="141"/>
        <v>0.10521999999999999</v>
      </c>
      <c r="T752" s="447">
        <f t="shared" si="142"/>
        <v>-9.7936234085487364E-2</v>
      </c>
      <c r="V752" s="448"/>
      <c r="W752" s="448"/>
      <c r="X752" s="448"/>
      <c r="Y752" s="448"/>
      <c r="Z752" s="448"/>
      <c r="AA752" s="448"/>
      <c r="AB752" s="448"/>
      <c r="AC752" s="448"/>
      <c r="AD752" s="448"/>
      <c r="AF752" s="448"/>
      <c r="AG752" s="448"/>
      <c r="AH752" s="448"/>
      <c r="AI752" s="448"/>
      <c r="AJ752" s="448"/>
      <c r="AK752" s="448"/>
      <c r="AL752" s="448"/>
      <c r="AM752" s="448"/>
      <c r="AN752" s="448"/>
      <c r="AP752" s="448"/>
      <c r="AQ752" s="448"/>
      <c r="AR752" s="448"/>
      <c r="AS752" s="448"/>
      <c r="AT752" s="448"/>
      <c r="AU752" s="448"/>
      <c r="AV752" s="448"/>
      <c r="AW752" s="448"/>
      <c r="AX752" s="448"/>
    </row>
    <row r="753" spans="1:50" x14ac:dyDescent="0.4">
      <c r="A753" s="442" t="str">
        <f t="shared" si="143"/>
        <v>51988</v>
      </c>
      <c r="B753" s="442">
        <v>32264</v>
      </c>
      <c r="C753" s="455">
        <v>8.6E-3</v>
      </c>
      <c r="D753" s="438">
        <v>4.5999999999999999E-2</v>
      </c>
      <c r="E753" s="438">
        <v>7.7999999999999988E-3</v>
      </c>
      <c r="F753" s="438">
        <v>8.2500000000000004E-3</v>
      </c>
      <c r="G753" s="438">
        <v>8.416666666666666E-3</v>
      </c>
      <c r="H753" s="438">
        <v>8.3333333333333332E-3</v>
      </c>
      <c r="I753" s="438">
        <v>8.9932500000000012E-3</v>
      </c>
      <c r="J753" s="438">
        <f t="shared" si="132"/>
        <v>8.0000000000000123E-4</v>
      </c>
      <c r="K753" s="438">
        <f t="shared" si="136"/>
        <v>2.6666666666666679E-4</v>
      </c>
      <c r="L753" s="438">
        <f t="shared" si="137"/>
        <v>3.7006749999999998E-2</v>
      </c>
      <c r="M753" s="446">
        <f t="shared" si="133"/>
        <v>-6.4834320306289772E-2</v>
      </c>
      <c r="N753" s="446">
        <f t="shared" si="134"/>
        <v>9.3599999999999989E-2</v>
      </c>
      <c r="O753" s="446">
        <f t="shared" si="138"/>
        <v>0.1</v>
      </c>
      <c r="P753" s="447">
        <f t="shared" si="135"/>
        <v>-0.15843432030628976</v>
      </c>
      <c r="Q753" s="446">
        <f t="shared" si="139"/>
        <v>-0.16483432030628978</v>
      </c>
      <c r="R753" s="446">
        <f t="shared" si="140"/>
        <v>6.0405413794867302E-2</v>
      </c>
      <c r="S753" s="446">
        <f t="shared" si="141"/>
        <v>0.10791900000000001</v>
      </c>
      <c r="T753" s="447">
        <f t="shared" si="142"/>
        <v>-4.7513586205132713E-2</v>
      </c>
      <c r="V753" s="448"/>
      <c r="W753" s="448"/>
      <c r="X753" s="448"/>
      <c r="Y753" s="448"/>
      <c r="Z753" s="448"/>
      <c r="AA753" s="448"/>
      <c r="AB753" s="448"/>
      <c r="AC753" s="448"/>
      <c r="AD753" s="448"/>
      <c r="AF753" s="448"/>
      <c r="AG753" s="448"/>
      <c r="AH753" s="448"/>
      <c r="AI753" s="448"/>
      <c r="AJ753" s="448"/>
      <c r="AK753" s="448"/>
      <c r="AL753" s="448"/>
      <c r="AM753" s="448"/>
      <c r="AN753" s="448"/>
      <c r="AP753" s="448"/>
      <c r="AQ753" s="448"/>
      <c r="AR753" s="448"/>
      <c r="AS753" s="448"/>
      <c r="AT753" s="448"/>
      <c r="AU753" s="448"/>
      <c r="AV753" s="448"/>
      <c r="AW753" s="448"/>
      <c r="AX753" s="448"/>
    </row>
    <row r="754" spans="1:50" x14ac:dyDescent="0.4">
      <c r="A754" s="442" t="str">
        <f t="shared" si="143"/>
        <v>61988</v>
      </c>
      <c r="B754" s="442">
        <v>32295</v>
      </c>
      <c r="C754" s="455">
        <v>4.5900000000000003E-2</v>
      </c>
      <c r="D754" s="438">
        <v>3.15E-2</v>
      </c>
      <c r="E754" s="438">
        <v>7.6E-3</v>
      </c>
      <c r="F754" s="438">
        <v>8.2166666666666673E-3</v>
      </c>
      <c r="G754" s="438">
        <v>8.4416666666666668E-3</v>
      </c>
      <c r="H754" s="438">
        <v>8.329166666666667E-3</v>
      </c>
      <c r="I754" s="438">
        <v>9.0045833333333332E-3</v>
      </c>
      <c r="J754" s="438">
        <f t="shared" si="132"/>
        <v>3.8300000000000001E-2</v>
      </c>
      <c r="K754" s="438">
        <f t="shared" si="136"/>
        <v>3.7570833333333338E-2</v>
      </c>
      <c r="L754" s="438">
        <f t="shared" si="137"/>
        <v>2.2495416666666667E-2</v>
      </c>
      <c r="M754" s="446">
        <f t="shared" si="133"/>
        <v>-6.8929286633363507E-2</v>
      </c>
      <c r="N754" s="446">
        <f t="shared" si="134"/>
        <v>9.1200000000000003E-2</v>
      </c>
      <c r="O754" s="446">
        <f t="shared" si="138"/>
        <v>9.9950000000000011E-2</v>
      </c>
      <c r="P754" s="447">
        <f t="shared" si="135"/>
        <v>-0.16012928663336351</v>
      </c>
      <c r="Q754" s="446">
        <f t="shared" si="139"/>
        <v>-0.16887928663336352</v>
      </c>
      <c r="R754" s="446">
        <f t="shared" si="140"/>
        <v>4.7809353701892432E-2</v>
      </c>
      <c r="S754" s="446">
        <f t="shared" si="141"/>
        <v>0.108055</v>
      </c>
      <c r="T754" s="447">
        <f t="shared" si="142"/>
        <v>-6.0245646298107566E-2</v>
      </c>
      <c r="V754" s="448"/>
      <c r="W754" s="448"/>
      <c r="X754" s="448"/>
      <c r="Y754" s="448"/>
      <c r="Z754" s="448"/>
      <c r="AA754" s="448"/>
      <c r="AB754" s="448"/>
      <c r="AC754" s="448"/>
      <c r="AD754" s="448"/>
      <c r="AF754" s="448"/>
      <c r="AG754" s="448"/>
      <c r="AH754" s="448"/>
      <c r="AI754" s="448"/>
      <c r="AJ754" s="448"/>
      <c r="AK754" s="448"/>
      <c r="AL754" s="448"/>
      <c r="AM754" s="448"/>
      <c r="AN754" s="448"/>
      <c r="AP754" s="448"/>
      <c r="AQ754" s="448"/>
      <c r="AR754" s="448"/>
      <c r="AS754" s="448"/>
      <c r="AT754" s="448"/>
      <c r="AU754" s="448"/>
      <c r="AV754" s="448"/>
      <c r="AW754" s="448"/>
      <c r="AX754" s="448"/>
    </row>
    <row r="755" spans="1:50" x14ac:dyDescent="0.4">
      <c r="A755" s="442" t="str">
        <f t="shared" si="143"/>
        <v>71988</v>
      </c>
      <c r="B755" s="442">
        <v>32325</v>
      </c>
      <c r="C755" s="455">
        <v>-3.8E-3</v>
      </c>
      <c r="D755" s="438">
        <v>1.6999999999999993E-3</v>
      </c>
      <c r="E755" s="438">
        <v>7.1000000000000004E-3</v>
      </c>
      <c r="F755" s="438">
        <v>8.3000000000000001E-3</v>
      </c>
      <c r="G755" s="438">
        <v>8.5500000000000003E-3</v>
      </c>
      <c r="H755" s="438">
        <v>8.4250000000000002E-3</v>
      </c>
      <c r="I755" s="438">
        <v>9.1866666666666659E-3</v>
      </c>
      <c r="J755" s="438">
        <f t="shared" si="132"/>
        <v>-1.09E-2</v>
      </c>
      <c r="K755" s="438">
        <f t="shared" si="136"/>
        <v>-1.2225E-2</v>
      </c>
      <c r="L755" s="438">
        <f t="shared" si="137"/>
        <v>-7.4866666666666666E-3</v>
      </c>
      <c r="M755" s="446">
        <f t="shared" si="133"/>
        <v>-0.11722409378905185</v>
      </c>
      <c r="N755" s="446">
        <f t="shared" si="134"/>
        <v>8.5199999999999998E-2</v>
      </c>
      <c r="O755" s="446">
        <f t="shared" si="138"/>
        <v>0.1011</v>
      </c>
      <c r="P755" s="447">
        <f t="shared" si="135"/>
        <v>-0.20242409378905185</v>
      </c>
      <c r="Q755" s="446">
        <f t="shared" si="139"/>
        <v>-0.21832409378905185</v>
      </c>
      <c r="R755" s="446">
        <f t="shared" si="140"/>
        <v>5.2221182559584634E-2</v>
      </c>
      <c r="S755" s="446">
        <f t="shared" si="141"/>
        <v>0.11023999999999999</v>
      </c>
      <c r="T755" s="447">
        <f t="shared" si="142"/>
        <v>-5.8018817440415357E-2</v>
      </c>
      <c r="V755" s="448"/>
      <c r="W755" s="448"/>
      <c r="X755" s="448"/>
      <c r="Y755" s="448"/>
      <c r="Z755" s="448"/>
      <c r="AA755" s="448"/>
      <c r="AB755" s="448"/>
      <c r="AC755" s="448"/>
      <c r="AD755" s="448"/>
      <c r="AF755" s="448"/>
      <c r="AG755" s="448"/>
      <c r="AH755" s="448"/>
      <c r="AI755" s="448"/>
      <c r="AJ755" s="448"/>
      <c r="AK755" s="448"/>
      <c r="AL755" s="448"/>
      <c r="AM755" s="448"/>
      <c r="AN755" s="448"/>
      <c r="AP755" s="448"/>
      <c r="AQ755" s="448"/>
      <c r="AR755" s="448"/>
      <c r="AS755" s="448"/>
      <c r="AT755" s="448"/>
      <c r="AU755" s="448"/>
      <c r="AV755" s="448"/>
      <c r="AW755" s="448"/>
      <c r="AX755" s="448"/>
    </row>
    <row r="756" spans="1:50" x14ac:dyDescent="0.4">
      <c r="A756" s="442" t="str">
        <f t="shared" si="143"/>
        <v>81988</v>
      </c>
      <c r="B756" s="442">
        <v>32356</v>
      </c>
      <c r="C756" s="455">
        <v>-3.39E-2</v>
      </c>
      <c r="D756" s="438">
        <v>-1.37E-2</v>
      </c>
      <c r="E756" s="438">
        <v>8.3000000000000001E-3</v>
      </c>
      <c r="F756" s="438">
        <v>8.4249999999999985E-3</v>
      </c>
      <c r="G756" s="438">
        <v>8.6416666666666656E-3</v>
      </c>
      <c r="H756" s="438">
        <v>8.533333333333332E-3</v>
      </c>
      <c r="I756" s="438">
        <v>9.3080000000000003E-3</v>
      </c>
      <c r="J756" s="438">
        <f t="shared" si="132"/>
        <v>-4.2200000000000001E-2</v>
      </c>
      <c r="K756" s="438">
        <f t="shared" si="136"/>
        <v>-4.243333333333333E-2</v>
      </c>
      <c r="L756" s="438">
        <f t="shared" si="137"/>
        <v>-2.3008000000000001E-2</v>
      </c>
      <c r="M756" s="446">
        <f t="shared" si="133"/>
        <v>-0.17781760051055917</v>
      </c>
      <c r="N756" s="446">
        <f t="shared" si="134"/>
        <v>9.9599999999999994E-2</v>
      </c>
      <c r="O756" s="446">
        <f t="shared" si="138"/>
        <v>0.10239999999999999</v>
      </c>
      <c r="P756" s="447">
        <f t="shared" si="135"/>
        <v>-0.27741760051055919</v>
      </c>
      <c r="Q756" s="446">
        <f t="shared" si="139"/>
        <v>-0.28021760051055916</v>
      </c>
      <c r="R756" s="446">
        <f t="shared" si="140"/>
        <v>-1.414861559939351E-2</v>
      </c>
      <c r="S756" s="446">
        <f t="shared" si="141"/>
        <v>0.111696</v>
      </c>
      <c r="T756" s="447">
        <f t="shared" si="142"/>
        <v>-0.12584461559939353</v>
      </c>
      <c r="V756" s="448"/>
      <c r="W756" s="448"/>
      <c r="X756" s="448"/>
      <c r="Y756" s="448"/>
      <c r="Z756" s="448"/>
      <c r="AA756" s="448"/>
      <c r="AB756" s="448"/>
      <c r="AC756" s="448"/>
      <c r="AD756" s="448"/>
      <c r="AF756" s="448"/>
      <c r="AG756" s="448"/>
      <c r="AH756" s="448"/>
      <c r="AI756" s="448"/>
      <c r="AJ756" s="448"/>
      <c r="AK756" s="448"/>
      <c r="AL756" s="448"/>
      <c r="AM756" s="448"/>
      <c r="AN756" s="448"/>
      <c r="AP756" s="448"/>
      <c r="AQ756" s="448"/>
      <c r="AR756" s="448"/>
      <c r="AS756" s="448"/>
      <c r="AT756" s="448"/>
      <c r="AU756" s="448"/>
      <c r="AV756" s="448"/>
      <c r="AW756" s="448"/>
      <c r="AX756" s="448"/>
    </row>
    <row r="757" spans="1:50" x14ac:dyDescent="0.4">
      <c r="A757" s="442" t="str">
        <f t="shared" si="143"/>
        <v>91988</v>
      </c>
      <c r="B757" s="442">
        <v>32387</v>
      </c>
      <c r="C757" s="455">
        <v>4.2599999999999999E-2</v>
      </c>
      <c r="D757" s="438">
        <v>4.1299999999999996E-2</v>
      </c>
      <c r="E757" s="438">
        <v>7.6E-3</v>
      </c>
      <c r="F757" s="438">
        <v>8.1833333333333341E-3</v>
      </c>
      <c r="G757" s="438">
        <v>8.3833333333333329E-3</v>
      </c>
      <c r="H757" s="438">
        <v>8.2833333333333335E-3</v>
      </c>
      <c r="I757" s="438">
        <v>8.8885000000000006E-3</v>
      </c>
      <c r="J757" s="438">
        <f t="shared" si="132"/>
        <v>3.4999999999999996E-2</v>
      </c>
      <c r="K757" s="438">
        <f t="shared" si="136"/>
        <v>3.4316666666666662E-2</v>
      </c>
      <c r="L757" s="438">
        <f t="shared" si="137"/>
        <v>3.2411499999999996E-2</v>
      </c>
      <c r="M757" s="446">
        <f t="shared" si="133"/>
        <v>-0.12359945843196918</v>
      </c>
      <c r="N757" s="446">
        <f t="shared" si="134"/>
        <v>9.1200000000000003E-2</v>
      </c>
      <c r="O757" s="446">
        <f t="shared" si="138"/>
        <v>9.9400000000000002E-2</v>
      </c>
      <c r="P757" s="447">
        <f t="shared" si="135"/>
        <v>-0.21479945843196918</v>
      </c>
      <c r="Q757" s="446">
        <f t="shared" si="139"/>
        <v>-0.22299945843196917</v>
      </c>
      <c r="R757" s="446">
        <f t="shared" si="140"/>
        <v>2.4415773452101996E-2</v>
      </c>
      <c r="S757" s="446">
        <f t="shared" si="141"/>
        <v>0.10666200000000001</v>
      </c>
      <c r="T757" s="447">
        <f t="shared" si="142"/>
        <v>-8.224622654789801E-2</v>
      </c>
      <c r="V757" s="448"/>
      <c r="W757" s="448"/>
      <c r="X757" s="448"/>
      <c r="Y757" s="448"/>
      <c r="Z757" s="448"/>
      <c r="AA757" s="448"/>
      <c r="AB757" s="448"/>
      <c r="AC757" s="448"/>
      <c r="AD757" s="448"/>
      <c r="AF757" s="448"/>
      <c r="AG757" s="448"/>
      <c r="AH757" s="448"/>
      <c r="AI757" s="448"/>
      <c r="AJ757" s="448"/>
      <c r="AK757" s="448"/>
      <c r="AL757" s="448"/>
      <c r="AM757" s="448"/>
      <c r="AN757" s="448"/>
      <c r="AP757" s="448"/>
      <c r="AQ757" s="448"/>
      <c r="AR757" s="448"/>
      <c r="AS757" s="448"/>
      <c r="AT757" s="448"/>
      <c r="AU757" s="448"/>
      <c r="AV757" s="448"/>
      <c r="AW757" s="448"/>
      <c r="AX757" s="448"/>
    </row>
    <row r="758" spans="1:50" x14ac:dyDescent="0.4">
      <c r="A758" s="442" t="str">
        <f t="shared" si="143"/>
        <v>101988</v>
      </c>
      <c r="B758" s="442">
        <v>32417</v>
      </c>
      <c r="C758" s="455">
        <v>2.7799999999999998E-2</v>
      </c>
      <c r="D758" s="438">
        <v>2.6199999999999998E-2</v>
      </c>
      <c r="E758" s="438">
        <v>7.6E-3</v>
      </c>
      <c r="F758" s="438">
        <v>7.9166666666666656E-3</v>
      </c>
      <c r="G758" s="438">
        <v>8.083333333333333E-3</v>
      </c>
      <c r="H758" s="438">
        <v>8.0000000000000002E-3</v>
      </c>
      <c r="I758" s="438">
        <v>8.3178333333333351E-3</v>
      </c>
      <c r="J758" s="438">
        <f t="shared" si="132"/>
        <v>2.0199999999999999E-2</v>
      </c>
      <c r="K758" s="438">
        <f t="shared" si="136"/>
        <v>1.9799999999999998E-2</v>
      </c>
      <c r="L758" s="438">
        <f t="shared" si="137"/>
        <v>1.7882166666666664E-2</v>
      </c>
      <c r="M758" s="446">
        <f t="shared" si="133"/>
        <v>0.14805566737652609</v>
      </c>
      <c r="N758" s="446">
        <f t="shared" si="134"/>
        <v>9.1200000000000003E-2</v>
      </c>
      <c r="O758" s="446">
        <f t="shared" si="138"/>
        <v>9.6000000000000002E-2</v>
      </c>
      <c r="P758" s="447">
        <f t="shared" si="135"/>
        <v>5.6855667376526087E-2</v>
      </c>
      <c r="Q758" s="446">
        <f t="shared" si="139"/>
        <v>5.2055667376526088E-2</v>
      </c>
      <c r="R758" s="446">
        <f t="shared" si="140"/>
        <v>0.13099028156702208</v>
      </c>
      <c r="S758" s="446">
        <f t="shared" si="141"/>
        <v>9.9814000000000014E-2</v>
      </c>
      <c r="T758" s="447">
        <f t="shared" si="142"/>
        <v>3.1176281567022068E-2</v>
      </c>
      <c r="V758" s="448"/>
      <c r="W758" s="448"/>
      <c r="X758" s="448"/>
      <c r="Y758" s="448"/>
      <c r="Z758" s="448"/>
      <c r="AA758" s="448"/>
      <c r="AB758" s="448"/>
      <c r="AC758" s="448"/>
      <c r="AD758" s="448"/>
      <c r="AF758" s="448"/>
      <c r="AG758" s="448"/>
      <c r="AH758" s="448"/>
      <c r="AI758" s="448"/>
      <c r="AJ758" s="448"/>
      <c r="AK758" s="448"/>
      <c r="AL758" s="448"/>
      <c r="AM758" s="448"/>
      <c r="AN758" s="448"/>
      <c r="AP758" s="448"/>
      <c r="AQ758" s="448"/>
      <c r="AR758" s="448"/>
      <c r="AS758" s="448"/>
      <c r="AT758" s="448"/>
      <c r="AU758" s="448"/>
      <c r="AV758" s="448"/>
      <c r="AW758" s="448"/>
      <c r="AX758" s="448"/>
    </row>
    <row r="759" spans="1:50" x14ac:dyDescent="0.4">
      <c r="A759" s="442" t="str">
        <f t="shared" si="143"/>
        <v>111988</v>
      </c>
      <c r="B759" s="442">
        <v>32448</v>
      </c>
      <c r="C759" s="455">
        <v>-1.43E-2</v>
      </c>
      <c r="D759" s="438">
        <v>-7.899999999999999E-3</v>
      </c>
      <c r="E759" s="438">
        <v>7.000000000000001E-3</v>
      </c>
      <c r="F759" s="438">
        <v>7.8750000000000001E-3</v>
      </c>
      <c r="G759" s="438">
        <v>8.1000000000000013E-3</v>
      </c>
      <c r="H759" s="438">
        <v>7.9875000000000015E-3</v>
      </c>
      <c r="I759" s="438">
        <v>8.241666666666668E-3</v>
      </c>
      <c r="J759" s="438">
        <f t="shared" si="132"/>
        <v>-2.1299999999999999E-2</v>
      </c>
      <c r="K759" s="438">
        <f t="shared" si="136"/>
        <v>-2.2287500000000002E-2</v>
      </c>
      <c r="L759" s="438">
        <f t="shared" si="137"/>
        <v>-1.6141666666666665E-2</v>
      </c>
      <c r="M759" s="446">
        <f t="shared" si="133"/>
        <v>0.23325901409442218</v>
      </c>
      <c r="N759" s="446">
        <f t="shared" si="134"/>
        <v>8.4000000000000019E-2</v>
      </c>
      <c r="O759" s="446">
        <f t="shared" si="138"/>
        <v>9.5850000000000019E-2</v>
      </c>
      <c r="P759" s="447">
        <f t="shared" si="135"/>
        <v>0.14925901409442216</v>
      </c>
      <c r="Q759" s="446">
        <f t="shared" si="139"/>
        <v>0.13740901409442216</v>
      </c>
      <c r="R759" s="446">
        <f t="shared" si="140"/>
        <v>0.18798883890168594</v>
      </c>
      <c r="S759" s="446">
        <f t="shared" si="141"/>
        <v>9.8900000000000016E-2</v>
      </c>
      <c r="T759" s="447">
        <f t="shared" si="142"/>
        <v>8.9088838901685924E-2</v>
      </c>
      <c r="V759" s="448"/>
      <c r="W759" s="448"/>
      <c r="X759" s="448"/>
      <c r="Y759" s="448"/>
      <c r="Z759" s="448"/>
      <c r="AA759" s="448"/>
      <c r="AB759" s="448"/>
      <c r="AC759" s="448"/>
      <c r="AD759" s="448"/>
      <c r="AF759" s="448"/>
      <c r="AG759" s="448"/>
      <c r="AH759" s="448"/>
      <c r="AI759" s="448"/>
      <c r="AJ759" s="448"/>
      <c r="AK759" s="448"/>
      <c r="AL759" s="448"/>
      <c r="AM759" s="448"/>
      <c r="AN759" s="448"/>
      <c r="AP759" s="448"/>
      <c r="AQ759" s="448"/>
      <c r="AR759" s="448"/>
      <c r="AS759" s="448"/>
      <c r="AT759" s="448"/>
      <c r="AU759" s="448"/>
      <c r="AV759" s="448"/>
      <c r="AW759" s="448"/>
      <c r="AX759" s="448"/>
    </row>
    <row r="760" spans="1:50" x14ac:dyDescent="0.4">
      <c r="A760" s="442" t="str">
        <f t="shared" si="143"/>
        <v>121988</v>
      </c>
      <c r="B760" s="442">
        <v>32478</v>
      </c>
      <c r="C760" s="455">
        <v>1.7399999999999999E-2</v>
      </c>
      <c r="D760" s="438">
        <v>6.3E-3</v>
      </c>
      <c r="E760" s="438">
        <v>7.4999999999999997E-3</v>
      </c>
      <c r="F760" s="438">
        <v>7.9749999999999995E-3</v>
      </c>
      <c r="G760" s="438">
        <v>8.175E-3</v>
      </c>
      <c r="H760" s="438">
        <v>8.0750000000000006E-3</v>
      </c>
      <c r="I760" s="438">
        <v>8.3765833333333331E-3</v>
      </c>
      <c r="J760" s="438">
        <f t="shared" si="132"/>
        <v>9.8999999999999991E-3</v>
      </c>
      <c r="K760" s="438">
        <f t="shared" si="136"/>
        <v>9.3249999999999982E-3</v>
      </c>
      <c r="L760" s="438">
        <f t="shared" si="137"/>
        <v>-2.0765833333333331E-3</v>
      </c>
      <c r="M760" s="446">
        <f t="shared" si="133"/>
        <v>0.16598617316203401</v>
      </c>
      <c r="N760" s="446">
        <f t="shared" si="134"/>
        <v>0.09</v>
      </c>
      <c r="O760" s="446">
        <f t="shared" si="138"/>
        <v>9.6900000000000014E-2</v>
      </c>
      <c r="P760" s="447">
        <f t="shared" si="135"/>
        <v>7.5986173162034015E-2</v>
      </c>
      <c r="Q760" s="446">
        <f t="shared" si="139"/>
        <v>6.9086173162033998E-2</v>
      </c>
      <c r="R760" s="446">
        <f t="shared" si="140"/>
        <v>0.18270000849502033</v>
      </c>
      <c r="S760" s="446">
        <f t="shared" si="141"/>
        <v>0.100519</v>
      </c>
      <c r="T760" s="447">
        <f t="shared" si="142"/>
        <v>8.218100849502033E-2</v>
      </c>
      <c r="V760" s="448"/>
      <c r="W760" s="448"/>
      <c r="X760" s="448"/>
      <c r="Y760" s="448"/>
      <c r="Z760" s="448"/>
      <c r="AA760" s="448"/>
      <c r="AB760" s="448"/>
      <c r="AC760" s="448"/>
      <c r="AD760" s="448"/>
      <c r="AF760" s="448"/>
      <c r="AG760" s="448"/>
      <c r="AH760" s="448"/>
      <c r="AI760" s="448"/>
      <c r="AJ760" s="448"/>
      <c r="AK760" s="448"/>
      <c r="AL760" s="448"/>
      <c r="AM760" s="448"/>
      <c r="AN760" s="448"/>
      <c r="AP760" s="448"/>
      <c r="AQ760" s="448"/>
      <c r="AR760" s="448"/>
      <c r="AS760" s="448"/>
      <c r="AT760" s="448"/>
      <c r="AU760" s="448"/>
      <c r="AV760" s="448"/>
      <c r="AW760" s="448"/>
      <c r="AX760" s="448"/>
    </row>
    <row r="761" spans="1:50" x14ac:dyDescent="0.4">
      <c r="A761" s="442" t="str">
        <f t="shared" si="143"/>
        <v>11989</v>
      </c>
      <c r="B761" s="442">
        <v>32509</v>
      </c>
      <c r="C761" s="455">
        <v>7.3200000000000001E-2</v>
      </c>
      <c r="D761" s="438">
        <v>5.7100000000000012E-2</v>
      </c>
      <c r="E761" s="438">
        <v>8.0000000000000002E-3</v>
      </c>
      <c r="F761" s="438">
        <v>8.0166666666666667E-3</v>
      </c>
      <c r="G761" s="438">
        <v>8.175E-3</v>
      </c>
      <c r="H761" s="438">
        <v>8.0958333333333334E-3</v>
      </c>
      <c r="I761" s="438">
        <v>8.404E-3</v>
      </c>
      <c r="J761" s="438">
        <f t="shared" si="132"/>
        <v>6.5200000000000008E-2</v>
      </c>
      <c r="K761" s="438">
        <f t="shared" si="136"/>
        <v>6.5104166666666671E-2</v>
      </c>
      <c r="L761" s="438">
        <f t="shared" si="137"/>
        <v>4.869600000000001E-2</v>
      </c>
      <c r="M761" s="446">
        <f t="shared" si="133"/>
        <v>0.20078338070962021</v>
      </c>
      <c r="N761" s="446">
        <f t="shared" si="134"/>
        <v>9.6000000000000002E-2</v>
      </c>
      <c r="O761" s="446">
        <f t="shared" si="138"/>
        <v>9.715E-2</v>
      </c>
      <c r="P761" s="447">
        <f t="shared" si="135"/>
        <v>0.10478338070962021</v>
      </c>
      <c r="Q761" s="446">
        <f t="shared" si="139"/>
        <v>0.10363338070962021</v>
      </c>
      <c r="R761" s="446">
        <f t="shared" si="140"/>
        <v>0.12098285571602796</v>
      </c>
      <c r="S761" s="446">
        <f t="shared" si="141"/>
        <v>0.10084799999999999</v>
      </c>
      <c r="T761" s="447">
        <f t="shared" si="142"/>
        <v>2.0134855716027966E-2</v>
      </c>
      <c r="V761" s="448"/>
      <c r="W761" s="448"/>
      <c r="X761" s="448"/>
      <c r="Y761" s="448"/>
      <c r="Z761" s="448"/>
      <c r="AA761" s="448"/>
      <c r="AB761" s="448"/>
      <c r="AC761" s="448"/>
      <c r="AD761" s="448"/>
      <c r="AF761" s="448"/>
      <c r="AG761" s="448"/>
      <c r="AH761" s="448"/>
      <c r="AI761" s="448"/>
      <c r="AJ761" s="448"/>
      <c r="AK761" s="448"/>
      <c r="AL761" s="448"/>
      <c r="AM761" s="448"/>
      <c r="AN761" s="448"/>
      <c r="AP761" s="448"/>
      <c r="AQ761" s="448"/>
      <c r="AR761" s="448"/>
      <c r="AS761" s="448"/>
      <c r="AT761" s="448"/>
      <c r="AU761" s="448"/>
      <c r="AV761" s="448"/>
      <c r="AW761" s="448"/>
      <c r="AX761" s="448"/>
    </row>
    <row r="762" spans="1:50" x14ac:dyDescent="0.4">
      <c r="A762" s="442" t="str">
        <f t="shared" si="143"/>
        <v>21989</v>
      </c>
      <c r="B762" s="442">
        <v>32540</v>
      </c>
      <c r="C762" s="455">
        <v>-2.4899999999999999E-2</v>
      </c>
      <c r="D762" s="438">
        <v>-2.1499999999999998E-2</v>
      </c>
      <c r="E762" s="438">
        <v>6.8999999999999999E-3</v>
      </c>
      <c r="F762" s="438">
        <v>8.0333333333333333E-3</v>
      </c>
      <c r="G762" s="438">
        <v>8.1916666666666665E-3</v>
      </c>
      <c r="H762" s="438">
        <v>8.1124999999999999E-3</v>
      </c>
      <c r="I762" s="438">
        <v>8.382916666666667E-3</v>
      </c>
      <c r="J762" s="438">
        <f t="shared" si="132"/>
        <v>-3.1799999999999995E-2</v>
      </c>
      <c r="K762" s="438">
        <f t="shared" si="136"/>
        <v>-3.30125E-2</v>
      </c>
      <c r="L762" s="438">
        <f t="shared" si="137"/>
        <v>-2.9882916666666665E-2</v>
      </c>
      <c r="M762" s="446">
        <f t="shared" si="133"/>
        <v>0.11875011898523802</v>
      </c>
      <c r="N762" s="446">
        <f t="shared" si="134"/>
        <v>8.2799999999999999E-2</v>
      </c>
      <c r="O762" s="446">
        <f t="shared" si="138"/>
        <v>9.7349999999999992E-2</v>
      </c>
      <c r="P762" s="447">
        <f t="shared" si="135"/>
        <v>3.5950118985238019E-2</v>
      </c>
      <c r="Q762" s="446">
        <f t="shared" si="139"/>
        <v>2.1400118985238026E-2</v>
      </c>
      <c r="R762" s="446">
        <f t="shared" si="140"/>
        <v>0.1164190578301616</v>
      </c>
      <c r="S762" s="446">
        <f t="shared" si="141"/>
        <v>0.100595</v>
      </c>
      <c r="T762" s="447">
        <f t="shared" si="142"/>
        <v>1.5824057830161595E-2</v>
      </c>
      <c r="V762" s="448"/>
      <c r="W762" s="448"/>
      <c r="X762" s="448"/>
      <c r="Y762" s="448"/>
      <c r="Z762" s="448"/>
      <c r="AA762" s="448"/>
      <c r="AB762" s="448"/>
      <c r="AC762" s="448"/>
      <c r="AD762" s="448"/>
      <c r="AF762" s="448"/>
      <c r="AG762" s="448"/>
      <c r="AH762" s="448"/>
      <c r="AI762" s="448"/>
      <c r="AJ762" s="448"/>
      <c r="AK762" s="448"/>
      <c r="AL762" s="448"/>
      <c r="AM762" s="448"/>
      <c r="AN762" s="448"/>
      <c r="AP762" s="448"/>
      <c r="AQ762" s="448"/>
      <c r="AR762" s="448"/>
      <c r="AS762" s="448"/>
      <c r="AT762" s="448"/>
      <c r="AU762" s="448"/>
      <c r="AV762" s="448"/>
      <c r="AW762" s="448"/>
      <c r="AX762" s="448"/>
    </row>
    <row r="763" spans="1:50" x14ac:dyDescent="0.4">
      <c r="A763" s="442" t="str">
        <f t="shared" si="143"/>
        <v>31989</v>
      </c>
      <c r="B763" s="442">
        <v>32568</v>
      </c>
      <c r="C763" s="455">
        <v>2.3300000000000001E-2</v>
      </c>
      <c r="D763" s="438">
        <v>2.69E-2</v>
      </c>
      <c r="E763" s="438">
        <v>7.9000000000000008E-3</v>
      </c>
      <c r="F763" s="438">
        <v>8.1666666666666676E-3</v>
      </c>
      <c r="G763" s="438">
        <v>8.3166666666666667E-3</v>
      </c>
      <c r="H763" s="438">
        <v>8.241666666666668E-3</v>
      </c>
      <c r="I763" s="438">
        <v>8.5345000000000004E-3</v>
      </c>
      <c r="J763" s="438">
        <f t="shared" si="132"/>
        <v>1.54E-2</v>
      </c>
      <c r="K763" s="438">
        <f t="shared" si="136"/>
        <v>1.5058333333333333E-2</v>
      </c>
      <c r="L763" s="438">
        <f t="shared" si="137"/>
        <v>1.83655E-2</v>
      </c>
      <c r="M763" s="446">
        <f t="shared" si="133"/>
        <v>0.18131977789453591</v>
      </c>
      <c r="N763" s="446">
        <f t="shared" si="134"/>
        <v>9.4800000000000009E-2</v>
      </c>
      <c r="O763" s="446">
        <f t="shared" si="138"/>
        <v>9.8900000000000016E-2</v>
      </c>
      <c r="P763" s="447">
        <f t="shared" si="135"/>
        <v>8.6519777894535896E-2</v>
      </c>
      <c r="Q763" s="446">
        <f t="shared" si="139"/>
        <v>8.2419777894535889E-2</v>
      </c>
      <c r="R763" s="446">
        <f t="shared" si="140"/>
        <v>0.21022984322368043</v>
      </c>
      <c r="S763" s="446">
        <f t="shared" si="141"/>
        <v>0.10241400000000001</v>
      </c>
      <c r="T763" s="447">
        <f t="shared" si="142"/>
        <v>0.10781584322368043</v>
      </c>
      <c r="V763" s="448"/>
      <c r="W763" s="448"/>
      <c r="X763" s="448"/>
      <c r="Y763" s="448"/>
      <c r="Z763" s="448"/>
      <c r="AA763" s="448"/>
      <c r="AB763" s="448"/>
      <c r="AC763" s="448"/>
      <c r="AD763" s="448"/>
      <c r="AF763" s="448"/>
      <c r="AG763" s="448"/>
      <c r="AH763" s="448"/>
      <c r="AI763" s="448"/>
      <c r="AJ763" s="448"/>
      <c r="AK763" s="448"/>
      <c r="AL763" s="448"/>
      <c r="AM763" s="448"/>
      <c r="AN763" s="448"/>
      <c r="AP763" s="448"/>
      <c r="AQ763" s="448"/>
      <c r="AR763" s="448"/>
      <c r="AS763" s="448"/>
      <c r="AT763" s="448"/>
      <c r="AU763" s="448"/>
      <c r="AV763" s="448"/>
      <c r="AW763" s="448"/>
      <c r="AX763" s="448"/>
    </row>
    <row r="764" spans="1:50" x14ac:dyDescent="0.4">
      <c r="A764" s="442" t="str">
        <f t="shared" si="143"/>
        <v>41989</v>
      </c>
      <c r="B764" s="442">
        <v>32599</v>
      </c>
      <c r="C764" s="455">
        <v>5.1900000000000002E-2</v>
      </c>
      <c r="D764" s="438">
        <v>6.3399999999999998E-2</v>
      </c>
      <c r="E764" s="438">
        <v>7.000000000000001E-3</v>
      </c>
      <c r="F764" s="438">
        <v>8.1583333333333334E-3</v>
      </c>
      <c r="G764" s="438">
        <v>8.2833333333333318E-3</v>
      </c>
      <c r="H764" s="438">
        <v>8.2208333333333335E-3</v>
      </c>
      <c r="I764" s="438">
        <v>8.4920833333333341E-3</v>
      </c>
      <c r="J764" s="438">
        <f t="shared" si="132"/>
        <v>4.4900000000000002E-2</v>
      </c>
      <c r="K764" s="438">
        <f t="shared" si="136"/>
        <v>4.3679166666666672E-2</v>
      </c>
      <c r="L764" s="438">
        <f t="shared" si="137"/>
        <v>5.4907916666666667E-2</v>
      </c>
      <c r="M764" s="446">
        <f t="shared" si="133"/>
        <v>0.22898850199511567</v>
      </c>
      <c r="N764" s="446">
        <f t="shared" si="134"/>
        <v>8.4000000000000019E-2</v>
      </c>
      <c r="O764" s="446">
        <f t="shared" si="138"/>
        <v>9.8650000000000002E-2</v>
      </c>
      <c r="P764" s="447">
        <f t="shared" si="135"/>
        <v>0.14498850199511565</v>
      </c>
      <c r="Q764" s="446">
        <f t="shared" si="139"/>
        <v>0.13033850199511565</v>
      </c>
      <c r="R764" s="446">
        <f t="shared" si="140"/>
        <v>0.28451783140439302</v>
      </c>
      <c r="S764" s="446">
        <f t="shared" si="141"/>
        <v>0.10190500000000001</v>
      </c>
      <c r="T764" s="447">
        <f t="shared" si="142"/>
        <v>0.18261283140439299</v>
      </c>
      <c r="V764" s="448"/>
      <c r="W764" s="448"/>
      <c r="X764" s="448"/>
      <c r="Y764" s="448"/>
      <c r="Z764" s="448"/>
      <c r="AA764" s="448"/>
      <c r="AB764" s="448"/>
      <c r="AC764" s="448"/>
      <c r="AD764" s="448"/>
      <c r="AF764" s="448"/>
      <c r="AG764" s="448"/>
      <c r="AH764" s="448"/>
      <c r="AI764" s="448"/>
      <c r="AJ764" s="448"/>
      <c r="AK764" s="448"/>
      <c r="AL764" s="448"/>
      <c r="AM764" s="448"/>
      <c r="AN764" s="448"/>
      <c r="AP764" s="448"/>
      <c r="AQ764" s="448"/>
      <c r="AR764" s="448"/>
      <c r="AS764" s="448"/>
      <c r="AT764" s="448"/>
      <c r="AU764" s="448"/>
      <c r="AV764" s="448"/>
      <c r="AW764" s="448"/>
      <c r="AX764" s="448"/>
    </row>
    <row r="765" spans="1:50" x14ac:dyDescent="0.4">
      <c r="A765" s="442" t="str">
        <f t="shared" si="143"/>
        <v>51989</v>
      </c>
      <c r="B765" s="442">
        <v>32629</v>
      </c>
      <c r="C765" s="455">
        <v>4.0500000000000001E-2</v>
      </c>
      <c r="D765" s="438">
        <v>5.7999999999999996E-2</v>
      </c>
      <c r="E765" s="438">
        <v>8.0000000000000002E-3</v>
      </c>
      <c r="F765" s="438">
        <v>7.9749999999999995E-3</v>
      </c>
      <c r="G765" s="438">
        <v>8.1250000000000003E-3</v>
      </c>
      <c r="H765" s="438">
        <v>8.0499999999999999E-3</v>
      </c>
      <c r="I765" s="438">
        <v>8.3340833333333322E-3</v>
      </c>
      <c r="J765" s="438">
        <f t="shared" si="132"/>
        <v>3.2500000000000001E-2</v>
      </c>
      <c r="K765" s="438">
        <f t="shared" si="136"/>
        <v>3.245E-2</v>
      </c>
      <c r="L765" s="438">
        <f t="shared" si="137"/>
        <v>4.9665916666666664E-2</v>
      </c>
      <c r="M765" s="446">
        <f t="shared" si="133"/>
        <v>0.2678589493614103</v>
      </c>
      <c r="N765" s="446">
        <f t="shared" si="134"/>
        <v>9.6000000000000002E-2</v>
      </c>
      <c r="O765" s="446">
        <f t="shared" si="138"/>
        <v>9.6599999999999991E-2</v>
      </c>
      <c r="P765" s="447">
        <f t="shared" si="135"/>
        <v>0.1718589493614103</v>
      </c>
      <c r="Q765" s="446">
        <f t="shared" si="139"/>
        <v>0.17125894936141031</v>
      </c>
      <c r="R765" s="446">
        <f t="shared" si="140"/>
        <v>0.29925417363847839</v>
      </c>
      <c r="S765" s="446">
        <f t="shared" si="141"/>
        <v>0.10000899999999999</v>
      </c>
      <c r="T765" s="447">
        <f t="shared" si="142"/>
        <v>0.19924517363847841</v>
      </c>
      <c r="V765" s="448"/>
      <c r="W765" s="448"/>
      <c r="X765" s="448"/>
      <c r="Y765" s="448"/>
      <c r="Z765" s="448"/>
      <c r="AA765" s="448"/>
      <c r="AB765" s="448"/>
      <c r="AC765" s="448"/>
      <c r="AD765" s="448"/>
      <c r="AF765" s="448"/>
      <c r="AG765" s="448"/>
      <c r="AH765" s="448"/>
      <c r="AI765" s="448"/>
      <c r="AJ765" s="448"/>
      <c r="AK765" s="448"/>
      <c r="AL765" s="448"/>
      <c r="AM765" s="448"/>
      <c r="AN765" s="448"/>
      <c r="AP765" s="448"/>
      <c r="AQ765" s="448"/>
      <c r="AR765" s="448"/>
      <c r="AS765" s="448"/>
      <c r="AT765" s="448"/>
      <c r="AU765" s="448"/>
      <c r="AV765" s="448"/>
      <c r="AW765" s="448"/>
      <c r="AX765" s="448"/>
    </row>
    <row r="766" spans="1:50" x14ac:dyDescent="0.4">
      <c r="A766" s="442" t="str">
        <f t="shared" si="143"/>
        <v>61989</v>
      </c>
      <c r="B766" s="442">
        <v>32660</v>
      </c>
      <c r="C766" s="455">
        <v>-5.7000000000000002E-3</v>
      </c>
      <c r="D766" s="438">
        <v>1.61E-2</v>
      </c>
      <c r="E766" s="438">
        <v>7.000000000000001E-3</v>
      </c>
      <c r="F766" s="438">
        <v>7.5833333333333334E-3</v>
      </c>
      <c r="G766" s="438">
        <v>7.7416666666666658E-3</v>
      </c>
      <c r="H766" s="438">
        <v>7.6624999999999992E-3</v>
      </c>
      <c r="I766" s="438">
        <v>8.0485000000000001E-3</v>
      </c>
      <c r="J766" s="438">
        <f t="shared" si="132"/>
        <v>-1.2700000000000001E-2</v>
      </c>
      <c r="K766" s="438">
        <f t="shared" si="136"/>
        <v>-1.3362499999999999E-2</v>
      </c>
      <c r="L766" s="438">
        <f t="shared" si="137"/>
        <v>8.0514999999999996E-3</v>
      </c>
      <c r="M766" s="446">
        <f t="shared" si="133"/>
        <v>0.20530849349847058</v>
      </c>
      <c r="N766" s="446">
        <f t="shared" si="134"/>
        <v>8.4000000000000019E-2</v>
      </c>
      <c r="O766" s="446">
        <f t="shared" si="138"/>
        <v>9.194999999999999E-2</v>
      </c>
      <c r="P766" s="447">
        <f t="shared" si="135"/>
        <v>0.12130849349847056</v>
      </c>
      <c r="Q766" s="446">
        <f t="shared" si="139"/>
        <v>0.11335849349847059</v>
      </c>
      <c r="R766" s="446">
        <f t="shared" si="140"/>
        <v>0.27985668040141309</v>
      </c>
      <c r="S766" s="446">
        <f t="shared" si="141"/>
        <v>9.6582000000000001E-2</v>
      </c>
      <c r="T766" s="447">
        <f t="shared" si="142"/>
        <v>0.18327468040141309</v>
      </c>
      <c r="V766" s="448"/>
      <c r="W766" s="448"/>
      <c r="X766" s="448"/>
      <c r="Y766" s="448"/>
      <c r="Z766" s="448"/>
      <c r="AA766" s="448"/>
      <c r="AB766" s="448"/>
      <c r="AC766" s="448"/>
      <c r="AD766" s="448"/>
      <c r="AF766" s="448"/>
      <c r="AG766" s="448"/>
      <c r="AH766" s="448"/>
      <c r="AI766" s="448"/>
      <c r="AJ766" s="448"/>
      <c r="AK766" s="448"/>
      <c r="AL766" s="448"/>
      <c r="AM766" s="448"/>
      <c r="AN766" s="448"/>
      <c r="AP766" s="448"/>
      <c r="AQ766" s="448"/>
      <c r="AR766" s="448"/>
      <c r="AS766" s="448"/>
      <c r="AT766" s="448"/>
      <c r="AU766" s="448"/>
      <c r="AV766" s="448"/>
      <c r="AW766" s="448"/>
      <c r="AX766" s="448"/>
    </row>
    <row r="767" spans="1:50" x14ac:dyDescent="0.4">
      <c r="A767" s="442" t="str">
        <f t="shared" si="143"/>
        <v>71989</v>
      </c>
      <c r="B767" s="442">
        <v>32690</v>
      </c>
      <c r="C767" s="455">
        <v>9.0300000000000005E-2</v>
      </c>
      <c r="D767" s="438">
        <v>8.0399999999999985E-2</v>
      </c>
      <c r="E767" s="438">
        <v>6.7999999999999996E-3</v>
      </c>
      <c r="F767" s="438">
        <v>7.4416666666666667E-3</v>
      </c>
      <c r="G767" s="438">
        <v>7.6166666666666674E-3</v>
      </c>
      <c r="H767" s="438">
        <v>7.5291666666666666E-3</v>
      </c>
      <c r="I767" s="438">
        <v>7.9204166666666659E-3</v>
      </c>
      <c r="J767" s="438">
        <f t="shared" si="132"/>
        <v>8.3500000000000005E-2</v>
      </c>
      <c r="K767" s="438">
        <f t="shared" si="136"/>
        <v>8.2770833333333335E-2</v>
      </c>
      <c r="L767" s="438">
        <f t="shared" si="137"/>
        <v>7.2479583333333319E-2</v>
      </c>
      <c r="M767" s="446">
        <f t="shared" si="133"/>
        <v>0.31916066097307993</v>
      </c>
      <c r="N767" s="446">
        <f t="shared" si="134"/>
        <v>8.1599999999999992E-2</v>
      </c>
      <c r="O767" s="446">
        <f t="shared" si="138"/>
        <v>9.035E-2</v>
      </c>
      <c r="P767" s="447">
        <f t="shared" si="135"/>
        <v>0.23756066097307993</v>
      </c>
      <c r="Q767" s="446">
        <f t="shared" si="139"/>
        <v>0.22881066097307995</v>
      </c>
      <c r="R767" s="446">
        <f t="shared" si="140"/>
        <v>0.38041045972415577</v>
      </c>
      <c r="S767" s="446">
        <f t="shared" si="141"/>
        <v>9.5044999999999991E-2</v>
      </c>
      <c r="T767" s="447">
        <f t="shared" si="142"/>
        <v>0.28536545972415578</v>
      </c>
      <c r="V767" s="448"/>
      <c r="W767" s="448"/>
      <c r="X767" s="448"/>
      <c r="Y767" s="448"/>
      <c r="Z767" s="448"/>
      <c r="AA767" s="448"/>
      <c r="AB767" s="448"/>
      <c r="AC767" s="448"/>
      <c r="AD767" s="448"/>
      <c r="AF767" s="448"/>
      <c r="AG767" s="448"/>
      <c r="AH767" s="448"/>
      <c r="AI767" s="448"/>
      <c r="AJ767" s="448"/>
      <c r="AK767" s="448"/>
      <c r="AL767" s="448"/>
      <c r="AM767" s="448"/>
      <c r="AN767" s="448"/>
      <c r="AP767" s="448"/>
      <c r="AQ767" s="448"/>
      <c r="AR767" s="448"/>
      <c r="AS767" s="448"/>
      <c r="AT767" s="448"/>
      <c r="AU767" s="448"/>
      <c r="AV767" s="448"/>
      <c r="AW767" s="448"/>
      <c r="AX767" s="448"/>
    </row>
    <row r="768" spans="1:50" x14ac:dyDescent="0.4">
      <c r="A768" s="442" t="str">
        <f t="shared" si="143"/>
        <v>81989</v>
      </c>
      <c r="B768" s="442">
        <v>32721</v>
      </c>
      <c r="C768" s="455">
        <v>1.95E-2</v>
      </c>
      <c r="D768" s="438">
        <v>-5.6999999999999993E-3</v>
      </c>
      <c r="E768" s="438">
        <v>6.6E-3</v>
      </c>
      <c r="F768" s="438">
        <v>7.4666666666666666E-3</v>
      </c>
      <c r="G768" s="438">
        <v>7.6166666666666674E-3</v>
      </c>
      <c r="H768" s="438">
        <v>7.5416666666666661E-3</v>
      </c>
      <c r="I768" s="438">
        <v>7.9289999999999985E-3</v>
      </c>
      <c r="J768" s="438">
        <f t="shared" si="132"/>
        <v>1.29E-2</v>
      </c>
      <c r="K768" s="438">
        <f t="shared" si="136"/>
        <v>1.1958333333333335E-2</v>
      </c>
      <c r="L768" s="438">
        <f t="shared" si="137"/>
        <v>-1.3628999999999999E-2</v>
      </c>
      <c r="M768" s="446">
        <f t="shared" si="133"/>
        <v>0.3920756586917038</v>
      </c>
      <c r="N768" s="446">
        <f t="shared" si="134"/>
        <v>7.9199999999999993E-2</v>
      </c>
      <c r="O768" s="446">
        <f t="shared" si="138"/>
        <v>9.0499999999999997E-2</v>
      </c>
      <c r="P768" s="447">
        <f t="shared" si="135"/>
        <v>0.31287565869170381</v>
      </c>
      <c r="Q768" s="446">
        <f t="shared" si="139"/>
        <v>0.30157565869170377</v>
      </c>
      <c r="R768" s="446">
        <f t="shared" si="140"/>
        <v>0.3916071378928605</v>
      </c>
      <c r="S768" s="446">
        <f t="shared" si="141"/>
        <v>9.5147999999999983E-2</v>
      </c>
      <c r="T768" s="447">
        <f t="shared" si="142"/>
        <v>0.29645913789286049</v>
      </c>
      <c r="V768" s="448"/>
      <c r="W768" s="448"/>
      <c r="X768" s="448"/>
      <c r="Y768" s="448"/>
      <c r="Z768" s="448"/>
      <c r="AA768" s="448"/>
      <c r="AB768" s="448"/>
      <c r="AC768" s="448"/>
      <c r="AD768" s="448"/>
      <c r="AF768" s="448"/>
      <c r="AG768" s="448"/>
      <c r="AH768" s="448"/>
      <c r="AI768" s="448"/>
      <c r="AJ768" s="448"/>
      <c r="AK768" s="448"/>
      <c r="AL768" s="448"/>
      <c r="AM768" s="448"/>
      <c r="AN768" s="448"/>
      <c r="AP768" s="448"/>
      <c r="AQ768" s="448"/>
      <c r="AR768" s="448"/>
      <c r="AS768" s="448"/>
      <c r="AT768" s="448"/>
      <c r="AU768" s="448"/>
      <c r="AV768" s="448"/>
      <c r="AW768" s="448"/>
      <c r="AX768" s="448"/>
    </row>
    <row r="769" spans="1:50" x14ac:dyDescent="0.4">
      <c r="A769" s="442" t="str">
        <f t="shared" si="143"/>
        <v>91989</v>
      </c>
      <c r="B769" s="442">
        <v>32752</v>
      </c>
      <c r="C769" s="455">
        <v>-4.1000000000000003E-3</v>
      </c>
      <c r="D769" s="438">
        <v>1.7000000000000001E-2</v>
      </c>
      <c r="E769" s="438">
        <v>6.5000000000000006E-3</v>
      </c>
      <c r="F769" s="438">
        <v>7.5083333333333339E-3</v>
      </c>
      <c r="G769" s="438">
        <v>7.691666666666667E-3</v>
      </c>
      <c r="H769" s="438">
        <v>7.6E-3</v>
      </c>
      <c r="I769" s="438">
        <v>7.9866666666666662E-3</v>
      </c>
      <c r="J769" s="438">
        <f t="shared" si="132"/>
        <v>-1.0600000000000002E-2</v>
      </c>
      <c r="K769" s="438">
        <f t="shared" si="136"/>
        <v>-1.17E-2</v>
      </c>
      <c r="L769" s="438">
        <f t="shared" si="137"/>
        <v>9.013333333333335E-3</v>
      </c>
      <c r="M769" s="446">
        <f t="shared" si="133"/>
        <v>0.32972199164690941</v>
      </c>
      <c r="N769" s="446">
        <f t="shared" si="134"/>
        <v>7.8000000000000014E-2</v>
      </c>
      <c r="O769" s="446">
        <f t="shared" si="138"/>
        <v>9.1200000000000003E-2</v>
      </c>
      <c r="P769" s="447">
        <f t="shared" si="135"/>
        <v>0.25172199164690939</v>
      </c>
      <c r="Q769" s="446">
        <f t="shared" si="139"/>
        <v>0.2385219916469094</v>
      </c>
      <c r="R769" s="446">
        <f t="shared" si="140"/>
        <v>0.3591322954355507</v>
      </c>
      <c r="S769" s="446">
        <f t="shared" si="141"/>
        <v>9.5839999999999995E-2</v>
      </c>
      <c r="T769" s="447">
        <f t="shared" si="142"/>
        <v>0.26329229543555072</v>
      </c>
      <c r="V769" s="448"/>
      <c r="W769" s="448"/>
      <c r="X769" s="448"/>
      <c r="Y769" s="448"/>
      <c r="Z769" s="448"/>
      <c r="AA769" s="448"/>
      <c r="AB769" s="448"/>
      <c r="AC769" s="448"/>
      <c r="AD769" s="448"/>
      <c r="AF769" s="448"/>
      <c r="AG769" s="448"/>
      <c r="AH769" s="448"/>
      <c r="AI769" s="448"/>
      <c r="AJ769" s="448"/>
      <c r="AK769" s="448"/>
      <c r="AL769" s="448"/>
      <c r="AM769" s="448"/>
      <c r="AN769" s="448"/>
      <c r="AP769" s="448"/>
      <c r="AQ769" s="448"/>
      <c r="AR769" s="448"/>
      <c r="AS769" s="448"/>
      <c r="AT769" s="448"/>
      <c r="AU769" s="448"/>
      <c r="AV769" s="448"/>
      <c r="AW769" s="448"/>
      <c r="AX769" s="448"/>
    </row>
    <row r="770" spans="1:50" x14ac:dyDescent="0.4">
      <c r="A770" s="442" t="str">
        <f t="shared" si="143"/>
        <v>101989</v>
      </c>
      <c r="B770" s="442">
        <v>32782</v>
      </c>
      <c r="C770" s="455">
        <v>-2.3199999999999998E-2</v>
      </c>
      <c r="D770" s="438">
        <v>4.5000000000000005E-3</v>
      </c>
      <c r="E770" s="438">
        <v>7.1999999999999998E-3</v>
      </c>
      <c r="F770" s="438">
        <v>7.4333333333333326E-3</v>
      </c>
      <c r="G770" s="438">
        <v>7.658333333333333E-3</v>
      </c>
      <c r="H770" s="438">
        <v>7.5458333333333323E-3</v>
      </c>
      <c r="I770" s="438">
        <v>7.948499999999999E-3</v>
      </c>
      <c r="J770" s="438">
        <f t="shared" si="132"/>
        <v>-3.0399999999999996E-2</v>
      </c>
      <c r="K770" s="438">
        <f t="shared" si="136"/>
        <v>-3.074583333333333E-2</v>
      </c>
      <c r="L770" s="438">
        <f t="shared" si="137"/>
        <v>-3.4484999999999984E-3</v>
      </c>
      <c r="M770" s="446">
        <f t="shared" si="133"/>
        <v>0.26374045674323932</v>
      </c>
      <c r="N770" s="446">
        <f t="shared" si="134"/>
        <v>8.6400000000000005E-2</v>
      </c>
      <c r="O770" s="446">
        <f t="shared" si="138"/>
        <v>9.0549999999999992E-2</v>
      </c>
      <c r="P770" s="447">
        <f t="shared" si="135"/>
        <v>0.17734045674323931</v>
      </c>
      <c r="Q770" s="446">
        <f t="shared" si="139"/>
        <v>0.17319045674323932</v>
      </c>
      <c r="R770" s="446">
        <f t="shared" si="140"/>
        <v>0.33039211729196127</v>
      </c>
      <c r="S770" s="446">
        <f t="shared" si="141"/>
        <v>9.5381999999999995E-2</v>
      </c>
      <c r="T770" s="447">
        <f t="shared" si="142"/>
        <v>0.23501011729196128</v>
      </c>
      <c r="V770" s="448"/>
      <c r="W770" s="448"/>
      <c r="X770" s="448"/>
      <c r="Y770" s="448"/>
      <c r="Z770" s="448"/>
      <c r="AA770" s="448"/>
      <c r="AB770" s="448"/>
      <c r="AC770" s="448"/>
      <c r="AD770" s="448"/>
      <c r="AF770" s="448"/>
      <c r="AG770" s="448"/>
      <c r="AH770" s="448"/>
      <c r="AI770" s="448"/>
      <c r="AJ770" s="448"/>
      <c r="AK770" s="448"/>
      <c r="AL770" s="448"/>
      <c r="AM770" s="448"/>
      <c r="AN770" s="448"/>
      <c r="AP770" s="448"/>
      <c r="AQ770" s="448"/>
      <c r="AR770" s="448"/>
      <c r="AS770" s="448"/>
      <c r="AT770" s="448"/>
      <c r="AU770" s="448"/>
      <c r="AV770" s="448"/>
      <c r="AW770" s="448"/>
      <c r="AX770" s="448"/>
    </row>
    <row r="771" spans="1:50" x14ac:dyDescent="0.4">
      <c r="A771" s="442" t="str">
        <f t="shared" si="143"/>
        <v>111989</v>
      </c>
      <c r="B771" s="442">
        <v>32813</v>
      </c>
      <c r="C771" s="455">
        <v>2.0400000000000001E-2</v>
      </c>
      <c r="D771" s="438">
        <v>3.3599999999999998E-2</v>
      </c>
      <c r="E771" s="438">
        <v>6.4000000000000003E-3</v>
      </c>
      <c r="F771" s="438">
        <v>7.4083333333333336E-3</v>
      </c>
      <c r="G771" s="438">
        <v>7.6166666666666674E-3</v>
      </c>
      <c r="H771" s="438">
        <v>7.5125000000000001E-3</v>
      </c>
      <c r="I771" s="438">
        <v>7.929750000000001E-3</v>
      </c>
      <c r="J771" s="438">
        <f t="shared" si="132"/>
        <v>1.4000000000000002E-2</v>
      </c>
      <c r="K771" s="438">
        <f t="shared" si="136"/>
        <v>1.2887500000000001E-2</v>
      </c>
      <c r="L771" s="438">
        <f t="shared" si="137"/>
        <v>2.5670249999999999E-2</v>
      </c>
      <c r="M771" s="446">
        <f t="shared" si="133"/>
        <v>0.30822842858963306</v>
      </c>
      <c r="N771" s="446">
        <f t="shared" si="134"/>
        <v>7.6800000000000007E-2</v>
      </c>
      <c r="O771" s="446">
        <f t="shared" si="138"/>
        <v>9.0150000000000008E-2</v>
      </c>
      <c r="P771" s="447">
        <f t="shared" si="135"/>
        <v>0.23142842858963306</v>
      </c>
      <c r="Q771" s="446">
        <f t="shared" si="139"/>
        <v>0.21807842858963306</v>
      </c>
      <c r="R771" s="446">
        <f t="shared" si="140"/>
        <v>0.38604303238884374</v>
      </c>
      <c r="S771" s="446">
        <f t="shared" si="141"/>
        <v>9.5157000000000019E-2</v>
      </c>
      <c r="T771" s="447">
        <f t="shared" si="142"/>
        <v>0.2908860323888437</v>
      </c>
      <c r="V771" s="448"/>
      <c r="W771" s="448"/>
      <c r="X771" s="448"/>
      <c r="Y771" s="448"/>
      <c r="Z771" s="448"/>
      <c r="AA771" s="448"/>
      <c r="AB771" s="448"/>
      <c r="AC771" s="448"/>
      <c r="AD771" s="448"/>
      <c r="AF771" s="448"/>
      <c r="AG771" s="448"/>
      <c r="AH771" s="448"/>
      <c r="AI771" s="448"/>
      <c r="AJ771" s="448"/>
      <c r="AK771" s="448"/>
      <c r="AL771" s="448"/>
      <c r="AM771" s="448"/>
      <c r="AN771" s="448"/>
      <c r="AP771" s="448"/>
      <c r="AQ771" s="448"/>
      <c r="AR771" s="448"/>
      <c r="AS771" s="448"/>
      <c r="AT771" s="448"/>
      <c r="AU771" s="448"/>
      <c r="AV771" s="448"/>
      <c r="AW771" s="448"/>
      <c r="AX771" s="448"/>
    </row>
    <row r="772" spans="1:50" x14ac:dyDescent="0.4">
      <c r="A772" s="442" t="str">
        <f t="shared" si="143"/>
        <v>121989</v>
      </c>
      <c r="B772" s="442">
        <v>32843</v>
      </c>
      <c r="C772" s="455">
        <v>2.4E-2</v>
      </c>
      <c r="D772" s="438">
        <v>7.3099999999999998E-2</v>
      </c>
      <c r="E772" s="438">
        <v>6.4000000000000003E-3</v>
      </c>
      <c r="F772" s="438">
        <v>7.3833333333333329E-3</v>
      </c>
      <c r="G772" s="438">
        <v>7.5916666666666667E-3</v>
      </c>
      <c r="H772" s="438">
        <v>7.4875000000000002E-3</v>
      </c>
      <c r="I772" s="438">
        <v>7.8612500000000002E-3</v>
      </c>
      <c r="J772" s="438">
        <f t="shared" si="132"/>
        <v>1.7600000000000001E-2</v>
      </c>
      <c r="K772" s="438">
        <f t="shared" si="136"/>
        <v>1.6512499999999999E-2</v>
      </c>
      <c r="L772" s="438">
        <f t="shared" si="137"/>
        <v>6.5238749999999998E-2</v>
      </c>
      <c r="M772" s="446">
        <f t="shared" si="133"/>
        <v>0.31671506868073918</v>
      </c>
      <c r="N772" s="446">
        <f t="shared" si="134"/>
        <v>7.6800000000000007E-2</v>
      </c>
      <c r="O772" s="446">
        <f t="shared" si="138"/>
        <v>8.9849999999999999E-2</v>
      </c>
      <c r="P772" s="447">
        <f t="shared" si="135"/>
        <v>0.23991506868073917</v>
      </c>
      <c r="Q772" s="446">
        <f t="shared" si="139"/>
        <v>0.22686506868073919</v>
      </c>
      <c r="R772" s="446">
        <f t="shared" si="140"/>
        <v>0.47805105640114021</v>
      </c>
      <c r="S772" s="446">
        <f t="shared" si="141"/>
        <v>9.4335000000000002E-2</v>
      </c>
      <c r="T772" s="447">
        <f t="shared" si="142"/>
        <v>0.3837160564011402</v>
      </c>
      <c r="V772" s="448"/>
      <c r="W772" s="448"/>
      <c r="X772" s="448"/>
      <c r="Y772" s="448"/>
      <c r="Z772" s="448"/>
      <c r="AA772" s="448"/>
      <c r="AB772" s="448"/>
      <c r="AC772" s="448"/>
      <c r="AD772" s="448"/>
      <c r="AF772" s="448"/>
      <c r="AG772" s="448"/>
      <c r="AH772" s="448"/>
      <c r="AI772" s="448"/>
      <c r="AJ772" s="448"/>
      <c r="AK772" s="448"/>
      <c r="AL772" s="448"/>
      <c r="AM772" s="448"/>
      <c r="AN772" s="448"/>
      <c r="AP772" s="448"/>
      <c r="AQ772" s="448"/>
      <c r="AR772" s="448"/>
      <c r="AS772" s="448"/>
      <c r="AT772" s="448"/>
      <c r="AU772" s="448"/>
      <c r="AV772" s="448"/>
      <c r="AW772" s="448"/>
      <c r="AX772" s="448"/>
    </row>
    <row r="773" spans="1:50" x14ac:dyDescent="0.4">
      <c r="A773" s="442" t="str">
        <f t="shared" si="143"/>
        <v>11990</v>
      </c>
      <c r="B773" s="442">
        <v>32874</v>
      </c>
      <c r="C773" s="455">
        <v>-6.7100000000000007E-2</v>
      </c>
      <c r="D773" s="438">
        <v>-8.09E-2</v>
      </c>
      <c r="E773" s="438">
        <v>7.3000000000000001E-3</v>
      </c>
      <c r="F773" s="438">
        <v>7.4916666666666664E-3</v>
      </c>
      <c r="G773" s="438">
        <v>7.7249999999999992E-3</v>
      </c>
      <c r="H773" s="438">
        <v>7.6083333333333324E-3</v>
      </c>
      <c r="I773" s="438">
        <v>7.9564166666666672E-3</v>
      </c>
      <c r="J773" s="438">
        <f t="shared" si="132"/>
        <v>-7.4400000000000008E-2</v>
      </c>
      <c r="K773" s="438">
        <f t="shared" si="136"/>
        <v>-7.4708333333333335E-2</v>
      </c>
      <c r="L773" s="438">
        <f t="shared" si="137"/>
        <v>-8.885641666666666E-2</v>
      </c>
      <c r="M773" s="446">
        <f t="shared" si="133"/>
        <v>0.14458021577735902</v>
      </c>
      <c r="N773" s="446">
        <f t="shared" si="134"/>
        <v>8.7599999999999997E-2</v>
      </c>
      <c r="O773" s="446">
        <f t="shared" si="138"/>
        <v>9.1299999999999992E-2</v>
      </c>
      <c r="P773" s="447">
        <f t="shared" si="135"/>
        <v>5.6980215777359025E-2</v>
      </c>
      <c r="Q773" s="446">
        <f t="shared" si="139"/>
        <v>5.328021577735903E-2</v>
      </c>
      <c r="R773" s="446">
        <f t="shared" si="140"/>
        <v>0.28509765011662869</v>
      </c>
      <c r="S773" s="446">
        <f t="shared" si="141"/>
        <v>9.5477000000000006E-2</v>
      </c>
      <c r="T773" s="447">
        <f t="shared" si="142"/>
        <v>0.18962065011662868</v>
      </c>
      <c r="V773" s="448"/>
      <c r="W773" s="448"/>
      <c r="X773" s="448"/>
      <c r="Y773" s="448"/>
      <c r="Z773" s="448"/>
      <c r="AA773" s="448"/>
      <c r="AB773" s="448"/>
      <c r="AC773" s="448"/>
      <c r="AD773" s="448"/>
      <c r="AF773" s="448"/>
      <c r="AG773" s="448"/>
      <c r="AH773" s="448"/>
      <c r="AI773" s="448"/>
      <c r="AJ773" s="448"/>
      <c r="AK773" s="448"/>
      <c r="AL773" s="448"/>
      <c r="AM773" s="448"/>
      <c r="AN773" s="448"/>
      <c r="AP773" s="448"/>
      <c r="AQ773" s="448"/>
      <c r="AR773" s="448"/>
      <c r="AS773" s="448"/>
      <c r="AT773" s="448"/>
      <c r="AU773" s="448"/>
      <c r="AV773" s="448"/>
      <c r="AW773" s="448"/>
      <c r="AX773" s="448"/>
    </row>
    <row r="774" spans="1:50" x14ac:dyDescent="0.4">
      <c r="A774" s="442" t="str">
        <f t="shared" si="143"/>
        <v>21990</v>
      </c>
      <c r="B774" s="442">
        <v>32905</v>
      </c>
      <c r="C774" s="455">
        <v>1.29E-2</v>
      </c>
      <c r="D774" s="438">
        <v>-1.09E-2</v>
      </c>
      <c r="E774" s="438">
        <v>6.6E-3</v>
      </c>
      <c r="F774" s="438">
        <v>7.6833333333333345E-3</v>
      </c>
      <c r="G774" s="438">
        <v>7.8666666666666659E-3</v>
      </c>
      <c r="H774" s="438">
        <v>7.7750000000000007E-3</v>
      </c>
      <c r="I774" s="438">
        <v>8.1302500000000003E-3</v>
      </c>
      <c r="J774" s="438">
        <f t="shared" ref="J774:J837" si="144">C774-E774</f>
        <v>6.3E-3</v>
      </c>
      <c r="K774" s="438">
        <f t="shared" si="136"/>
        <v>5.1249999999999993E-3</v>
      </c>
      <c r="L774" s="438">
        <f t="shared" si="137"/>
        <v>-1.9030249999999999E-2</v>
      </c>
      <c r="M774" s="446">
        <f t="shared" si="133"/>
        <v>0.18895015953326499</v>
      </c>
      <c r="N774" s="446">
        <f t="shared" si="134"/>
        <v>7.9199999999999993E-2</v>
      </c>
      <c r="O774" s="446">
        <f t="shared" si="138"/>
        <v>9.3300000000000008E-2</v>
      </c>
      <c r="P774" s="447">
        <f t="shared" si="135"/>
        <v>0.109750159533265</v>
      </c>
      <c r="Q774" s="446">
        <f t="shared" si="139"/>
        <v>9.5650159533264986E-2</v>
      </c>
      <c r="R774" s="446">
        <f t="shared" si="140"/>
        <v>0.29901899410358435</v>
      </c>
      <c r="S774" s="446">
        <f t="shared" si="141"/>
        <v>9.7563000000000011E-2</v>
      </c>
      <c r="T774" s="447">
        <f t="shared" si="142"/>
        <v>0.20145599410358433</v>
      </c>
      <c r="V774" s="448"/>
      <c r="W774" s="448"/>
      <c r="X774" s="448"/>
      <c r="Y774" s="448"/>
      <c r="Z774" s="448"/>
      <c r="AA774" s="448"/>
      <c r="AB774" s="448"/>
      <c r="AC774" s="448"/>
      <c r="AD774" s="448"/>
      <c r="AF774" s="448"/>
      <c r="AG774" s="448"/>
      <c r="AH774" s="448"/>
      <c r="AI774" s="448"/>
      <c r="AJ774" s="448"/>
      <c r="AK774" s="448"/>
      <c r="AL774" s="448"/>
      <c r="AM774" s="448"/>
      <c r="AN774" s="448"/>
      <c r="AP774" s="448"/>
      <c r="AQ774" s="448"/>
      <c r="AR774" s="448"/>
      <c r="AS774" s="448"/>
      <c r="AT774" s="448"/>
      <c r="AU774" s="448"/>
      <c r="AV774" s="448"/>
      <c r="AW774" s="448"/>
      <c r="AX774" s="448"/>
    </row>
    <row r="775" spans="1:50" x14ac:dyDescent="0.4">
      <c r="A775" s="442" t="str">
        <f t="shared" si="143"/>
        <v>31990</v>
      </c>
      <c r="B775" s="442">
        <v>32933</v>
      </c>
      <c r="C775" s="455">
        <v>2.6499999999999999E-2</v>
      </c>
      <c r="D775" s="438">
        <v>1.8700000000000001E-2</v>
      </c>
      <c r="E775" s="438">
        <v>7.1000000000000004E-3</v>
      </c>
      <c r="F775" s="438">
        <v>7.8083333333333329E-3</v>
      </c>
      <c r="G775" s="438">
        <v>7.9249999999999998E-3</v>
      </c>
      <c r="H775" s="438">
        <v>7.8666666666666659E-3</v>
      </c>
      <c r="I775" s="438">
        <v>8.2053333333333318E-3</v>
      </c>
      <c r="J775" s="438">
        <f t="shared" si="144"/>
        <v>1.9400000000000001E-2</v>
      </c>
      <c r="K775" s="438">
        <f t="shared" si="136"/>
        <v>1.8633333333333335E-2</v>
      </c>
      <c r="L775" s="438">
        <f t="shared" si="137"/>
        <v>1.049466666666667E-2</v>
      </c>
      <c r="M775" s="446">
        <f t="shared" si="133"/>
        <v>0.19266817039079087</v>
      </c>
      <c r="N775" s="446">
        <f t="shared" si="134"/>
        <v>8.5199999999999998E-2</v>
      </c>
      <c r="O775" s="446">
        <f t="shared" si="138"/>
        <v>9.4399999999999984E-2</v>
      </c>
      <c r="P775" s="447">
        <f t="shared" si="135"/>
        <v>0.10746817039079087</v>
      </c>
      <c r="Q775" s="446">
        <f t="shared" si="139"/>
        <v>9.8268170390790888E-2</v>
      </c>
      <c r="R775" s="446">
        <f t="shared" si="140"/>
        <v>0.28864607001005127</v>
      </c>
      <c r="S775" s="446">
        <f t="shared" si="141"/>
        <v>9.8463999999999982E-2</v>
      </c>
      <c r="T775" s="447">
        <f t="shared" si="142"/>
        <v>0.19018207001005127</v>
      </c>
      <c r="V775" s="448"/>
      <c r="W775" s="448"/>
      <c r="X775" s="448"/>
      <c r="Y775" s="448"/>
      <c r="Z775" s="448"/>
      <c r="AA775" s="448"/>
      <c r="AB775" s="448"/>
      <c r="AC775" s="448"/>
      <c r="AD775" s="448"/>
      <c r="AF775" s="448"/>
      <c r="AG775" s="448"/>
      <c r="AH775" s="448"/>
      <c r="AI775" s="448"/>
      <c r="AJ775" s="448"/>
      <c r="AK775" s="448"/>
      <c r="AL775" s="448"/>
      <c r="AM775" s="448"/>
      <c r="AN775" s="448"/>
      <c r="AP775" s="448"/>
      <c r="AQ775" s="448"/>
      <c r="AR775" s="448"/>
      <c r="AS775" s="448"/>
      <c r="AT775" s="448"/>
      <c r="AU775" s="448"/>
      <c r="AV775" s="448"/>
      <c r="AW775" s="448"/>
      <c r="AX775" s="448"/>
    </row>
    <row r="776" spans="1:50" x14ac:dyDescent="0.4">
      <c r="A776" s="442" t="str">
        <f t="shared" si="143"/>
        <v>41990</v>
      </c>
      <c r="B776" s="442">
        <v>32964</v>
      </c>
      <c r="C776" s="455">
        <v>-2.4899999999999999E-2</v>
      </c>
      <c r="D776" s="438">
        <v>-3.85E-2</v>
      </c>
      <c r="E776" s="438">
        <v>7.4999999999999997E-3</v>
      </c>
      <c r="F776" s="438">
        <v>7.8833333333333342E-3</v>
      </c>
      <c r="G776" s="438">
        <v>8.0333333333333333E-3</v>
      </c>
      <c r="H776" s="438">
        <v>7.9583333333333346E-3</v>
      </c>
      <c r="I776" s="438">
        <v>8.2587500000000005E-3</v>
      </c>
      <c r="J776" s="438">
        <f t="shared" si="144"/>
        <v>-3.2399999999999998E-2</v>
      </c>
      <c r="K776" s="438">
        <f t="shared" si="136"/>
        <v>-3.2858333333333337E-2</v>
      </c>
      <c r="L776" s="438">
        <f t="shared" si="137"/>
        <v>-4.6758750000000002E-2</v>
      </c>
      <c r="M776" s="446">
        <f t="shared" si="133"/>
        <v>0.10559058175497715</v>
      </c>
      <c r="N776" s="446">
        <f t="shared" si="134"/>
        <v>0.09</v>
      </c>
      <c r="O776" s="446">
        <f t="shared" si="138"/>
        <v>9.5500000000000015E-2</v>
      </c>
      <c r="P776" s="447">
        <f t="shared" si="135"/>
        <v>1.5590581754977156E-2</v>
      </c>
      <c r="Q776" s="446">
        <f t="shared" si="139"/>
        <v>1.0090581754977138E-2</v>
      </c>
      <c r="R776" s="446">
        <f t="shared" si="140"/>
        <v>0.16516192995548651</v>
      </c>
      <c r="S776" s="446">
        <f t="shared" si="141"/>
        <v>9.9104999999999999E-2</v>
      </c>
      <c r="T776" s="447">
        <f t="shared" si="142"/>
        <v>6.605692995548651E-2</v>
      </c>
      <c r="V776" s="448"/>
      <c r="W776" s="448"/>
      <c r="X776" s="448"/>
      <c r="Y776" s="448"/>
      <c r="Z776" s="448"/>
      <c r="AA776" s="448"/>
      <c r="AB776" s="448"/>
      <c r="AC776" s="448"/>
      <c r="AD776" s="448"/>
      <c r="AF776" s="448"/>
      <c r="AG776" s="448"/>
      <c r="AH776" s="448"/>
      <c r="AI776" s="448"/>
      <c r="AJ776" s="448"/>
      <c r="AK776" s="448"/>
      <c r="AL776" s="448"/>
      <c r="AM776" s="448"/>
      <c r="AN776" s="448"/>
      <c r="AP776" s="448"/>
      <c r="AQ776" s="448"/>
      <c r="AR776" s="448"/>
      <c r="AS776" s="448"/>
      <c r="AT776" s="448"/>
      <c r="AU776" s="448"/>
      <c r="AV776" s="448"/>
      <c r="AW776" s="448"/>
      <c r="AX776" s="448"/>
    </row>
    <row r="777" spans="1:50" x14ac:dyDescent="0.4">
      <c r="A777" s="442" t="str">
        <f t="shared" si="143"/>
        <v>51990</v>
      </c>
      <c r="B777" s="442">
        <v>32994</v>
      </c>
      <c r="C777" s="455">
        <v>9.7500000000000003E-2</v>
      </c>
      <c r="D777" s="438">
        <v>6.8200000000000011E-2</v>
      </c>
      <c r="E777" s="438">
        <v>7.4999999999999997E-3</v>
      </c>
      <c r="F777" s="438">
        <v>7.8916666666666666E-3</v>
      </c>
      <c r="G777" s="438">
        <v>8.083333333333333E-3</v>
      </c>
      <c r="H777" s="438">
        <v>7.9874999999999998E-3</v>
      </c>
      <c r="I777" s="438">
        <v>8.3382500000000002E-3</v>
      </c>
      <c r="J777" s="438">
        <f t="shared" si="144"/>
        <v>0.09</v>
      </c>
      <c r="K777" s="438">
        <f t="shared" si="136"/>
        <v>8.9512500000000009E-2</v>
      </c>
      <c r="L777" s="438">
        <f t="shared" si="137"/>
        <v>5.9861750000000012E-2</v>
      </c>
      <c r="M777" s="446">
        <f t="shared" si="133"/>
        <v>0.16615633202891611</v>
      </c>
      <c r="N777" s="446">
        <f t="shared" si="134"/>
        <v>0.09</v>
      </c>
      <c r="O777" s="446">
        <f t="shared" si="138"/>
        <v>9.5849999999999991E-2</v>
      </c>
      <c r="P777" s="447">
        <f t="shared" si="135"/>
        <v>7.6156332028916113E-2</v>
      </c>
      <c r="Q777" s="446">
        <f t="shared" si="139"/>
        <v>7.0306332028916119E-2</v>
      </c>
      <c r="R777" s="446">
        <f t="shared" si="140"/>
        <v>0.17639506009305328</v>
      </c>
      <c r="S777" s="446">
        <f t="shared" si="141"/>
        <v>0.10005900000000001</v>
      </c>
      <c r="T777" s="447">
        <f t="shared" si="142"/>
        <v>7.6336060093053271E-2</v>
      </c>
      <c r="V777" s="448"/>
      <c r="W777" s="448"/>
      <c r="X777" s="448"/>
      <c r="Y777" s="448"/>
      <c r="Z777" s="448"/>
      <c r="AA777" s="448"/>
      <c r="AB777" s="448"/>
      <c r="AC777" s="448"/>
      <c r="AD777" s="448"/>
      <c r="AF777" s="448"/>
      <c r="AG777" s="448"/>
      <c r="AH777" s="448"/>
      <c r="AI777" s="448"/>
      <c r="AJ777" s="448"/>
      <c r="AK777" s="448"/>
      <c r="AL777" s="448"/>
      <c r="AM777" s="448"/>
      <c r="AN777" s="448"/>
      <c r="AP777" s="448"/>
      <c r="AQ777" s="448"/>
      <c r="AR777" s="448"/>
      <c r="AS777" s="448"/>
      <c r="AT777" s="448"/>
      <c r="AU777" s="448"/>
      <c r="AV777" s="448"/>
      <c r="AW777" s="448"/>
      <c r="AX777" s="448"/>
    </row>
    <row r="778" spans="1:50" x14ac:dyDescent="0.4">
      <c r="A778" s="442" t="str">
        <f t="shared" si="143"/>
        <v>61990</v>
      </c>
      <c r="B778" s="442">
        <v>33025</v>
      </c>
      <c r="C778" s="455">
        <v>-6.7000000000000002E-3</v>
      </c>
      <c r="D778" s="438">
        <v>-2.1099999999999997E-2</v>
      </c>
      <c r="E778" s="438">
        <v>6.7999999999999996E-3</v>
      </c>
      <c r="F778" s="438">
        <v>7.7166666666666659E-3</v>
      </c>
      <c r="G778" s="438">
        <v>7.9083333333333332E-3</v>
      </c>
      <c r="H778" s="438">
        <v>7.8125E-3</v>
      </c>
      <c r="I778" s="438">
        <v>8.175E-3</v>
      </c>
      <c r="J778" s="438">
        <f t="shared" si="144"/>
        <v>-1.35E-2</v>
      </c>
      <c r="K778" s="438">
        <f t="shared" si="136"/>
        <v>-1.4512500000000001E-2</v>
      </c>
      <c r="L778" s="438">
        <f t="shared" si="137"/>
        <v>-2.9274999999999995E-2</v>
      </c>
      <c r="M778" s="446">
        <f t="shared" si="133"/>
        <v>0.16498349050017347</v>
      </c>
      <c r="N778" s="446">
        <f t="shared" si="134"/>
        <v>8.1599999999999992E-2</v>
      </c>
      <c r="O778" s="446">
        <f t="shared" si="138"/>
        <v>9.375E-2</v>
      </c>
      <c r="P778" s="447">
        <f t="shared" si="135"/>
        <v>8.3383490500173477E-2</v>
      </c>
      <c r="Q778" s="446">
        <f t="shared" si="139"/>
        <v>7.1233490500173469E-2</v>
      </c>
      <c r="R778" s="446">
        <f t="shared" si="140"/>
        <v>0.13332656660278563</v>
      </c>
      <c r="S778" s="446">
        <f t="shared" si="141"/>
        <v>9.8099999999999993E-2</v>
      </c>
      <c r="T778" s="447">
        <f t="shared" si="142"/>
        <v>3.5226566602785642E-2</v>
      </c>
      <c r="V778" s="448"/>
      <c r="W778" s="448"/>
      <c r="X778" s="448"/>
      <c r="Y778" s="448"/>
      <c r="Z778" s="448"/>
      <c r="AA778" s="448"/>
      <c r="AB778" s="448"/>
      <c r="AC778" s="448"/>
      <c r="AD778" s="448"/>
      <c r="AF778" s="448"/>
      <c r="AG778" s="448"/>
      <c r="AH778" s="448"/>
      <c r="AI778" s="448"/>
      <c r="AJ778" s="448"/>
      <c r="AK778" s="448"/>
      <c r="AL778" s="448"/>
      <c r="AM778" s="448"/>
      <c r="AN778" s="448"/>
      <c r="AP778" s="448"/>
      <c r="AQ778" s="448"/>
      <c r="AR778" s="448"/>
      <c r="AS778" s="448"/>
      <c r="AT778" s="448"/>
      <c r="AU778" s="448"/>
      <c r="AV778" s="448"/>
      <c r="AW778" s="448"/>
      <c r="AX778" s="448"/>
    </row>
    <row r="779" spans="1:50" x14ac:dyDescent="0.4">
      <c r="A779" s="442" t="str">
        <f t="shared" si="143"/>
        <v>71990</v>
      </c>
      <c r="B779" s="442">
        <v>33055</v>
      </c>
      <c r="C779" s="455">
        <v>-3.2000000000000002E-3</v>
      </c>
      <c r="D779" s="438">
        <v>-3.1999999999999997E-3</v>
      </c>
      <c r="E779" s="438">
        <v>7.4000000000000003E-3</v>
      </c>
      <c r="F779" s="438">
        <v>7.7000000000000002E-3</v>
      </c>
      <c r="G779" s="438">
        <v>7.8916666666666666E-3</v>
      </c>
      <c r="H779" s="438">
        <v>7.7958333333333326E-3</v>
      </c>
      <c r="I779" s="438">
        <v>8.1317500000000001E-3</v>
      </c>
      <c r="J779" s="438">
        <f t="shared" si="144"/>
        <v>-1.06E-2</v>
      </c>
      <c r="K779" s="438">
        <f t="shared" si="136"/>
        <v>-1.0995833333333333E-2</v>
      </c>
      <c r="L779" s="438">
        <f t="shared" si="137"/>
        <v>-1.133175E-2</v>
      </c>
      <c r="M779" s="446">
        <f t="shared" si="133"/>
        <v>6.5078917115080959E-2</v>
      </c>
      <c r="N779" s="446">
        <f t="shared" si="134"/>
        <v>8.8800000000000004E-2</v>
      </c>
      <c r="O779" s="446">
        <f t="shared" si="138"/>
        <v>9.3549999999999994E-2</v>
      </c>
      <c r="P779" s="447">
        <f t="shared" si="135"/>
        <v>-2.3721082884919045E-2</v>
      </c>
      <c r="Q779" s="446">
        <f t="shared" si="139"/>
        <v>-2.8471082884919036E-2</v>
      </c>
      <c r="R779" s="446">
        <f t="shared" si="140"/>
        <v>4.5631175110752098E-2</v>
      </c>
      <c r="S779" s="446">
        <f t="shared" si="141"/>
        <v>9.7581000000000001E-2</v>
      </c>
      <c r="T779" s="447">
        <f t="shared" si="142"/>
        <v>-5.1949824889247903E-2</v>
      </c>
      <c r="V779" s="448"/>
      <c r="W779" s="448"/>
      <c r="X779" s="448"/>
      <c r="Y779" s="448"/>
      <c r="Z779" s="448"/>
      <c r="AA779" s="448"/>
      <c r="AB779" s="448"/>
      <c r="AC779" s="448"/>
      <c r="AD779" s="448"/>
      <c r="AF779" s="448"/>
      <c r="AG779" s="448"/>
      <c r="AH779" s="448"/>
      <c r="AI779" s="448"/>
      <c r="AJ779" s="448"/>
      <c r="AK779" s="448"/>
      <c r="AL779" s="448"/>
      <c r="AM779" s="448"/>
      <c r="AN779" s="448"/>
      <c r="AP779" s="448"/>
      <c r="AQ779" s="448"/>
      <c r="AR779" s="448"/>
      <c r="AS779" s="448"/>
      <c r="AT779" s="448"/>
      <c r="AU779" s="448"/>
      <c r="AV779" s="448"/>
      <c r="AW779" s="448"/>
      <c r="AX779" s="448"/>
    </row>
    <row r="780" spans="1:50" x14ac:dyDescent="0.4">
      <c r="A780" s="442" t="str">
        <f t="shared" si="143"/>
        <v>81990</v>
      </c>
      <c r="B780" s="442">
        <v>33086</v>
      </c>
      <c r="C780" s="455">
        <v>-9.0399999999999994E-2</v>
      </c>
      <c r="D780" s="438">
        <v>-7.9199999999999993E-2</v>
      </c>
      <c r="E780" s="438">
        <v>7.1000000000000004E-3</v>
      </c>
      <c r="F780" s="438">
        <v>7.8416666666666669E-3</v>
      </c>
      <c r="G780" s="438">
        <v>8.0250000000000009E-3</v>
      </c>
      <c r="H780" s="438">
        <v>7.9333333333333339E-3</v>
      </c>
      <c r="I780" s="438">
        <v>8.2464166666666658E-3</v>
      </c>
      <c r="J780" s="438">
        <f t="shared" si="144"/>
        <v>-9.7499999999999989E-2</v>
      </c>
      <c r="K780" s="438">
        <f t="shared" si="136"/>
        <v>-9.8333333333333328E-2</v>
      </c>
      <c r="L780" s="438">
        <f t="shared" si="137"/>
        <v>-8.7446416666666665E-2</v>
      </c>
      <c r="M780" s="446">
        <f t="shared" si="133"/>
        <v>-4.9734396264956016E-2</v>
      </c>
      <c r="N780" s="446">
        <f t="shared" si="134"/>
        <v>8.5199999999999998E-2</v>
      </c>
      <c r="O780" s="446">
        <f t="shared" si="138"/>
        <v>9.5200000000000007E-2</v>
      </c>
      <c r="P780" s="447">
        <f t="shared" si="135"/>
        <v>-0.13493439626495601</v>
      </c>
      <c r="Q780" s="446">
        <f t="shared" si="139"/>
        <v>-0.14493439626495602</v>
      </c>
      <c r="R780" s="446">
        <f t="shared" si="140"/>
        <v>-3.1663294738026315E-2</v>
      </c>
      <c r="S780" s="446">
        <f t="shared" si="141"/>
        <v>9.8956999999999989E-2</v>
      </c>
      <c r="T780" s="447">
        <f t="shared" si="142"/>
        <v>-0.1306202947380263</v>
      </c>
      <c r="V780" s="448"/>
      <c r="W780" s="448"/>
      <c r="X780" s="448"/>
      <c r="Y780" s="448"/>
      <c r="Z780" s="448"/>
      <c r="AA780" s="448"/>
      <c r="AB780" s="448"/>
      <c r="AC780" s="448"/>
      <c r="AD780" s="448"/>
      <c r="AF780" s="448"/>
      <c r="AG780" s="448"/>
      <c r="AH780" s="448"/>
      <c r="AI780" s="448"/>
      <c r="AJ780" s="448"/>
      <c r="AK780" s="448"/>
      <c r="AL780" s="448"/>
      <c r="AM780" s="448"/>
      <c r="AN780" s="448"/>
      <c r="AP780" s="448"/>
      <c r="AQ780" s="448"/>
      <c r="AR780" s="448"/>
      <c r="AS780" s="448"/>
      <c r="AT780" s="448"/>
      <c r="AU780" s="448"/>
      <c r="AV780" s="448"/>
      <c r="AW780" s="448"/>
      <c r="AX780" s="448"/>
    </row>
    <row r="781" spans="1:50" x14ac:dyDescent="0.4">
      <c r="A781" s="442" t="str">
        <f t="shared" si="143"/>
        <v>91990</v>
      </c>
      <c r="B781" s="442">
        <v>33117</v>
      </c>
      <c r="C781" s="455">
        <v>-4.87E-2</v>
      </c>
      <c r="D781" s="438">
        <v>4.1100000000000005E-2</v>
      </c>
      <c r="E781" s="438">
        <v>6.8999999999999999E-3</v>
      </c>
      <c r="F781" s="438">
        <v>7.966666666666667E-3</v>
      </c>
      <c r="G781" s="438">
        <v>8.1416666666666651E-3</v>
      </c>
      <c r="H781" s="438">
        <v>8.0541666666666661E-3</v>
      </c>
      <c r="I781" s="438">
        <v>8.4306666666666662E-3</v>
      </c>
      <c r="J781" s="438">
        <f t="shared" si="144"/>
        <v>-5.5599999999999997E-2</v>
      </c>
      <c r="K781" s="438">
        <f t="shared" si="136"/>
        <v>-5.6754166666666668E-2</v>
      </c>
      <c r="L781" s="438">
        <f t="shared" si="137"/>
        <v>3.2669333333333342E-2</v>
      </c>
      <c r="M781" s="446">
        <f t="shared" si="133"/>
        <v>-9.2290723131692509E-2</v>
      </c>
      <c r="N781" s="446">
        <f t="shared" si="134"/>
        <v>8.2799999999999999E-2</v>
      </c>
      <c r="O781" s="446">
        <f t="shared" si="138"/>
        <v>9.6649999999999986E-2</v>
      </c>
      <c r="P781" s="447">
        <f t="shared" si="135"/>
        <v>-0.17509072313169249</v>
      </c>
      <c r="Q781" s="446">
        <f t="shared" si="139"/>
        <v>-0.1889407231316925</v>
      </c>
      <c r="R781" s="446">
        <f t="shared" si="140"/>
        <v>-8.7164760587603585E-3</v>
      </c>
      <c r="S781" s="446">
        <f t="shared" si="141"/>
        <v>0.10116799999999999</v>
      </c>
      <c r="T781" s="447">
        <f t="shared" si="142"/>
        <v>-0.10988447605876035</v>
      </c>
      <c r="V781" s="448"/>
      <c r="W781" s="448"/>
      <c r="X781" s="448"/>
      <c r="Y781" s="448"/>
      <c r="Z781" s="448"/>
      <c r="AA781" s="448"/>
      <c r="AB781" s="448"/>
      <c r="AC781" s="448"/>
      <c r="AD781" s="448"/>
      <c r="AF781" s="448"/>
      <c r="AG781" s="448"/>
      <c r="AH781" s="448"/>
      <c r="AI781" s="448"/>
      <c r="AJ781" s="448"/>
      <c r="AK781" s="448"/>
      <c r="AL781" s="448"/>
      <c r="AM781" s="448"/>
      <c r="AN781" s="448"/>
      <c r="AP781" s="448"/>
      <c r="AQ781" s="448"/>
      <c r="AR781" s="448"/>
      <c r="AS781" s="448"/>
      <c r="AT781" s="448"/>
      <c r="AU781" s="448"/>
      <c r="AV781" s="448"/>
      <c r="AW781" s="448"/>
      <c r="AX781" s="448"/>
    </row>
    <row r="782" spans="1:50" x14ac:dyDescent="0.4">
      <c r="A782" s="442" t="str">
        <f t="shared" si="143"/>
        <v>101990</v>
      </c>
      <c r="B782" s="442">
        <v>33147</v>
      </c>
      <c r="C782" s="455">
        <v>-4.3E-3</v>
      </c>
      <c r="D782" s="438">
        <v>6.5299999999999997E-2</v>
      </c>
      <c r="E782" s="438">
        <v>8.0999999999999996E-3</v>
      </c>
      <c r="F782" s="438">
        <v>7.9416666666666663E-3</v>
      </c>
      <c r="G782" s="438">
        <v>8.1416666666666651E-3</v>
      </c>
      <c r="H782" s="438">
        <v>8.0416666666666657E-3</v>
      </c>
      <c r="I782" s="438">
        <v>8.3855000000000006E-3</v>
      </c>
      <c r="J782" s="438">
        <f t="shared" si="144"/>
        <v>-1.24E-2</v>
      </c>
      <c r="K782" s="438">
        <f t="shared" si="136"/>
        <v>-1.2341666666666666E-2</v>
      </c>
      <c r="L782" s="438">
        <f t="shared" si="137"/>
        <v>5.6914499999999993E-2</v>
      </c>
      <c r="M782" s="446">
        <f t="shared" si="133"/>
        <v>-7.4727552234056138E-2</v>
      </c>
      <c r="N782" s="446">
        <f t="shared" si="134"/>
        <v>9.7199999999999995E-2</v>
      </c>
      <c r="O782" s="446">
        <f t="shared" si="138"/>
        <v>9.6499999999999989E-2</v>
      </c>
      <c r="P782" s="447">
        <f t="shared" si="135"/>
        <v>-0.17192755223405615</v>
      </c>
      <c r="Q782" s="446">
        <f t="shared" si="139"/>
        <v>-0.17122755223405611</v>
      </c>
      <c r="R782" s="446">
        <f t="shared" si="140"/>
        <v>5.1283562025487894E-2</v>
      </c>
      <c r="S782" s="446">
        <f t="shared" si="141"/>
        <v>0.10062600000000001</v>
      </c>
      <c r="T782" s="447">
        <f t="shared" si="142"/>
        <v>-4.9342437974512113E-2</v>
      </c>
      <c r="V782" s="448"/>
      <c r="W782" s="448"/>
      <c r="X782" s="448"/>
      <c r="Y782" s="448"/>
      <c r="Z782" s="448"/>
      <c r="AA782" s="448"/>
      <c r="AB782" s="448"/>
      <c r="AC782" s="448"/>
      <c r="AD782" s="448"/>
      <c r="AF782" s="448"/>
      <c r="AG782" s="448"/>
      <c r="AH782" s="448"/>
      <c r="AI782" s="448"/>
      <c r="AJ782" s="448"/>
      <c r="AK782" s="448"/>
      <c r="AL782" s="448"/>
      <c r="AM782" s="448"/>
      <c r="AN782" s="448"/>
      <c r="AP782" s="448"/>
      <c r="AQ782" s="448"/>
      <c r="AR782" s="448"/>
      <c r="AS782" s="448"/>
      <c r="AT782" s="448"/>
      <c r="AU782" s="448"/>
      <c r="AV782" s="448"/>
      <c r="AW782" s="448"/>
      <c r="AX782" s="448"/>
    </row>
    <row r="783" spans="1:50" x14ac:dyDescent="0.4">
      <c r="A783" s="442" t="str">
        <f t="shared" si="143"/>
        <v>111990</v>
      </c>
      <c r="B783" s="442">
        <v>33178</v>
      </c>
      <c r="C783" s="455">
        <v>6.4600000000000005E-2</v>
      </c>
      <c r="D783" s="438">
        <v>1.9299999999999998E-2</v>
      </c>
      <c r="E783" s="438">
        <v>7.1000000000000004E-3</v>
      </c>
      <c r="F783" s="438">
        <v>7.7499999999999999E-3</v>
      </c>
      <c r="G783" s="438">
        <v>7.9916666666666678E-3</v>
      </c>
      <c r="H783" s="438">
        <v>7.8708333333333338E-3</v>
      </c>
      <c r="I783" s="438">
        <v>8.2603333333333331E-3</v>
      </c>
      <c r="J783" s="438">
        <f t="shared" si="144"/>
        <v>5.7500000000000002E-2</v>
      </c>
      <c r="K783" s="438">
        <f t="shared" si="136"/>
        <v>5.6729166666666671E-2</v>
      </c>
      <c r="L783" s="438">
        <f t="shared" si="137"/>
        <v>1.1039666666666665E-2</v>
      </c>
      <c r="M783" s="446">
        <f t="shared" si="133"/>
        <v>-3.4648130251250575E-2</v>
      </c>
      <c r="N783" s="446">
        <f t="shared" si="134"/>
        <v>8.5199999999999998E-2</v>
      </c>
      <c r="O783" s="446">
        <f t="shared" si="138"/>
        <v>9.4450000000000006E-2</v>
      </c>
      <c r="P783" s="447">
        <f t="shared" si="135"/>
        <v>-0.11984813025125057</v>
      </c>
      <c r="Q783" s="446">
        <f t="shared" si="139"/>
        <v>-0.12909813025125058</v>
      </c>
      <c r="R783" s="446">
        <f t="shared" si="140"/>
        <v>3.6738907481211225E-2</v>
      </c>
      <c r="S783" s="446">
        <f t="shared" si="141"/>
        <v>9.912399999999999E-2</v>
      </c>
      <c r="T783" s="447">
        <f t="shared" si="142"/>
        <v>-6.2385092518788765E-2</v>
      </c>
      <c r="V783" s="448"/>
      <c r="W783" s="448"/>
      <c r="X783" s="448"/>
      <c r="Y783" s="448"/>
      <c r="Z783" s="448"/>
      <c r="AA783" s="448"/>
      <c r="AB783" s="448"/>
      <c r="AC783" s="448"/>
      <c r="AD783" s="448"/>
      <c r="AF783" s="448"/>
      <c r="AG783" s="448"/>
      <c r="AH783" s="448"/>
      <c r="AI783" s="448"/>
      <c r="AJ783" s="448"/>
      <c r="AK783" s="448"/>
      <c r="AL783" s="448"/>
      <c r="AM783" s="448"/>
      <c r="AN783" s="448"/>
      <c r="AP783" s="448"/>
      <c r="AQ783" s="448"/>
      <c r="AR783" s="448"/>
      <c r="AS783" s="448"/>
      <c r="AT783" s="448"/>
      <c r="AU783" s="448"/>
      <c r="AV783" s="448"/>
      <c r="AW783" s="448"/>
      <c r="AX783" s="448"/>
    </row>
    <row r="784" spans="1:50" x14ac:dyDescent="0.4">
      <c r="A784" s="442" t="str">
        <f t="shared" si="143"/>
        <v>121990</v>
      </c>
      <c r="B784" s="442">
        <v>33208</v>
      </c>
      <c r="C784" s="455">
        <v>2.7900000000000001E-2</v>
      </c>
      <c r="D784" s="438">
        <v>8.6E-3</v>
      </c>
      <c r="E784" s="438">
        <v>7.1999999999999998E-3</v>
      </c>
      <c r="F784" s="438">
        <v>7.5416666666666679E-3</v>
      </c>
      <c r="G784" s="438">
        <v>7.8250000000000004E-3</v>
      </c>
      <c r="H784" s="438">
        <v>7.6833333333333345E-3</v>
      </c>
      <c r="I784" s="438">
        <v>8.1091666666666656E-3</v>
      </c>
      <c r="J784" s="438">
        <f t="shared" si="144"/>
        <v>2.0700000000000003E-2</v>
      </c>
      <c r="K784" s="438">
        <f t="shared" si="136"/>
        <v>2.0216666666666668E-2</v>
      </c>
      <c r="L784" s="438">
        <f t="shared" si="137"/>
        <v>4.9083333333333444E-4</v>
      </c>
      <c r="M784" s="446">
        <f t="shared" ref="M784:M847" si="145">((1+C773)*(1+C774)*(1+C775)*(1+C776)*(1+C777)*(1+C778)*(1+C779)*(1+C780)*(1+C781)*(1+C782)*(1+C783)*(1+C784))-1</f>
        <v>-3.0971497153574834E-2</v>
      </c>
      <c r="N784" s="446">
        <f t="shared" ref="N784:N847" si="146">E784*12</f>
        <v>8.6400000000000005E-2</v>
      </c>
      <c r="O784" s="446">
        <f t="shared" si="138"/>
        <v>9.2200000000000018E-2</v>
      </c>
      <c r="P784" s="447">
        <f t="shared" ref="P784:P847" si="147">M784-N784</f>
        <v>-0.11737149715357484</v>
      </c>
      <c r="Q784" s="446">
        <f t="shared" si="139"/>
        <v>-0.12317149715357485</v>
      </c>
      <c r="R784" s="446">
        <f t="shared" si="140"/>
        <v>-2.5575564173376586E-2</v>
      </c>
      <c r="S784" s="446">
        <f t="shared" si="141"/>
        <v>9.730999999999998E-2</v>
      </c>
      <c r="T784" s="447">
        <f t="shared" si="142"/>
        <v>-0.12288556417337657</v>
      </c>
      <c r="V784" s="448"/>
      <c r="W784" s="448"/>
      <c r="X784" s="448"/>
      <c r="Y784" s="448"/>
      <c r="Z784" s="448"/>
      <c r="AA784" s="448"/>
      <c r="AB784" s="448"/>
      <c r="AC784" s="448"/>
      <c r="AD784" s="448"/>
      <c r="AF784" s="448"/>
      <c r="AG784" s="448"/>
      <c r="AH784" s="448"/>
      <c r="AI784" s="448"/>
      <c r="AJ784" s="448"/>
      <c r="AK784" s="448"/>
      <c r="AL784" s="448"/>
      <c r="AM784" s="448"/>
      <c r="AN784" s="448"/>
      <c r="AP784" s="448"/>
      <c r="AQ784" s="448"/>
      <c r="AR784" s="448"/>
      <c r="AS784" s="448"/>
      <c r="AT784" s="448"/>
      <c r="AU784" s="448"/>
      <c r="AV784" s="448"/>
      <c r="AW784" s="448"/>
      <c r="AX784" s="448"/>
    </row>
    <row r="785" spans="1:50" x14ac:dyDescent="0.4">
      <c r="A785" s="442" t="str">
        <f t="shared" si="143"/>
        <v>11991</v>
      </c>
      <c r="B785" s="442">
        <v>33239</v>
      </c>
      <c r="C785" s="455">
        <v>4.36E-2</v>
      </c>
      <c r="D785" s="438">
        <v>-3.0100000000000002E-2</v>
      </c>
      <c r="E785" s="438">
        <v>7.1000000000000004E-3</v>
      </c>
      <c r="F785" s="438">
        <v>7.5333333333333329E-3</v>
      </c>
      <c r="G785" s="438">
        <v>7.8083333333333329E-3</v>
      </c>
      <c r="H785" s="438">
        <v>7.6708333333333333E-3</v>
      </c>
      <c r="I785" s="438">
        <v>8.0939166666666659E-3</v>
      </c>
      <c r="J785" s="438">
        <f t="shared" si="144"/>
        <v>3.6499999999999998E-2</v>
      </c>
      <c r="K785" s="438">
        <f t="shared" si="136"/>
        <v>3.5929166666666665E-2</v>
      </c>
      <c r="L785" s="438">
        <f t="shared" si="137"/>
        <v>-3.8193916666666668E-2</v>
      </c>
      <c r="M785" s="446">
        <f t="shared" si="145"/>
        <v>8.4015591778893617E-2</v>
      </c>
      <c r="N785" s="446">
        <f t="shared" si="146"/>
        <v>8.5199999999999998E-2</v>
      </c>
      <c r="O785" s="446">
        <f t="shared" si="138"/>
        <v>9.2049999999999993E-2</v>
      </c>
      <c r="P785" s="447">
        <f t="shared" si="147"/>
        <v>-1.1844082211063811E-3</v>
      </c>
      <c r="Q785" s="446">
        <f t="shared" si="139"/>
        <v>-8.0344082211063761E-3</v>
      </c>
      <c r="R785" s="446">
        <f t="shared" si="140"/>
        <v>2.8282298235493331E-2</v>
      </c>
      <c r="S785" s="446">
        <f t="shared" si="141"/>
        <v>9.7126999999999991E-2</v>
      </c>
      <c r="T785" s="447">
        <f t="shared" si="142"/>
        <v>-6.8844701764506661E-2</v>
      </c>
      <c r="V785" s="448"/>
      <c r="W785" s="448"/>
      <c r="X785" s="448"/>
      <c r="Y785" s="448"/>
      <c r="Z785" s="448"/>
      <c r="AA785" s="448"/>
      <c r="AB785" s="448"/>
      <c r="AC785" s="448"/>
      <c r="AD785" s="448"/>
      <c r="AF785" s="448"/>
      <c r="AG785" s="448"/>
      <c r="AH785" s="448"/>
      <c r="AI785" s="448"/>
      <c r="AJ785" s="448"/>
      <c r="AK785" s="448"/>
      <c r="AL785" s="448"/>
      <c r="AM785" s="448"/>
      <c r="AN785" s="448"/>
      <c r="AP785" s="448"/>
      <c r="AQ785" s="448"/>
      <c r="AR785" s="448"/>
      <c r="AS785" s="448"/>
      <c r="AT785" s="448"/>
      <c r="AU785" s="448"/>
      <c r="AV785" s="448"/>
      <c r="AW785" s="448"/>
      <c r="AX785" s="448"/>
    </row>
    <row r="786" spans="1:50" x14ac:dyDescent="0.4">
      <c r="A786" s="442" t="str">
        <f t="shared" si="143"/>
        <v>21991</v>
      </c>
      <c r="B786" s="442">
        <v>33270</v>
      </c>
      <c r="C786" s="455">
        <v>7.1499999999999994E-2</v>
      </c>
      <c r="D786" s="438">
        <v>3.49E-2</v>
      </c>
      <c r="E786" s="438">
        <v>6.4000000000000003E-3</v>
      </c>
      <c r="F786" s="438">
        <v>7.358333333333333E-3</v>
      </c>
      <c r="G786" s="438">
        <v>7.6333333333333331E-3</v>
      </c>
      <c r="H786" s="438">
        <v>7.4958333333333326E-3</v>
      </c>
      <c r="I786" s="438">
        <v>7.8978333333333331E-3</v>
      </c>
      <c r="J786" s="438">
        <f t="shared" si="144"/>
        <v>6.5099999999999991E-2</v>
      </c>
      <c r="K786" s="438">
        <f t="shared" si="136"/>
        <v>6.4004166666666668E-2</v>
      </c>
      <c r="L786" s="438">
        <f t="shared" si="137"/>
        <v>2.7002166666666667E-2</v>
      </c>
      <c r="M786" s="446">
        <f t="shared" si="145"/>
        <v>0.14672989099721989</v>
      </c>
      <c r="N786" s="446">
        <f t="shared" si="146"/>
        <v>7.6800000000000007E-2</v>
      </c>
      <c r="O786" s="446">
        <f t="shared" si="138"/>
        <v>8.9949999999999988E-2</v>
      </c>
      <c r="P786" s="447">
        <f t="shared" si="147"/>
        <v>6.9929890997219885E-2</v>
      </c>
      <c r="Q786" s="446">
        <f t="shared" si="139"/>
        <v>5.6779890997219903E-2</v>
      </c>
      <c r="R786" s="446">
        <f t="shared" si="140"/>
        <v>7.5896623641605654E-2</v>
      </c>
      <c r="S786" s="446">
        <f t="shared" si="141"/>
        <v>9.4773999999999997E-2</v>
      </c>
      <c r="T786" s="447">
        <f t="shared" si="142"/>
        <v>-1.8877376358394343E-2</v>
      </c>
      <c r="V786" s="448"/>
      <c r="W786" s="448"/>
      <c r="X786" s="448"/>
      <c r="Y786" s="448"/>
      <c r="Z786" s="448"/>
      <c r="AA786" s="448"/>
      <c r="AB786" s="448"/>
      <c r="AC786" s="448"/>
      <c r="AD786" s="448"/>
      <c r="AF786" s="448"/>
      <c r="AG786" s="448"/>
      <c r="AH786" s="448"/>
      <c r="AI786" s="448"/>
      <c r="AJ786" s="448"/>
      <c r="AK786" s="448"/>
      <c r="AL786" s="448"/>
      <c r="AM786" s="448"/>
      <c r="AN786" s="448"/>
      <c r="AP786" s="448"/>
      <c r="AQ786" s="448"/>
      <c r="AR786" s="448"/>
      <c r="AS786" s="448"/>
      <c r="AT786" s="448"/>
      <c r="AU786" s="448"/>
      <c r="AV786" s="448"/>
      <c r="AW786" s="448"/>
      <c r="AX786" s="448"/>
    </row>
    <row r="787" spans="1:50" x14ac:dyDescent="0.4">
      <c r="A787" s="442" t="str">
        <f t="shared" si="143"/>
        <v>31991</v>
      </c>
      <c r="B787" s="442">
        <v>33298</v>
      </c>
      <c r="C787" s="455">
        <v>2.4199999999999999E-2</v>
      </c>
      <c r="D787" s="438">
        <v>1.9799999999999998E-2</v>
      </c>
      <c r="E787" s="438">
        <v>6.4000000000000003E-3</v>
      </c>
      <c r="F787" s="438">
        <v>7.4416666666666667E-3</v>
      </c>
      <c r="G787" s="438">
        <v>7.6750000000000004E-3</v>
      </c>
      <c r="H787" s="438">
        <v>7.5583333333333336E-3</v>
      </c>
      <c r="I787" s="438">
        <v>7.9608333333333337E-3</v>
      </c>
      <c r="J787" s="438">
        <f t="shared" si="144"/>
        <v>1.78E-2</v>
      </c>
      <c r="K787" s="438">
        <f t="shared" si="136"/>
        <v>1.6641666666666666E-2</v>
      </c>
      <c r="L787" s="438">
        <f t="shared" si="137"/>
        <v>1.1839166666666665E-2</v>
      </c>
      <c r="M787" s="446">
        <f t="shared" si="145"/>
        <v>0.14416050108071388</v>
      </c>
      <c r="N787" s="446">
        <f t="shared" si="146"/>
        <v>7.6800000000000007E-2</v>
      </c>
      <c r="O787" s="446">
        <f t="shared" si="138"/>
        <v>9.0700000000000003E-2</v>
      </c>
      <c r="P787" s="447">
        <f t="shared" si="147"/>
        <v>6.7360501080713869E-2</v>
      </c>
      <c r="Q787" s="446">
        <f t="shared" si="139"/>
        <v>5.3460501080713874E-2</v>
      </c>
      <c r="R787" s="446">
        <f t="shared" si="140"/>
        <v>7.7058384990389195E-2</v>
      </c>
      <c r="S787" s="446">
        <f t="shared" si="141"/>
        <v>9.5530000000000004E-2</v>
      </c>
      <c r="T787" s="447">
        <f t="shared" si="142"/>
        <v>-1.8471615009610809E-2</v>
      </c>
      <c r="V787" s="448"/>
      <c r="W787" s="448"/>
      <c r="X787" s="448"/>
      <c r="Y787" s="448"/>
      <c r="Z787" s="448"/>
      <c r="AA787" s="448"/>
      <c r="AB787" s="448"/>
      <c r="AC787" s="448"/>
      <c r="AD787" s="448"/>
      <c r="AF787" s="448"/>
      <c r="AG787" s="448"/>
      <c r="AH787" s="448"/>
      <c r="AI787" s="448"/>
      <c r="AJ787" s="448"/>
      <c r="AK787" s="448"/>
      <c r="AL787" s="448"/>
      <c r="AM787" s="448"/>
      <c r="AN787" s="448"/>
      <c r="AP787" s="448"/>
      <c r="AQ787" s="448"/>
      <c r="AR787" s="448"/>
      <c r="AS787" s="448"/>
      <c r="AT787" s="448"/>
      <c r="AU787" s="448"/>
      <c r="AV787" s="448"/>
      <c r="AW787" s="448"/>
      <c r="AX787" s="448"/>
    </row>
    <row r="788" spans="1:50" x14ac:dyDescent="0.4">
      <c r="A788" s="442" t="str">
        <f t="shared" si="143"/>
        <v>41991</v>
      </c>
      <c r="B788" s="442">
        <v>33329</v>
      </c>
      <c r="C788" s="455">
        <v>2.3999999999999998E-3</v>
      </c>
      <c r="D788" s="438">
        <v>-1.6200000000000003E-2</v>
      </c>
      <c r="E788" s="438">
        <v>7.6E-3</v>
      </c>
      <c r="F788" s="438">
        <v>7.3833333333333329E-3</v>
      </c>
      <c r="G788" s="438">
        <v>7.5999999999999991E-3</v>
      </c>
      <c r="H788" s="438">
        <v>7.4916666666666656E-3</v>
      </c>
      <c r="I788" s="438">
        <v>7.8870833333333328E-3</v>
      </c>
      <c r="J788" s="438">
        <f t="shared" si="144"/>
        <v>-5.1999999999999998E-3</v>
      </c>
      <c r="K788" s="438">
        <f t="shared" si="136"/>
        <v>-5.0916666666666662E-3</v>
      </c>
      <c r="L788" s="438">
        <f t="shared" si="137"/>
        <v>-2.4087083333333335E-2</v>
      </c>
      <c r="M788" s="446">
        <f t="shared" si="145"/>
        <v>0.17619370965368431</v>
      </c>
      <c r="N788" s="446">
        <f t="shared" si="146"/>
        <v>9.1200000000000003E-2</v>
      </c>
      <c r="O788" s="446">
        <f t="shared" si="138"/>
        <v>8.989999999999998E-2</v>
      </c>
      <c r="P788" s="447">
        <f t="shared" si="147"/>
        <v>8.4993709653684302E-2</v>
      </c>
      <c r="Q788" s="446">
        <f t="shared" si="139"/>
        <v>8.6293709653684325E-2</v>
      </c>
      <c r="R788" s="446">
        <f t="shared" si="140"/>
        <v>0.1020385222605773</v>
      </c>
      <c r="S788" s="446">
        <f t="shared" si="141"/>
        <v>9.4644999999999993E-2</v>
      </c>
      <c r="T788" s="447">
        <f t="shared" si="142"/>
        <v>7.3935222605773093E-3</v>
      </c>
      <c r="V788" s="448"/>
      <c r="W788" s="448"/>
      <c r="X788" s="448"/>
      <c r="Y788" s="448"/>
      <c r="Z788" s="448"/>
      <c r="AA788" s="448"/>
      <c r="AB788" s="448"/>
      <c r="AC788" s="448"/>
      <c r="AD788" s="448"/>
      <c r="AF788" s="448"/>
      <c r="AG788" s="448"/>
      <c r="AH788" s="448"/>
      <c r="AI788" s="448"/>
      <c r="AJ788" s="448"/>
      <c r="AK788" s="448"/>
      <c r="AL788" s="448"/>
      <c r="AM788" s="448"/>
      <c r="AN788" s="448"/>
      <c r="AP788" s="448"/>
      <c r="AQ788" s="448"/>
      <c r="AR788" s="448"/>
      <c r="AS788" s="448"/>
      <c r="AT788" s="448"/>
      <c r="AU788" s="448"/>
      <c r="AV788" s="448"/>
      <c r="AW788" s="448"/>
      <c r="AX788" s="448"/>
    </row>
    <row r="789" spans="1:50" x14ac:dyDescent="0.4">
      <c r="A789" s="442" t="str">
        <f t="shared" si="143"/>
        <v>51991</v>
      </c>
      <c r="B789" s="442">
        <v>33359</v>
      </c>
      <c r="C789" s="455">
        <v>4.3099999999999999E-2</v>
      </c>
      <c r="D789" s="438">
        <v>-1.2999999999999998E-2</v>
      </c>
      <c r="E789" s="438">
        <v>6.7999999999999996E-3</v>
      </c>
      <c r="F789" s="438">
        <v>7.3833333333333329E-3</v>
      </c>
      <c r="G789" s="438">
        <v>7.6250000000000007E-3</v>
      </c>
      <c r="H789" s="438">
        <v>7.5041666666666677E-3</v>
      </c>
      <c r="I789" s="438">
        <v>7.8602499999999992E-3</v>
      </c>
      <c r="J789" s="438">
        <f t="shared" si="144"/>
        <v>3.6299999999999999E-2</v>
      </c>
      <c r="K789" s="438">
        <f t="shared" si="136"/>
        <v>3.5595833333333333E-2</v>
      </c>
      <c r="L789" s="438">
        <f t="shared" si="137"/>
        <v>-2.0860249999999997E-2</v>
      </c>
      <c r="M789" s="446">
        <f t="shared" si="145"/>
        <v>0.11789308295194334</v>
      </c>
      <c r="N789" s="446">
        <f t="shared" si="146"/>
        <v>8.1599999999999992E-2</v>
      </c>
      <c r="O789" s="446">
        <f t="shared" si="138"/>
        <v>9.0050000000000019E-2</v>
      </c>
      <c r="P789" s="447">
        <f t="shared" si="147"/>
        <v>3.6293082951943348E-2</v>
      </c>
      <c r="Q789" s="446">
        <f t="shared" si="139"/>
        <v>2.7843082951943321E-2</v>
      </c>
      <c r="R789" s="446">
        <f t="shared" si="140"/>
        <v>1.826626237707285E-2</v>
      </c>
      <c r="S789" s="446">
        <f t="shared" si="141"/>
        <v>9.432299999999999E-2</v>
      </c>
      <c r="T789" s="447">
        <f t="shared" si="142"/>
        <v>-7.605673762292714E-2</v>
      </c>
      <c r="V789" s="448"/>
      <c r="W789" s="448"/>
      <c r="X789" s="448"/>
      <c r="Y789" s="448"/>
      <c r="Z789" s="448"/>
      <c r="AA789" s="448"/>
      <c r="AB789" s="448"/>
      <c r="AC789" s="448"/>
      <c r="AD789" s="448"/>
      <c r="AF789" s="448"/>
      <c r="AG789" s="448"/>
      <c r="AH789" s="448"/>
      <c r="AI789" s="448"/>
      <c r="AJ789" s="448"/>
      <c r="AK789" s="448"/>
      <c r="AL789" s="448"/>
      <c r="AM789" s="448"/>
      <c r="AN789" s="448"/>
      <c r="AP789" s="448"/>
      <c r="AQ789" s="448"/>
      <c r="AR789" s="448"/>
      <c r="AS789" s="448"/>
      <c r="AT789" s="448"/>
      <c r="AU789" s="448"/>
      <c r="AV789" s="448"/>
      <c r="AW789" s="448"/>
      <c r="AX789" s="448"/>
    </row>
    <row r="790" spans="1:50" x14ac:dyDescent="0.4">
      <c r="A790" s="442" t="str">
        <f t="shared" si="143"/>
        <v>61991</v>
      </c>
      <c r="B790" s="442">
        <v>33390</v>
      </c>
      <c r="C790" s="455">
        <v>-4.58E-2</v>
      </c>
      <c r="D790" s="438">
        <v>-1.3899999999999999E-2</v>
      </c>
      <c r="E790" s="438">
        <v>6.3E-3</v>
      </c>
      <c r="F790" s="438">
        <v>7.5083333333333339E-3</v>
      </c>
      <c r="G790" s="438">
        <v>7.7333333333333334E-3</v>
      </c>
      <c r="H790" s="438">
        <v>7.6208333333333336E-3</v>
      </c>
      <c r="I790" s="438">
        <v>7.9862500000000003E-3</v>
      </c>
      <c r="J790" s="438">
        <f t="shared" si="144"/>
        <v>-5.21E-2</v>
      </c>
      <c r="K790" s="438">
        <f t="shared" si="136"/>
        <v>-5.3420833333333334E-2</v>
      </c>
      <c r="L790" s="438">
        <f t="shared" si="137"/>
        <v>-2.1886249999999999E-2</v>
      </c>
      <c r="M790" s="446">
        <f t="shared" si="145"/>
        <v>7.3888633597850362E-2</v>
      </c>
      <c r="N790" s="446">
        <f t="shared" si="146"/>
        <v>7.5600000000000001E-2</v>
      </c>
      <c r="O790" s="446">
        <f t="shared" si="138"/>
        <v>9.1450000000000004E-2</v>
      </c>
      <c r="P790" s="447">
        <f t="shared" si="147"/>
        <v>-1.7113664021496389E-3</v>
      </c>
      <c r="Q790" s="446">
        <f t="shared" si="139"/>
        <v>-1.7561366402149642E-2</v>
      </c>
      <c r="R790" s="446">
        <f t="shared" si="140"/>
        <v>2.5755808897774957E-2</v>
      </c>
      <c r="S790" s="446">
        <f t="shared" si="141"/>
        <v>9.5835000000000004E-2</v>
      </c>
      <c r="T790" s="447">
        <f t="shared" si="142"/>
        <v>-7.0079191102225047E-2</v>
      </c>
      <c r="V790" s="448"/>
      <c r="W790" s="448"/>
      <c r="X790" s="448"/>
      <c r="Y790" s="448"/>
      <c r="Z790" s="448"/>
      <c r="AA790" s="448"/>
      <c r="AB790" s="448"/>
      <c r="AC790" s="448"/>
      <c r="AD790" s="448"/>
      <c r="AF790" s="448"/>
      <c r="AG790" s="448"/>
      <c r="AH790" s="448"/>
      <c r="AI790" s="448"/>
      <c r="AJ790" s="448"/>
      <c r="AK790" s="448"/>
      <c r="AL790" s="448"/>
      <c r="AM790" s="448"/>
      <c r="AN790" s="448"/>
      <c r="AP790" s="448"/>
      <c r="AQ790" s="448"/>
      <c r="AR790" s="448"/>
      <c r="AS790" s="448"/>
      <c r="AT790" s="448"/>
      <c r="AU790" s="448"/>
      <c r="AV790" s="448"/>
      <c r="AW790" s="448"/>
      <c r="AX790" s="448"/>
    </row>
    <row r="791" spans="1:50" x14ac:dyDescent="0.4">
      <c r="A791" s="442" t="str">
        <f t="shared" si="143"/>
        <v>71991</v>
      </c>
      <c r="B791" s="442">
        <v>33420</v>
      </c>
      <c r="C791" s="455">
        <v>4.6600000000000003E-2</v>
      </c>
      <c r="D791" s="438">
        <v>3.0700000000000002E-2</v>
      </c>
      <c r="E791" s="438">
        <v>7.6E-3</v>
      </c>
      <c r="F791" s="438">
        <v>7.4999999999999997E-3</v>
      </c>
      <c r="G791" s="438">
        <v>7.7083333333333335E-3</v>
      </c>
      <c r="H791" s="438">
        <v>7.6041666666666671E-3</v>
      </c>
      <c r="I791" s="438">
        <v>7.9564166666666672E-3</v>
      </c>
      <c r="J791" s="438">
        <f t="shared" si="144"/>
        <v>3.9E-2</v>
      </c>
      <c r="K791" s="438">
        <f t="shared" si="136"/>
        <v>3.8995833333333334E-2</v>
      </c>
      <c r="L791" s="438">
        <f t="shared" si="137"/>
        <v>2.2743583333333334E-2</v>
      </c>
      <c r="M791" s="446">
        <f t="shared" si="145"/>
        <v>0.12753997183337673</v>
      </c>
      <c r="N791" s="446">
        <f t="shared" si="146"/>
        <v>9.1200000000000003E-2</v>
      </c>
      <c r="O791" s="446">
        <f t="shared" si="138"/>
        <v>9.1249999999999998E-2</v>
      </c>
      <c r="P791" s="447">
        <f t="shared" si="147"/>
        <v>3.6339971833376727E-2</v>
      </c>
      <c r="Q791" s="446">
        <f t="shared" si="139"/>
        <v>3.6289971833376733E-2</v>
      </c>
      <c r="R791" s="446">
        <f t="shared" si="140"/>
        <v>6.06405620294308E-2</v>
      </c>
      <c r="S791" s="446">
        <f t="shared" si="141"/>
        <v>9.5477000000000006E-2</v>
      </c>
      <c r="T791" s="447">
        <f t="shared" si="142"/>
        <v>-3.4836437970569206E-2</v>
      </c>
      <c r="V791" s="448"/>
      <c r="W791" s="448"/>
      <c r="X791" s="448"/>
      <c r="Y791" s="448"/>
      <c r="Z791" s="448"/>
      <c r="AA791" s="448"/>
      <c r="AB791" s="448"/>
      <c r="AC791" s="448"/>
      <c r="AD791" s="448"/>
      <c r="AF791" s="448"/>
      <c r="AG791" s="448"/>
      <c r="AH791" s="448"/>
      <c r="AI791" s="448"/>
      <c r="AJ791" s="448"/>
      <c r="AK791" s="448"/>
      <c r="AL791" s="448"/>
      <c r="AM791" s="448"/>
      <c r="AN791" s="448"/>
      <c r="AP791" s="448"/>
      <c r="AQ791" s="448"/>
      <c r="AR791" s="448"/>
      <c r="AS791" s="448"/>
      <c r="AT791" s="448"/>
      <c r="AU791" s="448"/>
      <c r="AV791" s="448"/>
      <c r="AW791" s="448"/>
      <c r="AX791" s="448"/>
    </row>
    <row r="792" spans="1:50" x14ac:dyDescent="0.4">
      <c r="A792" s="442" t="str">
        <f t="shared" si="143"/>
        <v>81991</v>
      </c>
      <c r="B792" s="442">
        <v>33451</v>
      </c>
      <c r="C792" s="455">
        <v>2.3699999999999999E-2</v>
      </c>
      <c r="D792" s="438">
        <v>2.58E-2</v>
      </c>
      <c r="E792" s="438">
        <v>6.7999999999999996E-3</v>
      </c>
      <c r="F792" s="438">
        <v>7.2916666666666659E-3</v>
      </c>
      <c r="G792" s="438">
        <v>7.4916666666666664E-3</v>
      </c>
      <c r="H792" s="438">
        <v>7.3916666666666662E-3</v>
      </c>
      <c r="I792" s="438">
        <v>7.7541666666666662E-3</v>
      </c>
      <c r="J792" s="438">
        <f t="shared" si="144"/>
        <v>1.6899999999999998E-2</v>
      </c>
      <c r="K792" s="438">
        <f t="shared" si="136"/>
        <v>1.6308333333333334E-2</v>
      </c>
      <c r="L792" s="438">
        <f t="shared" si="137"/>
        <v>1.8045833333333334E-2</v>
      </c>
      <c r="M792" s="446">
        <f t="shared" si="145"/>
        <v>0.26897830822980207</v>
      </c>
      <c r="N792" s="446">
        <f t="shared" si="146"/>
        <v>8.1599999999999992E-2</v>
      </c>
      <c r="O792" s="446">
        <f t="shared" si="138"/>
        <v>8.8700000000000001E-2</v>
      </c>
      <c r="P792" s="447">
        <f t="shared" si="147"/>
        <v>0.18737830822980206</v>
      </c>
      <c r="Q792" s="446">
        <f t="shared" si="139"/>
        <v>0.18027830822980206</v>
      </c>
      <c r="R792" s="446">
        <f t="shared" si="140"/>
        <v>0.18158675991506312</v>
      </c>
      <c r="S792" s="446">
        <f t="shared" si="141"/>
        <v>9.3049999999999994E-2</v>
      </c>
      <c r="T792" s="447">
        <f t="shared" si="142"/>
        <v>8.8536759915063129E-2</v>
      </c>
      <c r="V792" s="448"/>
      <c r="W792" s="448"/>
      <c r="X792" s="448"/>
      <c r="Y792" s="448"/>
      <c r="Z792" s="448"/>
      <c r="AA792" s="448"/>
      <c r="AB792" s="448"/>
      <c r="AC792" s="448"/>
      <c r="AD792" s="448"/>
      <c r="AF792" s="448"/>
      <c r="AG792" s="448"/>
      <c r="AH792" s="448"/>
      <c r="AI792" s="448"/>
      <c r="AJ792" s="448"/>
      <c r="AK792" s="448"/>
      <c r="AL792" s="448"/>
      <c r="AM792" s="448"/>
      <c r="AN792" s="448"/>
      <c r="AP792" s="448"/>
      <c r="AQ792" s="448"/>
      <c r="AR792" s="448"/>
      <c r="AS792" s="448"/>
      <c r="AT792" s="448"/>
      <c r="AU792" s="448"/>
      <c r="AV792" s="448"/>
      <c r="AW792" s="448"/>
      <c r="AX792" s="448"/>
    </row>
    <row r="793" spans="1:50" x14ac:dyDescent="0.4">
      <c r="A793" s="442" t="str">
        <f t="shared" si="143"/>
        <v>91991</v>
      </c>
      <c r="B793" s="442">
        <v>33482</v>
      </c>
      <c r="C793" s="455">
        <v>-1.67E-2</v>
      </c>
      <c r="D793" s="438">
        <v>2.0199999999999999E-2</v>
      </c>
      <c r="E793" s="438">
        <v>6.7999999999999996E-3</v>
      </c>
      <c r="F793" s="438">
        <v>7.1749999999999991E-3</v>
      </c>
      <c r="G793" s="438">
        <v>7.3833333333333329E-3</v>
      </c>
      <c r="H793" s="438">
        <v>7.2791666666666656E-3</v>
      </c>
      <c r="I793" s="438">
        <v>7.6383333333333338E-3</v>
      </c>
      <c r="J793" s="438">
        <f t="shared" si="144"/>
        <v>-2.35E-2</v>
      </c>
      <c r="K793" s="438">
        <f t="shared" si="136"/>
        <v>-2.3979166666666666E-2</v>
      </c>
      <c r="L793" s="438">
        <f t="shared" si="137"/>
        <v>1.2561666666666665E-2</v>
      </c>
      <c r="M793" s="446">
        <f t="shared" si="145"/>
        <v>0.31166442813241257</v>
      </c>
      <c r="N793" s="446">
        <f t="shared" si="146"/>
        <v>8.1599999999999992E-2</v>
      </c>
      <c r="O793" s="446">
        <f t="shared" si="138"/>
        <v>8.7349999999999983E-2</v>
      </c>
      <c r="P793" s="447">
        <f t="shared" si="147"/>
        <v>0.23006442813241257</v>
      </c>
      <c r="Q793" s="446">
        <f t="shared" si="139"/>
        <v>0.22431442813241259</v>
      </c>
      <c r="R793" s="446">
        <f t="shared" si="140"/>
        <v>0.15786649934237529</v>
      </c>
      <c r="S793" s="446">
        <f t="shared" si="141"/>
        <v>9.1660000000000005E-2</v>
      </c>
      <c r="T793" s="447">
        <f t="shared" si="142"/>
        <v>6.6206499342375283E-2</v>
      </c>
      <c r="V793" s="448"/>
      <c r="W793" s="448"/>
      <c r="X793" s="448"/>
      <c r="Y793" s="448"/>
      <c r="Z793" s="448"/>
      <c r="AA793" s="448"/>
      <c r="AB793" s="448"/>
      <c r="AC793" s="448"/>
      <c r="AD793" s="448"/>
      <c r="AF793" s="448"/>
      <c r="AG793" s="448"/>
      <c r="AH793" s="448"/>
      <c r="AI793" s="448"/>
      <c r="AJ793" s="448"/>
      <c r="AK793" s="448"/>
      <c r="AL793" s="448"/>
      <c r="AM793" s="448"/>
      <c r="AN793" s="448"/>
      <c r="AP793" s="448"/>
      <c r="AQ793" s="448"/>
      <c r="AR793" s="448"/>
      <c r="AS793" s="448"/>
      <c r="AT793" s="448"/>
      <c r="AU793" s="448"/>
      <c r="AV793" s="448"/>
      <c r="AW793" s="448"/>
      <c r="AX793" s="448"/>
    </row>
    <row r="794" spans="1:50" x14ac:dyDescent="0.4">
      <c r="A794" s="442" t="str">
        <f t="shared" si="143"/>
        <v>101991</v>
      </c>
      <c r="B794" s="442">
        <v>33512</v>
      </c>
      <c r="C794" s="455">
        <v>1.34E-2</v>
      </c>
      <c r="D794" s="438">
        <v>0.02</v>
      </c>
      <c r="E794" s="438">
        <v>6.5000000000000006E-3</v>
      </c>
      <c r="F794" s="438">
        <v>7.1250000000000003E-3</v>
      </c>
      <c r="G794" s="438">
        <v>7.358333333333333E-3</v>
      </c>
      <c r="H794" s="438">
        <v>7.2416666666666662E-3</v>
      </c>
      <c r="I794" s="438">
        <v>7.6007500000000007E-3</v>
      </c>
      <c r="J794" s="438">
        <f t="shared" si="144"/>
        <v>6.8999999999999999E-3</v>
      </c>
      <c r="K794" s="438">
        <f t="shared" si="136"/>
        <v>6.1583333333333342E-3</v>
      </c>
      <c r="L794" s="438">
        <f t="shared" si="137"/>
        <v>1.2399250000000001E-2</v>
      </c>
      <c r="M794" s="446">
        <f t="shared" si="145"/>
        <v>0.33498115041617682</v>
      </c>
      <c r="N794" s="446">
        <f t="shared" si="146"/>
        <v>7.8000000000000014E-2</v>
      </c>
      <c r="O794" s="446">
        <f t="shared" si="138"/>
        <v>8.6899999999999991E-2</v>
      </c>
      <c r="P794" s="447">
        <f t="shared" si="147"/>
        <v>0.25698115041617681</v>
      </c>
      <c r="Q794" s="446">
        <f t="shared" si="139"/>
        <v>0.24808115041617684</v>
      </c>
      <c r="R794" s="446">
        <f t="shared" si="140"/>
        <v>0.10863027253282964</v>
      </c>
      <c r="S794" s="446">
        <f t="shared" si="141"/>
        <v>9.1209000000000012E-2</v>
      </c>
      <c r="T794" s="447">
        <f t="shared" si="142"/>
        <v>1.7421272532829629E-2</v>
      </c>
      <c r="V794" s="448"/>
      <c r="W794" s="448"/>
      <c r="X794" s="448"/>
      <c r="Y794" s="448"/>
      <c r="Z794" s="448"/>
      <c r="AA794" s="448"/>
      <c r="AB794" s="448"/>
      <c r="AC794" s="448"/>
      <c r="AD794" s="448"/>
      <c r="AF794" s="448"/>
      <c r="AG794" s="448"/>
      <c r="AH794" s="448"/>
      <c r="AI794" s="448"/>
      <c r="AJ794" s="448"/>
      <c r="AK794" s="448"/>
      <c r="AL794" s="448"/>
      <c r="AM794" s="448"/>
      <c r="AN794" s="448"/>
      <c r="AP794" s="448"/>
      <c r="AQ794" s="448"/>
      <c r="AR794" s="448"/>
      <c r="AS794" s="448"/>
      <c r="AT794" s="448"/>
      <c r="AU794" s="448"/>
      <c r="AV794" s="448"/>
      <c r="AW794" s="448"/>
      <c r="AX794" s="448"/>
    </row>
    <row r="795" spans="1:50" x14ac:dyDescent="0.4">
      <c r="A795" s="442" t="str">
        <f t="shared" si="143"/>
        <v>111991</v>
      </c>
      <c r="B795" s="442">
        <v>33543</v>
      </c>
      <c r="C795" s="455">
        <v>-4.0300000000000002E-2</v>
      </c>
      <c r="D795" s="438">
        <v>-9.7999999999999997E-3</v>
      </c>
      <c r="E795" s="438">
        <v>6.0000000000000001E-3</v>
      </c>
      <c r="F795" s="438">
        <v>7.0666666666666664E-3</v>
      </c>
      <c r="G795" s="438">
        <v>7.3166666666666658E-3</v>
      </c>
      <c r="H795" s="438">
        <v>7.1916666666666665E-3</v>
      </c>
      <c r="I795" s="438">
        <v>7.5445833333333337E-3</v>
      </c>
      <c r="J795" s="438">
        <f t="shared" si="144"/>
        <v>-4.6300000000000001E-2</v>
      </c>
      <c r="K795" s="438">
        <f t="shared" si="136"/>
        <v>-4.7491666666666668E-2</v>
      </c>
      <c r="L795" s="438">
        <f t="shared" si="137"/>
        <v>-1.7344583333333333E-2</v>
      </c>
      <c r="M795" s="446">
        <f t="shared" si="145"/>
        <v>0.20343923544467857</v>
      </c>
      <c r="N795" s="446">
        <f t="shared" si="146"/>
        <v>7.2000000000000008E-2</v>
      </c>
      <c r="O795" s="446">
        <f t="shared" si="138"/>
        <v>8.6300000000000002E-2</v>
      </c>
      <c r="P795" s="447">
        <f t="shared" si="147"/>
        <v>0.13143923544467856</v>
      </c>
      <c r="Q795" s="446">
        <f t="shared" si="139"/>
        <v>0.11713923544467857</v>
      </c>
      <c r="R795" s="446">
        <f t="shared" si="140"/>
        <v>7.6979982205443109E-2</v>
      </c>
      <c r="S795" s="446">
        <f t="shared" si="141"/>
        <v>9.0535000000000004E-2</v>
      </c>
      <c r="T795" s="447">
        <f t="shared" si="142"/>
        <v>-1.3555017794556895E-2</v>
      </c>
      <c r="V795" s="448"/>
      <c r="W795" s="448"/>
      <c r="X795" s="448"/>
      <c r="Y795" s="448"/>
      <c r="Z795" s="448"/>
      <c r="AA795" s="448"/>
      <c r="AB795" s="448"/>
      <c r="AC795" s="448"/>
      <c r="AD795" s="448"/>
      <c r="AF795" s="448"/>
      <c r="AG795" s="448"/>
      <c r="AH795" s="448"/>
      <c r="AI795" s="448"/>
      <c r="AJ795" s="448"/>
      <c r="AK795" s="448"/>
      <c r="AL795" s="448"/>
      <c r="AM795" s="448"/>
      <c r="AN795" s="448"/>
      <c r="AP795" s="448"/>
      <c r="AQ795" s="448"/>
      <c r="AR795" s="448"/>
      <c r="AS795" s="448"/>
      <c r="AT795" s="448"/>
      <c r="AU795" s="448"/>
      <c r="AV795" s="448"/>
      <c r="AW795" s="448"/>
      <c r="AX795" s="448"/>
    </row>
    <row r="796" spans="1:50" x14ac:dyDescent="0.4">
      <c r="A796" s="442" t="str">
        <f t="shared" si="143"/>
        <v>121991</v>
      </c>
      <c r="B796" s="442">
        <v>33573</v>
      </c>
      <c r="C796" s="455">
        <v>0.1144</v>
      </c>
      <c r="D796" s="438">
        <v>7.3300000000000004E-2</v>
      </c>
      <c r="E796" s="438">
        <v>6.7999999999999996E-3</v>
      </c>
      <c r="F796" s="438">
        <v>6.9249999999999997E-3</v>
      </c>
      <c r="G796" s="438">
        <v>7.1749999999999991E-3</v>
      </c>
      <c r="H796" s="438">
        <v>7.0499999999999998E-3</v>
      </c>
      <c r="I796" s="438">
        <v>7.4162500000000001E-3</v>
      </c>
      <c r="J796" s="438">
        <f t="shared" si="144"/>
        <v>0.1076</v>
      </c>
      <c r="K796" s="438">
        <f t="shared" si="136"/>
        <v>0.10735</v>
      </c>
      <c r="L796" s="438">
        <f t="shared" si="137"/>
        <v>6.5883750000000005E-2</v>
      </c>
      <c r="M796" s="446">
        <f t="shared" si="145"/>
        <v>0.30471124037313913</v>
      </c>
      <c r="N796" s="446">
        <f t="shared" si="146"/>
        <v>8.1599999999999992E-2</v>
      </c>
      <c r="O796" s="446">
        <f t="shared" si="138"/>
        <v>8.4599999999999995E-2</v>
      </c>
      <c r="P796" s="447">
        <f t="shared" si="147"/>
        <v>0.22311124037313912</v>
      </c>
      <c r="Q796" s="446">
        <f t="shared" si="139"/>
        <v>0.22011124037313912</v>
      </c>
      <c r="R796" s="446">
        <f t="shared" si="140"/>
        <v>0.1460664434871124</v>
      </c>
      <c r="S796" s="446">
        <f t="shared" si="141"/>
        <v>8.8995000000000005E-2</v>
      </c>
      <c r="T796" s="447">
        <f t="shared" si="142"/>
        <v>5.7071443487112392E-2</v>
      </c>
      <c r="V796" s="448"/>
      <c r="W796" s="448"/>
      <c r="X796" s="448"/>
      <c r="Y796" s="448"/>
      <c r="Z796" s="448"/>
      <c r="AA796" s="448"/>
      <c r="AB796" s="448"/>
      <c r="AC796" s="448"/>
      <c r="AD796" s="448"/>
      <c r="AF796" s="448"/>
      <c r="AG796" s="448"/>
      <c r="AH796" s="448"/>
      <c r="AI796" s="448"/>
      <c r="AJ796" s="448"/>
      <c r="AK796" s="448"/>
      <c r="AL796" s="448"/>
      <c r="AM796" s="448"/>
      <c r="AN796" s="448"/>
      <c r="AP796" s="448"/>
      <c r="AQ796" s="448"/>
      <c r="AR796" s="448"/>
      <c r="AS796" s="448"/>
      <c r="AT796" s="448"/>
      <c r="AU796" s="448"/>
      <c r="AV796" s="448"/>
      <c r="AW796" s="448"/>
      <c r="AX796" s="448"/>
    </row>
    <row r="797" spans="1:50" x14ac:dyDescent="0.4">
      <c r="A797" s="442" t="str">
        <f t="shared" si="143"/>
        <v>11992</v>
      </c>
      <c r="B797" s="442">
        <v>33604</v>
      </c>
      <c r="C797" s="455">
        <v>-1.8599999999999998E-2</v>
      </c>
      <c r="D797" s="438">
        <v>-5.3600000000000002E-2</v>
      </c>
      <c r="E797" s="438">
        <v>6.0999999999999995E-3</v>
      </c>
      <c r="F797" s="438">
        <v>6.8333333333333328E-3</v>
      </c>
      <c r="G797" s="438">
        <v>7.0916666666666663E-3</v>
      </c>
      <c r="H797" s="438">
        <v>6.9624999999999991E-3</v>
      </c>
      <c r="I797" s="438">
        <v>7.3602500000000005E-3</v>
      </c>
      <c r="J797" s="438">
        <f t="shared" si="144"/>
        <v>-2.47E-2</v>
      </c>
      <c r="K797" s="438">
        <f t="shared" ref="K797:K860" si="148">C797-H797</f>
        <v>-2.5562499999999998E-2</v>
      </c>
      <c r="L797" s="438">
        <f t="shared" ref="L797:L860" si="149">$D797-I797</f>
        <v>-6.0960250000000001E-2</v>
      </c>
      <c r="M797" s="446">
        <f t="shared" si="145"/>
        <v>0.22694865015542232</v>
      </c>
      <c r="N797" s="446">
        <f t="shared" si="146"/>
        <v>7.3199999999999987E-2</v>
      </c>
      <c r="O797" s="446">
        <f t="shared" si="138"/>
        <v>8.3549999999999985E-2</v>
      </c>
      <c r="P797" s="447">
        <f t="shared" si="147"/>
        <v>0.15374865015542233</v>
      </c>
      <c r="Q797" s="446">
        <f t="shared" si="139"/>
        <v>0.14339865015542233</v>
      </c>
      <c r="R797" s="446">
        <f t="shared" si="140"/>
        <v>0.11829805352737721</v>
      </c>
      <c r="S797" s="446">
        <f t="shared" si="141"/>
        <v>8.8323000000000013E-2</v>
      </c>
      <c r="T797" s="447">
        <f t="shared" si="142"/>
        <v>2.9975053527377199E-2</v>
      </c>
      <c r="V797" s="448"/>
      <c r="W797" s="448"/>
      <c r="X797" s="448"/>
      <c r="Y797" s="448"/>
      <c r="Z797" s="448"/>
      <c r="AA797" s="448"/>
      <c r="AB797" s="448"/>
      <c r="AC797" s="448"/>
      <c r="AD797" s="448"/>
      <c r="AF797" s="448"/>
      <c r="AG797" s="448"/>
      <c r="AH797" s="448"/>
      <c r="AI797" s="448"/>
      <c r="AJ797" s="448"/>
      <c r="AK797" s="448"/>
      <c r="AL797" s="448"/>
      <c r="AM797" s="448"/>
      <c r="AN797" s="448"/>
      <c r="AP797" s="448"/>
      <c r="AQ797" s="448"/>
      <c r="AR797" s="448"/>
      <c r="AS797" s="448"/>
      <c r="AT797" s="448"/>
      <c r="AU797" s="448"/>
      <c r="AV797" s="448"/>
      <c r="AW797" s="448"/>
      <c r="AX797" s="448"/>
    </row>
    <row r="798" spans="1:50" x14ac:dyDescent="0.4">
      <c r="A798" s="442" t="str">
        <f t="shared" si="143"/>
        <v>21992</v>
      </c>
      <c r="B798" s="442">
        <v>33635</v>
      </c>
      <c r="C798" s="455">
        <v>1.2999999999999999E-2</v>
      </c>
      <c r="D798" s="438">
        <v>-2.7300000000000001E-2</v>
      </c>
      <c r="E798" s="438">
        <v>5.8999999999999999E-3</v>
      </c>
      <c r="F798" s="438">
        <v>6.9083333333333332E-3</v>
      </c>
      <c r="G798" s="438">
        <v>7.2250000000000005E-3</v>
      </c>
      <c r="H798" s="438">
        <v>7.0666666666666664E-3</v>
      </c>
      <c r="I798" s="438">
        <v>7.4420833333333335E-3</v>
      </c>
      <c r="J798" s="438">
        <f t="shared" si="144"/>
        <v>7.0999999999999995E-3</v>
      </c>
      <c r="K798" s="438">
        <f t="shared" si="148"/>
        <v>5.933333333333333E-3</v>
      </c>
      <c r="L798" s="438">
        <f t="shared" si="149"/>
        <v>-3.4742083333333333E-2</v>
      </c>
      <c r="M798" s="446">
        <f t="shared" si="145"/>
        <v>0.1599617196523031</v>
      </c>
      <c r="N798" s="446">
        <f t="shared" si="146"/>
        <v>7.0800000000000002E-2</v>
      </c>
      <c r="O798" s="446">
        <f t="shared" si="138"/>
        <v>8.48E-2</v>
      </c>
      <c r="P798" s="447">
        <f t="shared" si="147"/>
        <v>8.9161719652303101E-2</v>
      </c>
      <c r="Q798" s="446">
        <f t="shared" si="139"/>
        <v>7.5161719652303102E-2</v>
      </c>
      <c r="R798" s="446">
        <f t="shared" si="140"/>
        <v>5.1085628240486791E-2</v>
      </c>
      <c r="S798" s="446">
        <f t="shared" si="141"/>
        <v>8.9304999999999995E-2</v>
      </c>
      <c r="T798" s="447">
        <f t="shared" si="142"/>
        <v>-3.8219371759513204E-2</v>
      </c>
      <c r="V798" s="448"/>
      <c r="W798" s="448"/>
      <c r="X798" s="448"/>
      <c r="Y798" s="448"/>
      <c r="Z798" s="448"/>
      <c r="AA798" s="448"/>
      <c r="AB798" s="448"/>
      <c r="AC798" s="448"/>
      <c r="AD798" s="448"/>
      <c r="AF798" s="448"/>
      <c r="AG798" s="448"/>
      <c r="AH798" s="448"/>
      <c r="AI798" s="448"/>
      <c r="AJ798" s="448"/>
      <c r="AK798" s="448"/>
      <c r="AL798" s="448"/>
      <c r="AM798" s="448"/>
      <c r="AN798" s="448"/>
      <c r="AP798" s="448"/>
      <c r="AQ798" s="448"/>
      <c r="AR798" s="448"/>
      <c r="AS798" s="448"/>
      <c r="AT798" s="448"/>
      <c r="AU798" s="448"/>
      <c r="AV798" s="448"/>
      <c r="AW798" s="448"/>
      <c r="AX798" s="448"/>
    </row>
    <row r="799" spans="1:50" x14ac:dyDescent="0.4">
      <c r="A799" s="442" t="str">
        <f t="shared" si="143"/>
        <v>31992</v>
      </c>
      <c r="B799" s="442">
        <v>33664</v>
      </c>
      <c r="C799" s="455">
        <v>-1.9400000000000001E-2</v>
      </c>
      <c r="D799" s="438">
        <v>-1.43E-2</v>
      </c>
      <c r="E799" s="438">
        <v>6.7000000000000002E-3</v>
      </c>
      <c r="F799" s="438">
        <v>6.9583333333333329E-3</v>
      </c>
      <c r="G799" s="438">
        <v>7.2750000000000002E-3</v>
      </c>
      <c r="H799" s="438">
        <v>7.116666666666667E-3</v>
      </c>
      <c r="I799" s="438">
        <v>7.4727500000000002E-3</v>
      </c>
      <c r="J799" s="438">
        <f t="shared" si="144"/>
        <v>-2.6100000000000002E-2</v>
      </c>
      <c r="K799" s="438">
        <f t="shared" si="148"/>
        <v>-2.6516666666666668E-2</v>
      </c>
      <c r="L799" s="438">
        <f t="shared" si="149"/>
        <v>-2.177275E-2</v>
      </c>
      <c r="M799" s="446">
        <f t="shared" si="145"/>
        <v>0.11058236896216411</v>
      </c>
      <c r="N799" s="446">
        <f t="shared" si="146"/>
        <v>8.0399999999999999E-2</v>
      </c>
      <c r="O799" s="446">
        <f t="shared" si="138"/>
        <v>8.5400000000000004E-2</v>
      </c>
      <c r="P799" s="447">
        <f t="shared" si="147"/>
        <v>3.0182368962164113E-2</v>
      </c>
      <c r="Q799" s="446">
        <f t="shared" si="139"/>
        <v>2.5182368962164109E-2</v>
      </c>
      <c r="R799" s="446">
        <f t="shared" si="140"/>
        <v>1.5939501624482988E-2</v>
      </c>
      <c r="S799" s="446">
        <f t="shared" si="141"/>
        <v>8.9673000000000003E-2</v>
      </c>
      <c r="T799" s="447">
        <f t="shared" si="142"/>
        <v>-7.3733498375517015E-2</v>
      </c>
      <c r="V799" s="448"/>
      <c r="W799" s="448"/>
      <c r="X799" s="448"/>
      <c r="Y799" s="448"/>
      <c r="Z799" s="448"/>
      <c r="AA799" s="448"/>
      <c r="AB799" s="448"/>
      <c r="AC799" s="448"/>
      <c r="AD799" s="448"/>
      <c r="AF799" s="448"/>
      <c r="AG799" s="448"/>
      <c r="AH799" s="448"/>
      <c r="AI799" s="448"/>
      <c r="AJ799" s="448"/>
      <c r="AK799" s="448"/>
      <c r="AL799" s="448"/>
      <c r="AM799" s="448"/>
      <c r="AN799" s="448"/>
      <c r="AP799" s="448"/>
      <c r="AQ799" s="448"/>
      <c r="AR799" s="448"/>
      <c r="AS799" s="448"/>
      <c r="AT799" s="448"/>
      <c r="AU799" s="448"/>
      <c r="AV799" s="448"/>
      <c r="AW799" s="448"/>
      <c r="AX799" s="448"/>
    </row>
    <row r="800" spans="1:50" x14ac:dyDescent="0.4">
      <c r="A800" s="442" t="str">
        <f t="shared" si="143"/>
        <v>41992</v>
      </c>
      <c r="B800" s="442">
        <v>33695</v>
      </c>
      <c r="C800" s="455">
        <v>2.9399999999999999E-2</v>
      </c>
      <c r="D800" s="438">
        <v>6.4500000000000002E-2</v>
      </c>
      <c r="E800" s="438">
        <v>6.5000000000000006E-3</v>
      </c>
      <c r="F800" s="438">
        <v>6.9416666666666672E-3</v>
      </c>
      <c r="G800" s="438">
        <v>7.2416666666666662E-3</v>
      </c>
      <c r="H800" s="438">
        <v>7.0916666666666671E-3</v>
      </c>
      <c r="I800" s="438">
        <v>7.4380833333333339E-3</v>
      </c>
      <c r="J800" s="438">
        <f t="shared" si="144"/>
        <v>2.2899999999999997E-2</v>
      </c>
      <c r="K800" s="438">
        <f t="shared" si="148"/>
        <v>2.2308333333333333E-2</v>
      </c>
      <c r="L800" s="438">
        <f t="shared" si="149"/>
        <v>5.7061916666666671E-2</v>
      </c>
      <c r="M800" s="446">
        <f t="shared" si="145"/>
        <v>0.14049629949087361</v>
      </c>
      <c r="N800" s="446">
        <f t="shared" si="146"/>
        <v>7.8000000000000014E-2</v>
      </c>
      <c r="O800" s="446">
        <f t="shared" si="138"/>
        <v>8.5100000000000009E-2</v>
      </c>
      <c r="P800" s="447">
        <f t="shared" si="147"/>
        <v>6.2496299490873597E-2</v>
      </c>
      <c r="Q800" s="446">
        <f t="shared" si="139"/>
        <v>5.5396299490873602E-2</v>
      </c>
      <c r="R800" s="446">
        <f t="shared" si="140"/>
        <v>9.9275868549768775E-2</v>
      </c>
      <c r="S800" s="446">
        <f t="shared" si="141"/>
        <v>8.9257000000000003E-2</v>
      </c>
      <c r="T800" s="447">
        <f t="shared" si="142"/>
        <v>1.0018868549768772E-2</v>
      </c>
      <c r="V800" s="448"/>
      <c r="W800" s="448"/>
      <c r="X800" s="448"/>
      <c r="Y800" s="448"/>
      <c r="Z800" s="448"/>
      <c r="AA800" s="448"/>
      <c r="AB800" s="448"/>
      <c r="AC800" s="448"/>
      <c r="AD800" s="448"/>
      <c r="AF800" s="448"/>
      <c r="AG800" s="448"/>
      <c r="AH800" s="448"/>
      <c r="AI800" s="448"/>
      <c r="AJ800" s="448"/>
      <c r="AK800" s="448"/>
      <c r="AL800" s="448"/>
      <c r="AM800" s="448"/>
      <c r="AN800" s="448"/>
      <c r="AP800" s="448"/>
      <c r="AQ800" s="448"/>
      <c r="AR800" s="448"/>
      <c r="AS800" s="448"/>
      <c r="AT800" s="448"/>
      <c r="AU800" s="448"/>
      <c r="AV800" s="448"/>
      <c r="AW800" s="448"/>
      <c r="AX800" s="448"/>
    </row>
    <row r="801" spans="1:50" x14ac:dyDescent="0.4">
      <c r="A801" s="442" t="str">
        <f t="shared" si="143"/>
        <v>51992</v>
      </c>
      <c r="B801" s="442">
        <v>33725</v>
      </c>
      <c r="C801" s="455">
        <v>4.8999999999999998E-3</v>
      </c>
      <c r="D801" s="438">
        <v>-1.5000000000000005E-3</v>
      </c>
      <c r="E801" s="438">
        <v>6.0999999999999995E-3</v>
      </c>
      <c r="F801" s="438">
        <v>6.8999999999999999E-3</v>
      </c>
      <c r="G801" s="438">
        <v>7.1916666666666674E-3</v>
      </c>
      <c r="H801" s="438">
        <v>7.0458333333333336E-3</v>
      </c>
      <c r="I801" s="438">
        <v>7.3995833333333335E-3</v>
      </c>
      <c r="J801" s="438">
        <f t="shared" si="144"/>
        <v>-1.1999999999999997E-3</v>
      </c>
      <c r="K801" s="438">
        <f t="shared" si="148"/>
        <v>-2.1458333333333338E-3</v>
      </c>
      <c r="L801" s="438">
        <f t="shared" si="149"/>
        <v>-8.899583333333334E-3</v>
      </c>
      <c r="M801" s="446">
        <f t="shared" si="145"/>
        <v>9.872949032535594E-2</v>
      </c>
      <c r="N801" s="446">
        <f t="shared" si="146"/>
        <v>7.3199999999999987E-2</v>
      </c>
      <c r="O801" s="446">
        <f t="shared" si="138"/>
        <v>8.455E-2</v>
      </c>
      <c r="P801" s="447">
        <f t="shared" si="147"/>
        <v>2.5529490325355952E-2</v>
      </c>
      <c r="Q801" s="446">
        <f t="shared" si="139"/>
        <v>1.417949032535594E-2</v>
      </c>
      <c r="R801" s="446">
        <f t="shared" si="140"/>
        <v>0.11208404736265853</v>
      </c>
      <c r="S801" s="446">
        <f t="shared" si="141"/>
        <v>8.8794999999999999E-2</v>
      </c>
      <c r="T801" s="447">
        <f t="shared" si="142"/>
        <v>2.3289047362658535E-2</v>
      </c>
      <c r="V801" s="448"/>
      <c r="W801" s="448"/>
      <c r="X801" s="448"/>
      <c r="Y801" s="448"/>
      <c r="Z801" s="448"/>
      <c r="AA801" s="448"/>
      <c r="AB801" s="448"/>
      <c r="AC801" s="448"/>
      <c r="AD801" s="448"/>
      <c r="AF801" s="448"/>
      <c r="AG801" s="448"/>
      <c r="AH801" s="448"/>
      <c r="AI801" s="448"/>
      <c r="AJ801" s="448"/>
      <c r="AK801" s="448"/>
      <c r="AL801" s="448"/>
      <c r="AM801" s="448"/>
      <c r="AN801" s="448"/>
      <c r="AP801" s="448"/>
      <c r="AQ801" s="448"/>
      <c r="AR801" s="448"/>
      <c r="AS801" s="448"/>
      <c r="AT801" s="448"/>
      <c r="AU801" s="448"/>
      <c r="AV801" s="448"/>
      <c r="AW801" s="448"/>
      <c r="AX801" s="448"/>
    </row>
    <row r="802" spans="1:50" x14ac:dyDescent="0.4">
      <c r="A802" s="442" t="str">
        <f t="shared" si="143"/>
        <v>61992</v>
      </c>
      <c r="B802" s="442">
        <v>33756</v>
      </c>
      <c r="C802" s="455">
        <v>-1.49E-2</v>
      </c>
      <c r="D802" s="438">
        <v>1.41E-2</v>
      </c>
      <c r="E802" s="438">
        <v>6.7000000000000002E-3</v>
      </c>
      <c r="F802" s="438">
        <v>6.8500000000000002E-3</v>
      </c>
      <c r="G802" s="438">
        <v>7.1333333333333335E-3</v>
      </c>
      <c r="H802" s="438">
        <v>6.9916666666666669E-3</v>
      </c>
      <c r="I802" s="438">
        <v>7.3230833333333325E-3</v>
      </c>
      <c r="J802" s="438">
        <f t="shared" si="144"/>
        <v>-2.1600000000000001E-2</v>
      </c>
      <c r="K802" s="438">
        <f t="shared" si="148"/>
        <v>-2.1891666666666667E-2</v>
      </c>
      <c r="L802" s="438">
        <f t="shared" si="149"/>
        <v>6.7769166666666672E-3</v>
      </c>
      <c r="M802" s="446">
        <f t="shared" si="145"/>
        <v>0.13430981022794874</v>
      </c>
      <c r="N802" s="446">
        <f t="shared" si="146"/>
        <v>8.0399999999999999E-2</v>
      </c>
      <c r="O802" s="446">
        <f t="shared" si="138"/>
        <v>8.3900000000000002E-2</v>
      </c>
      <c r="P802" s="447">
        <f t="shared" si="147"/>
        <v>5.3909810227948746E-2</v>
      </c>
      <c r="Q802" s="446">
        <f t="shared" si="139"/>
        <v>5.0409810227948743E-2</v>
      </c>
      <c r="R802" s="446">
        <f t="shared" si="140"/>
        <v>0.14366132484582916</v>
      </c>
      <c r="S802" s="446">
        <f t="shared" si="141"/>
        <v>8.7876999999999983E-2</v>
      </c>
      <c r="T802" s="447">
        <f t="shared" si="142"/>
        <v>5.5784324845829181E-2</v>
      </c>
      <c r="V802" s="448"/>
      <c r="W802" s="448"/>
      <c r="X802" s="448"/>
      <c r="Y802" s="448"/>
      <c r="Z802" s="448"/>
      <c r="AA802" s="448"/>
      <c r="AB802" s="448"/>
      <c r="AC802" s="448"/>
      <c r="AD802" s="448"/>
      <c r="AF802" s="448"/>
      <c r="AG802" s="448"/>
      <c r="AH802" s="448"/>
      <c r="AI802" s="448"/>
      <c r="AJ802" s="448"/>
      <c r="AK802" s="448"/>
      <c r="AL802" s="448"/>
      <c r="AM802" s="448"/>
      <c r="AN802" s="448"/>
      <c r="AP802" s="448"/>
      <c r="AQ802" s="448"/>
      <c r="AR802" s="448"/>
      <c r="AS802" s="448"/>
      <c r="AT802" s="448"/>
      <c r="AU802" s="448"/>
      <c r="AV802" s="448"/>
      <c r="AW802" s="448"/>
      <c r="AX802" s="448"/>
    </row>
    <row r="803" spans="1:50" x14ac:dyDescent="0.4">
      <c r="A803" s="442" t="str">
        <f t="shared" si="143"/>
        <v>71992</v>
      </c>
      <c r="B803" s="442">
        <v>33786</v>
      </c>
      <c r="C803" s="455">
        <v>4.0899999999999999E-2</v>
      </c>
      <c r="D803" s="438">
        <v>7.9000000000000001E-2</v>
      </c>
      <c r="E803" s="438">
        <v>6.3E-3</v>
      </c>
      <c r="F803" s="438">
        <v>6.7250000000000001E-3</v>
      </c>
      <c r="G803" s="438">
        <v>6.9749999999999986E-3</v>
      </c>
      <c r="H803" s="438">
        <v>6.8499999999999993E-3</v>
      </c>
      <c r="I803" s="438">
        <v>7.1492500000000002E-3</v>
      </c>
      <c r="J803" s="438">
        <f t="shared" si="144"/>
        <v>3.4599999999999999E-2</v>
      </c>
      <c r="K803" s="438">
        <f t="shared" si="148"/>
        <v>3.4049999999999997E-2</v>
      </c>
      <c r="L803" s="438">
        <f t="shared" si="149"/>
        <v>7.1850750000000005E-2</v>
      </c>
      <c r="M803" s="446">
        <f t="shared" si="145"/>
        <v>0.12813212446614908</v>
      </c>
      <c r="N803" s="446">
        <f t="shared" si="146"/>
        <v>7.5600000000000001E-2</v>
      </c>
      <c r="O803" s="446">
        <f t="shared" si="138"/>
        <v>8.2199999999999995E-2</v>
      </c>
      <c r="P803" s="447">
        <f t="shared" si="147"/>
        <v>5.2532124466149077E-2</v>
      </c>
      <c r="Q803" s="446">
        <f t="shared" si="139"/>
        <v>4.5932124466149082E-2</v>
      </c>
      <c r="R803" s="446">
        <f t="shared" si="140"/>
        <v>0.19725484574429974</v>
      </c>
      <c r="S803" s="446">
        <f t="shared" si="141"/>
        <v>8.5791000000000006E-2</v>
      </c>
      <c r="T803" s="447">
        <f t="shared" si="142"/>
        <v>0.11146384574429974</v>
      </c>
      <c r="V803" s="448"/>
      <c r="W803" s="448"/>
      <c r="X803" s="448"/>
      <c r="Y803" s="448"/>
      <c r="Z803" s="448"/>
      <c r="AA803" s="448"/>
      <c r="AB803" s="448"/>
      <c r="AC803" s="448"/>
      <c r="AD803" s="448"/>
      <c r="AF803" s="448"/>
      <c r="AG803" s="448"/>
      <c r="AH803" s="448"/>
      <c r="AI803" s="448"/>
      <c r="AJ803" s="448"/>
      <c r="AK803" s="448"/>
      <c r="AL803" s="448"/>
      <c r="AM803" s="448"/>
      <c r="AN803" s="448"/>
      <c r="AP803" s="448"/>
      <c r="AQ803" s="448"/>
      <c r="AR803" s="448"/>
      <c r="AS803" s="448"/>
      <c r="AT803" s="448"/>
      <c r="AU803" s="448"/>
      <c r="AV803" s="448"/>
      <c r="AW803" s="448"/>
      <c r="AX803" s="448"/>
    </row>
    <row r="804" spans="1:50" x14ac:dyDescent="0.4">
      <c r="A804" s="442" t="str">
        <f t="shared" si="143"/>
        <v>81992</v>
      </c>
      <c r="B804" s="442">
        <v>33817</v>
      </c>
      <c r="C804" s="455">
        <v>-2.0500000000000001E-2</v>
      </c>
      <c r="D804" s="438">
        <v>-7.4000000000000012E-3</v>
      </c>
      <c r="E804" s="438">
        <v>6.0000000000000001E-3</v>
      </c>
      <c r="F804" s="438">
        <v>6.6249999999999998E-3</v>
      </c>
      <c r="G804" s="438">
        <v>6.8416666666666669E-3</v>
      </c>
      <c r="H804" s="438">
        <v>6.7333333333333334E-3</v>
      </c>
      <c r="I804" s="438">
        <v>7.031333333333333E-3</v>
      </c>
      <c r="J804" s="438">
        <f t="shared" si="144"/>
        <v>-2.6500000000000003E-2</v>
      </c>
      <c r="K804" s="438">
        <f t="shared" si="148"/>
        <v>-2.7233333333333335E-2</v>
      </c>
      <c r="L804" s="438">
        <f t="shared" si="149"/>
        <v>-1.4431333333333334E-2</v>
      </c>
      <c r="M804" s="446">
        <f t="shared" si="145"/>
        <v>7.9423088712115675E-2</v>
      </c>
      <c r="N804" s="446">
        <f t="shared" si="146"/>
        <v>7.2000000000000008E-2</v>
      </c>
      <c r="O804" s="446">
        <f t="shared" si="138"/>
        <v>8.0799999999999997E-2</v>
      </c>
      <c r="P804" s="447">
        <f t="shared" si="147"/>
        <v>7.4230887121156663E-3</v>
      </c>
      <c r="Q804" s="446">
        <f t="shared" si="139"/>
        <v>-1.376911287884322E-3</v>
      </c>
      <c r="R804" s="446">
        <f t="shared" si="140"/>
        <v>0.158505712503209</v>
      </c>
      <c r="S804" s="446">
        <f t="shared" si="141"/>
        <v>8.4375999999999993E-2</v>
      </c>
      <c r="T804" s="447">
        <f t="shared" si="142"/>
        <v>7.4129712503209003E-2</v>
      </c>
      <c r="V804" s="448"/>
      <c r="W804" s="448"/>
      <c r="X804" s="448"/>
      <c r="Y804" s="448"/>
      <c r="Z804" s="448"/>
      <c r="AA804" s="448"/>
      <c r="AB804" s="448"/>
      <c r="AC804" s="448"/>
      <c r="AD804" s="448"/>
      <c r="AF804" s="448"/>
      <c r="AG804" s="448"/>
      <c r="AH804" s="448"/>
      <c r="AI804" s="448"/>
      <c r="AJ804" s="448"/>
      <c r="AK804" s="448"/>
      <c r="AL804" s="448"/>
      <c r="AM804" s="448"/>
      <c r="AN804" s="448"/>
      <c r="AP804" s="448"/>
      <c r="AQ804" s="448"/>
      <c r="AR804" s="448"/>
      <c r="AS804" s="448"/>
      <c r="AT804" s="448"/>
      <c r="AU804" s="448"/>
      <c r="AV804" s="448"/>
      <c r="AW804" s="448"/>
      <c r="AX804" s="448"/>
    </row>
    <row r="805" spans="1:50" x14ac:dyDescent="0.4">
      <c r="A805" s="442" t="str">
        <f t="shared" si="143"/>
        <v>91992</v>
      </c>
      <c r="B805" s="442">
        <v>33848</v>
      </c>
      <c r="C805" s="455">
        <v>1.18E-2</v>
      </c>
      <c r="D805" s="438">
        <v>7.2999999999999983E-3</v>
      </c>
      <c r="E805" s="438">
        <v>5.7999999999999996E-3</v>
      </c>
      <c r="F805" s="438">
        <v>6.6E-3</v>
      </c>
      <c r="G805" s="438">
        <v>6.8083333333333329E-3</v>
      </c>
      <c r="H805" s="438">
        <v>6.7041666666666664E-3</v>
      </c>
      <c r="I805" s="438">
        <v>7.0059166666666664E-3</v>
      </c>
      <c r="J805" s="438">
        <f t="shared" si="144"/>
        <v>6.0000000000000001E-3</v>
      </c>
      <c r="K805" s="438">
        <f t="shared" si="148"/>
        <v>5.0958333333333333E-3</v>
      </c>
      <c r="L805" s="438">
        <f t="shared" si="149"/>
        <v>2.9408333333333196E-4</v>
      </c>
      <c r="M805" s="446">
        <f t="shared" si="145"/>
        <v>0.11070912352173168</v>
      </c>
      <c r="N805" s="446">
        <f t="shared" si="146"/>
        <v>6.9599999999999995E-2</v>
      </c>
      <c r="O805" s="446">
        <f t="shared" si="138"/>
        <v>8.0449999999999994E-2</v>
      </c>
      <c r="P805" s="447">
        <f t="shared" si="147"/>
        <v>4.1109123521731683E-2</v>
      </c>
      <c r="Q805" s="446">
        <f t="shared" si="139"/>
        <v>3.0259123521731685E-2</v>
      </c>
      <c r="R805" s="446">
        <f t="shared" si="140"/>
        <v>0.14385689492695786</v>
      </c>
      <c r="S805" s="446">
        <f t="shared" si="141"/>
        <v>8.4070999999999993E-2</v>
      </c>
      <c r="T805" s="447">
        <f t="shared" si="142"/>
        <v>5.9785894926957864E-2</v>
      </c>
      <c r="V805" s="448"/>
      <c r="W805" s="448"/>
      <c r="X805" s="448"/>
      <c r="Y805" s="448"/>
      <c r="Z805" s="448"/>
      <c r="AA805" s="448"/>
      <c r="AB805" s="448"/>
      <c r="AC805" s="448"/>
      <c r="AD805" s="448"/>
      <c r="AF805" s="448"/>
      <c r="AG805" s="448"/>
      <c r="AH805" s="448"/>
      <c r="AI805" s="448"/>
      <c r="AJ805" s="448"/>
      <c r="AK805" s="448"/>
      <c r="AL805" s="448"/>
      <c r="AM805" s="448"/>
      <c r="AN805" s="448"/>
      <c r="AP805" s="448"/>
      <c r="AQ805" s="448"/>
      <c r="AR805" s="448"/>
      <c r="AS805" s="448"/>
      <c r="AT805" s="448"/>
      <c r="AU805" s="448"/>
      <c r="AV805" s="448"/>
      <c r="AW805" s="448"/>
      <c r="AX805" s="448"/>
    </row>
    <row r="806" spans="1:50" x14ac:dyDescent="0.4">
      <c r="A806" s="442" t="str">
        <f t="shared" si="143"/>
        <v>101992</v>
      </c>
      <c r="B806" s="442">
        <v>33878</v>
      </c>
      <c r="C806" s="455">
        <v>3.5000000000000001E-3</v>
      </c>
      <c r="D806" s="438">
        <v>-9.3999999999999986E-3</v>
      </c>
      <c r="E806" s="438">
        <v>5.7000000000000002E-3</v>
      </c>
      <c r="F806" s="438">
        <v>6.6583333333333338E-3</v>
      </c>
      <c r="G806" s="438">
        <v>6.9333333333333339E-3</v>
      </c>
      <c r="H806" s="438">
        <v>6.7958333333333343E-3</v>
      </c>
      <c r="I806" s="438">
        <v>7.1056666666666664E-3</v>
      </c>
      <c r="J806" s="438">
        <f t="shared" si="144"/>
        <v>-2.2000000000000001E-3</v>
      </c>
      <c r="K806" s="438">
        <f t="shared" si="148"/>
        <v>-3.2958333333333342E-3</v>
      </c>
      <c r="L806" s="438">
        <f t="shared" si="149"/>
        <v>-1.6505666666666665E-2</v>
      </c>
      <c r="M806" s="446">
        <f t="shared" si="145"/>
        <v>9.9858501533508726E-2</v>
      </c>
      <c r="N806" s="446">
        <f t="shared" si="146"/>
        <v>6.8400000000000002E-2</v>
      </c>
      <c r="O806" s="446">
        <f t="shared" si="138"/>
        <v>8.1550000000000011E-2</v>
      </c>
      <c r="P806" s="447">
        <f t="shared" si="147"/>
        <v>3.1458501533508723E-2</v>
      </c>
      <c r="Q806" s="446">
        <f t="shared" si="139"/>
        <v>1.8308501533508714E-2</v>
      </c>
      <c r="R806" s="446">
        <f t="shared" si="140"/>
        <v>0.11088690207318086</v>
      </c>
      <c r="S806" s="446">
        <f t="shared" si="141"/>
        <v>8.5267999999999997E-2</v>
      </c>
      <c r="T806" s="447">
        <f t="shared" si="142"/>
        <v>2.5618902073180863E-2</v>
      </c>
      <c r="V806" s="448"/>
      <c r="W806" s="448"/>
      <c r="X806" s="448"/>
      <c r="Y806" s="448"/>
      <c r="Z806" s="448"/>
      <c r="AA806" s="448"/>
      <c r="AB806" s="448"/>
      <c r="AC806" s="448"/>
      <c r="AD806" s="448"/>
      <c r="AF806" s="448"/>
      <c r="AG806" s="448"/>
      <c r="AH806" s="448"/>
      <c r="AI806" s="448"/>
      <c r="AJ806" s="448"/>
      <c r="AK806" s="448"/>
      <c r="AL806" s="448"/>
      <c r="AM806" s="448"/>
      <c r="AN806" s="448"/>
      <c r="AP806" s="448"/>
      <c r="AQ806" s="448"/>
      <c r="AR806" s="448"/>
      <c r="AS806" s="448"/>
      <c r="AT806" s="448"/>
      <c r="AU806" s="448"/>
      <c r="AV806" s="448"/>
      <c r="AW806" s="448"/>
      <c r="AX806" s="448"/>
    </row>
    <row r="807" spans="1:50" x14ac:dyDescent="0.4">
      <c r="A807" s="442" t="str">
        <f t="shared" si="143"/>
        <v>111992</v>
      </c>
      <c r="B807" s="442">
        <v>33909</v>
      </c>
      <c r="C807" s="455">
        <v>3.4099999999999998E-2</v>
      </c>
      <c r="D807" s="438">
        <v>-1.5000000000000005E-3</v>
      </c>
      <c r="E807" s="438">
        <v>6.0999999999999995E-3</v>
      </c>
      <c r="F807" s="438">
        <v>6.7499999999999991E-3</v>
      </c>
      <c r="G807" s="438">
        <v>7.000000000000001E-3</v>
      </c>
      <c r="H807" s="438">
        <v>6.875E-3</v>
      </c>
      <c r="I807" s="438">
        <v>7.1925833333333329E-3</v>
      </c>
      <c r="J807" s="438">
        <f t="shared" si="144"/>
        <v>2.7999999999999997E-2</v>
      </c>
      <c r="K807" s="438">
        <f t="shared" si="148"/>
        <v>2.7224999999999999E-2</v>
      </c>
      <c r="L807" s="438">
        <f t="shared" si="149"/>
        <v>-8.6925833333333334E-3</v>
      </c>
      <c r="M807" s="446">
        <f t="shared" si="145"/>
        <v>0.18512418092716643</v>
      </c>
      <c r="N807" s="446">
        <f t="shared" si="146"/>
        <v>7.3199999999999987E-2</v>
      </c>
      <c r="O807" s="446">
        <f t="shared" si="138"/>
        <v>8.2500000000000004E-2</v>
      </c>
      <c r="P807" s="447">
        <f t="shared" si="147"/>
        <v>0.11192418092716644</v>
      </c>
      <c r="Q807" s="446">
        <f t="shared" si="139"/>
        <v>0.10262418092716642</v>
      </c>
      <c r="R807" s="446">
        <f t="shared" si="140"/>
        <v>0.12019851718851893</v>
      </c>
      <c r="S807" s="446">
        <f t="shared" si="141"/>
        <v>8.6310999999999999E-2</v>
      </c>
      <c r="T807" s="447">
        <f t="shared" si="142"/>
        <v>3.3887517188518929E-2</v>
      </c>
      <c r="V807" s="448"/>
      <c r="W807" s="448"/>
      <c r="X807" s="448"/>
      <c r="Y807" s="448"/>
      <c r="Z807" s="448"/>
      <c r="AA807" s="448"/>
      <c r="AB807" s="448"/>
      <c r="AC807" s="448"/>
      <c r="AD807" s="448"/>
      <c r="AF807" s="448"/>
      <c r="AG807" s="448"/>
      <c r="AH807" s="448"/>
      <c r="AI807" s="448"/>
      <c r="AJ807" s="448"/>
      <c r="AK807" s="448"/>
      <c r="AL807" s="448"/>
      <c r="AM807" s="448"/>
      <c r="AN807" s="448"/>
      <c r="AP807" s="448"/>
      <c r="AQ807" s="448"/>
      <c r="AR807" s="448"/>
      <c r="AS807" s="448"/>
      <c r="AT807" s="448"/>
      <c r="AU807" s="448"/>
      <c r="AV807" s="448"/>
      <c r="AW807" s="448"/>
      <c r="AX807" s="448"/>
    </row>
    <row r="808" spans="1:50" x14ac:dyDescent="0.4">
      <c r="A808" s="442" t="str">
        <f t="shared" si="143"/>
        <v>121992</v>
      </c>
      <c r="B808" s="442">
        <v>33939</v>
      </c>
      <c r="C808" s="455">
        <v>1.23E-2</v>
      </c>
      <c r="D808" s="438">
        <v>3.5799999999999998E-2</v>
      </c>
      <c r="E808" s="438">
        <v>6.3E-3</v>
      </c>
      <c r="F808" s="438">
        <v>6.6500000000000005E-3</v>
      </c>
      <c r="G808" s="438">
        <v>6.8666666666666668E-3</v>
      </c>
      <c r="H808" s="438">
        <v>6.7583333333333332E-3</v>
      </c>
      <c r="I808" s="438">
        <v>7.0420833333333334E-3</v>
      </c>
      <c r="J808" s="438">
        <f t="shared" si="144"/>
        <v>6.0000000000000001E-3</v>
      </c>
      <c r="K808" s="438">
        <f t="shared" si="148"/>
        <v>5.541666666666667E-3</v>
      </c>
      <c r="L808" s="438">
        <f t="shared" si="149"/>
        <v>2.8757916666666664E-2</v>
      </c>
      <c r="M808" s="446">
        <f t="shared" si="145"/>
        <v>7.6544515750690989E-2</v>
      </c>
      <c r="N808" s="446">
        <f t="shared" si="146"/>
        <v>7.5600000000000001E-2</v>
      </c>
      <c r="O808" s="446">
        <f t="shared" ref="O808:O871" si="150">H808*12</f>
        <v>8.1100000000000005E-2</v>
      </c>
      <c r="P808" s="447">
        <f t="shared" si="147"/>
        <v>9.4451575069098848E-4</v>
      </c>
      <c r="Q808" s="446">
        <f t="shared" ref="Q808:Q871" si="151">M808-O808</f>
        <v>-4.5554842493090164E-3</v>
      </c>
      <c r="R808" s="446">
        <f t="shared" ref="R808:R871" si="152">((1+D797)*(1+D798)*(1+D799)*(1+D800)*(1+D801)*(1+D802)*(1+D803)*(1+D804)*(1+D805)*(1+D806)*(1+D807)*(1+D808))-1</f>
        <v>8.1059931150533782E-2</v>
      </c>
      <c r="S808" s="446">
        <f t="shared" ref="S808:S871" si="153">I808*12</f>
        <v>8.4504999999999997E-2</v>
      </c>
      <c r="T808" s="447">
        <f t="shared" ref="T808:T871" si="154">R808-S808</f>
        <v>-3.4450688494662152E-3</v>
      </c>
      <c r="V808" s="448"/>
      <c r="W808" s="448"/>
      <c r="X808" s="448"/>
      <c r="Y808" s="448"/>
      <c r="Z808" s="448"/>
      <c r="AA808" s="448"/>
      <c r="AB808" s="448"/>
      <c r="AC808" s="448"/>
      <c r="AD808" s="448"/>
      <c r="AF808" s="448"/>
      <c r="AG808" s="448"/>
      <c r="AH808" s="448"/>
      <c r="AI808" s="448"/>
      <c r="AJ808" s="448"/>
      <c r="AK808" s="448"/>
      <c r="AL808" s="448"/>
      <c r="AM808" s="448"/>
      <c r="AN808" s="448"/>
      <c r="AP808" s="448"/>
      <c r="AQ808" s="448"/>
      <c r="AR808" s="448"/>
      <c r="AS808" s="448"/>
      <c r="AT808" s="448"/>
      <c r="AU808" s="448"/>
      <c r="AV808" s="448"/>
      <c r="AW808" s="448"/>
      <c r="AX808" s="448"/>
    </row>
    <row r="809" spans="1:50" x14ac:dyDescent="0.4">
      <c r="A809" s="442" t="str">
        <f t="shared" ref="A809:A872" si="155">MONTH(B809)&amp;YEAR(B809)</f>
        <v>11993</v>
      </c>
      <c r="B809" s="442">
        <v>33970</v>
      </c>
      <c r="C809" s="455">
        <v>8.3999999999999995E-3</v>
      </c>
      <c r="D809" s="438">
        <v>1.5699999999999999E-2</v>
      </c>
      <c r="E809" s="438">
        <v>5.8999999999999999E-3</v>
      </c>
      <c r="F809" s="438">
        <v>6.5916666666666667E-3</v>
      </c>
      <c r="G809" s="438">
        <v>6.7583333333333332E-3</v>
      </c>
      <c r="H809" s="438">
        <v>6.6749999999999995E-3</v>
      </c>
      <c r="I809" s="438">
        <v>6.9009166666666663E-3</v>
      </c>
      <c r="J809" s="438">
        <f t="shared" si="144"/>
        <v>2.4999999999999996E-3</v>
      </c>
      <c r="K809" s="438">
        <f t="shared" si="148"/>
        <v>1.725E-3</v>
      </c>
      <c r="L809" s="438">
        <f t="shared" si="149"/>
        <v>8.7990833333333324E-3</v>
      </c>
      <c r="M809" s="446">
        <f t="shared" si="145"/>
        <v>0.10616210483288824</v>
      </c>
      <c r="N809" s="446">
        <f t="shared" si="146"/>
        <v>7.0800000000000002E-2</v>
      </c>
      <c r="O809" s="446">
        <f t="shared" si="150"/>
        <v>8.0099999999999991E-2</v>
      </c>
      <c r="P809" s="447">
        <f t="shared" si="147"/>
        <v>3.5362104832888236E-2</v>
      </c>
      <c r="Q809" s="446">
        <f t="shared" si="151"/>
        <v>2.6062104832888247E-2</v>
      </c>
      <c r="R809" s="446">
        <f t="shared" si="152"/>
        <v>0.16022038468892341</v>
      </c>
      <c r="S809" s="446">
        <f t="shared" si="153"/>
        <v>8.2810999999999996E-2</v>
      </c>
      <c r="T809" s="447">
        <f t="shared" si="154"/>
        <v>7.7409384688923416E-2</v>
      </c>
      <c r="V809" s="448"/>
      <c r="W809" s="448"/>
      <c r="X809" s="448"/>
      <c r="Y809" s="448"/>
      <c r="Z809" s="448"/>
      <c r="AA809" s="448"/>
      <c r="AB809" s="448"/>
      <c r="AC809" s="448"/>
      <c r="AD809" s="448"/>
      <c r="AF809" s="448"/>
      <c r="AG809" s="448"/>
      <c r="AH809" s="448"/>
      <c r="AI809" s="448"/>
      <c r="AJ809" s="448"/>
      <c r="AK809" s="448"/>
      <c r="AL809" s="448"/>
      <c r="AM809" s="448"/>
      <c r="AN809" s="448"/>
      <c r="AP809" s="448"/>
      <c r="AQ809" s="448"/>
      <c r="AR809" s="448"/>
      <c r="AS809" s="448"/>
      <c r="AT809" s="448"/>
      <c r="AU809" s="448"/>
      <c r="AV809" s="448"/>
      <c r="AW809" s="448"/>
      <c r="AX809" s="448"/>
    </row>
    <row r="810" spans="1:50" x14ac:dyDescent="0.4">
      <c r="A810" s="442" t="str">
        <f t="shared" si="155"/>
        <v>21993</v>
      </c>
      <c r="B810" s="442">
        <v>34001</v>
      </c>
      <c r="C810" s="455">
        <v>1.3599999999999999E-2</v>
      </c>
      <c r="D810" s="438">
        <v>7.2099999999999997E-2</v>
      </c>
      <c r="E810" s="438">
        <v>5.4999999999999997E-3</v>
      </c>
      <c r="F810" s="438">
        <v>6.4249999999999993E-3</v>
      </c>
      <c r="G810" s="438">
        <v>6.5833333333333334E-3</v>
      </c>
      <c r="H810" s="438">
        <v>6.5041666666666668E-3</v>
      </c>
      <c r="I810" s="438">
        <v>6.7039166666666671E-3</v>
      </c>
      <c r="J810" s="438">
        <f t="shared" si="144"/>
        <v>8.0999999999999996E-3</v>
      </c>
      <c r="K810" s="438">
        <f t="shared" si="148"/>
        <v>7.0958333333333325E-3</v>
      </c>
      <c r="L810" s="438">
        <f t="shared" si="149"/>
        <v>6.5396083333333327E-2</v>
      </c>
      <c r="M810" s="446">
        <f t="shared" si="145"/>
        <v>0.10681728475677787</v>
      </c>
      <c r="N810" s="446">
        <f t="shared" si="146"/>
        <v>6.6000000000000003E-2</v>
      </c>
      <c r="O810" s="446">
        <f t="shared" si="150"/>
        <v>7.8050000000000008E-2</v>
      </c>
      <c r="P810" s="447">
        <f t="shared" si="147"/>
        <v>4.0817284756777872E-2</v>
      </c>
      <c r="Q810" s="446">
        <f t="shared" si="151"/>
        <v>2.8767284756777867E-2</v>
      </c>
      <c r="R810" s="446">
        <f t="shared" si="152"/>
        <v>0.27878305173742657</v>
      </c>
      <c r="S810" s="446">
        <f t="shared" si="153"/>
        <v>8.0447000000000005E-2</v>
      </c>
      <c r="T810" s="447">
        <f t="shared" si="154"/>
        <v>0.19833605173742658</v>
      </c>
      <c r="V810" s="448"/>
      <c r="W810" s="448"/>
      <c r="X810" s="448"/>
      <c r="Y810" s="448"/>
      <c r="Z810" s="448"/>
      <c r="AA810" s="448"/>
      <c r="AB810" s="448"/>
      <c r="AC810" s="448"/>
      <c r="AD810" s="448"/>
      <c r="AF810" s="448"/>
      <c r="AG810" s="448"/>
      <c r="AH810" s="448"/>
      <c r="AI810" s="448"/>
      <c r="AJ810" s="448"/>
      <c r="AK810" s="448"/>
      <c r="AL810" s="448"/>
      <c r="AM810" s="448"/>
      <c r="AN810" s="448"/>
      <c r="AP810" s="448"/>
      <c r="AQ810" s="448"/>
      <c r="AR810" s="448"/>
      <c r="AS810" s="448"/>
      <c r="AT810" s="448"/>
      <c r="AU810" s="448"/>
      <c r="AV810" s="448"/>
      <c r="AW810" s="448"/>
      <c r="AX810" s="448"/>
    </row>
    <row r="811" spans="1:50" x14ac:dyDescent="0.4">
      <c r="A811" s="442" t="str">
        <f t="shared" si="155"/>
        <v>31993</v>
      </c>
      <c r="B811" s="442">
        <v>34029</v>
      </c>
      <c r="C811" s="455">
        <v>2.1100000000000001E-2</v>
      </c>
      <c r="D811" s="438">
        <v>1.7999999999999999E-2</v>
      </c>
      <c r="E811" s="438">
        <v>6.3E-3</v>
      </c>
      <c r="F811" s="438">
        <v>6.3166666666666675E-3</v>
      </c>
      <c r="G811" s="438">
        <v>6.4333333333333334E-3</v>
      </c>
      <c r="H811" s="438">
        <v>6.3749999999999996E-3</v>
      </c>
      <c r="I811" s="438">
        <v>6.5854999999999993E-3</v>
      </c>
      <c r="J811" s="438">
        <f t="shared" si="144"/>
        <v>1.4800000000000001E-2</v>
      </c>
      <c r="K811" s="438">
        <f t="shared" si="148"/>
        <v>1.4725000000000002E-2</v>
      </c>
      <c r="L811" s="438">
        <f t="shared" si="149"/>
        <v>1.1414499999999999E-2</v>
      </c>
      <c r="M811" s="446">
        <f t="shared" si="145"/>
        <v>0.15253021564873137</v>
      </c>
      <c r="N811" s="446">
        <f t="shared" si="146"/>
        <v>7.5600000000000001E-2</v>
      </c>
      <c r="O811" s="446">
        <f t="shared" si="150"/>
        <v>7.6499999999999999E-2</v>
      </c>
      <c r="P811" s="447">
        <f t="shared" si="147"/>
        <v>7.693021564873137E-2</v>
      </c>
      <c r="Q811" s="446">
        <f t="shared" si="151"/>
        <v>7.6030215648731372E-2</v>
      </c>
      <c r="R811" s="446">
        <f t="shared" si="152"/>
        <v>0.32068697034462867</v>
      </c>
      <c r="S811" s="446">
        <f t="shared" si="153"/>
        <v>7.9025999999999985E-2</v>
      </c>
      <c r="T811" s="447">
        <f t="shared" si="154"/>
        <v>0.24166097034462869</v>
      </c>
      <c r="V811" s="448"/>
      <c r="W811" s="448"/>
      <c r="X811" s="448"/>
      <c r="Y811" s="448"/>
      <c r="Z811" s="448"/>
      <c r="AA811" s="448"/>
      <c r="AB811" s="448"/>
      <c r="AC811" s="448"/>
      <c r="AD811" s="448"/>
      <c r="AF811" s="448"/>
      <c r="AG811" s="448"/>
      <c r="AH811" s="448"/>
      <c r="AI811" s="448"/>
      <c r="AJ811" s="448"/>
      <c r="AK811" s="448"/>
      <c r="AL811" s="448"/>
      <c r="AM811" s="448"/>
      <c r="AN811" s="448"/>
      <c r="AP811" s="448"/>
      <c r="AQ811" s="448"/>
      <c r="AR811" s="448"/>
      <c r="AS811" s="448"/>
      <c r="AT811" s="448"/>
      <c r="AU811" s="448"/>
      <c r="AV811" s="448"/>
      <c r="AW811" s="448"/>
      <c r="AX811" s="448"/>
    </row>
    <row r="812" spans="1:50" x14ac:dyDescent="0.4">
      <c r="A812" s="442" t="str">
        <f t="shared" si="155"/>
        <v>41993</v>
      </c>
      <c r="B812" s="442">
        <v>34060</v>
      </c>
      <c r="C812" s="455">
        <v>-2.4199999999999999E-2</v>
      </c>
      <c r="D812" s="438">
        <v>-2.6999999999999993E-3</v>
      </c>
      <c r="E812" s="438">
        <v>5.7000000000000002E-3</v>
      </c>
      <c r="F812" s="438">
        <v>6.2166666666666672E-3</v>
      </c>
      <c r="G812" s="438">
        <v>6.3499999999999997E-3</v>
      </c>
      <c r="H812" s="438">
        <v>6.2833333333333343E-3</v>
      </c>
      <c r="I812" s="438">
        <v>6.514666666666666E-3</v>
      </c>
      <c r="J812" s="438">
        <f t="shared" si="144"/>
        <v>-2.9899999999999999E-2</v>
      </c>
      <c r="K812" s="438">
        <f t="shared" si="148"/>
        <v>-3.0483333333333335E-2</v>
      </c>
      <c r="L812" s="438">
        <f t="shared" si="149"/>
        <v>-9.2146666666666661E-3</v>
      </c>
      <c r="M812" s="446">
        <f t="shared" si="145"/>
        <v>9.2518927948350482E-2</v>
      </c>
      <c r="N812" s="446">
        <f t="shared" si="146"/>
        <v>6.8400000000000002E-2</v>
      </c>
      <c r="O812" s="446">
        <f t="shared" si="150"/>
        <v>7.5400000000000009E-2</v>
      </c>
      <c r="P812" s="447">
        <f t="shared" si="147"/>
        <v>2.411892794835048E-2</v>
      </c>
      <c r="Q812" s="446">
        <f t="shared" si="151"/>
        <v>1.7118927948350474E-2</v>
      </c>
      <c r="R812" s="446">
        <f t="shared" si="152"/>
        <v>0.23731434055866418</v>
      </c>
      <c r="S812" s="446">
        <f t="shared" si="153"/>
        <v>7.8175999999999995E-2</v>
      </c>
      <c r="T812" s="447">
        <f t="shared" si="154"/>
        <v>0.15913834055866419</v>
      </c>
      <c r="V812" s="448"/>
      <c r="W812" s="448"/>
      <c r="X812" s="448"/>
      <c r="Y812" s="448"/>
      <c r="Z812" s="448"/>
      <c r="AA812" s="448"/>
      <c r="AB812" s="448"/>
      <c r="AC812" s="448"/>
      <c r="AD812" s="448"/>
      <c r="AF812" s="448"/>
      <c r="AG812" s="448"/>
      <c r="AH812" s="448"/>
      <c r="AI812" s="448"/>
      <c r="AJ812" s="448"/>
      <c r="AK812" s="448"/>
      <c r="AL812" s="448"/>
      <c r="AM812" s="448"/>
      <c r="AN812" s="448"/>
      <c r="AP812" s="448"/>
      <c r="AQ812" s="448"/>
      <c r="AR812" s="448"/>
      <c r="AS812" s="448"/>
      <c r="AT812" s="448"/>
      <c r="AU812" s="448"/>
      <c r="AV812" s="448"/>
      <c r="AW812" s="448"/>
      <c r="AX812" s="448"/>
    </row>
    <row r="813" spans="1:50" x14ac:dyDescent="0.4">
      <c r="A813" s="442" t="str">
        <f t="shared" si="155"/>
        <v>51993</v>
      </c>
      <c r="B813" s="442">
        <v>34090</v>
      </c>
      <c r="C813" s="455">
        <v>2.6800000000000001E-2</v>
      </c>
      <c r="D813" s="438">
        <v>-1.9099999999999999E-2</v>
      </c>
      <c r="E813" s="438">
        <v>5.1999999999999998E-3</v>
      </c>
      <c r="F813" s="438">
        <v>6.1916666666666665E-3</v>
      </c>
      <c r="G813" s="438">
        <v>6.3416666666666665E-3</v>
      </c>
      <c r="H813" s="438">
        <v>6.2666666666666669E-3</v>
      </c>
      <c r="I813" s="438">
        <v>6.5491666666666667E-3</v>
      </c>
      <c r="J813" s="438">
        <f t="shared" si="144"/>
        <v>2.1600000000000001E-2</v>
      </c>
      <c r="K813" s="438">
        <f t="shared" si="148"/>
        <v>2.0533333333333334E-2</v>
      </c>
      <c r="L813" s="438">
        <f t="shared" si="149"/>
        <v>-2.5649166666666667E-2</v>
      </c>
      <c r="M813" s="446">
        <f t="shared" si="145"/>
        <v>0.1163284259303079</v>
      </c>
      <c r="N813" s="446">
        <f t="shared" si="146"/>
        <v>6.2399999999999997E-2</v>
      </c>
      <c r="O813" s="446">
        <f t="shared" si="150"/>
        <v>7.5200000000000003E-2</v>
      </c>
      <c r="P813" s="447">
        <f t="shared" si="147"/>
        <v>5.3928425930307902E-2</v>
      </c>
      <c r="Q813" s="446">
        <f t="shared" si="151"/>
        <v>4.1128425930307896E-2</v>
      </c>
      <c r="R813" s="446">
        <f t="shared" si="152"/>
        <v>0.21550489399498574</v>
      </c>
      <c r="S813" s="446">
        <f t="shared" si="153"/>
        <v>7.8589999999999993E-2</v>
      </c>
      <c r="T813" s="447">
        <f t="shared" si="154"/>
        <v>0.13691489399498574</v>
      </c>
      <c r="V813" s="448"/>
      <c r="W813" s="448"/>
      <c r="X813" s="448"/>
      <c r="Y813" s="448"/>
      <c r="Z813" s="448"/>
      <c r="AA813" s="448"/>
      <c r="AB813" s="448"/>
      <c r="AC813" s="448"/>
      <c r="AD813" s="448"/>
      <c r="AF813" s="448"/>
      <c r="AG813" s="448"/>
      <c r="AH813" s="448"/>
      <c r="AI813" s="448"/>
      <c r="AJ813" s="448"/>
      <c r="AK813" s="448"/>
      <c r="AL813" s="448"/>
      <c r="AM813" s="448"/>
      <c r="AN813" s="448"/>
      <c r="AP813" s="448"/>
      <c r="AQ813" s="448"/>
      <c r="AR813" s="448"/>
      <c r="AS813" s="448"/>
      <c r="AT813" s="448"/>
      <c r="AU813" s="448"/>
      <c r="AV813" s="448"/>
      <c r="AW813" s="448"/>
      <c r="AX813" s="448"/>
    </row>
    <row r="814" spans="1:50" x14ac:dyDescent="0.4">
      <c r="A814" s="442" t="str">
        <f t="shared" si="155"/>
        <v>61993</v>
      </c>
      <c r="B814" s="442">
        <v>34121</v>
      </c>
      <c r="C814" s="455">
        <v>2.8999999999999998E-3</v>
      </c>
      <c r="D814" s="438">
        <v>4.6300000000000001E-2</v>
      </c>
      <c r="E814" s="438">
        <v>6.1999999999999998E-3</v>
      </c>
      <c r="F814" s="438">
        <v>6.1083333333333337E-3</v>
      </c>
      <c r="G814" s="438">
        <v>6.2583333333333336E-3</v>
      </c>
      <c r="H814" s="438">
        <v>6.1833333333333341E-3</v>
      </c>
      <c r="I814" s="438">
        <v>6.4693333333333339E-3</v>
      </c>
      <c r="J814" s="438">
        <f t="shared" si="144"/>
        <v>-3.3E-3</v>
      </c>
      <c r="K814" s="438">
        <f t="shared" si="148"/>
        <v>-3.2833333333333343E-3</v>
      </c>
      <c r="L814" s="438">
        <f t="shared" si="149"/>
        <v>3.9830666666666667E-2</v>
      </c>
      <c r="M814" s="446">
        <f t="shared" si="145"/>
        <v>0.13649962274439709</v>
      </c>
      <c r="N814" s="446">
        <f t="shared" si="146"/>
        <v>7.4399999999999994E-2</v>
      </c>
      <c r="O814" s="446">
        <f t="shared" si="150"/>
        <v>7.4200000000000016E-2</v>
      </c>
      <c r="P814" s="447">
        <f t="shared" si="147"/>
        <v>6.2099622744397093E-2</v>
      </c>
      <c r="Q814" s="446">
        <f t="shared" si="151"/>
        <v>6.2299622744397071E-2</v>
      </c>
      <c r="R814" s="446">
        <f t="shared" si="152"/>
        <v>0.25409996113495126</v>
      </c>
      <c r="S814" s="446">
        <f t="shared" si="153"/>
        <v>7.7632000000000007E-2</v>
      </c>
      <c r="T814" s="447">
        <f t="shared" si="154"/>
        <v>0.17646796113495125</v>
      </c>
      <c r="V814" s="448"/>
      <c r="W814" s="448"/>
      <c r="X814" s="448"/>
      <c r="Y814" s="448"/>
      <c r="Z814" s="448"/>
      <c r="AA814" s="448"/>
      <c r="AB814" s="448"/>
      <c r="AC814" s="448"/>
      <c r="AD814" s="448"/>
      <c r="AF814" s="448"/>
      <c r="AG814" s="448"/>
      <c r="AH814" s="448"/>
      <c r="AI814" s="448"/>
      <c r="AJ814" s="448"/>
      <c r="AK814" s="448"/>
      <c r="AL814" s="448"/>
      <c r="AM814" s="448"/>
      <c r="AN814" s="448"/>
      <c r="AP814" s="448"/>
      <c r="AQ814" s="448"/>
      <c r="AR814" s="448"/>
      <c r="AS814" s="448"/>
      <c r="AT814" s="448"/>
      <c r="AU814" s="448"/>
      <c r="AV814" s="448"/>
      <c r="AW814" s="448"/>
      <c r="AX814" s="448"/>
    </row>
    <row r="815" spans="1:50" x14ac:dyDescent="0.4">
      <c r="A815" s="442" t="str">
        <f t="shared" si="155"/>
        <v>71993</v>
      </c>
      <c r="B815" s="442">
        <v>34151</v>
      </c>
      <c r="C815" s="455">
        <v>-4.0000000000000001E-3</v>
      </c>
      <c r="D815" s="438">
        <v>2.2599999999999999E-2</v>
      </c>
      <c r="E815" s="438">
        <v>5.4000000000000003E-3</v>
      </c>
      <c r="F815" s="438">
        <v>5.9750000000000003E-3</v>
      </c>
      <c r="G815" s="438">
        <v>6.1249999999999994E-3</v>
      </c>
      <c r="H815" s="438">
        <v>6.0499999999999998E-3</v>
      </c>
      <c r="I815" s="438">
        <v>6.284500000000001E-3</v>
      </c>
      <c r="J815" s="438">
        <f t="shared" si="144"/>
        <v>-9.4000000000000004E-3</v>
      </c>
      <c r="K815" s="438">
        <f t="shared" si="148"/>
        <v>-1.005E-2</v>
      </c>
      <c r="L815" s="438">
        <f t="shared" si="149"/>
        <v>1.6315499999999997E-2</v>
      </c>
      <c r="M815" s="446">
        <f t="shared" si="145"/>
        <v>8.7475861517359199E-2</v>
      </c>
      <c r="N815" s="446">
        <f t="shared" si="146"/>
        <v>6.4799999999999996E-2</v>
      </c>
      <c r="O815" s="446">
        <f t="shared" si="150"/>
        <v>7.2599999999999998E-2</v>
      </c>
      <c r="P815" s="447">
        <f t="shared" si="147"/>
        <v>2.2675861517359203E-2</v>
      </c>
      <c r="Q815" s="446">
        <f t="shared" si="151"/>
        <v>1.4875861517359201E-2</v>
      </c>
      <c r="R815" s="446">
        <f t="shared" si="152"/>
        <v>0.18854737743892591</v>
      </c>
      <c r="S815" s="446">
        <f t="shared" si="153"/>
        <v>7.5414000000000009E-2</v>
      </c>
      <c r="T815" s="447">
        <f t="shared" si="154"/>
        <v>0.1131333774389259</v>
      </c>
      <c r="V815" s="448"/>
      <c r="W815" s="448"/>
      <c r="X815" s="448"/>
      <c r="Y815" s="448"/>
      <c r="Z815" s="448"/>
      <c r="AA815" s="448"/>
      <c r="AB815" s="448"/>
      <c r="AC815" s="448"/>
      <c r="AD815" s="448"/>
      <c r="AF815" s="448"/>
      <c r="AG815" s="448"/>
      <c r="AH815" s="448"/>
      <c r="AI815" s="448"/>
      <c r="AJ815" s="448"/>
      <c r="AK815" s="448"/>
      <c r="AL815" s="448"/>
      <c r="AM815" s="448"/>
      <c r="AN815" s="448"/>
      <c r="AP815" s="448"/>
      <c r="AQ815" s="448"/>
      <c r="AR815" s="448"/>
      <c r="AS815" s="448"/>
      <c r="AT815" s="448"/>
      <c r="AU815" s="448"/>
      <c r="AV815" s="448"/>
      <c r="AW815" s="448"/>
      <c r="AX815" s="448"/>
    </row>
    <row r="816" spans="1:50" x14ac:dyDescent="0.4">
      <c r="A816" s="442" t="str">
        <f t="shared" si="155"/>
        <v>81993</v>
      </c>
      <c r="B816" s="442">
        <v>34182</v>
      </c>
      <c r="C816" s="455">
        <v>3.7900000000000003E-2</v>
      </c>
      <c r="D816" s="438">
        <v>4.8399999999999999E-2</v>
      </c>
      <c r="E816" s="438">
        <v>5.5999999999999991E-3</v>
      </c>
      <c r="F816" s="438">
        <v>5.7083333333333326E-3</v>
      </c>
      <c r="G816" s="438">
        <v>5.8833333333333324E-3</v>
      </c>
      <c r="H816" s="438">
        <v>5.7958333333333334E-3</v>
      </c>
      <c r="I816" s="438">
        <v>6.0587500000000008E-3</v>
      </c>
      <c r="J816" s="438">
        <f t="shared" si="144"/>
        <v>3.2300000000000002E-2</v>
      </c>
      <c r="K816" s="438">
        <f t="shared" si="148"/>
        <v>3.210416666666667E-2</v>
      </c>
      <c r="L816" s="438">
        <f t="shared" si="149"/>
        <v>4.2341249999999997E-2</v>
      </c>
      <c r="M816" s="446">
        <f t="shared" si="145"/>
        <v>0.15231362600190623</v>
      </c>
      <c r="N816" s="446">
        <f t="shared" si="146"/>
        <v>6.7199999999999982E-2</v>
      </c>
      <c r="O816" s="446">
        <f t="shared" si="150"/>
        <v>6.9550000000000001E-2</v>
      </c>
      <c r="P816" s="447">
        <f t="shared" si="147"/>
        <v>8.5113626001906251E-2</v>
      </c>
      <c r="Q816" s="446">
        <f t="shared" si="151"/>
        <v>8.2763626001906232E-2</v>
      </c>
      <c r="R816" s="446">
        <f t="shared" si="152"/>
        <v>0.25536275489317961</v>
      </c>
      <c r="S816" s="446">
        <f t="shared" si="153"/>
        <v>7.2705000000000006E-2</v>
      </c>
      <c r="T816" s="447">
        <f t="shared" si="154"/>
        <v>0.18265775489317959</v>
      </c>
      <c r="V816" s="448"/>
      <c r="W816" s="448"/>
      <c r="X816" s="448"/>
      <c r="Y816" s="448"/>
      <c r="Z816" s="448"/>
      <c r="AA816" s="448"/>
      <c r="AB816" s="448"/>
      <c r="AC816" s="448"/>
      <c r="AD816" s="448"/>
      <c r="AF816" s="448"/>
      <c r="AG816" s="448"/>
      <c r="AH816" s="448"/>
      <c r="AI816" s="448"/>
      <c r="AJ816" s="448"/>
      <c r="AK816" s="448"/>
      <c r="AL816" s="448"/>
      <c r="AM816" s="448"/>
      <c r="AN816" s="448"/>
      <c r="AP816" s="448"/>
      <c r="AQ816" s="448"/>
      <c r="AR816" s="448"/>
      <c r="AS816" s="448"/>
      <c r="AT816" s="448"/>
      <c r="AU816" s="448"/>
      <c r="AV816" s="448"/>
      <c r="AW816" s="448"/>
      <c r="AX816" s="448"/>
    </row>
    <row r="817" spans="1:50" x14ac:dyDescent="0.4">
      <c r="A817" s="442" t="str">
        <f t="shared" si="155"/>
        <v>91993</v>
      </c>
      <c r="B817" s="442">
        <v>34213</v>
      </c>
      <c r="C817" s="455">
        <v>-7.7000000000000002E-3</v>
      </c>
      <c r="D817" s="438">
        <v>-2E-3</v>
      </c>
      <c r="E817" s="438">
        <v>5.0000000000000001E-3</v>
      </c>
      <c r="F817" s="438">
        <v>5.5500000000000002E-3</v>
      </c>
      <c r="G817" s="438">
        <v>5.7083333333333326E-3</v>
      </c>
      <c r="H817" s="438">
        <v>5.6291666666666677E-3</v>
      </c>
      <c r="I817" s="438">
        <v>5.8635000000000007E-3</v>
      </c>
      <c r="J817" s="438">
        <f t="shared" si="144"/>
        <v>-1.2699999999999999E-2</v>
      </c>
      <c r="K817" s="438">
        <f t="shared" si="148"/>
        <v>-1.3329166666666668E-2</v>
      </c>
      <c r="L817" s="438">
        <f t="shared" si="149"/>
        <v>-7.8635000000000007E-3</v>
      </c>
      <c r="M817" s="446">
        <f t="shared" si="145"/>
        <v>0.13010556540985507</v>
      </c>
      <c r="N817" s="446">
        <f t="shared" si="146"/>
        <v>0.06</v>
      </c>
      <c r="O817" s="446">
        <f t="shared" si="150"/>
        <v>6.7550000000000013E-2</v>
      </c>
      <c r="P817" s="447">
        <f t="shared" si="147"/>
        <v>7.0105565409855075E-2</v>
      </c>
      <c r="Q817" s="446">
        <f t="shared" si="151"/>
        <v>6.255556540985506E-2</v>
      </c>
      <c r="R817" s="446">
        <f t="shared" si="152"/>
        <v>0.24377249020489677</v>
      </c>
      <c r="S817" s="446">
        <f t="shared" si="153"/>
        <v>7.0362000000000008E-2</v>
      </c>
      <c r="T817" s="447">
        <f t="shared" si="154"/>
        <v>0.17341049020489677</v>
      </c>
      <c r="V817" s="448"/>
      <c r="W817" s="448"/>
      <c r="X817" s="448"/>
      <c r="Y817" s="448"/>
      <c r="Z817" s="448"/>
      <c r="AA817" s="448"/>
      <c r="AB817" s="448"/>
      <c r="AC817" s="448"/>
      <c r="AD817" s="448"/>
      <c r="AF817" s="448"/>
      <c r="AG817" s="448"/>
      <c r="AH817" s="448"/>
      <c r="AI817" s="448"/>
      <c r="AJ817" s="448"/>
      <c r="AK817" s="448"/>
      <c r="AL817" s="448"/>
      <c r="AM817" s="448"/>
      <c r="AN817" s="448"/>
      <c r="AP817" s="448"/>
      <c r="AQ817" s="448"/>
      <c r="AR817" s="448"/>
      <c r="AS817" s="448"/>
      <c r="AT817" s="448"/>
      <c r="AU817" s="448"/>
      <c r="AV817" s="448"/>
      <c r="AW817" s="448"/>
      <c r="AX817" s="448"/>
    </row>
    <row r="818" spans="1:50" x14ac:dyDescent="0.4">
      <c r="A818" s="442" t="str">
        <f t="shared" si="155"/>
        <v>101993</v>
      </c>
      <c r="B818" s="442">
        <v>34243</v>
      </c>
      <c r="C818" s="455">
        <v>2.07E-2</v>
      </c>
      <c r="D818" s="438">
        <v>-2.1000000000000003E-3</v>
      </c>
      <c r="E818" s="438">
        <v>4.8999999999999998E-3</v>
      </c>
      <c r="F818" s="438">
        <v>5.5583333333333327E-3</v>
      </c>
      <c r="G818" s="438">
        <v>5.7250000000000001E-3</v>
      </c>
      <c r="H818" s="438">
        <v>5.6416666666666672E-3</v>
      </c>
      <c r="I818" s="438">
        <v>5.8567500000000008E-3</v>
      </c>
      <c r="J818" s="438">
        <f t="shared" si="144"/>
        <v>1.5800000000000002E-2</v>
      </c>
      <c r="K818" s="438">
        <f t="shared" si="148"/>
        <v>1.5058333333333333E-2</v>
      </c>
      <c r="L818" s="438">
        <f t="shared" si="149"/>
        <v>-7.956750000000002E-3</v>
      </c>
      <c r="M818" s="446">
        <f t="shared" si="145"/>
        <v>0.14947558606261979</v>
      </c>
      <c r="N818" s="446">
        <f t="shared" si="146"/>
        <v>5.8799999999999998E-2</v>
      </c>
      <c r="O818" s="446">
        <f t="shared" si="150"/>
        <v>6.770000000000001E-2</v>
      </c>
      <c r="P818" s="447">
        <f t="shared" si="147"/>
        <v>9.0675586062619801E-2</v>
      </c>
      <c r="Q818" s="446">
        <f t="shared" si="151"/>
        <v>8.1775586062619782E-2</v>
      </c>
      <c r="R818" s="446">
        <f t="shared" si="152"/>
        <v>0.2529381869326337</v>
      </c>
      <c r="S818" s="446">
        <f t="shared" si="153"/>
        <v>7.028100000000001E-2</v>
      </c>
      <c r="T818" s="447">
        <f t="shared" si="154"/>
        <v>0.18265718693263369</v>
      </c>
      <c r="V818" s="448"/>
      <c r="W818" s="448"/>
      <c r="X818" s="448"/>
      <c r="Y818" s="448"/>
      <c r="Z818" s="448"/>
      <c r="AA818" s="448"/>
      <c r="AB818" s="448"/>
      <c r="AC818" s="448"/>
      <c r="AD818" s="448"/>
      <c r="AF818" s="448"/>
      <c r="AG818" s="448"/>
      <c r="AH818" s="448"/>
      <c r="AI818" s="448"/>
      <c r="AJ818" s="448"/>
      <c r="AK818" s="448"/>
      <c r="AL818" s="448"/>
      <c r="AM818" s="448"/>
      <c r="AN818" s="448"/>
      <c r="AP818" s="448"/>
      <c r="AQ818" s="448"/>
      <c r="AR818" s="448"/>
      <c r="AS818" s="448"/>
      <c r="AT818" s="448"/>
      <c r="AU818" s="448"/>
      <c r="AV818" s="448"/>
      <c r="AW818" s="448"/>
      <c r="AX818" s="448"/>
    </row>
    <row r="819" spans="1:50" x14ac:dyDescent="0.4">
      <c r="A819" s="442" t="str">
        <f t="shared" si="155"/>
        <v>111993</v>
      </c>
      <c r="B819" s="442">
        <v>34274</v>
      </c>
      <c r="C819" s="455">
        <v>-9.4999999999999998E-3</v>
      </c>
      <c r="D819" s="438">
        <v>-5.0700000000000002E-2</v>
      </c>
      <c r="E819" s="438">
        <v>5.3E-3</v>
      </c>
      <c r="F819" s="438">
        <v>5.7749999999999998E-3</v>
      </c>
      <c r="G819" s="438">
        <v>5.9333333333333339E-3</v>
      </c>
      <c r="H819" s="438">
        <v>5.8541666666666672E-3</v>
      </c>
      <c r="I819" s="438">
        <v>6.0670833333333332E-3</v>
      </c>
      <c r="J819" s="438">
        <f t="shared" si="144"/>
        <v>-1.4800000000000001E-2</v>
      </c>
      <c r="K819" s="438">
        <f t="shared" si="148"/>
        <v>-1.5354166666666667E-2</v>
      </c>
      <c r="L819" s="438">
        <f t="shared" si="149"/>
        <v>-5.6767083333333336E-2</v>
      </c>
      <c r="M819" s="446">
        <f t="shared" si="145"/>
        <v>0.10101108983176244</v>
      </c>
      <c r="N819" s="446">
        <f t="shared" si="146"/>
        <v>6.3600000000000004E-2</v>
      </c>
      <c r="O819" s="446">
        <f t="shared" si="150"/>
        <v>7.0250000000000007E-2</v>
      </c>
      <c r="P819" s="447">
        <f t="shared" si="147"/>
        <v>3.7411089831762431E-2</v>
      </c>
      <c r="Q819" s="446">
        <f t="shared" si="151"/>
        <v>3.0761089831762428E-2</v>
      </c>
      <c r="R819" s="446">
        <f t="shared" si="152"/>
        <v>0.19120102238873238</v>
      </c>
      <c r="S819" s="446">
        <f t="shared" si="153"/>
        <v>7.2804999999999995E-2</v>
      </c>
      <c r="T819" s="447">
        <f t="shared" si="154"/>
        <v>0.11839602238873238</v>
      </c>
      <c r="V819" s="448"/>
      <c r="W819" s="448"/>
      <c r="X819" s="448"/>
      <c r="Y819" s="448"/>
      <c r="Z819" s="448"/>
      <c r="AA819" s="448"/>
      <c r="AB819" s="448"/>
      <c r="AC819" s="448"/>
      <c r="AD819" s="448"/>
      <c r="AF819" s="448"/>
      <c r="AG819" s="448"/>
      <c r="AH819" s="448"/>
      <c r="AI819" s="448"/>
      <c r="AJ819" s="448"/>
      <c r="AK819" s="448"/>
      <c r="AL819" s="448"/>
      <c r="AM819" s="448"/>
      <c r="AN819" s="448"/>
      <c r="AP819" s="448"/>
      <c r="AQ819" s="448"/>
      <c r="AR819" s="448"/>
      <c r="AS819" s="448"/>
      <c r="AT819" s="448"/>
      <c r="AU819" s="448"/>
      <c r="AV819" s="448"/>
      <c r="AW819" s="448"/>
      <c r="AX819" s="448"/>
    </row>
    <row r="820" spans="1:50" x14ac:dyDescent="0.4">
      <c r="A820" s="442" t="str">
        <f t="shared" si="155"/>
        <v>121993</v>
      </c>
      <c r="B820" s="442">
        <v>34304</v>
      </c>
      <c r="C820" s="455">
        <v>1.21E-2</v>
      </c>
      <c r="D820" s="438">
        <v>-5.3E-3</v>
      </c>
      <c r="E820" s="438">
        <v>5.4999999999999997E-3</v>
      </c>
      <c r="F820" s="438">
        <v>5.7749999999999998E-3</v>
      </c>
      <c r="G820" s="438">
        <v>5.9333333333333339E-3</v>
      </c>
      <c r="H820" s="438">
        <v>5.8541666666666672E-3</v>
      </c>
      <c r="I820" s="438">
        <v>6.1131666666666661E-3</v>
      </c>
      <c r="J820" s="438">
        <f t="shared" si="144"/>
        <v>6.6E-3</v>
      </c>
      <c r="K820" s="438">
        <f t="shared" si="148"/>
        <v>6.2458333333333324E-3</v>
      </c>
      <c r="L820" s="438">
        <f t="shared" si="149"/>
        <v>-1.1413166666666665E-2</v>
      </c>
      <c r="M820" s="446">
        <f t="shared" si="145"/>
        <v>0.10079356319147137</v>
      </c>
      <c r="N820" s="446">
        <f t="shared" si="146"/>
        <v>6.6000000000000003E-2</v>
      </c>
      <c r="O820" s="446">
        <f t="shared" si="150"/>
        <v>7.0250000000000007E-2</v>
      </c>
      <c r="P820" s="447">
        <f t="shared" si="147"/>
        <v>3.4793563191471366E-2</v>
      </c>
      <c r="Q820" s="446">
        <f t="shared" si="151"/>
        <v>3.0543563191471362E-2</v>
      </c>
      <c r="R820" s="446">
        <f t="shared" si="152"/>
        <v>0.14393479143664001</v>
      </c>
      <c r="S820" s="446">
        <f t="shared" si="153"/>
        <v>7.3357999999999993E-2</v>
      </c>
      <c r="T820" s="447">
        <f t="shared" si="154"/>
        <v>7.0576791436640016E-2</v>
      </c>
      <c r="V820" s="448"/>
      <c r="W820" s="448"/>
      <c r="X820" s="448"/>
      <c r="Y820" s="448"/>
      <c r="Z820" s="448"/>
      <c r="AA820" s="448"/>
      <c r="AB820" s="448"/>
      <c r="AC820" s="448"/>
      <c r="AD820" s="448"/>
      <c r="AF820" s="448"/>
      <c r="AG820" s="448"/>
      <c r="AH820" s="448"/>
      <c r="AI820" s="448"/>
      <c r="AJ820" s="448"/>
      <c r="AK820" s="448"/>
      <c r="AL820" s="448"/>
      <c r="AM820" s="448"/>
      <c r="AN820" s="448"/>
      <c r="AP820" s="448"/>
      <c r="AQ820" s="448"/>
      <c r="AR820" s="448"/>
      <c r="AS820" s="448"/>
      <c r="AT820" s="448"/>
      <c r="AU820" s="448"/>
      <c r="AV820" s="448"/>
      <c r="AW820" s="448"/>
      <c r="AX820" s="448"/>
    </row>
    <row r="821" spans="1:50" x14ac:dyDescent="0.4">
      <c r="A821" s="442" t="str">
        <f t="shared" si="155"/>
        <v>11994</v>
      </c>
      <c r="B821" s="442">
        <v>34335</v>
      </c>
      <c r="C821" s="455">
        <v>3.4000000000000002E-2</v>
      </c>
      <c r="D821" s="438">
        <v>7.1999999999999998E-3</v>
      </c>
      <c r="E821" s="438">
        <v>5.4999999999999997E-3</v>
      </c>
      <c r="F821" s="438">
        <v>5.7666666666666665E-3</v>
      </c>
      <c r="G821" s="438">
        <v>5.9333333333333339E-3</v>
      </c>
      <c r="H821" s="438">
        <v>5.8499999999999993E-3</v>
      </c>
      <c r="I821" s="438">
        <v>6.1104166666666668E-3</v>
      </c>
      <c r="J821" s="438">
        <f t="shared" si="144"/>
        <v>2.8500000000000004E-2</v>
      </c>
      <c r="K821" s="438">
        <f t="shared" si="148"/>
        <v>2.8150000000000001E-2</v>
      </c>
      <c r="L821" s="438">
        <f t="shared" si="149"/>
        <v>1.089583333333333E-3</v>
      </c>
      <c r="M821" s="446">
        <f t="shared" si="145"/>
        <v>0.12873913560093353</v>
      </c>
      <c r="N821" s="446">
        <f t="shared" si="146"/>
        <v>6.6000000000000003E-2</v>
      </c>
      <c r="O821" s="446">
        <f t="shared" si="150"/>
        <v>7.0199999999999985E-2</v>
      </c>
      <c r="P821" s="447">
        <f t="shared" si="147"/>
        <v>6.2739135600933527E-2</v>
      </c>
      <c r="Q821" s="446">
        <f t="shared" si="151"/>
        <v>5.8539135600933545E-2</v>
      </c>
      <c r="R821" s="446">
        <f t="shared" si="152"/>
        <v>0.13436164412226459</v>
      </c>
      <c r="S821" s="446">
        <f t="shared" si="153"/>
        <v>7.3325000000000001E-2</v>
      </c>
      <c r="T821" s="447">
        <f t="shared" si="154"/>
        <v>6.1036644122264588E-2</v>
      </c>
      <c r="V821" s="448"/>
      <c r="W821" s="448"/>
      <c r="X821" s="448"/>
      <c r="Y821" s="448"/>
      <c r="Z821" s="448"/>
      <c r="AA821" s="448"/>
      <c r="AB821" s="448"/>
      <c r="AC821" s="448"/>
      <c r="AD821" s="448"/>
      <c r="AF821" s="448"/>
      <c r="AG821" s="448"/>
      <c r="AH821" s="448"/>
      <c r="AI821" s="448"/>
      <c r="AJ821" s="448"/>
      <c r="AK821" s="448"/>
      <c r="AL821" s="448"/>
      <c r="AM821" s="448"/>
      <c r="AN821" s="448"/>
      <c r="AP821" s="448"/>
      <c r="AQ821" s="448"/>
      <c r="AR821" s="448"/>
      <c r="AS821" s="448"/>
      <c r="AT821" s="448"/>
      <c r="AU821" s="448"/>
      <c r="AV821" s="448"/>
      <c r="AW821" s="448"/>
      <c r="AX821" s="448"/>
    </row>
    <row r="822" spans="1:50" x14ac:dyDescent="0.4">
      <c r="A822" s="442" t="str">
        <f t="shared" si="155"/>
        <v>21994</v>
      </c>
      <c r="B822" s="442">
        <v>34366</v>
      </c>
      <c r="C822" s="455">
        <v>-2.7099999999999999E-2</v>
      </c>
      <c r="D822" s="438">
        <v>-5.67E-2</v>
      </c>
      <c r="E822" s="438">
        <v>4.8999999999999998E-3</v>
      </c>
      <c r="F822" s="438">
        <v>5.8999999999999999E-3</v>
      </c>
      <c r="G822" s="438">
        <v>6.0750000000000005E-3</v>
      </c>
      <c r="H822" s="438">
        <v>5.9874999999999998E-3</v>
      </c>
      <c r="I822" s="438">
        <v>6.2052499999999998E-3</v>
      </c>
      <c r="J822" s="438">
        <f t="shared" si="144"/>
        <v>-3.2000000000000001E-2</v>
      </c>
      <c r="K822" s="438">
        <f t="shared" si="148"/>
        <v>-3.3087499999999999E-2</v>
      </c>
      <c r="L822" s="438">
        <f t="shared" si="149"/>
        <v>-6.2905249999999996E-2</v>
      </c>
      <c r="M822" s="446">
        <f t="shared" si="145"/>
        <v>8.3415849473311043E-2</v>
      </c>
      <c r="N822" s="446">
        <f t="shared" si="146"/>
        <v>5.8799999999999998E-2</v>
      </c>
      <c r="O822" s="446">
        <f t="shared" si="150"/>
        <v>7.1849999999999997E-2</v>
      </c>
      <c r="P822" s="447">
        <f t="shared" si="147"/>
        <v>2.4615849473311045E-2</v>
      </c>
      <c r="Q822" s="446">
        <f t="shared" si="151"/>
        <v>1.1565849473311046E-2</v>
      </c>
      <c r="R822" s="446">
        <f t="shared" si="152"/>
        <v>-1.9183481946347669E-3</v>
      </c>
      <c r="S822" s="446">
        <f t="shared" si="153"/>
        <v>7.4463000000000001E-2</v>
      </c>
      <c r="T822" s="447">
        <f t="shared" si="154"/>
        <v>-7.6381348194634768E-2</v>
      </c>
      <c r="V822" s="448"/>
      <c r="W822" s="448"/>
      <c r="X822" s="448"/>
      <c r="Y822" s="448"/>
      <c r="Z822" s="448"/>
      <c r="AA822" s="448"/>
      <c r="AB822" s="448"/>
      <c r="AC822" s="448"/>
      <c r="AD822" s="448"/>
      <c r="AF822" s="448"/>
      <c r="AG822" s="448"/>
      <c r="AH822" s="448"/>
      <c r="AI822" s="448"/>
      <c r="AJ822" s="448"/>
      <c r="AK822" s="448"/>
      <c r="AL822" s="448"/>
      <c r="AM822" s="448"/>
      <c r="AN822" s="448"/>
      <c r="AP822" s="448"/>
      <c r="AQ822" s="448"/>
      <c r="AR822" s="448"/>
      <c r="AS822" s="448"/>
      <c r="AT822" s="448"/>
      <c r="AU822" s="448"/>
      <c r="AV822" s="448"/>
      <c r="AW822" s="448"/>
      <c r="AX822" s="448"/>
    </row>
    <row r="823" spans="1:50" x14ac:dyDescent="0.4">
      <c r="A823" s="442" t="str">
        <f t="shared" si="155"/>
        <v>31994</v>
      </c>
      <c r="B823" s="442">
        <v>34394</v>
      </c>
      <c r="C823" s="455">
        <v>-4.36E-2</v>
      </c>
      <c r="D823" s="438">
        <v>-3.3800000000000004E-2</v>
      </c>
      <c r="E823" s="438">
        <v>5.7999999999999996E-3</v>
      </c>
      <c r="F823" s="438">
        <v>5.8999999999999999E-3</v>
      </c>
      <c r="G823" s="438">
        <v>6.0750000000000005E-3</v>
      </c>
      <c r="H823" s="438">
        <v>5.9874999999999998E-3</v>
      </c>
      <c r="I823" s="438">
        <v>6.527666666666666E-3</v>
      </c>
      <c r="J823" s="438">
        <f t="shared" si="144"/>
        <v>-4.9399999999999999E-2</v>
      </c>
      <c r="K823" s="438">
        <f t="shared" si="148"/>
        <v>-4.95875E-2</v>
      </c>
      <c r="L823" s="438">
        <f t="shared" si="149"/>
        <v>-4.0327666666666671E-2</v>
      </c>
      <c r="M823" s="446">
        <f t="shared" si="145"/>
        <v>1.4767327819287912E-2</v>
      </c>
      <c r="N823" s="446">
        <f t="shared" si="146"/>
        <v>6.9599999999999995E-2</v>
      </c>
      <c r="O823" s="446">
        <f t="shared" si="150"/>
        <v>7.1849999999999997E-2</v>
      </c>
      <c r="P823" s="447">
        <f t="shared" si="147"/>
        <v>-5.4832672180712083E-2</v>
      </c>
      <c r="Q823" s="446">
        <f t="shared" si="151"/>
        <v>-5.7082672180712085E-2</v>
      </c>
      <c r="R823" s="446">
        <f t="shared" si="152"/>
        <v>-5.2704821243277244E-2</v>
      </c>
      <c r="S823" s="446">
        <f t="shared" si="153"/>
        <v>7.8331999999999985E-2</v>
      </c>
      <c r="T823" s="447">
        <f t="shared" si="154"/>
        <v>-0.13103682124327723</v>
      </c>
      <c r="V823" s="448"/>
      <c r="W823" s="448"/>
      <c r="X823" s="448"/>
      <c r="Y823" s="448"/>
      <c r="Z823" s="448"/>
      <c r="AA823" s="448"/>
      <c r="AB823" s="448"/>
      <c r="AC823" s="448"/>
      <c r="AD823" s="448"/>
      <c r="AF823" s="448"/>
      <c r="AG823" s="448"/>
      <c r="AH823" s="448"/>
      <c r="AI823" s="448"/>
      <c r="AJ823" s="448"/>
      <c r="AK823" s="448"/>
      <c r="AL823" s="448"/>
      <c r="AM823" s="448"/>
      <c r="AN823" s="448"/>
      <c r="AP823" s="448"/>
      <c r="AQ823" s="448"/>
      <c r="AR823" s="448"/>
      <c r="AS823" s="448"/>
      <c r="AT823" s="448"/>
      <c r="AU823" s="448"/>
      <c r="AV823" s="448"/>
      <c r="AW823" s="448"/>
      <c r="AX823" s="448"/>
    </row>
    <row r="824" spans="1:50" x14ac:dyDescent="0.4">
      <c r="A824" s="442" t="str">
        <f t="shared" si="155"/>
        <v>41994</v>
      </c>
      <c r="B824" s="442">
        <v>34425</v>
      </c>
      <c r="C824" s="455">
        <v>1.2800000000000001E-2</v>
      </c>
      <c r="D824" s="438">
        <v>2.46E-2</v>
      </c>
      <c r="E824" s="438">
        <v>5.7000000000000002E-3</v>
      </c>
      <c r="F824" s="438">
        <v>6.2333333333333338E-3</v>
      </c>
      <c r="G824" s="438">
        <v>6.4083333333333336E-3</v>
      </c>
      <c r="H824" s="438">
        <v>6.3208333333333337E-3</v>
      </c>
      <c r="I824" s="438">
        <v>6.8514166666666662E-3</v>
      </c>
      <c r="J824" s="438">
        <f t="shared" si="144"/>
        <v>7.1000000000000004E-3</v>
      </c>
      <c r="K824" s="438">
        <f t="shared" si="148"/>
        <v>6.4791666666666669E-3</v>
      </c>
      <c r="L824" s="438">
        <f t="shared" si="149"/>
        <v>1.7748583333333335E-2</v>
      </c>
      <c r="M824" s="446">
        <f t="shared" si="145"/>
        <v>5.3244875605015896E-2</v>
      </c>
      <c r="N824" s="446">
        <f t="shared" si="146"/>
        <v>6.8400000000000002E-2</v>
      </c>
      <c r="O824" s="446">
        <f t="shared" si="150"/>
        <v>7.5850000000000001E-2</v>
      </c>
      <c r="P824" s="447">
        <f t="shared" si="147"/>
        <v>-1.5155124394984107E-2</v>
      </c>
      <c r="Q824" s="446">
        <f t="shared" si="151"/>
        <v>-2.2605124394984105E-2</v>
      </c>
      <c r="R824" s="446">
        <f t="shared" si="152"/>
        <v>-2.6773648697344554E-2</v>
      </c>
      <c r="S824" s="446">
        <f t="shared" si="153"/>
        <v>8.2216999999999998E-2</v>
      </c>
      <c r="T824" s="447">
        <f t="shared" si="154"/>
        <v>-0.10899064869734455</v>
      </c>
      <c r="V824" s="448"/>
      <c r="W824" s="448"/>
      <c r="X824" s="448"/>
      <c r="Y824" s="448"/>
      <c r="Z824" s="448"/>
      <c r="AA824" s="448"/>
      <c r="AB824" s="448"/>
      <c r="AC824" s="448"/>
      <c r="AD824" s="448"/>
      <c r="AF824" s="448"/>
      <c r="AG824" s="448"/>
      <c r="AH824" s="448"/>
      <c r="AI824" s="448"/>
      <c r="AJ824" s="448"/>
      <c r="AK824" s="448"/>
      <c r="AL824" s="448"/>
      <c r="AM824" s="448"/>
      <c r="AN824" s="448"/>
      <c r="AP824" s="448"/>
      <c r="AQ824" s="448"/>
      <c r="AR824" s="448"/>
      <c r="AS824" s="448"/>
      <c r="AT824" s="448"/>
      <c r="AU824" s="448"/>
      <c r="AV824" s="448"/>
      <c r="AW824" s="448"/>
      <c r="AX824" s="448"/>
    </row>
    <row r="825" spans="1:50" x14ac:dyDescent="0.4">
      <c r="A825" s="442" t="str">
        <f t="shared" si="155"/>
        <v>51994</v>
      </c>
      <c r="B825" s="442">
        <v>34455</v>
      </c>
      <c r="C825" s="455">
        <v>1.6400000000000001E-2</v>
      </c>
      <c r="D825" s="438">
        <v>-2.6800000000000001E-2</v>
      </c>
      <c r="E825" s="438">
        <v>6.3E-3</v>
      </c>
      <c r="F825" s="438">
        <v>6.6583333333333338E-3</v>
      </c>
      <c r="G825" s="438">
        <v>6.8250000000000003E-3</v>
      </c>
      <c r="H825" s="438">
        <v>6.7416666666666666E-3</v>
      </c>
      <c r="I825" s="438">
        <v>6.9384999999999994E-3</v>
      </c>
      <c r="J825" s="438">
        <f t="shared" si="144"/>
        <v>1.0100000000000001E-2</v>
      </c>
      <c r="K825" s="438">
        <f t="shared" si="148"/>
        <v>9.6583333333333347E-3</v>
      </c>
      <c r="L825" s="438">
        <f t="shared" si="149"/>
        <v>-3.3738499999999998E-2</v>
      </c>
      <c r="M825" s="446">
        <f t="shared" si="145"/>
        <v>4.2577027235039422E-2</v>
      </c>
      <c r="N825" s="446">
        <f t="shared" si="146"/>
        <v>7.5600000000000001E-2</v>
      </c>
      <c r="O825" s="446">
        <f t="shared" si="150"/>
        <v>8.09E-2</v>
      </c>
      <c r="P825" s="447">
        <f t="shared" si="147"/>
        <v>-3.3022972764960579E-2</v>
      </c>
      <c r="Q825" s="446">
        <f t="shared" si="151"/>
        <v>-3.8322972764960578E-2</v>
      </c>
      <c r="R825" s="446">
        <f t="shared" si="152"/>
        <v>-3.441341106357021E-2</v>
      </c>
      <c r="S825" s="446">
        <f t="shared" si="153"/>
        <v>8.3261999999999989E-2</v>
      </c>
      <c r="T825" s="447">
        <f t="shared" si="154"/>
        <v>-0.1176754110635702</v>
      </c>
      <c r="V825" s="448"/>
      <c r="W825" s="448"/>
      <c r="X825" s="448"/>
      <c r="Y825" s="448"/>
      <c r="Z825" s="448"/>
      <c r="AA825" s="448"/>
      <c r="AB825" s="448"/>
      <c r="AC825" s="448"/>
      <c r="AD825" s="448"/>
      <c r="AF825" s="448"/>
      <c r="AG825" s="448"/>
      <c r="AH825" s="448"/>
      <c r="AI825" s="448"/>
      <c r="AJ825" s="448"/>
      <c r="AK825" s="448"/>
      <c r="AL825" s="448"/>
      <c r="AM825" s="448"/>
      <c r="AN825" s="448"/>
      <c r="AP825" s="448"/>
      <c r="AQ825" s="448"/>
      <c r="AR825" s="448"/>
      <c r="AS825" s="448"/>
      <c r="AT825" s="448"/>
      <c r="AU825" s="448"/>
      <c r="AV825" s="448"/>
      <c r="AW825" s="448"/>
      <c r="AX825" s="448"/>
    </row>
    <row r="826" spans="1:50" x14ac:dyDescent="0.4">
      <c r="A826" s="442" t="str">
        <f t="shared" si="155"/>
        <v>61994</v>
      </c>
      <c r="B826" s="442">
        <v>34486</v>
      </c>
      <c r="C826" s="455">
        <v>-2.4500000000000001E-2</v>
      </c>
      <c r="D826" s="438">
        <v>2.0999999999999994E-3</v>
      </c>
      <c r="E826" s="438">
        <v>6.0999999999999995E-3</v>
      </c>
      <c r="F826" s="438">
        <v>6.6416666666666672E-3</v>
      </c>
      <c r="G826" s="438">
        <v>6.8083333333333329E-3</v>
      </c>
      <c r="H826" s="438">
        <v>6.7250000000000001E-3</v>
      </c>
      <c r="I826" s="438">
        <v>6.9234166666666663E-3</v>
      </c>
      <c r="J826" s="438">
        <f t="shared" si="144"/>
        <v>-3.0600000000000002E-2</v>
      </c>
      <c r="K826" s="438">
        <f t="shared" si="148"/>
        <v>-3.1225000000000003E-2</v>
      </c>
      <c r="L826" s="438">
        <f t="shared" si="149"/>
        <v>-4.8234166666666668E-3</v>
      </c>
      <c r="M826" s="446">
        <f t="shared" si="145"/>
        <v>1.4093020308885373E-2</v>
      </c>
      <c r="N826" s="446">
        <f t="shared" si="146"/>
        <v>7.3199999999999987E-2</v>
      </c>
      <c r="O826" s="446">
        <f t="shared" si="150"/>
        <v>8.0699999999999994E-2</v>
      </c>
      <c r="P826" s="447">
        <f t="shared" si="147"/>
        <v>-5.9106979691114614E-2</v>
      </c>
      <c r="Q826" s="446">
        <f t="shared" si="151"/>
        <v>-6.6606979691114621E-2</v>
      </c>
      <c r="R826" s="446">
        <f t="shared" si="152"/>
        <v>-7.5203745796428856E-2</v>
      </c>
      <c r="S826" s="446">
        <f t="shared" si="153"/>
        <v>8.3080999999999988E-2</v>
      </c>
      <c r="T826" s="447">
        <f t="shared" si="154"/>
        <v>-0.15828474579642884</v>
      </c>
      <c r="V826" s="448"/>
      <c r="W826" s="448"/>
      <c r="X826" s="448"/>
      <c r="Y826" s="448"/>
      <c r="Z826" s="448"/>
      <c r="AA826" s="448"/>
      <c r="AB826" s="448"/>
      <c r="AC826" s="448"/>
      <c r="AD826" s="448"/>
      <c r="AF826" s="448"/>
      <c r="AG826" s="448"/>
      <c r="AH826" s="448"/>
      <c r="AI826" s="448"/>
      <c r="AJ826" s="448"/>
      <c r="AK826" s="448"/>
      <c r="AL826" s="448"/>
      <c r="AM826" s="448"/>
      <c r="AN826" s="448"/>
      <c r="AP826" s="448"/>
      <c r="AQ826" s="448"/>
      <c r="AR826" s="448"/>
      <c r="AS826" s="448"/>
      <c r="AT826" s="448"/>
      <c r="AU826" s="448"/>
      <c r="AV826" s="448"/>
      <c r="AW826" s="448"/>
      <c r="AX826" s="448"/>
    </row>
    <row r="827" spans="1:50" x14ac:dyDescent="0.4">
      <c r="A827" s="442" t="str">
        <f t="shared" si="155"/>
        <v>71994</v>
      </c>
      <c r="B827" s="442">
        <v>34516</v>
      </c>
      <c r="C827" s="455">
        <v>3.2800000000000003E-2</v>
      </c>
      <c r="D827" s="438">
        <v>3.3599999999999998E-2</v>
      </c>
      <c r="E827" s="438">
        <v>6.0000000000000001E-3</v>
      </c>
      <c r="F827" s="438">
        <v>6.7583333333333332E-3</v>
      </c>
      <c r="G827" s="438">
        <v>6.9249999999999997E-3</v>
      </c>
      <c r="H827" s="438">
        <v>6.841666666666666E-3</v>
      </c>
      <c r="I827" s="438">
        <v>7.0627500000000013E-3</v>
      </c>
      <c r="J827" s="438">
        <f t="shared" si="144"/>
        <v>2.6800000000000004E-2</v>
      </c>
      <c r="K827" s="438">
        <f t="shared" si="148"/>
        <v>2.5958333333333337E-2</v>
      </c>
      <c r="L827" s="438">
        <f t="shared" si="149"/>
        <v>2.6537249999999998E-2</v>
      </c>
      <c r="M827" s="446">
        <f t="shared" si="145"/>
        <v>5.1561517444795646E-2</v>
      </c>
      <c r="N827" s="446">
        <f t="shared" si="146"/>
        <v>7.2000000000000008E-2</v>
      </c>
      <c r="O827" s="446">
        <f t="shared" si="150"/>
        <v>8.2099999999999992E-2</v>
      </c>
      <c r="P827" s="447">
        <f t="shared" si="147"/>
        <v>-2.0438482555204363E-2</v>
      </c>
      <c r="Q827" s="446">
        <f t="shared" si="151"/>
        <v>-3.0538482555204347E-2</v>
      </c>
      <c r="R827" s="446">
        <f t="shared" si="152"/>
        <v>-6.5255810341471543E-2</v>
      </c>
      <c r="S827" s="446">
        <f t="shared" si="153"/>
        <v>8.4753000000000023E-2</v>
      </c>
      <c r="T827" s="447">
        <f t="shared" si="154"/>
        <v>-0.15000881034147157</v>
      </c>
      <c r="V827" s="448"/>
      <c r="W827" s="448"/>
      <c r="X827" s="448"/>
      <c r="Y827" s="448"/>
      <c r="Z827" s="448"/>
      <c r="AA827" s="448"/>
      <c r="AB827" s="448"/>
      <c r="AC827" s="448"/>
      <c r="AD827" s="448"/>
      <c r="AF827" s="448"/>
      <c r="AG827" s="448"/>
      <c r="AH827" s="448"/>
      <c r="AI827" s="448"/>
      <c r="AJ827" s="448"/>
      <c r="AK827" s="448"/>
      <c r="AL827" s="448"/>
      <c r="AM827" s="448"/>
      <c r="AN827" s="448"/>
      <c r="AP827" s="448"/>
      <c r="AQ827" s="448"/>
      <c r="AR827" s="448"/>
      <c r="AS827" s="448"/>
      <c r="AT827" s="448"/>
      <c r="AU827" s="448"/>
      <c r="AV827" s="448"/>
      <c r="AW827" s="448"/>
      <c r="AX827" s="448"/>
    </row>
    <row r="828" spans="1:50" x14ac:dyDescent="0.4">
      <c r="A828" s="442" t="str">
        <f t="shared" si="155"/>
        <v>81994</v>
      </c>
      <c r="B828" s="442">
        <v>34547</v>
      </c>
      <c r="C828" s="455">
        <v>4.1000000000000002E-2</v>
      </c>
      <c r="D828" s="438">
        <v>-2.7999999999999995E-3</v>
      </c>
      <c r="E828" s="438">
        <v>6.6E-3</v>
      </c>
      <c r="F828" s="438">
        <v>6.7250000000000001E-3</v>
      </c>
      <c r="G828" s="438">
        <v>6.875E-3</v>
      </c>
      <c r="H828" s="438">
        <v>6.7999999999999996E-3</v>
      </c>
      <c r="I828" s="438">
        <v>7.0058333333333335E-3</v>
      </c>
      <c r="J828" s="438">
        <f t="shared" si="144"/>
        <v>3.44E-2</v>
      </c>
      <c r="K828" s="438">
        <f t="shared" si="148"/>
        <v>3.4200000000000001E-2</v>
      </c>
      <c r="L828" s="438">
        <f t="shared" si="149"/>
        <v>-9.8058333333333331E-3</v>
      </c>
      <c r="M828" s="446">
        <f t="shared" si="145"/>
        <v>5.470232166878497E-2</v>
      </c>
      <c r="N828" s="446">
        <f t="shared" si="146"/>
        <v>7.9199999999999993E-2</v>
      </c>
      <c r="O828" s="446">
        <f t="shared" si="150"/>
        <v>8.1599999999999992E-2</v>
      </c>
      <c r="P828" s="447">
        <f t="shared" si="147"/>
        <v>-2.4497678331215023E-2</v>
      </c>
      <c r="Q828" s="446">
        <f t="shared" si="151"/>
        <v>-2.6897678331215022E-2</v>
      </c>
      <c r="R828" s="446">
        <f t="shared" si="152"/>
        <v>-0.11090527858881671</v>
      </c>
      <c r="S828" s="446">
        <f t="shared" si="153"/>
        <v>8.4070000000000006E-2</v>
      </c>
      <c r="T828" s="447">
        <f t="shared" si="154"/>
        <v>-0.19497527858881672</v>
      </c>
      <c r="V828" s="448"/>
      <c r="W828" s="448"/>
      <c r="X828" s="448"/>
      <c r="Y828" s="448"/>
      <c r="Z828" s="448"/>
      <c r="AA828" s="448"/>
      <c r="AB828" s="448"/>
      <c r="AC828" s="448"/>
      <c r="AD828" s="448"/>
      <c r="AF828" s="448"/>
      <c r="AG828" s="448"/>
      <c r="AH828" s="448"/>
      <c r="AI828" s="448"/>
      <c r="AJ828" s="448"/>
      <c r="AK828" s="448"/>
      <c r="AL828" s="448"/>
      <c r="AM828" s="448"/>
      <c r="AN828" s="448"/>
      <c r="AP828" s="448"/>
      <c r="AQ828" s="448"/>
      <c r="AR828" s="448"/>
      <c r="AS828" s="448"/>
      <c r="AT828" s="448"/>
      <c r="AU828" s="448"/>
      <c r="AV828" s="448"/>
      <c r="AW828" s="448"/>
      <c r="AX828" s="448"/>
    </row>
    <row r="829" spans="1:50" x14ac:dyDescent="0.4">
      <c r="A829" s="442" t="str">
        <f t="shared" si="155"/>
        <v>91994</v>
      </c>
      <c r="B829" s="442">
        <v>34578</v>
      </c>
      <c r="C829" s="455">
        <v>-2.4500000000000001E-2</v>
      </c>
      <c r="D829" s="438">
        <v>-2.5399999999999999E-2</v>
      </c>
      <c r="E829" s="438">
        <v>6.0999999999999995E-3</v>
      </c>
      <c r="F829" s="438">
        <v>6.9499999999999996E-3</v>
      </c>
      <c r="G829" s="438">
        <v>7.0750000000000006E-3</v>
      </c>
      <c r="H829" s="438">
        <v>7.0124999999999996E-3</v>
      </c>
      <c r="I829" s="438">
        <v>7.1869166666666661E-3</v>
      </c>
      <c r="J829" s="438">
        <f t="shared" si="144"/>
        <v>-3.0600000000000002E-2</v>
      </c>
      <c r="K829" s="438">
        <f t="shared" si="148"/>
        <v>-3.1512499999999999E-2</v>
      </c>
      <c r="L829" s="438">
        <f t="shared" si="149"/>
        <v>-3.2586916666666667E-2</v>
      </c>
      <c r="M829" s="446">
        <f t="shared" si="145"/>
        <v>3.6845827660888952E-2</v>
      </c>
      <c r="N829" s="446">
        <f t="shared" si="146"/>
        <v>7.3199999999999987E-2</v>
      </c>
      <c r="O829" s="446">
        <f t="shared" si="150"/>
        <v>8.4150000000000003E-2</v>
      </c>
      <c r="P829" s="447">
        <f t="shared" si="147"/>
        <v>-3.6354172339111035E-2</v>
      </c>
      <c r="Q829" s="446">
        <f t="shared" si="151"/>
        <v>-4.730417233911105E-2</v>
      </c>
      <c r="R829" s="446">
        <f t="shared" si="152"/>
        <v>-0.13175178808883847</v>
      </c>
      <c r="S829" s="446">
        <f t="shared" si="153"/>
        <v>8.6242999999999986E-2</v>
      </c>
      <c r="T829" s="447">
        <f t="shared" si="154"/>
        <v>-0.21799478808883846</v>
      </c>
      <c r="V829" s="448"/>
      <c r="W829" s="448"/>
      <c r="X829" s="448"/>
      <c r="Y829" s="448"/>
      <c r="Z829" s="448"/>
      <c r="AA829" s="448"/>
      <c r="AB829" s="448"/>
      <c r="AC829" s="448"/>
      <c r="AD829" s="448"/>
      <c r="AF829" s="448"/>
      <c r="AG829" s="448"/>
      <c r="AH829" s="448"/>
      <c r="AI829" s="448"/>
      <c r="AJ829" s="448"/>
      <c r="AK829" s="448"/>
      <c r="AL829" s="448"/>
      <c r="AM829" s="448"/>
      <c r="AN829" s="448"/>
      <c r="AP829" s="448"/>
      <c r="AQ829" s="448"/>
      <c r="AR829" s="448"/>
      <c r="AS829" s="448"/>
      <c r="AT829" s="448"/>
      <c r="AU829" s="448"/>
      <c r="AV829" s="448"/>
      <c r="AW829" s="448"/>
      <c r="AX829" s="448"/>
    </row>
    <row r="830" spans="1:50" x14ac:dyDescent="0.4">
      <c r="A830" s="442" t="str">
        <f t="shared" si="155"/>
        <v>101994</v>
      </c>
      <c r="B830" s="442">
        <v>34608</v>
      </c>
      <c r="C830" s="455">
        <v>2.2499999999999999E-2</v>
      </c>
      <c r="D830" s="438">
        <v>8.6E-3</v>
      </c>
      <c r="E830" s="438">
        <v>6.6E-3</v>
      </c>
      <c r="F830" s="438">
        <v>7.1416666666666677E-3</v>
      </c>
      <c r="G830" s="438">
        <v>7.2583333333333345E-3</v>
      </c>
      <c r="H830" s="438">
        <v>7.2000000000000007E-3</v>
      </c>
      <c r="I830" s="438">
        <v>7.376999999999999E-3</v>
      </c>
      <c r="J830" s="438">
        <f t="shared" si="144"/>
        <v>1.5899999999999997E-2</v>
      </c>
      <c r="K830" s="438">
        <f t="shared" si="148"/>
        <v>1.5299999999999998E-2</v>
      </c>
      <c r="L830" s="438">
        <f t="shared" si="149"/>
        <v>1.223000000000001E-3</v>
      </c>
      <c r="M830" s="446">
        <f t="shared" si="145"/>
        <v>3.8674300757577162E-2</v>
      </c>
      <c r="N830" s="446">
        <f t="shared" si="146"/>
        <v>7.9199999999999993E-2</v>
      </c>
      <c r="O830" s="446">
        <f t="shared" si="150"/>
        <v>8.6400000000000005E-2</v>
      </c>
      <c r="P830" s="447">
        <f t="shared" si="147"/>
        <v>-4.052569924242283E-2</v>
      </c>
      <c r="Q830" s="446">
        <f t="shared" si="151"/>
        <v>-4.7725699242422842E-2</v>
      </c>
      <c r="R830" s="446">
        <f t="shared" si="152"/>
        <v>-0.12244198162782116</v>
      </c>
      <c r="S830" s="446">
        <f t="shared" si="153"/>
        <v>8.8523999999999992E-2</v>
      </c>
      <c r="T830" s="447">
        <f t="shared" si="154"/>
        <v>-0.21096598162782115</v>
      </c>
      <c r="V830" s="448"/>
      <c r="W830" s="448"/>
      <c r="X830" s="448"/>
      <c r="Y830" s="448"/>
      <c r="Z830" s="448"/>
      <c r="AA830" s="448"/>
      <c r="AB830" s="448"/>
      <c r="AC830" s="448"/>
      <c r="AD830" s="448"/>
      <c r="AF830" s="448"/>
      <c r="AG830" s="448"/>
      <c r="AH830" s="448"/>
      <c r="AI830" s="448"/>
      <c r="AJ830" s="448"/>
      <c r="AK830" s="448"/>
      <c r="AL830" s="448"/>
      <c r="AM830" s="448"/>
      <c r="AN830" s="448"/>
      <c r="AP830" s="448"/>
      <c r="AQ830" s="448"/>
      <c r="AR830" s="448"/>
      <c r="AS830" s="448"/>
      <c r="AT830" s="448"/>
      <c r="AU830" s="448"/>
      <c r="AV830" s="448"/>
      <c r="AW830" s="448"/>
      <c r="AX830" s="448"/>
    </row>
    <row r="831" spans="1:50" x14ac:dyDescent="0.4">
      <c r="A831" s="442" t="str">
        <f t="shared" si="155"/>
        <v>111994</v>
      </c>
      <c r="B831" s="442">
        <v>34639</v>
      </c>
      <c r="C831" s="455">
        <v>-3.6400000000000002E-2</v>
      </c>
      <c r="D831" s="438">
        <v>-1.46E-2</v>
      </c>
      <c r="E831" s="438">
        <v>6.4000000000000003E-3</v>
      </c>
      <c r="F831" s="438">
        <v>7.2333333333333329E-3</v>
      </c>
      <c r="G831" s="438">
        <v>7.358333333333333E-3</v>
      </c>
      <c r="H831" s="438">
        <v>7.2958333333333321E-3</v>
      </c>
      <c r="I831" s="438">
        <v>7.4862499999999998E-3</v>
      </c>
      <c r="J831" s="438">
        <f t="shared" si="144"/>
        <v>-4.2800000000000005E-2</v>
      </c>
      <c r="K831" s="438">
        <f t="shared" si="148"/>
        <v>-4.3695833333333337E-2</v>
      </c>
      <c r="L831" s="438">
        <f t="shared" si="149"/>
        <v>-2.2086250000000002E-2</v>
      </c>
      <c r="M831" s="446">
        <f t="shared" si="145"/>
        <v>1.0465983048966621E-2</v>
      </c>
      <c r="N831" s="446">
        <f t="shared" si="146"/>
        <v>7.6800000000000007E-2</v>
      </c>
      <c r="O831" s="446">
        <f t="shared" si="150"/>
        <v>8.7549999999999989E-2</v>
      </c>
      <c r="P831" s="447">
        <f t="shared" si="147"/>
        <v>-6.6334016951033387E-2</v>
      </c>
      <c r="Q831" s="446">
        <f t="shared" si="151"/>
        <v>-7.7084016951033368E-2</v>
      </c>
      <c r="R831" s="446">
        <f t="shared" si="152"/>
        <v>-8.907018718640547E-2</v>
      </c>
      <c r="S831" s="446">
        <f t="shared" si="153"/>
        <v>8.9834999999999998E-2</v>
      </c>
      <c r="T831" s="447">
        <f t="shared" si="154"/>
        <v>-0.17890518718640547</v>
      </c>
      <c r="V831" s="448"/>
      <c r="W831" s="448"/>
      <c r="X831" s="448"/>
      <c r="Y831" s="448"/>
      <c r="Z831" s="448"/>
      <c r="AA831" s="448"/>
      <c r="AB831" s="448"/>
      <c r="AC831" s="448"/>
      <c r="AD831" s="448"/>
      <c r="AF831" s="448"/>
      <c r="AG831" s="448"/>
      <c r="AH831" s="448"/>
      <c r="AI831" s="448"/>
      <c r="AJ831" s="448"/>
      <c r="AK831" s="448"/>
      <c r="AL831" s="448"/>
      <c r="AM831" s="448"/>
      <c r="AN831" s="448"/>
      <c r="AP831" s="448"/>
      <c r="AQ831" s="448"/>
      <c r="AR831" s="448"/>
      <c r="AS831" s="448"/>
      <c r="AT831" s="448"/>
      <c r="AU831" s="448"/>
      <c r="AV831" s="448"/>
      <c r="AW831" s="448"/>
      <c r="AX831" s="448"/>
    </row>
    <row r="832" spans="1:50" x14ac:dyDescent="0.4">
      <c r="A832" s="442" t="str">
        <f t="shared" si="155"/>
        <v>121994</v>
      </c>
      <c r="B832" s="442">
        <v>34669</v>
      </c>
      <c r="C832" s="455">
        <v>1.4800000000000001E-2</v>
      </c>
      <c r="D832" s="438">
        <v>5.1999999999999998E-3</v>
      </c>
      <c r="E832" s="438">
        <v>6.6E-3</v>
      </c>
      <c r="F832" s="438">
        <v>7.0500000000000007E-3</v>
      </c>
      <c r="G832" s="438">
        <v>7.1833333333333324E-3</v>
      </c>
      <c r="H832" s="438">
        <v>7.116666666666667E-3</v>
      </c>
      <c r="I832" s="438">
        <v>7.3067500000000007E-3</v>
      </c>
      <c r="J832" s="438">
        <f t="shared" si="144"/>
        <v>8.2000000000000007E-3</v>
      </c>
      <c r="K832" s="438">
        <f t="shared" si="148"/>
        <v>7.6833333333333337E-3</v>
      </c>
      <c r="L832" s="438">
        <f t="shared" si="149"/>
        <v>-2.106750000000001E-3</v>
      </c>
      <c r="M832" s="446">
        <f t="shared" si="145"/>
        <v>1.3161623948316548E-2</v>
      </c>
      <c r="N832" s="446">
        <f t="shared" si="146"/>
        <v>7.9199999999999993E-2</v>
      </c>
      <c r="O832" s="446">
        <f t="shared" si="150"/>
        <v>8.5400000000000004E-2</v>
      </c>
      <c r="P832" s="447">
        <f t="shared" si="147"/>
        <v>-6.6038376051683445E-2</v>
      </c>
      <c r="Q832" s="446">
        <f t="shared" si="151"/>
        <v>-7.2238376051683456E-2</v>
      </c>
      <c r="R832" s="446">
        <f t="shared" si="152"/>
        <v>-7.9454460802025451E-2</v>
      </c>
      <c r="S832" s="446">
        <f t="shared" si="153"/>
        <v>8.7681000000000009E-2</v>
      </c>
      <c r="T832" s="447">
        <f t="shared" si="154"/>
        <v>-0.16713546080202546</v>
      </c>
      <c r="V832" s="448"/>
      <c r="W832" s="448"/>
      <c r="X832" s="448"/>
      <c r="Y832" s="448"/>
      <c r="Z832" s="448"/>
      <c r="AA832" s="448"/>
      <c r="AB832" s="448"/>
      <c r="AC832" s="448"/>
      <c r="AD832" s="448"/>
      <c r="AF832" s="448"/>
      <c r="AG832" s="448"/>
      <c r="AH832" s="448"/>
      <c r="AI832" s="448"/>
      <c r="AJ832" s="448"/>
      <c r="AK832" s="448"/>
      <c r="AL832" s="448"/>
      <c r="AM832" s="448"/>
      <c r="AN832" s="448"/>
      <c r="AP832" s="448"/>
      <c r="AQ832" s="448"/>
      <c r="AR832" s="448"/>
      <c r="AS832" s="448"/>
      <c r="AT832" s="448"/>
      <c r="AU832" s="448"/>
      <c r="AV832" s="448"/>
      <c r="AW832" s="448"/>
      <c r="AX832" s="448"/>
    </row>
    <row r="833" spans="1:50" x14ac:dyDescent="0.4">
      <c r="A833" s="442" t="str">
        <f t="shared" si="155"/>
        <v>11995</v>
      </c>
      <c r="B833" s="442">
        <v>34700</v>
      </c>
      <c r="C833" s="455">
        <v>2.5899999999999999E-2</v>
      </c>
      <c r="D833" s="438">
        <v>7.7900000000000011E-2</v>
      </c>
      <c r="E833" s="438">
        <v>7.000000000000001E-3</v>
      </c>
      <c r="F833" s="438">
        <v>7.0500000000000007E-3</v>
      </c>
      <c r="G833" s="438">
        <v>7.1666666666666667E-3</v>
      </c>
      <c r="H833" s="438">
        <v>7.1083333333333346E-3</v>
      </c>
      <c r="I833" s="438">
        <v>7.2879166666666665E-3</v>
      </c>
      <c r="J833" s="438">
        <f t="shared" si="144"/>
        <v>1.89E-2</v>
      </c>
      <c r="K833" s="438">
        <f t="shared" si="148"/>
        <v>1.8791666666666665E-2</v>
      </c>
      <c r="L833" s="438">
        <f t="shared" si="149"/>
        <v>7.0612083333333339E-2</v>
      </c>
      <c r="M833" s="446">
        <f t="shared" si="145"/>
        <v>5.2248646117776243E-3</v>
      </c>
      <c r="N833" s="446">
        <f t="shared" si="146"/>
        <v>8.4000000000000019E-2</v>
      </c>
      <c r="O833" s="446">
        <f t="shared" si="150"/>
        <v>8.5300000000000015E-2</v>
      </c>
      <c r="P833" s="447">
        <f t="shared" si="147"/>
        <v>-7.8775135388222395E-2</v>
      </c>
      <c r="Q833" s="446">
        <f t="shared" si="151"/>
        <v>-8.007513538822239E-2</v>
      </c>
      <c r="R833" s="446">
        <f t="shared" si="152"/>
        <v>-1.4837135919880118E-2</v>
      </c>
      <c r="S833" s="446">
        <f t="shared" si="153"/>
        <v>8.7455000000000005E-2</v>
      </c>
      <c r="T833" s="447">
        <f t="shared" si="154"/>
        <v>-0.10229213591988012</v>
      </c>
      <c r="V833" s="448"/>
      <c r="W833" s="448"/>
      <c r="X833" s="448"/>
      <c r="Y833" s="448"/>
      <c r="Z833" s="448"/>
      <c r="AA833" s="448"/>
      <c r="AB833" s="448"/>
      <c r="AC833" s="448"/>
      <c r="AD833" s="448"/>
      <c r="AF833" s="448"/>
      <c r="AG833" s="448"/>
      <c r="AH833" s="448"/>
      <c r="AI833" s="448"/>
      <c r="AJ833" s="448"/>
      <c r="AK833" s="448"/>
      <c r="AL833" s="448"/>
      <c r="AM833" s="448"/>
      <c r="AN833" s="448"/>
      <c r="AP833" s="448"/>
      <c r="AQ833" s="448"/>
      <c r="AR833" s="448"/>
      <c r="AS833" s="448"/>
      <c r="AT833" s="448"/>
      <c r="AU833" s="448"/>
      <c r="AV833" s="448"/>
      <c r="AW833" s="448"/>
      <c r="AX833" s="448"/>
    </row>
    <row r="834" spans="1:50" x14ac:dyDescent="0.4">
      <c r="A834" s="442" t="str">
        <f t="shared" si="155"/>
        <v>21995</v>
      </c>
      <c r="B834" s="442">
        <v>34731</v>
      </c>
      <c r="C834" s="455">
        <v>3.9E-2</v>
      </c>
      <c r="D834" s="438">
        <v>-1.5000000000000005E-3</v>
      </c>
      <c r="E834" s="438">
        <v>5.8999999999999999E-3</v>
      </c>
      <c r="F834" s="438">
        <v>6.8833333333333333E-3</v>
      </c>
      <c r="G834" s="438">
        <v>6.9916666666666669E-3</v>
      </c>
      <c r="H834" s="438">
        <v>6.937500000000001E-3</v>
      </c>
      <c r="I834" s="438">
        <v>7.1083333333333328E-3</v>
      </c>
      <c r="J834" s="438">
        <f t="shared" si="144"/>
        <v>3.3099999999999997E-2</v>
      </c>
      <c r="K834" s="438">
        <f t="shared" si="148"/>
        <v>3.2062500000000001E-2</v>
      </c>
      <c r="L834" s="438">
        <f t="shared" si="149"/>
        <v>-8.6083333333333324E-3</v>
      </c>
      <c r="M834" s="446">
        <f t="shared" si="145"/>
        <v>7.3521054919968076E-2</v>
      </c>
      <c r="N834" s="446">
        <f t="shared" si="146"/>
        <v>7.0800000000000002E-2</v>
      </c>
      <c r="O834" s="446">
        <f t="shared" si="150"/>
        <v>8.3250000000000018E-2</v>
      </c>
      <c r="P834" s="447">
        <f t="shared" si="147"/>
        <v>2.7210549199680745E-3</v>
      </c>
      <c r="Q834" s="446">
        <f t="shared" si="151"/>
        <v>-9.7289450800319421E-3</v>
      </c>
      <c r="R834" s="446">
        <f t="shared" si="152"/>
        <v>4.2812593855612757E-2</v>
      </c>
      <c r="S834" s="446">
        <f t="shared" si="153"/>
        <v>8.5299999999999987E-2</v>
      </c>
      <c r="T834" s="447">
        <f t="shared" si="154"/>
        <v>-4.248740614438723E-2</v>
      </c>
      <c r="V834" s="448"/>
      <c r="W834" s="448"/>
      <c r="X834" s="448"/>
      <c r="Y834" s="448"/>
      <c r="Z834" s="448"/>
      <c r="AA834" s="448"/>
      <c r="AB834" s="448"/>
      <c r="AC834" s="448"/>
      <c r="AD834" s="448"/>
      <c r="AF834" s="448"/>
      <c r="AG834" s="448"/>
      <c r="AH834" s="448"/>
      <c r="AI834" s="448"/>
      <c r="AJ834" s="448"/>
      <c r="AK834" s="448"/>
      <c r="AL834" s="448"/>
      <c r="AM834" s="448"/>
      <c r="AN834" s="448"/>
      <c r="AP834" s="448"/>
      <c r="AQ834" s="448"/>
      <c r="AR834" s="448"/>
      <c r="AS834" s="448"/>
      <c r="AT834" s="448"/>
      <c r="AU834" s="448"/>
      <c r="AV834" s="448"/>
      <c r="AW834" s="448"/>
      <c r="AX834" s="448"/>
    </row>
    <row r="835" spans="1:50" x14ac:dyDescent="0.4">
      <c r="A835" s="442" t="str">
        <f t="shared" si="155"/>
        <v>31995</v>
      </c>
      <c r="B835" s="442">
        <v>34759</v>
      </c>
      <c r="C835" s="455">
        <v>2.9499999999999998E-2</v>
      </c>
      <c r="D835" s="438">
        <v>-6.0000000000000001E-3</v>
      </c>
      <c r="E835" s="438">
        <v>6.4000000000000003E-3</v>
      </c>
      <c r="F835" s="438">
        <v>6.7666666666666665E-3</v>
      </c>
      <c r="G835" s="438">
        <v>6.8666666666666668E-3</v>
      </c>
      <c r="H835" s="438">
        <v>6.8166666666666662E-3</v>
      </c>
      <c r="I835" s="438">
        <v>6.9785833333333332E-3</v>
      </c>
      <c r="J835" s="438">
        <f t="shared" si="144"/>
        <v>2.3099999999999999E-2</v>
      </c>
      <c r="K835" s="438">
        <f t="shared" si="148"/>
        <v>2.2683333333333333E-2</v>
      </c>
      <c r="L835" s="438">
        <f t="shared" si="149"/>
        <v>-1.2978583333333333E-2</v>
      </c>
      <c r="M835" s="446">
        <f t="shared" si="145"/>
        <v>0.15557290468434459</v>
      </c>
      <c r="N835" s="446">
        <f t="shared" si="146"/>
        <v>7.6800000000000007E-2</v>
      </c>
      <c r="O835" s="446">
        <f t="shared" si="150"/>
        <v>8.1799999999999998E-2</v>
      </c>
      <c r="P835" s="447">
        <f t="shared" si="147"/>
        <v>7.8772904684344586E-2</v>
      </c>
      <c r="Q835" s="446">
        <f t="shared" si="151"/>
        <v>7.3772904684344595E-2</v>
      </c>
      <c r="R835" s="446">
        <f t="shared" si="152"/>
        <v>7.2816930544896907E-2</v>
      </c>
      <c r="S835" s="446">
        <f t="shared" si="153"/>
        <v>8.3742999999999998E-2</v>
      </c>
      <c r="T835" s="447">
        <f t="shared" si="154"/>
        <v>-1.0926069455103091E-2</v>
      </c>
      <c r="V835" s="448"/>
      <c r="W835" s="448"/>
      <c r="X835" s="448"/>
      <c r="Y835" s="448"/>
      <c r="Z835" s="448"/>
      <c r="AA835" s="448"/>
      <c r="AB835" s="448"/>
      <c r="AC835" s="448"/>
      <c r="AD835" s="448"/>
      <c r="AF835" s="448"/>
      <c r="AG835" s="448"/>
      <c r="AH835" s="448"/>
      <c r="AI835" s="448"/>
      <c r="AJ835" s="448"/>
      <c r="AK835" s="448"/>
      <c r="AL835" s="448"/>
      <c r="AM835" s="448"/>
      <c r="AN835" s="448"/>
      <c r="AP835" s="448"/>
      <c r="AQ835" s="448"/>
      <c r="AR835" s="448"/>
      <c r="AS835" s="448"/>
      <c r="AT835" s="448"/>
      <c r="AU835" s="448"/>
      <c r="AV835" s="448"/>
      <c r="AW835" s="448"/>
      <c r="AX835" s="448"/>
    </row>
    <row r="836" spans="1:50" x14ac:dyDescent="0.4">
      <c r="A836" s="442" t="str">
        <f t="shared" si="155"/>
        <v>41995</v>
      </c>
      <c r="B836" s="442">
        <v>34790</v>
      </c>
      <c r="C836" s="455">
        <v>2.9399999999999999E-2</v>
      </c>
      <c r="D836" s="438">
        <v>3.6500000000000005E-2</v>
      </c>
      <c r="E836" s="438">
        <v>5.7999999999999996E-3</v>
      </c>
      <c r="F836" s="438">
        <v>6.6916666666666661E-3</v>
      </c>
      <c r="G836" s="438">
        <v>6.7666666666666665E-3</v>
      </c>
      <c r="H836" s="438">
        <v>6.7291666666666663E-3</v>
      </c>
      <c r="I836" s="438">
        <v>6.8982499999999999E-3</v>
      </c>
      <c r="J836" s="438">
        <f t="shared" si="144"/>
        <v>2.3599999999999999E-2</v>
      </c>
      <c r="K836" s="438">
        <f t="shared" si="148"/>
        <v>2.2670833333333335E-2</v>
      </c>
      <c r="L836" s="438">
        <f t="shared" si="149"/>
        <v>2.9601750000000003E-2</v>
      </c>
      <c r="M836" s="446">
        <f t="shared" si="145"/>
        <v>0.17451298191357112</v>
      </c>
      <c r="N836" s="446">
        <f t="shared" si="146"/>
        <v>6.9599999999999995E-2</v>
      </c>
      <c r="O836" s="446">
        <f t="shared" si="150"/>
        <v>8.0749999999999988E-2</v>
      </c>
      <c r="P836" s="447">
        <f t="shared" si="147"/>
        <v>0.10491298191357112</v>
      </c>
      <c r="Q836" s="446">
        <f t="shared" si="151"/>
        <v>9.3762981913571131E-2</v>
      </c>
      <c r="R836" s="446">
        <f t="shared" si="152"/>
        <v>8.527693588696672E-2</v>
      </c>
      <c r="S836" s="446">
        <f t="shared" si="153"/>
        <v>8.2778999999999991E-2</v>
      </c>
      <c r="T836" s="447">
        <f t="shared" si="154"/>
        <v>2.497935886966729E-3</v>
      </c>
      <c r="V836" s="448"/>
      <c r="W836" s="448"/>
      <c r="X836" s="448"/>
      <c r="Y836" s="448"/>
      <c r="Z836" s="448"/>
      <c r="AA836" s="448"/>
      <c r="AB836" s="448"/>
      <c r="AC836" s="448"/>
      <c r="AD836" s="448"/>
      <c r="AF836" s="448"/>
      <c r="AG836" s="448"/>
      <c r="AH836" s="448"/>
      <c r="AI836" s="448"/>
      <c r="AJ836" s="448"/>
      <c r="AK836" s="448"/>
      <c r="AL836" s="448"/>
      <c r="AM836" s="448"/>
      <c r="AN836" s="448"/>
      <c r="AP836" s="448"/>
      <c r="AQ836" s="448"/>
      <c r="AR836" s="448"/>
      <c r="AS836" s="448"/>
      <c r="AT836" s="448"/>
      <c r="AU836" s="448"/>
      <c r="AV836" s="448"/>
      <c r="AW836" s="448"/>
      <c r="AX836" s="448"/>
    </row>
    <row r="837" spans="1:50" x14ac:dyDescent="0.4">
      <c r="A837" s="442" t="str">
        <f t="shared" si="155"/>
        <v>51995</v>
      </c>
      <c r="B837" s="442">
        <v>34820</v>
      </c>
      <c r="C837" s="455">
        <v>0.04</v>
      </c>
      <c r="D837" s="438">
        <v>3.1600000000000003E-2</v>
      </c>
      <c r="E837" s="438">
        <v>6.5000000000000006E-3</v>
      </c>
      <c r="F837" s="438">
        <v>6.3750000000000005E-3</v>
      </c>
      <c r="G837" s="438">
        <v>6.45E-3</v>
      </c>
      <c r="H837" s="438">
        <v>6.4125000000000007E-3</v>
      </c>
      <c r="I837" s="438">
        <v>6.6102499999999998E-3</v>
      </c>
      <c r="J837" s="438">
        <f t="shared" si="144"/>
        <v>3.3500000000000002E-2</v>
      </c>
      <c r="K837" s="438">
        <f t="shared" si="148"/>
        <v>3.3587499999999999E-2</v>
      </c>
      <c r="L837" s="438">
        <f t="shared" si="149"/>
        <v>2.4989750000000005E-2</v>
      </c>
      <c r="M837" s="446">
        <f t="shared" si="145"/>
        <v>0.20178423965969428</v>
      </c>
      <c r="N837" s="446">
        <f t="shared" si="146"/>
        <v>7.8000000000000014E-2</v>
      </c>
      <c r="O837" s="446">
        <f t="shared" si="150"/>
        <v>7.6950000000000005E-2</v>
      </c>
      <c r="P837" s="447">
        <f t="shared" si="147"/>
        <v>0.12378423965969426</v>
      </c>
      <c r="Q837" s="446">
        <f t="shared" si="151"/>
        <v>0.12483423965969427</v>
      </c>
      <c r="R837" s="446">
        <f t="shared" si="152"/>
        <v>0.15040247334668555</v>
      </c>
      <c r="S837" s="446">
        <f t="shared" si="153"/>
        <v>7.9323000000000005E-2</v>
      </c>
      <c r="T837" s="447">
        <f t="shared" si="154"/>
        <v>7.1079473346685546E-2</v>
      </c>
      <c r="V837" s="448"/>
      <c r="W837" s="448"/>
      <c r="X837" s="448"/>
      <c r="Y837" s="448"/>
      <c r="Z837" s="448"/>
      <c r="AA837" s="448"/>
      <c r="AB837" s="448"/>
      <c r="AC837" s="448"/>
      <c r="AD837" s="448"/>
      <c r="AF837" s="448"/>
      <c r="AG837" s="448"/>
      <c r="AH837" s="448"/>
      <c r="AI837" s="448"/>
      <c r="AJ837" s="448"/>
      <c r="AK837" s="448"/>
      <c r="AL837" s="448"/>
      <c r="AM837" s="448"/>
      <c r="AN837" s="448"/>
      <c r="AP837" s="448"/>
      <c r="AQ837" s="448"/>
      <c r="AR837" s="448"/>
      <c r="AS837" s="448"/>
      <c r="AT837" s="448"/>
      <c r="AU837" s="448"/>
      <c r="AV837" s="448"/>
      <c r="AW837" s="448"/>
      <c r="AX837" s="448"/>
    </row>
    <row r="838" spans="1:50" x14ac:dyDescent="0.4">
      <c r="A838" s="442" t="str">
        <f t="shared" si="155"/>
        <v>61995</v>
      </c>
      <c r="B838" s="442">
        <v>34851</v>
      </c>
      <c r="C838" s="455">
        <v>2.3199999999999998E-2</v>
      </c>
      <c r="D838" s="438">
        <v>4.6999999999999993E-3</v>
      </c>
      <c r="E838" s="438">
        <v>5.4000000000000003E-3</v>
      </c>
      <c r="F838" s="438">
        <v>6.083333333333333E-3</v>
      </c>
      <c r="G838" s="438">
        <v>6.1916666666666665E-3</v>
      </c>
      <c r="H838" s="438">
        <v>6.1375000000000006E-3</v>
      </c>
      <c r="I838" s="438">
        <v>6.3360000000000005E-3</v>
      </c>
      <c r="J838" s="438">
        <f t="shared" ref="J838:J901" si="156">C838-E838</f>
        <v>1.7799999999999996E-2</v>
      </c>
      <c r="K838" s="438">
        <f t="shared" si="148"/>
        <v>1.7062499999999998E-2</v>
      </c>
      <c r="L838" s="438">
        <f t="shared" si="149"/>
        <v>-1.6360000000000012E-3</v>
      </c>
      <c r="M838" s="446">
        <f t="shared" si="145"/>
        <v>0.26054908664254173</v>
      </c>
      <c r="N838" s="446">
        <f t="shared" si="146"/>
        <v>6.4799999999999996E-2</v>
      </c>
      <c r="O838" s="446">
        <f t="shared" si="150"/>
        <v>7.3650000000000007E-2</v>
      </c>
      <c r="P838" s="447">
        <f t="shared" si="147"/>
        <v>0.19574908664254173</v>
      </c>
      <c r="Q838" s="446">
        <f t="shared" si="151"/>
        <v>0.18689908664254173</v>
      </c>
      <c r="R838" s="446">
        <f t="shared" si="152"/>
        <v>0.15338725174275525</v>
      </c>
      <c r="S838" s="446">
        <f t="shared" si="153"/>
        <v>7.6032000000000002E-2</v>
      </c>
      <c r="T838" s="447">
        <f t="shared" si="154"/>
        <v>7.7355251742755246E-2</v>
      </c>
      <c r="V838" s="448"/>
      <c r="W838" s="448"/>
      <c r="X838" s="448"/>
      <c r="Y838" s="448"/>
      <c r="Z838" s="448"/>
      <c r="AA838" s="448"/>
      <c r="AB838" s="448"/>
      <c r="AC838" s="448"/>
      <c r="AD838" s="448"/>
      <c r="AF838" s="448"/>
      <c r="AG838" s="448"/>
      <c r="AH838" s="448"/>
      <c r="AI838" s="448"/>
      <c r="AJ838" s="448"/>
      <c r="AK838" s="448"/>
      <c r="AL838" s="448"/>
      <c r="AM838" s="448"/>
      <c r="AN838" s="448"/>
      <c r="AP838" s="448"/>
      <c r="AQ838" s="448"/>
      <c r="AR838" s="448"/>
      <c r="AS838" s="448"/>
      <c r="AT838" s="448"/>
      <c r="AU838" s="448"/>
      <c r="AV838" s="448"/>
      <c r="AW838" s="448"/>
      <c r="AX838" s="448"/>
    </row>
    <row r="839" spans="1:50" x14ac:dyDescent="0.4">
      <c r="A839" s="442" t="str">
        <f t="shared" si="155"/>
        <v>71995</v>
      </c>
      <c r="B839" s="442">
        <v>34881</v>
      </c>
      <c r="C839" s="455">
        <v>3.32E-2</v>
      </c>
      <c r="D839" s="438">
        <v>2.5500000000000002E-2</v>
      </c>
      <c r="E839" s="438">
        <v>5.5999999999999991E-3</v>
      </c>
      <c r="F839" s="438">
        <v>6.1750000000000008E-3</v>
      </c>
      <c r="G839" s="438">
        <v>6.2833333333333326E-3</v>
      </c>
      <c r="H839" s="438">
        <v>6.2291666666666667E-3</v>
      </c>
      <c r="I839" s="438">
        <v>6.4079166666666668E-3</v>
      </c>
      <c r="J839" s="438">
        <f t="shared" si="156"/>
        <v>2.76E-2</v>
      </c>
      <c r="K839" s="438">
        <f t="shared" si="148"/>
        <v>2.6970833333333333E-2</v>
      </c>
      <c r="L839" s="438">
        <f t="shared" si="149"/>
        <v>1.9092083333333336E-2</v>
      </c>
      <c r="M839" s="446">
        <f t="shared" si="145"/>
        <v>0.26103729310522295</v>
      </c>
      <c r="N839" s="446">
        <f t="shared" si="146"/>
        <v>6.7199999999999982E-2</v>
      </c>
      <c r="O839" s="446">
        <f t="shared" si="150"/>
        <v>7.4749999999999997E-2</v>
      </c>
      <c r="P839" s="447">
        <f t="shared" si="147"/>
        <v>0.19383729310522296</v>
      </c>
      <c r="Q839" s="446">
        <f t="shared" si="151"/>
        <v>0.18628729310522296</v>
      </c>
      <c r="R839" s="446">
        <f t="shared" si="152"/>
        <v>0.14434851650754199</v>
      </c>
      <c r="S839" s="446">
        <f t="shared" si="153"/>
        <v>7.6895000000000005E-2</v>
      </c>
      <c r="T839" s="447">
        <f t="shared" si="154"/>
        <v>6.7453516507541986E-2</v>
      </c>
      <c r="V839" s="448"/>
      <c r="W839" s="448"/>
      <c r="X839" s="448"/>
      <c r="Y839" s="448"/>
      <c r="Z839" s="448"/>
      <c r="AA839" s="448"/>
      <c r="AB839" s="448"/>
      <c r="AC839" s="448"/>
      <c r="AD839" s="448"/>
      <c r="AF839" s="448"/>
      <c r="AG839" s="448"/>
      <c r="AH839" s="448"/>
      <c r="AI839" s="448"/>
      <c r="AJ839" s="448"/>
      <c r="AK839" s="448"/>
      <c r="AL839" s="448"/>
      <c r="AM839" s="448"/>
      <c r="AN839" s="448"/>
      <c r="AP839" s="448"/>
      <c r="AQ839" s="448"/>
      <c r="AR839" s="448"/>
      <c r="AS839" s="448"/>
      <c r="AT839" s="448"/>
      <c r="AU839" s="448"/>
      <c r="AV839" s="448"/>
      <c r="AW839" s="448"/>
      <c r="AX839" s="448"/>
    </row>
    <row r="840" spans="1:50" x14ac:dyDescent="0.4">
      <c r="A840" s="442" t="str">
        <f t="shared" si="155"/>
        <v>81995</v>
      </c>
      <c r="B840" s="442">
        <v>34912</v>
      </c>
      <c r="C840" s="455">
        <v>2.5000000000000001E-3</v>
      </c>
      <c r="D840" s="438">
        <v>2.0200000000000006E-2</v>
      </c>
      <c r="E840" s="438">
        <v>5.7000000000000002E-3</v>
      </c>
      <c r="F840" s="438">
        <v>6.3083333333333333E-3</v>
      </c>
      <c r="G840" s="438">
        <v>6.4083333333333336E-3</v>
      </c>
      <c r="H840" s="438">
        <v>6.3583333333333339E-3</v>
      </c>
      <c r="I840" s="438">
        <v>6.5322500000000007E-3</v>
      </c>
      <c r="J840" s="438">
        <f t="shared" si="156"/>
        <v>-3.2000000000000002E-3</v>
      </c>
      <c r="K840" s="438">
        <f t="shared" si="148"/>
        <v>-3.8583333333333338E-3</v>
      </c>
      <c r="L840" s="438">
        <f t="shared" si="149"/>
        <v>1.3667750000000006E-2</v>
      </c>
      <c r="M840" s="446">
        <f t="shared" si="145"/>
        <v>0.21439950656867057</v>
      </c>
      <c r="N840" s="446">
        <f t="shared" si="146"/>
        <v>6.8400000000000002E-2</v>
      </c>
      <c r="O840" s="446">
        <f t="shared" si="150"/>
        <v>7.6300000000000007E-2</v>
      </c>
      <c r="P840" s="447">
        <f t="shared" si="147"/>
        <v>0.14599950656867056</v>
      </c>
      <c r="Q840" s="446">
        <f t="shared" si="151"/>
        <v>0.13809950656867057</v>
      </c>
      <c r="R840" s="446">
        <f t="shared" si="152"/>
        <v>0.17074243536000222</v>
      </c>
      <c r="S840" s="446">
        <f t="shared" si="153"/>
        <v>7.8387000000000012E-2</v>
      </c>
      <c r="T840" s="447">
        <f t="shared" si="154"/>
        <v>9.2355435360002208E-2</v>
      </c>
      <c r="V840" s="448"/>
      <c r="W840" s="448"/>
      <c r="X840" s="448"/>
      <c r="Y840" s="448"/>
      <c r="Z840" s="448"/>
      <c r="AA840" s="448"/>
      <c r="AB840" s="448"/>
      <c r="AC840" s="448"/>
      <c r="AD840" s="448"/>
      <c r="AF840" s="448"/>
      <c r="AG840" s="448"/>
      <c r="AH840" s="448"/>
      <c r="AI840" s="448"/>
      <c r="AJ840" s="448"/>
      <c r="AK840" s="448"/>
      <c r="AL840" s="448"/>
      <c r="AM840" s="448"/>
      <c r="AN840" s="448"/>
      <c r="AP840" s="448"/>
      <c r="AQ840" s="448"/>
      <c r="AR840" s="448"/>
      <c r="AS840" s="448"/>
      <c r="AT840" s="448"/>
      <c r="AU840" s="448"/>
      <c r="AV840" s="448"/>
      <c r="AW840" s="448"/>
      <c r="AX840" s="448"/>
    </row>
    <row r="841" spans="1:50" x14ac:dyDescent="0.4">
      <c r="A841" s="442" t="str">
        <f t="shared" si="155"/>
        <v>91995</v>
      </c>
      <c r="B841" s="442">
        <v>34943</v>
      </c>
      <c r="C841" s="455">
        <v>4.2200000000000001E-2</v>
      </c>
      <c r="D841" s="438">
        <v>6.3799999999999996E-2</v>
      </c>
      <c r="E841" s="438">
        <v>5.1999999999999998E-3</v>
      </c>
      <c r="F841" s="438">
        <v>6.0999999999999995E-3</v>
      </c>
      <c r="G841" s="438">
        <v>6.2083333333333331E-3</v>
      </c>
      <c r="H841" s="438">
        <v>6.1541666666666672E-3</v>
      </c>
      <c r="I841" s="438">
        <v>6.3499999999999997E-3</v>
      </c>
      <c r="J841" s="438">
        <f t="shared" si="156"/>
        <v>3.7000000000000005E-2</v>
      </c>
      <c r="K841" s="438">
        <f t="shared" si="148"/>
        <v>3.6045833333333333E-2</v>
      </c>
      <c r="L841" s="438">
        <f t="shared" si="149"/>
        <v>5.7449999999999994E-2</v>
      </c>
      <c r="M841" s="446">
        <f t="shared" si="145"/>
        <v>0.29743430624896816</v>
      </c>
      <c r="N841" s="446">
        <f t="shared" si="146"/>
        <v>6.2399999999999997E-2</v>
      </c>
      <c r="O841" s="446">
        <f t="shared" si="150"/>
        <v>7.3849999999999999E-2</v>
      </c>
      <c r="P841" s="447">
        <f t="shared" si="147"/>
        <v>0.23503430624896815</v>
      </c>
      <c r="Q841" s="446">
        <f t="shared" si="151"/>
        <v>0.22358430624896816</v>
      </c>
      <c r="R841" s="446">
        <f t="shared" si="152"/>
        <v>0.27789431842393908</v>
      </c>
      <c r="S841" s="446">
        <f t="shared" si="153"/>
        <v>7.619999999999999E-2</v>
      </c>
      <c r="T841" s="447">
        <f t="shared" si="154"/>
        <v>0.20169431842393909</v>
      </c>
      <c r="V841" s="448"/>
      <c r="W841" s="448"/>
      <c r="X841" s="448"/>
      <c r="Y841" s="448"/>
      <c r="Z841" s="448"/>
      <c r="AA841" s="448"/>
      <c r="AB841" s="448"/>
      <c r="AC841" s="448"/>
      <c r="AD841" s="448"/>
      <c r="AF841" s="448"/>
      <c r="AG841" s="448"/>
      <c r="AH841" s="448"/>
      <c r="AI841" s="448"/>
      <c r="AJ841" s="448"/>
      <c r="AK841" s="448"/>
      <c r="AL841" s="448"/>
      <c r="AM841" s="448"/>
      <c r="AN841" s="448"/>
      <c r="AP841" s="448"/>
      <c r="AQ841" s="448"/>
      <c r="AR841" s="448"/>
      <c r="AS841" s="448"/>
      <c r="AT841" s="448"/>
      <c r="AU841" s="448"/>
      <c r="AV841" s="448"/>
      <c r="AW841" s="448"/>
      <c r="AX841" s="448"/>
    </row>
    <row r="842" spans="1:50" x14ac:dyDescent="0.4">
      <c r="A842" s="442" t="str">
        <f t="shared" si="155"/>
        <v>101995</v>
      </c>
      <c r="B842" s="442">
        <v>34973</v>
      </c>
      <c r="C842" s="455">
        <v>-3.5999999999999999E-3</v>
      </c>
      <c r="D842" s="438">
        <v>2.3799999999999998E-2</v>
      </c>
      <c r="E842" s="438">
        <v>5.7000000000000002E-3</v>
      </c>
      <c r="F842" s="438">
        <v>5.9333333333333339E-3</v>
      </c>
      <c r="G842" s="438">
        <v>6.0583333333333331E-3</v>
      </c>
      <c r="H842" s="438">
        <v>5.9958333333333339E-3</v>
      </c>
      <c r="I842" s="438">
        <v>6.2238333333333338E-3</v>
      </c>
      <c r="J842" s="438">
        <f t="shared" si="156"/>
        <v>-9.2999999999999992E-3</v>
      </c>
      <c r="K842" s="438">
        <f t="shared" si="148"/>
        <v>-9.5958333333333347E-3</v>
      </c>
      <c r="L842" s="438">
        <f t="shared" si="149"/>
        <v>1.7576166666666664E-2</v>
      </c>
      <c r="M842" s="446">
        <f t="shared" si="145"/>
        <v>0.26431642322393323</v>
      </c>
      <c r="N842" s="446">
        <f t="shared" si="146"/>
        <v>6.8400000000000002E-2</v>
      </c>
      <c r="O842" s="446">
        <f t="shared" si="150"/>
        <v>7.1950000000000014E-2</v>
      </c>
      <c r="P842" s="447">
        <f t="shared" si="147"/>
        <v>0.19591642322393321</v>
      </c>
      <c r="Q842" s="446">
        <f t="shared" si="151"/>
        <v>0.19236642322393321</v>
      </c>
      <c r="R842" s="446">
        <f t="shared" si="152"/>
        <v>0.29715269006784539</v>
      </c>
      <c r="S842" s="446">
        <f t="shared" si="153"/>
        <v>7.4686000000000002E-2</v>
      </c>
      <c r="T842" s="447">
        <f t="shared" si="154"/>
        <v>0.22246669006784539</v>
      </c>
      <c r="V842" s="448"/>
      <c r="W842" s="448"/>
      <c r="X842" s="448"/>
      <c r="Y842" s="448"/>
      <c r="Z842" s="448"/>
      <c r="AA842" s="448"/>
      <c r="AB842" s="448"/>
      <c r="AC842" s="448"/>
      <c r="AD842" s="448"/>
      <c r="AF842" s="448"/>
      <c r="AG842" s="448"/>
      <c r="AH842" s="448"/>
      <c r="AI842" s="448"/>
      <c r="AJ842" s="448"/>
      <c r="AK842" s="448"/>
      <c r="AL842" s="448"/>
      <c r="AM842" s="448"/>
      <c r="AN842" s="448"/>
      <c r="AP842" s="448"/>
      <c r="AQ842" s="448"/>
      <c r="AR842" s="448"/>
      <c r="AS842" s="448"/>
      <c r="AT842" s="448"/>
      <c r="AU842" s="448"/>
      <c r="AV842" s="448"/>
      <c r="AW842" s="448"/>
      <c r="AX842" s="448"/>
    </row>
    <row r="843" spans="1:50" x14ac:dyDescent="0.4">
      <c r="A843" s="442" t="str">
        <f t="shared" si="155"/>
        <v>111995</v>
      </c>
      <c r="B843" s="442">
        <v>35004</v>
      </c>
      <c r="C843" s="455">
        <v>4.3900000000000002E-2</v>
      </c>
      <c r="D843" s="438">
        <v>1.3599999999999999E-2</v>
      </c>
      <c r="E843" s="438">
        <v>5.1000000000000004E-3</v>
      </c>
      <c r="F843" s="438">
        <v>5.8499999999999993E-3</v>
      </c>
      <c r="G843" s="438">
        <v>5.9833333333333327E-3</v>
      </c>
      <c r="H843" s="438">
        <v>5.9166666666666656E-3</v>
      </c>
      <c r="I843" s="438">
        <v>6.1999999999999998E-3</v>
      </c>
      <c r="J843" s="438">
        <f t="shared" si="156"/>
        <v>3.8800000000000001E-2</v>
      </c>
      <c r="K843" s="438">
        <f t="shared" si="148"/>
        <v>3.7983333333333334E-2</v>
      </c>
      <c r="L843" s="438">
        <f t="shared" si="149"/>
        <v>7.3999999999999995E-3</v>
      </c>
      <c r="M843" s="446">
        <f t="shared" si="145"/>
        <v>0.36967612515926107</v>
      </c>
      <c r="N843" s="446">
        <f t="shared" si="146"/>
        <v>6.1200000000000004E-2</v>
      </c>
      <c r="O843" s="446">
        <f t="shared" si="150"/>
        <v>7.099999999999998E-2</v>
      </c>
      <c r="P843" s="447">
        <f t="shared" si="147"/>
        <v>0.30847612515926104</v>
      </c>
      <c r="Q843" s="446">
        <f t="shared" si="151"/>
        <v>0.29867612515926112</v>
      </c>
      <c r="R843" s="446">
        <f t="shared" si="152"/>
        <v>0.33427437249113856</v>
      </c>
      <c r="S843" s="446">
        <f t="shared" si="153"/>
        <v>7.4399999999999994E-2</v>
      </c>
      <c r="T843" s="447">
        <f t="shared" si="154"/>
        <v>0.25987437249113854</v>
      </c>
      <c r="V843" s="448"/>
      <c r="W843" s="448"/>
      <c r="X843" s="448"/>
      <c r="Y843" s="448"/>
      <c r="Z843" s="448"/>
      <c r="AA843" s="448"/>
      <c r="AB843" s="448"/>
      <c r="AC843" s="448"/>
      <c r="AD843" s="448"/>
      <c r="AF843" s="448"/>
      <c r="AG843" s="448"/>
      <c r="AH843" s="448"/>
      <c r="AI843" s="448"/>
      <c r="AJ843" s="448"/>
      <c r="AK843" s="448"/>
      <c r="AL843" s="448"/>
      <c r="AM843" s="448"/>
      <c r="AN843" s="448"/>
      <c r="AP843" s="448"/>
      <c r="AQ843" s="448"/>
      <c r="AR843" s="448"/>
      <c r="AS843" s="448"/>
      <c r="AT843" s="448"/>
      <c r="AU843" s="448"/>
      <c r="AV843" s="448"/>
      <c r="AW843" s="448"/>
      <c r="AX843" s="448"/>
    </row>
    <row r="844" spans="1:50" x14ac:dyDescent="0.4">
      <c r="A844" s="442" t="str">
        <f t="shared" si="155"/>
        <v>121995</v>
      </c>
      <c r="B844" s="442">
        <v>35034</v>
      </c>
      <c r="C844" s="455">
        <v>1.9300000000000001E-2</v>
      </c>
      <c r="D844" s="438">
        <v>7.0800000000000002E-2</v>
      </c>
      <c r="E844" s="438">
        <v>4.8999999999999998E-3</v>
      </c>
      <c r="F844" s="438">
        <v>5.6833333333333336E-3</v>
      </c>
      <c r="G844" s="438">
        <v>5.8250000000000003E-3</v>
      </c>
      <c r="H844" s="438">
        <v>5.754166666666667E-3</v>
      </c>
      <c r="I844" s="438">
        <v>6.0447499999999998E-3</v>
      </c>
      <c r="J844" s="438">
        <f t="shared" si="156"/>
        <v>1.4400000000000001E-2</v>
      </c>
      <c r="K844" s="438">
        <f t="shared" si="148"/>
        <v>1.3545833333333333E-2</v>
      </c>
      <c r="L844" s="438">
        <f t="shared" si="149"/>
        <v>6.475525E-2</v>
      </c>
      <c r="M844" s="446">
        <f t="shared" si="145"/>
        <v>0.37574977766538731</v>
      </c>
      <c r="N844" s="446">
        <f t="shared" si="146"/>
        <v>5.8799999999999998E-2</v>
      </c>
      <c r="O844" s="446">
        <f t="shared" si="150"/>
        <v>6.905E-2</v>
      </c>
      <c r="P844" s="447">
        <f t="shared" si="147"/>
        <v>0.31694977766538729</v>
      </c>
      <c r="Q844" s="446">
        <f t="shared" si="151"/>
        <v>0.30669977766538731</v>
      </c>
      <c r="R844" s="446">
        <f t="shared" si="152"/>
        <v>0.42134997817699094</v>
      </c>
      <c r="S844" s="446">
        <f t="shared" si="153"/>
        <v>7.253699999999999E-2</v>
      </c>
      <c r="T844" s="447">
        <f t="shared" si="154"/>
        <v>0.34881297817699097</v>
      </c>
      <c r="V844" s="448"/>
      <c r="W844" s="448"/>
      <c r="X844" s="448"/>
      <c r="Y844" s="448"/>
      <c r="Z844" s="448"/>
      <c r="AA844" s="448"/>
      <c r="AB844" s="448"/>
      <c r="AC844" s="448"/>
      <c r="AD844" s="448"/>
      <c r="AF844" s="448"/>
      <c r="AG844" s="448"/>
      <c r="AH844" s="448"/>
      <c r="AI844" s="448"/>
      <c r="AJ844" s="448"/>
      <c r="AK844" s="448"/>
      <c r="AL844" s="448"/>
      <c r="AM844" s="448"/>
      <c r="AN844" s="448"/>
      <c r="AP844" s="448"/>
      <c r="AQ844" s="448"/>
      <c r="AR844" s="448"/>
      <c r="AS844" s="448"/>
      <c r="AT844" s="448"/>
      <c r="AU844" s="448"/>
      <c r="AV844" s="448"/>
      <c r="AW844" s="448"/>
      <c r="AX844" s="448"/>
    </row>
    <row r="845" spans="1:50" x14ac:dyDescent="0.4">
      <c r="A845" s="442" t="str">
        <f t="shared" si="155"/>
        <v>11996</v>
      </c>
      <c r="B845" s="442">
        <v>35065</v>
      </c>
      <c r="C845" s="455">
        <v>3.4000000000000002E-2</v>
      </c>
      <c r="D845" s="438">
        <v>1.29E-2</v>
      </c>
      <c r="E845" s="438">
        <v>5.4000000000000003E-3</v>
      </c>
      <c r="F845" s="438">
        <v>5.6750000000000004E-3</v>
      </c>
      <c r="G845" s="438">
        <v>5.8250000000000003E-3</v>
      </c>
      <c r="H845" s="438">
        <v>5.7499999999999999E-3</v>
      </c>
      <c r="I845" s="438">
        <v>6.005666666666667E-3</v>
      </c>
      <c r="J845" s="438">
        <f t="shared" si="156"/>
        <v>2.86E-2</v>
      </c>
      <c r="K845" s="438">
        <f t="shared" si="148"/>
        <v>2.8250000000000004E-2</v>
      </c>
      <c r="L845" s="438">
        <f t="shared" si="149"/>
        <v>6.894333333333333E-3</v>
      </c>
      <c r="M845" s="446">
        <f t="shared" si="145"/>
        <v>0.38661201881860885</v>
      </c>
      <c r="N845" s="446">
        <f t="shared" si="146"/>
        <v>6.4799999999999996E-2</v>
      </c>
      <c r="O845" s="446">
        <f t="shared" si="150"/>
        <v>6.9000000000000006E-2</v>
      </c>
      <c r="P845" s="447">
        <f t="shared" si="147"/>
        <v>0.32181201881860888</v>
      </c>
      <c r="Q845" s="446">
        <f t="shared" si="151"/>
        <v>0.31761201881860884</v>
      </c>
      <c r="R845" s="446">
        <f t="shared" si="152"/>
        <v>0.33563910649918749</v>
      </c>
      <c r="S845" s="446">
        <f t="shared" si="153"/>
        <v>7.2068000000000007E-2</v>
      </c>
      <c r="T845" s="447">
        <f t="shared" si="154"/>
        <v>0.26357110649918747</v>
      </c>
      <c r="V845" s="448"/>
      <c r="W845" s="448"/>
      <c r="X845" s="448"/>
      <c r="Y845" s="448"/>
      <c r="Z845" s="448"/>
      <c r="AA845" s="448"/>
      <c r="AB845" s="448"/>
      <c r="AC845" s="448"/>
      <c r="AD845" s="448"/>
      <c r="AF845" s="448"/>
      <c r="AG845" s="448"/>
      <c r="AH845" s="448"/>
      <c r="AI845" s="448"/>
      <c r="AJ845" s="448"/>
      <c r="AK845" s="448"/>
      <c r="AL845" s="448"/>
      <c r="AM845" s="448"/>
      <c r="AN845" s="448"/>
      <c r="AP845" s="448"/>
      <c r="AQ845" s="448"/>
      <c r="AR845" s="448"/>
      <c r="AS845" s="448"/>
      <c r="AT845" s="448"/>
      <c r="AU845" s="448"/>
      <c r="AV845" s="448"/>
      <c r="AW845" s="448"/>
      <c r="AX845" s="448"/>
    </row>
    <row r="846" spans="1:50" x14ac:dyDescent="0.4">
      <c r="A846" s="442" t="str">
        <f t="shared" si="155"/>
        <v>21996</v>
      </c>
      <c r="B846" s="442">
        <v>35096</v>
      </c>
      <c r="C846" s="455">
        <v>9.2999999999999992E-3</v>
      </c>
      <c r="D846" s="438">
        <v>-3.95E-2</v>
      </c>
      <c r="E846" s="438">
        <v>4.7999999999999996E-3</v>
      </c>
      <c r="F846" s="438">
        <v>5.8250000000000003E-3</v>
      </c>
      <c r="G846" s="438">
        <v>5.966666666666667E-3</v>
      </c>
      <c r="H846" s="438">
        <v>5.8958333333333337E-3</v>
      </c>
      <c r="I846" s="438">
        <v>6.1250000000000002E-3</v>
      </c>
      <c r="J846" s="438">
        <f t="shared" si="156"/>
        <v>4.4999999999999997E-3</v>
      </c>
      <c r="K846" s="438">
        <f t="shared" si="148"/>
        <v>3.4041666666666656E-3</v>
      </c>
      <c r="L846" s="438">
        <f t="shared" si="149"/>
        <v>-4.5624999999999999E-2</v>
      </c>
      <c r="M846" s="446">
        <f t="shared" si="145"/>
        <v>0.34697546736633456</v>
      </c>
      <c r="N846" s="446">
        <f t="shared" si="146"/>
        <v>5.7599999999999998E-2</v>
      </c>
      <c r="O846" s="446">
        <f t="shared" si="150"/>
        <v>7.0750000000000007E-2</v>
      </c>
      <c r="P846" s="447">
        <f t="shared" si="147"/>
        <v>0.28937546736633457</v>
      </c>
      <c r="Q846" s="446">
        <f t="shared" si="151"/>
        <v>0.27622546736633458</v>
      </c>
      <c r="R846" s="446">
        <f t="shared" si="152"/>
        <v>0.28480857465445042</v>
      </c>
      <c r="S846" s="446">
        <f t="shared" si="153"/>
        <v>7.350000000000001E-2</v>
      </c>
      <c r="T846" s="447">
        <f t="shared" si="154"/>
        <v>0.21130857465445041</v>
      </c>
      <c r="V846" s="448"/>
      <c r="W846" s="448"/>
      <c r="X846" s="448"/>
      <c r="Y846" s="448"/>
      <c r="Z846" s="448"/>
      <c r="AA846" s="448"/>
      <c r="AB846" s="448"/>
      <c r="AC846" s="448"/>
      <c r="AD846" s="448"/>
      <c r="AF846" s="448"/>
      <c r="AG846" s="448"/>
      <c r="AH846" s="448"/>
      <c r="AI846" s="448"/>
      <c r="AJ846" s="448"/>
      <c r="AK846" s="448"/>
      <c r="AL846" s="448"/>
      <c r="AM846" s="448"/>
      <c r="AN846" s="448"/>
      <c r="AP846" s="448"/>
      <c r="AQ846" s="448"/>
      <c r="AR846" s="448"/>
      <c r="AS846" s="448"/>
      <c r="AT846" s="448"/>
      <c r="AU846" s="448"/>
      <c r="AV846" s="448"/>
      <c r="AW846" s="448"/>
      <c r="AX846" s="448"/>
    </row>
    <row r="847" spans="1:50" x14ac:dyDescent="0.4">
      <c r="A847" s="442" t="str">
        <f t="shared" si="155"/>
        <v>31996</v>
      </c>
      <c r="B847" s="442">
        <v>35125</v>
      </c>
      <c r="C847" s="455">
        <v>9.5999999999999992E-3</v>
      </c>
      <c r="D847" s="438">
        <v>-2.0299999999999999E-2</v>
      </c>
      <c r="E847" s="438">
        <v>5.1999999999999998E-3</v>
      </c>
      <c r="F847" s="438">
        <v>6.1249999999999994E-3</v>
      </c>
      <c r="G847" s="438">
        <v>6.266666666666666E-3</v>
      </c>
      <c r="H847" s="438">
        <v>6.1958333333333327E-3</v>
      </c>
      <c r="I847" s="438">
        <v>6.4353333333333337E-3</v>
      </c>
      <c r="J847" s="438">
        <f t="shared" si="156"/>
        <v>4.3999999999999994E-3</v>
      </c>
      <c r="K847" s="438">
        <f t="shared" si="148"/>
        <v>3.4041666666666665E-3</v>
      </c>
      <c r="L847" s="438">
        <f t="shared" si="149"/>
        <v>-2.6735333333333333E-2</v>
      </c>
      <c r="M847" s="446">
        <f t="shared" si="145"/>
        <v>0.32093873905104586</v>
      </c>
      <c r="N847" s="446">
        <f t="shared" si="146"/>
        <v>6.2399999999999997E-2</v>
      </c>
      <c r="O847" s="446">
        <f t="shared" si="150"/>
        <v>7.4349999999999999E-2</v>
      </c>
      <c r="P847" s="447">
        <f t="shared" si="147"/>
        <v>0.25853873905104585</v>
      </c>
      <c r="Q847" s="446">
        <f t="shared" si="151"/>
        <v>0.24658873905104586</v>
      </c>
      <c r="R847" s="446">
        <f t="shared" si="152"/>
        <v>0.26632491004926062</v>
      </c>
      <c r="S847" s="446">
        <f t="shared" si="153"/>
        <v>7.7224000000000001E-2</v>
      </c>
      <c r="T847" s="447">
        <f t="shared" si="154"/>
        <v>0.18910091004926061</v>
      </c>
      <c r="V847" s="448"/>
      <c r="W847" s="448"/>
      <c r="X847" s="448"/>
      <c r="Y847" s="448"/>
      <c r="Z847" s="448"/>
      <c r="AA847" s="448"/>
      <c r="AB847" s="448"/>
      <c r="AC847" s="448"/>
      <c r="AD847" s="448"/>
      <c r="AF847" s="448"/>
      <c r="AG847" s="448"/>
      <c r="AH847" s="448"/>
      <c r="AI847" s="448"/>
      <c r="AJ847" s="448"/>
      <c r="AK847" s="448"/>
      <c r="AL847" s="448"/>
      <c r="AM847" s="448"/>
      <c r="AN847" s="448"/>
      <c r="AP847" s="448"/>
      <c r="AQ847" s="448"/>
      <c r="AR847" s="448"/>
      <c r="AS847" s="448"/>
      <c r="AT847" s="448"/>
      <c r="AU847" s="448"/>
      <c r="AV847" s="448"/>
      <c r="AW847" s="448"/>
      <c r="AX847" s="448"/>
    </row>
    <row r="848" spans="1:50" x14ac:dyDescent="0.4">
      <c r="A848" s="442" t="str">
        <f t="shared" si="155"/>
        <v>41996</v>
      </c>
      <c r="B848" s="442">
        <v>35156</v>
      </c>
      <c r="C848" s="455">
        <v>1.47E-2</v>
      </c>
      <c r="D848" s="438">
        <v>1.0999999999999999E-2</v>
      </c>
      <c r="E848" s="438">
        <v>5.8999999999999999E-3</v>
      </c>
      <c r="F848" s="438">
        <v>6.2500000000000003E-3</v>
      </c>
      <c r="G848" s="438">
        <v>6.4000000000000003E-3</v>
      </c>
      <c r="H848" s="438">
        <v>6.3250000000000008E-3</v>
      </c>
      <c r="I848" s="438">
        <v>6.5698333333333338E-3</v>
      </c>
      <c r="J848" s="438">
        <f t="shared" si="156"/>
        <v>8.7999999999999988E-3</v>
      </c>
      <c r="K848" s="438">
        <f t="shared" si="148"/>
        <v>8.3749999999999988E-3</v>
      </c>
      <c r="L848" s="438">
        <f t="shared" si="149"/>
        <v>4.4301666666666656E-3</v>
      </c>
      <c r="M848" s="446">
        <f t="shared" ref="M848:M911" si="157">((1+C837)*(1+C838)*(1+C839)*(1+C840)*(1+C841)*(1+C842)*(1+C843)*(1+C844)*(1+C845)*(1+C846)*(1+C847)*(1+C848))-1</f>
        <v>0.3020755182777306</v>
      </c>
      <c r="N848" s="446">
        <f t="shared" ref="N848:N911" si="158">E848*12</f>
        <v>7.0800000000000002E-2</v>
      </c>
      <c r="O848" s="446">
        <f t="shared" si="150"/>
        <v>7.5900000000000009E-2</v>
      </c>
      <c r="P848" s="447">
        <f t="shared" ref="P848:P911" si="159">M848-N848</f>
        <v>0.2312755182777306</v>
      </c>
      <c r="Q848" s="446">
        <f t="shared" si="151"/>
        <v>0.22617551827773058</v>
      </c>
      <c r="R848" s="446">
        <f t="shared" si="152"/>
        <v>0.23517075162547263</v>
      </c>
      <c r="S848" s="446">
        <f t="shared" si="153"/>
        <v>7.8838000000000005E-2</v>
      </c>
      <c r="T848" s="447">
        <f t="shared" si="154"/>
        <v>0.15633275162547261</v>
      </c>
      <c r="V848" s="448"/>
      <c r="W848" s="448"/>
      <c r="X848" s="448"/>
      <c r="Y848" s="448"/>
      <c r="Z848" s="448"/>
      <c r="AA848" s="448"/>
      <c r="AB848" s="448"/>
      <c r="AC848" s="448"/>
      <c r="AD848" s="448"/>
      <c r="AF848" s="448"/>
      <c r="AG848" s="448"/>
      <c r="AH848" s="448"/>
      <c r="AI848" s="448"/>
      <c r="AJ848" s="448"/>
      <c r="AK848" s="448"/>
      <c r="AL848" s="448"/>
      <c r="AM848" s="448"/>
      <c r="AN848" s="448"/>
      <c r="AP848" s="448"/>
      <c r="AQ848" s="448"/>
      <c r="AR848" s="448"/>
      <c r="AS848" s="448"/>
      <c r="AT848" s="448"/>
      <c r="AU848" s="448"/>
      <c r="AV848" s="448"/>
      <c r="AW848" s="448"/>
      <c r="AX848" s="448"/>
    </row>
    <row r="849" spans="1:50" x14ac:dyDescent="0.4">
      <c r="A849" s="442" t="str">
        <f t="shared" si="155"/>
        <v>51996</v>
      </c>
      <c r="B849" s="442">
        <v>35186</v>
      </c>
      <c r="C849" s="455">
        <v>2.58E-2</v>
      </c>
      <c r="D849" s="438">
        <v>-2.4999999999999996E-3</v>
      </c>
      <c r="E849" s="438">
        <v>5.7999999999999996E-3</v>
      </c>
      <c r="F849" s="438">
        <v>6.3499999999999997E-3</v>
      </c>
      <c r="G849" s="438">
        <v>6.4749999999999999E-3</v>
      </c>
      <c r="H849" s="438">
        <v>6.4124999999999998E-3</v>
      </c>
      <c r="I849" s="438">
        <v>6.6504166666666665E-3</v>
      </c>
      <c r="J849" s="438">
        <f t="shared" si="156"/>
        <v>0.02</v>
      </c>
      <c r="K849" s="438">
        <f t="shared" si="148"/>
        <v>1.9387500000000002E-2</v>
      </c>
      <c r="L849" s="438">
        <f t="shared" si="149"/>
        <v>-9.1504166666666661E-3</v>
      </c>
      <c r="M849" s="446">
        <f t="shared" si="157"/>
        <v>0.28429717947047695</v>
      </c>
      <c r="N849" s="446">
        <f t="shared" si="158"/>
        <v>6.9599999999999995E-2</v>
      </c>
      <c r="O849" s="446">
        <f t="shared" si="150"/>
        <v>7.6949999999999991E-2</v>
      </c>
      <c r="P849" s="447">
        <f t="shared" si="159"/>
        <v>0.21469717947047695</v>
      </c>
      <c r="Q849" s="446">
        <f t="shared" si="151"/>
        <v>0.20734717947047696</v>
      </c>
      <c r="R849" s="446">
        <f t="shared" si="152"/>
        <v>0.19434162926173815</v>
      </c>
      <c r="S849" s="446">
        <f t="shared" si="153"/>
        <v>7.9805000000000001E-2</v>
      </c>
      <c r="T849" s="447">
        <f t="shared" si="154"/>
        <v>0.11453662926173815</v>
      </c>
      <c r="V849" s="448"/>
      <c r="W849" s="448"/>
      <c r="X849" s="448"/>
      <c r="Y849" s="448"/>
      <c r="Z849" s="448"/>
      <c r="AA849" s="448"/>
      <c r="AB849" s="448"/>
      <c r="AC849" s="448"/>
      <c r="AD849" s="448"/>
      <c r="AF849" s="448"/>
      <c r="AG849" s="448"/>
      <c r="AH849" s="448"/>
      <c r="AI849" s="448"/>
      <c r="AJ849" s="448"/>
      <c r="AK849" s="448"/>
      <c r="AL849" s="448"/>
      <c r="AM849" s="448"/>
      <c r="AN849" s="448"/>
      <c r="AP849" s="448"/>
      <c r="AQ849" s="448"/>
      <c r="AR849" s="448"/>
      <c r="AS849" s="448"/>
      <c r="AT849" s="448"/>
      <c r="AU849" s="448"/>
      <c r="AV849" s="448"/>
      <c r="AW849" s="448"/>
      <c r="AX849" s="448"/>
    </row>
    <row r="850" spans="1:50" x14ac:dyDescent="0.4">
      <c r="A850" s="442" t="str">
        <f t="shared" si="155"/>
        <v>61996</v>
      </c>
      <c r="B850" s="442">
        <v>35217</v>
      </c>
      <c r="C850" s="455">
        <v>3.8E-3</v>
      </c>
      <c r="D850" s="438">
        <v>4.1599999999999998E-2</v>
      </c>
      <c r="E850" s="438">
        <v>5.4000000000000003E-3</v>
      </c>
      <c r="F850" s="438">
        <v>6.4249999999999993E-3</v>
      </c>
      <c r="G850" s="438">
        <v>6.5583333333333335E-3</v>
      </c>
      <c r="H850" s="438">
        <v>6.4916666666666664E-3</v>
      </c>
      <c r="I850" s="438">
        <v>6.7200000000000003E-3</v>
      </c>
      <c r="J850" s="438">
        <f t="shared" si="156"/>
        <v>-1.6000000000000003E-3</v>
      </c>
      <c r="K850" s="438">
        <f t="shared" si="148"/>
        <v>-2.6916666666666664E-3</v>
      </c>
      <c r="L850" s="438">
        <f t="shared" si="149"/>
        <v>3.4879999999999994E-2</v>
      </c>
      <c r="M850" s="446">
        <f t="shared" si="157"/>
        <v>0.2599467442850516</v>
      </c>
      <c r="N850" s="446">
        <f t="shared" si="158"/>
        <v>6.4799999999999996E-2</v>
      </c>
      <c r="O850" s="446">
        <f t="shared" si="150"/>
        <v>7.7899999999999997E-2</v>
      </c>
      <c r="P850" s="447">
        <f t="shared" si="159"/>
        <v>0.1951467442850516</v>
      </c>
      <c r="Q850" s="446">
        <f t="shared" si="151"/>
        <v>0.1820467442850516</v>
      </c>
      <c r="R850" s="446">
        <f t="shared" si="152"/>
        <v>0.23820666969147686</v>
      </c>
      <c r="S850" s="446">
        <f t="shared" si="153"/>
        <v>8.0640000000000003E-2</v>
      </c>
      <c r="T850" s="447">
        <f t="shared" si="154"/>
        <v>0.15756666969147687</v>
      </c>
      <c r="V850" s="448"/>
      <c r="W850" s="448"/>
      <c r="X850" s="448"/>
      <c r="Y850" s="448"/>
      <c r="Z850" s="448"/>
      <c r="AA850" s="448"/>
      <c r="AB850" s="448"/>
      <c r="AC850" s="448"/>
      <c r="AD850" s="448"/>
      <c r="AF850" s="448"/>
      <c r="AG850" s="448"/>
      <c r="AH850" s="448"/>
      <c r="AI850" s="448"/>
      <c r="AJ850" s="448"/>
      <c r="AK850" s="448"/>
      <c r="AL850" s="448"/>
      <c r="AM850" s="448"/>
      <c r="AN850" s="448"/>
      <c r="AP850" s="448"/>
      <c r="AQ850" s="448"/>
      <c r="AR850" s="448"/>
      <c r="AS850" s="448"/>
      <c r="AT850" s="448"/>
      <c r="AU850" s="448"/>
      <c r="AV850" s="448"/>
      <c r="AW850" s="448"/>
      <c r="AX850" s="448"/>
    </row>
    <row r="851" spans="1:50" x14ac:dyDescent="0.4">
      <c r="A851" s="442" t="str">
        <f t="shared" si="155"/>
        <v>71996</v>
      </c>
      <c r="B851" s="442">
        <v>35247</v>
      </c>
      <c r="C851" s="455">
        <v>-4.4200000000000003E-2</v>
      </c>
      <c r="D851" s="438">
        <v>-6.2800000000000009E-2</v>
      </c>
      <c r="E851" s="438">
        <v>6.1999999999999998E-3</v>
      </c>
      <c r="F851" s="438">
        <v>6.3750000000000005E-3</v>
      </c>
      <c r="G851" s="438">
        <v>6.5166666666666671E-3</v>
      </c>
      <c r="H851" s="438">
        <v>6.4458333333333338E-3</v>
      </c>
      <c r="I851" s="438">
        <v>6.6876666666666664E-3</v>
      </c>
      <c r="J851" s="438">
        <f t="shared" si="156"/>
        <v>-5.04E-2</v>
      </c>
      <c r="K851" s="438">
        <f t="shared" si="148"/>
        <v>-5.0645833333333334E-2</v>
      </c>
      <c r="L851" s="438">
        <f t="shared" si="149"/>
        <v>-6.948766666666667E-2</v>
      </c>
      <c r="M851" s="446">
        <f t="shared" si="157"/>
        <v>0.16556048992223449</v>
      </c>
      <c r="N851" s="446">
        <f t="shared" si="158"/>
        <v>7.4399999999999994E-2</v>
      </c>
      <c r="O851" s="446">
        <f t="shared" si="150"/>
        <v>7.7350000000000002E-2</v>
      </c>
      <c r="P851" s="447">
        <f t="shared" si="159"/>
        <v>9.1160489922234494E-2</v>
      </c>
      <c r="Q851" s="446">
        <f t="shared" si="151"/>
        <v>8.8210489922234486E-2</v>
      </c>
      <c r="R851" s="446">
        <f t="shared" si="152"/>
        <v>0.13159170242306373</v>
      </c>
      <c r="S851" s="446">
        <f t="shared" si="153"/>
        <v>8.025199999999999E-2</v>
      </c>
      <c r="T851" s="447">
        <f t="shared" si="154"/>
        <v>5.1339702423063738E-2</v>
      </c>
      <c r="V851" s="448"/>
      <c r="W851" s="448"/>
      <c r="X851" s="448"/>
      <c r="Y851" s="448"/>
      <c r="Z851" s="448"/>
      <c r="AA851" s="448"/>
      <c r="AB851" s="448"/>
      <c r="AC851" s="448"/>
      <c r="AD851" s="448"/>
      <c r="AF851" s="448"/>
      <c r="AG851" s="448"/>
      <c r="AH851" s="448"/>
      <c r="AI851" s="448"/>
      <c r="AJ851" s="448"/>
      <c r="AK851" s="448"/>
      <c r="AL851" s="448"/>
      <c r="AM851" s="448"/>
      <c r="AN851" s="448"/>
      <c r="AP851" s="448"/>
      <c r="AQ851" s="448"/>
      <c r="AR851" s="448"/>
      <c r="AS851" s="448"/>
      <c r="AT851" s="448"/>
      <c r="AU851" s="448"/>
      <c r="AV851" s="448"/>
      <c r="AW851" s="448"/>
      <c r="AX851" s="448"/>
    </row>
    <row r="852" spans="1:50" x14ac:dyDescent="0.4">
      <c r="A852" s="442" t="str">
        <f t="shared" si="155"/>
        <v>81996</v>
      </c>
      <c r="B852" s="442">
        <v>35278</v>
      </c>
      <c r="C852" s="455">
        <v>2.1100000000000001E-2</v>
      </c>
      <c r="D852" s="438">
        <v>2.1299999999999999E-2</v>
      </c>
      <c r="E852" s="438">
        <v>5.7000000000000002E-3</v>
      </c>
      <c r="F852" s="438">
        <v>6.2166666666666672E-3</v>
      </c>
      <c r="G852" s="438">
        <v>6.3583333333333339E-3</v>
      </c>
      <c r="H852" s="438">
        <v>6.2875000000000006E-3</v>
      </c>
      <c r="I852" s="438">
        <v>6.5318333333333331E-3</v>
      </c>
      <c r="J852" s="438">
        <f t="shared" si="156"/>
        <v>1.54E-2</v>
      </c>
      <c r="K852" s="438">
        <f t="shared" si="148"/>
        <v>1.4812499999999999E-2</v>
      </c>
      <c r="L852" s="438">
        <f t="shared" si="149"/>
        <v>1.4768166666666666E-2</v>
      </c>
      <c r="M852" s="446">
        <f t="shared" si="157"/>
        <v>0.18718585163051671</v>
      </c>
      <c r="N852" s="446">
        <f t="shared" si="158"/>
        <v>6.8400000000000002E-2</v>
      </c>
      <c r="O852" s="446">
        <f t="shared" si="150"/>
        <v>7.5450000000000003E-2</v>
      </c>
      <c r="P852" s="447">
        <f t="shared" si="159"/>
        <v>0.11878585163051671</v>
      </c>
      <c r="Q852" s="446">
        <f t="shared" si="151"/>
        <v>0.11173585163051671</v>
      </c>
      <c r="R852" s="446">
        <f t="shared" si="152"/>
        <v>0.13281180717964625</v>
      </c>
      <c r="S852" s="446">
        <f t="shared" si="153"/>
        <v>7.8381999999999993E-2</v>
      </c>
      <c r="T852" s="447">
        <f t="shared" si="154"/>
        <v>5.4429807179646253E-2</v>
      </c>
      <c r="V852" s="448"/>
      <c r="W852" s="448"/>
      <c r="X852" s="448"/>
      <c r="Y852" s="448"/>
      <c r="Z852" s="448"/>
      <c r="AA852" s="448"/>
      <c r="AB852" s="448"/>
      <c r="AC852" s="448"/>
      <c r="AD852" s="448"/>
      <c r="AF852" s="448"/>
      <c r="AG852" s="448"/>
      <c r="AH852" s="448"/>
      <c r="AI852" s="448"/>
      <c r="AJ852" s="448"/>
      <c r="AK852" s="448"/>
      <c r="AL852" s="448"/>
      <c r="AM852" s="448"/>
      <c r="AN852" s="448"/>
      <c r="AP852" s="448"/>
      <c r="AQ852" s="448"/>
      <c r="AR852" s="448"/>
      <c r="AS852" s="448"/>
      <c r="AT852" s="448"/>
      <c r="AU852" s="448"/>
      <c r="AV852" s="448"/>
      <c r="AW852" s="448"/>
      <c r="AX852" s="448"/>
    </row>
    <row r="853" spans="1:50" x14ac:dyDescent="0.4">
      <c r="A853" s="442" t="str">
        <f t="shared" si="155"/>
        <v>91996</v>
      </c>
      <c r="B853" s="442">
        <v>35309</v>
      </c>
      <c r="C853" s="455">
        <v>5.6300000000000003E-2</v>
      </c>
      <c r="D853" s="438">
        <v>9.4999999999999998E-3</v>
      </c>
      <c r="E853" s="438">
        <v>6.0000000000000001E-3</v>
      </c>
      <c r="F853" s="438">
        <v>6.3833333333333329E-3</v>
      </c>
      <c r="G853" s="438">
        <v>6.5166666666666671E-3</v>
      </c>
      <c r="H853" s="438">
        <v>6.45E-3</v>
      </c>
      <c r="I853" s="438">
        <v>6.6812499999999997E-3</v>
      </c>
      <c r="J853" s="438">
        <f t="shared" si="156"/>
        <v>5.0300000000000004E-2</v>
      </c>
      <c r="K853" s="438">
        <f t="shared" si="148"/>
        <v>4.9850000000000005E-2</v>
      </c>
      <c r="L853" s="438">
        <f t="shared" si="149"/>
        <v>2.8187500000000001E-3</v>
      </c>
      <c r="M853" s="446">
        <f t="shared" si="157"/>
        <v>0.2032473758178035</v>
      </c>
      <c r="N853" s="446">
        <f t="shared" si="158"/>
        <v>7.2000000000000008E-2</v>
      </c>
      <c r="O853" s="446">
        <f t="shared" si="150"/>
        <v>7.7399999999999997E-2</v>
      </c>
      <c r="P853" s="447">
        <f t="shared" si="159"/>
        <v>0.13124737581780349</v>
      </c>
      <c r="Q853" s="446">
        <f t="shared" si="151"/>
        <v>0.1258473758178035</v>
      </c>
      <c r="R853" s="446">
        <f t="shared" si="152"/>
        <v>7.49892078848029E-2</v>
      </c>
      <c r="S853" s="446">
        <f t="shared" si="153"/>
        <v>8.0174999999999996E-2</v>
      </c>
      <c r="T853" s="447">
        <f t="shared" si="154"/>
        <v>-5.1857921151970965E-3</v>
      </c>
      <c r="V853" s="448"/>
      <c r="W853" s="448"/>
      <c r="X853" s="448"/>
      <c r="Y853" s="448"/>
      <c r="Z853" s="448"/>
      <c r="AA853" s="448"/>
      <c r="AB853" s="448"/>
      <c r="AC853" s="448"/>
      <c r="AD853" s="448"/>
      <c r="AF853" s="448"/>
      <c r="AG853" s="448"/>
      <c r="AH853" s="448"/>
      <c r="AI853" s="448"/>
      <c r="AJ853" s="448"/>
      <c r="AK853" s="448"/>
      <c r="AL853" s="448"/>
      <c r="AM853" s="448"/>
      <c r="AN853" s="448"/>
      <c r="AP853" s="448"/>
      <c r="AQ853" s="448"/>
      <c r="AR853" s="448"/>
      <c r="AS853" s="448"/>
      <c r="AT853" s="448"/>
      <c r="AU853" s="448"/>
      <c r="AV853" s="448"/>
      <c r="AW853" s="448"/>
      <c r="AX853" s="448"/>
    </row>
    <row r="854" spans="1:50" x14ac:dyDescent="0.4">
      <c r="A854" s="442" t="str">
        <f t="shared" si="155"/>
        <v>101996</v>
      </c>
      <c r="B854" s="442">
        <v>35339</v>
      </c>
      <c r="C854" s="455">
        <v>2.76E-2</v>
      </c>
      <c r="D854" s="438">
        <v>5.0799999999999998E-2</v>
      </c>
      <c r="E854" s="438">
        <v>5.7999999999999996E-3</v>
      </c>
      <c r="F854" s="438">
        <v>6.1583333333333334E-3</v>
      </c>
      <c r="G854" s="438">
        <v>6.3166666666666675E-3</v>
      </c>
      <c r="H854" s="438">
        <v>6.2375E-3</v>
      </c>
      <c r="I854" s="438">
        <v>6.4820833333333336E-3</v>
      </c>
      <c r="J854" s="438">
        <f t="shared" si="156"/>
        <v>2.18E-2</v>
      </c>
      <c r="K854" s="438">
        <f t="shared" si="148"/>
        <v>2.13625E-2</v>
      </c>
      <c r="L854" s="438">
        <f t="shared" si="149"/>
        <v>4.4317916666666665E-2</v>
      </c>
      <c r="M854" s="446">
        <f t="shared" si="157"/>
        <v>0.24092433098191024</v>
      </c>
      <c r="N854" s="446">
        <f t="shared" si="158"/>
        <v>6.9599999999999995E-2</v>
      </c>
      <c r="O854" s="446">
        <f t="shared" si="150"/>
        <v>7.485E-2</v>
      </c>
      <c r="P854" s="447">
        <f t="shared" si="159"/>
        <v>0.17132433098191024</v>
      </c>
      <c r="Q854" s="446">
        <f t="shared" si="151"/>
        <v>0.16607433098191024</v>
      </c>
      <c r="R854" s="446">
        <f t="shared" si="152"/>
        <v>0.10333918699487232</v>
      </c>
      <c r="S854" s="446">
        <f t="shared" si="153"/>
        <v>7.7785000000000007E-2</v>
      </c>
      <c r="T854" s="447">
        <f t="shared" si="154"/>
        <v>2.5554186994872316E-2</v>
      </c>
      <c r="V854" s="448"/>
      <c r="W854" s="448"/>
      <c r="X854" s="448"/>
      <c r="Y854" s="448"/>
      <c r="Z854" s="448"/>
      <c r="AA854" s="448"/>
      <c r="AB854" s="448"/>
      <c r="AC854" s="448"/>
      <c r="AD854" s="448"/>
      <c r="AF854" s="448"/>
      <c r="AG854" s="448"/>
      <c r="AH854" s="448"/>
      <c r="AI854" s="448"/>
      <c r="AJ854" s="448"/>
      <c r="AK854" s="448"/>
      <c r="AL854" s="448"/>
      <c r="AM854" s="448"/>
      <c r="AN854" s="448"/>
      <c r="AP854" s="448"/>
      <c r="AQ854" s="448"/>
      <c r="AR854" s="448"/>
      <c r="AS854" s="448"/>
      <c r="AT854" s="448"/>
      <c r="AU854" s="448"/>
      <c r="AV854" s="448"/>
      <c r="AW854" s="448"/>
      <c r="AX854" s="448"/>
    </row>
    <row r="855" spans="1:50" x14ac:dyDescent="0.4">
      <c r="A855" s="442" t="str">
        <f t="shared" si="155"/>
        <v>111996</v>
      </c>
      <c r="B855" s="442">
        <v>35370</v>
      </c>
      <c r="C855" s="455">
        <v>7.5600000000000001E-2</v>
      </c>
      <c r="D855" s="438">
        <v>2.1099999999999997E-2</v>
      </c>
      <c r="E855" s="438">
        <v>5.1999999999999998E-3</v>
      </c>
      <c r="F855" s="438">
        <v>5.9166666666666664E-3</v>
      </c>
      <c r="G855" s="438">
        <v>6.0916666666666662E-3</v>
      </c>
      <c r="H855" s="438">
        <v>6.0041666666666663E-3</v>
      </c>
      <c r="I855" s="438">
        <v>6.2527500000000005E-3</v>
      </c>
      <c r="J855" s="438">
        <f t="shared" si="156"/>
        <v>7.0400000000000004E-2</v>
      </c>
      <c r="K855" s="438">
        <f t="shared" si="148"/>
        <v>6.9595833333333329E-2</v>
      </c>
      <c r="L855" s="438">
        <f t="shared" si="149"/>
        <v>1.4847249999999996E-2</v>
      </c>
      <c r="M855" s="446">
        <f t="shared" si="157"/>
        <v>0.27860734783422014</v>
      </c>
      <c r="N855" s="446">
        <f t="shared" si="158"/>
        <v>6.2399999999999997E-2</v>
      </c>
      <c r="O855" s="446">
        <f t="shared" si="150"/>
        <v>7.2050000000000003E-2</v>
      </c>
      <c r="P855" s="447">
        <f t="shared" si="159"/>
        <v>0.21620734783422013</v>
      </c>
      <c r="Q855" s="446">
        <f t="shared" si="151"/>
        <v>0.20655734783422014</v>
      </c>
      <c r="R855" s="446">
        <f t="shared" si="152"/>
        <v>0.11150320031616445</v>
      </c>
      <c r="S855" s="446">
        <f t="shared" si="153"/>
        <v>7.5033000000000002E-2</v>
      </c>
      <c r="T855" s="447">
        <f t="shared" si="154"/>
        <v>3.647020031616445E-2</v>
      </c>
      <c r="V855" s="448"/>
      <c r="W855" s="448"/>
      <c r="X855" s="448"/>
      <c r="Y855" s="448"/>
      <c r="Z855" s="448"/>
      <c r="AA855" s="448"/>
      <c r="AB855" s="448"/>
      <c r="AC855" s="448"/>
      <c r="AD855" s="448"/>
      <c r="AF855" s="448"/>
      <c r="AG855" s="448"/>
      <c r="AH855" s="448"/>
      <c r="AI855" s="448"/>
      <c r="AJ855" s="448"/>
      <c r="AK855" s="448"/>
      <c r="AL855" s="448"/>
      <c r="AM855" s="448"/>
      <c r="AN855" s="448"/>
      <c r="AP855" s="448"/>
      <c r="AQ855" s="448"/>
      <c r="AR855" s="448"/>
      <c r="AS855" s="448"/>
      <c r="AT855" s="448"/>
      <c r="AU855" s="448"/>
      <c r="AV855" s="448"/>
      <c r="AW855" s="448"/>
      <c r="AX855" s="448"/>
    </row>
    <row r="856" spans="1:50" x14ac:dyDescent="0.4">
      <c r="A856" s="442" t="str">
        <f t="shared" si="155"/>
        <v>121996</v>
      </c>
      <c r="B856" s="442">
        <v>35400</v>
      </c>
      <c r="C856" s="455">
        <v>-1.9800000000000002E-2</v>
      </c>
      <c r="D856" s="438">
        <v>-6.000000000000001E-3</v>
      </c>
      <c r="E856" s="438">
        <v>5.5999999999999991E-3</v>
      </c>
      <c r="F856" s="438">
        <v>6.0000000000000001E-3</v>
      </c>
      <c r="G856" s="438">
        <v>6.1750000000000008E-3</v>
      </c>
      <c r="H856" s="438">
        <v>6.0875E-3</v>
      </c>
      <c r="I856" s="438">
        <v>6.3091666666666669E-3</v>
      </c>
      <c r="J856" s="438">
        <f t="shared" si="156"/>
        <v>-2.5399999999999999E-2</v>
      </c>
      <c r="K856" s="438">
        <f t="shared" si="148"/>
        <v>-2.5887500000000001E-2</v>
      </c>
      <c r="L856" s="438">
        <f t="shared" si="149"/>
        <v>-1.2309166666666668E-2</v>
      </c>
      <c r="M856" s="446">
        <f t="shared" si="157"/>
        <v>0.22956040650162168</v>
      </c>
      <c r="N856" s="446">
        <f t="shared" si="158"/>
        <v>6.7199999999999982E-2</v>
      </c>
      <c r="O856" s="446">
        <f t="shared" si="150"/>
        <v>7.3050000000000004E-2</v>
      </c>
      <c r="P856" s="447">
        <f t="shared" si="159"/>
        <v>0.1623604065016217</v>
      </c>
      <c r="Q856" s="446">
        <f t="shared" si="151"/>
        <v>0.15651040650162168</v>
      </c>
      <c r="R856" s="446">
        <f t="shared" si="152"/>
        <v>3.1783882250903339E-2</v>
      </c>
      <c r="S856" s="446">
        <f t="shared" si="153"/>
        <v>7.571E-2</v>
      </c>
      <c r="T856" s="447">
        <f t="shared" si="154"/>
        <v>-4.392611774909666E-2</v>
      </c>
      <c r="V856" s="448"/>
      <c r="W856" s="448"/>
      <c r="X856" s="448"/>
      <c r="Y856" s="448"/>
      <c r="Z856" s="448"/>
      <c r="AA856" s="448"/>
      <c r="AB856" s="448"/>
      <c r="AC856" s="448"/>
      <c r="AD856" s="448"/>
      <c r="AF856" s="448"/>
      <c r="AG856" s="448"/>
      <c r="AH856" s="448"/>
      <c r="AI856" s="448"/>
      <c r="AJ856" s="448"/>
      <c r="AK856" s="448"/>
      <c r="AL856" s="448"/>
      <c r="AM856" s="448"/>
      <c r="AN856" s="448"/>
      <c r="AP856" s="448"/>
      <c r="AQ856" s="448"/>
      <c r="AR856" s="448"/>
      <c r="AS856" s="448"/>
      <c r="AT856" s="448"/>
      <c r="AU856" s="448"/>
      <c r="AV856" s="448"/>
      <c r="AW856" s="448"/>
      <c r="AX856" s="448"/>
    </row>
    <row r="857" spans="1:50" x14ac:dyDescent="0.4">
      <c r="A857" s="442" t="str">
        <f t="shared" si="155"/>
        <v>11997</v>
      </c>
      <c r="B857" s="442">
        <v>35431</v>
      </c>
      <c r="C857" s="455">
        <v>6.25E-2</v>
      </c>
      <c r="D857" s="438">
        <v>6.6E-3</v>
      </c>
      <c r="E857" s="438">
        <v>5.5999999999999991E-3</v>
      </c>
      <c r="F857" s="438">
        <v>6.1833333333333332E-3</v>
      </c>
      <c r="G857" s="438">
        <v>6.3583333333333339E-3</v>
      </c>
      <c r="H857" s="438">
        <v>6.2708333333333331E-3</v>
      </c>
      <c r="I857" s="438">
        <v>6.4722500000000006E-3</v>
      </c>
      <c r="J857" s="438">
        <f t="shared" si="156"/>
        <v>5.6899999999999999E-2</v>
      </c>
      <c r="K857" s="438">
        <f t="shared" si="148"/>
        <v>5.6229166666666663E-2</v>
      </c>
      <c r="L857" s="438">
        <f t="shared" si="149"/>
        <v>1.2774999999999939E-4</v>
      </c>
      <c r="M857" s="446">
        <f t="shared" si="157"/>
        <v>0.26345061112956758</v>
      </c>
      <c r="N857" s="446">
        <f t="shared" si="158"/>
        <v>6.7199999999999982E-2</v>
      </c>
      <c r="O857" s="446">
        <f t="shared" si="150"/>
        <v>7.5249999999999997E-2</v>
      </c>
      <c r="P857" s="447">
        <f t="shared" si="159"/>
        <v>0.1962506111295676</v>
      </c>
      <c r="Q857" s="446">
        <f t="shared" si="151"/>
        <v>0.1882006111295676</v>
      </c>
      <c r="R857" s="446">
        <f t="shared" si="152"/>
        <v>2.5366428940428065E-2</v>
      </c>
      <c r="S857" s="446">
        <f t="shared" si="153"/>
        <v>7.7667000000000014E-2</v>
      </c>
      <c r="T857" s="447">
        <f t="shared" si="154"/>
        <v>-5.2300571059571949E-2</v>
      </c>
      <c r="V857" s="448"/>
      <c r="W857" s="448"/>
      <c r="X857" s="448"/>
      <c r="Y857" s="448"/>
      <c r="Z857" s="448"/>
      <c r="AA857" s="448"/>
      <c r="AB857" s="448"/>
      <c r="AC857" s="448"/>
      <c r="AD857" s="448"/>
      <c r="AF857" s="448"/>
      <c r="AG857" s="448"/>
      <c r="AH857" s="448"/>
      <c r="AI857" s="448"/>
      <c r="AJ857" s="448"/>
      <c r="AK857" s="448"/>
      <c r="AL857" s="448"/>
      <c r="AM857" s="448"/>
      <c r="AN857" s="448"/>
      <c r="AP857" s="448"/>
      <c r="AQ857" s="448"/>
      <c r="AR857" s="448"/>
      <c r="AS857" s="448"/>
      <c r="AT857" s="448"/>
      <c r="AU857" s="448"/>
      <c r="AV857" s="448"/>
      <c r="AW857" s="448"/>
      <c r="AX857" s="448"/>
    </row>
    <row r="858" spans="1:50" x14ac:dyDescent="0.4">
      <c r="A858" s="442" t="str">
        <f t="shared" si="155"/>
        <v>21997</v>
      </c>
      <c r="B858" s="442">
        <v>35462</v>
      </c>
      <c r="C858" s="455">
        <v>7.7999999999999996E-3</v>
      </c>
      <c r="D858" s="438">
        <v>-9.5000000000000015E-3</v>
      </c>
      <c r="E858" s="438">
        <v>5.1000000000000004E-3</v>
      </c>
      <c r="F858" s="438">
        <v>6.0916666666666662E-3</v>
      </c>
      <c r="G858" s="438">
        <v>6.2833333333333326E-3</v>
      </c>
      <c r="H858" s="438">
        <v>6.1874999999999994E-3</v>
      </c>
      <c r="I858" s="438">
        <v>6.368833333333334E-3</v>
      </c>
      <c r="J858" s="438">
        <f t="shared" si="156"/>
        <v>2.6999999999999993E-3</v>
      </c>
      <c r="K858" s="438">
        <f t="shared" si="148"/>
        <v>1.6125000000000002E-3</v>
      </c>
      <c r="L858" s="438">
        <f t="shared" si="149"/>
        <v>-1.5868833333333335E-2</v>
      </c>
      <c r="M858" s="446">
        <f t="shared" si="157"/>
        <v>0.26157289794548499</v>
      </c>
      <c r="N858" s="446">
        <f t="shared" si="158"/>
        <v>6.1200000000000004E-2</v>
      </c>
      <c r="O858" s="446">
        <f t="shared" si="150"/>
        <v>7.4249999999999997E-2</v>
      </c>
      <c r="P858" s="447">
        <f t="shared" si="159"/>
        <v>0.20037289794548499</v>
      </c>
      <c r="Q858" s="446">
        <f t="shared" si="151"/>
        <v>0.18732289794548501</v>
      </c>
      <c r="R858" s="446">
        <f t="shared" si="152"/>
        <v>5.7392449625709219E-2</v>
      </c>
      <c r="S858" s="446">
        <f t="shared" si="153"/>
        <v>7.6426000000000008E-2</v>
      </c>
      <c r="T858" s="447">
        <f t="shared" si="154"/>
        <v>-1.9033550374290789E-2</v>
      </c>
      <c r="V858" s="448"/>
      <c r="W858" s="448"/>
      <c r="X858" s="448"/>
      <c r="Y858" s="448"/>
      <c r="Z858" s="448"/>
      <c r="AA858" s="448"/>
      <c r="AB858" s="448"/>
      <c r="AC858" s="448"/>
      <c r="AD858" s="448"/>
      <c r="AF858" s="448"/>
      <c r="AG858" s="448"/>
      <c r="AH858" s="448"/>
      <c r="AI858" s="448"/>
      <c r="AJ858" s="448"/>
      <c r="AK858" s="448"/>
      <c r="AL858" s="448"/>
      <c r="AM858" s="448"/>
      <c r="AN858" s="448"/>
      <c r="AP858" s="448"/>
      <c r="AQ858" s="448"/>
      <c r="AR858" s="448"/>
      <c r="AS858" s="448"/>
      <c r="AT858" s="448"/>
      <c r="AU858" s="448"/>
      <c r="AV858" s="448"/>
      <c r="AW858" s="448"/>
      <c r="AX858" s="448"/>
    </row>
    <row r="859" spans="1:50" x14ac:dyDescent="0.4">
      <c r="A859" s="442" t="str">
        <f t="shared" si="155"/>
        <v>31997</v>
      </c>
      <c r="B859" s="442">
        <v>35490</v>
      </c>
      <c r="C859" s="455">
        <v>-4.1099999999999998E-2</v>
      </c>
      <c r="D859" s="438">
        <v>-3.0099999999999998E-2</v>
      </c>
      <c r="E859" s="438">
        <v>5.8999999999999999E-3</v>
      </c>
      <c r="F859" s="438">
        <v>6.2916666666666668E-3</v>
      </c>
      <c r="G859" s="438">
        <v>6.4749999999999999E-3</v>
      </c>
      <c r="H859" s="438">
        <v>6.3833333333333329E-3</v>
      </c>
      <c r="I859" s="438">
        <v>6.5545833333333333E-3</v>
      </c>
      <c r="J859" s="438">
        <f t="shared" si="156"/>
        <v>-4.7E-2</v>
      </c>
      <c r="K859" s="438">
        <f t="shared" si="148"/>
        <v>-4.7483333333333329E-2</v>
      </c>
      <c r="L859" s="438">
        <f t="shared" si="149"/>
        <v>-3.6654583333333331E-2</v>
      </c>
      <c r="M859" s="446">
        <f t="shared" si="157"/>
        <v>0.19821934611720016</v>
      </c>
      <c r="N859" s="446">
        <f t="shared" si="158"/>
        <v>7.0800000000000002E-2</v>
      </c>
      <c r="O859" s="446">
        <f t="shared" si="150"/>
        <v>7.6600000000000001E-2</v>
      </c>
      <c r="P859" s="447">
        <f t="shared" si="159"/>
        <v>0.12741934611720016</v>
      </c>
      <c r="Q859" s="446">
        <f t="shared" si="151"/>
        <v>0.12161934611720016</v>
      </c>
      <c r="R859" s="446">
        <f t="shared" si="152"/>
        <v>4.6815287222593982E-2</v>
      </c>
      <c r="S859" s="446">
        <f t="shared" si="153"/>
        <v>7.8655000000000003E-2</v>
      </c>
      <c r="T859" s="447">
        <f t="shared" si="154"/>
        <v>-3.1839712777406021E-2</v>
      </c>
      <c r="V859" s="448"/>
      <c r="W859" s="448"/>
      <c r="X859" s="448"/>
      <c r="Y859" s="448"/>
      <c r="Z859" s="448"/>
      <c r="AA859" s="448"/>
      <c r="AB859" s="448"/>
      <c r="AC859" s="448"/>
      <c r="AD859" s="448"/>
      <c r="AF859" s="448"/>
      <c r="AG859" s="448"/>
      <c r="AH859" s="448"/>
      <c r="AI859" s="448"/>
      <c r="AJ859" s="448"/>
      <c r="AK859" s="448"/>
      <c r="AL859" s="448"/>
      <c r="AM859" s="448"/>
      <c r="AN859" s="448"/>
      <c r="AP859" s="448"/>
      <c r="AQ859" s="448"/>
      <c r="AR859" s="448"/>
      <c r="AS859" s="448"/>
      <c r="AT859" s="448"/>
      <c r="AU859" s="448"/>
      <c r="AV859" s="448"/>
      <c r="AW859" s="448"/>
      <c r="AX859" s="448"/>
    </row>
    <row r="860" spans="1:50" x14ac:dyDescent="0.4">
      <c r="A860" s="442" t="str">
        <f t="shared" si="155"/>
        <v>41997</v>
      </c>
      <c r="B860" s="442">
        <v>35521</v>
      </c>
      <c r="C860" s="455">
        <v>5.9700000000000003E-2</v>
      </c>
      <c r="D860" s="438">
        <v>-1.4999999999999999E-2</v>
      </c>
      <c r="E860" s="438">
        <v>5.8999999999999999E-3</v>
      </c>
      <c r="F860" s="438">
        <v>6.4416666666666667E-3</v>
      </c>
      <c r="G860" s="438">
        <v>6.6083333333333324E-3</v>
      </c>
      <c r="H860" s="438">
        <v>6.5249999999999996E-3</v>
      </c>
      <c r="I860" s="438">
        <v>6.6973333333333329E-3</v>
      </c>
      <c r="J860" s="438">
        <f t="shared" si="156"/>
        <v>5.3800000000000001E-2</v>
      </c>
      <c r="K860" s="438">
        <f t="shared" si="148"/>
        <v>5.3175E-2</v>
      </c>
      <c r="L860" s="438">
        <f t="shared" si="149"/>
        <v>-2.1697333333333332E-2</v>
      </c>
      <c r="M860" s="446">
        <f t="shared" si="157"/>
        <v>0.25135807734344895</v>
      </c>
      <c r="N860" s="446">
        <f t="shared" si="158"/>
        <v>7.0800000000000002E-2</v>
      </c>
      <c r="O860" s="446">
        <f t="shared" si="150"/>
        <v>7.8299999999999995E-2</v>
      </c>
      <c r="P860" s="447">
        <f t="shared" si="159"/>
        <v>0.18055807734344895</v>
      </c>
      <c r="Q860" s="446">
        <f t="shared" si="151"/>
        <v>0.17305807734344897</v>
      </c>
      <c r="R860" s="446">
        <f t="shared" si="152"/>
        <v>1.9894221477997354E-2</v>
      </c>
      <c r="S860" s="446">
        <f t="shared" si="153"/>
        <v>8.0367999999999995E-2</v>
      </c>
      <c r="T860" s="447">
        <f t="shared" si="154"/>
        <v>-6.0473778522002641E-2</v>
      </c>
      <c r="V860" s="448"/>
      <c r="W860" s="448"/>
      <c r="X860" s="448"/>
      <c r="Y860" s="448"/>
      <c r="Z860" s="448"/>
      <c r="AA860" s="448"/>
      <c r="AB860" s="448"/>
      <c r="AC860" s="448"/>
      <c r="AD860" s="448"/>
      <c r="AF860" s="448"/>
      <c r="AG860" s="448"/>
      <c r="AH860" s="448"/>
      <c r="AI860" s="448"/>
      <c r="AJ860" s="448"/>
      <c r="AK860" s="448"/>
      <c r="AL860" s="448"/>
      <c r="AM860" s="448"/>
      <c r="AN860" s="448"/>
      <c r="AP860" s="448"/>
      <c r="AQ860" s="448"/>
      <c r="AR860" s="448"/>
      <c r="AS860" s="448"/>
      <c r="AT860" s="448"/>
      <c r="AU860" s="448"/>
      <c r="AV860" s="448"/>
      <c r="AW860" s="448"/>
      <c r="AX860" s="448"/>
    </row>
    <row r="861" spans="1:50" x14ac:dyDescent="0.4">
      <c r="A861" s="442" t="str">
        <f t="shared" si="155"/>
        <v>51997</v>
      </c>
      <c r="B861" s="442">
        <v>35551</v>
      </c>
      <c r="C861" s="455">
        <v>6.0900000000000003E-2</v>
      </c>
      <c r="D861" s="438">
        <v>4.2299999999999997E-2</v>
      </c>
      <c r="E861" s="438">
        <v>5.7999999999999996E-3</v>
      </c>
      <c r="F861" s="438">
        <v>6.3166666666666675E-3</v>
      </c>
      <c r="G861" s="438">
        <v>6.5000000000000006E-3</v>
      </c>
      <c r="H861" s="438">
        <v>6.4083333333333336E-3</v>
      </c>
      <c r="I861" s="438">
        <v>6.5754166666666669E-3</v>
      </c>
      <c r="J861" s="438">
        <f t="shared" si="156"/>
        <v>5.5100000000000003E-2</v>
      </c>
      <c r="K861" s="438">
        <f t="shared" ref="K861:K924" si="160">C861-H861</f>
        <v>5.4491666666666667E-2</v>
      </c>
      <c r="L861" s="438">
        <f t="shared" ref="L861:L924" si="161">$D861-I861</f>
        <v>3.572458333333333E-2</v>
      </c>
      <c r="M861" s="446">
        <f t="shared" si="157"/>
        <v>0.29417604236075712</v>
      </c>
      <c r="N861" s="446">
        <f t="shared" si="158"/>
        <v>6.9599999999999995E-2</v>
      </c>
      <c r="O861" s="446">
        <f t="shared" si="150"/>
        <v>7.6899999999999996E-2</v>
      </c>
      <c r="P861" s="447">
        <f t="shared" si="159"/>
        <v>0.22457604236075712</v>
      </c>
      <c r="Q861" s="446">
        <f t="shared" si="151"/>
        <v>0.21727604236075712</v>
      </c>
      <c r="R861" s="446">
        <f t="shared" si="152"/>
        <v>6.5699997039114555E-2</v>
      </c>
      <c r="S861" s="446">
        <f t="shared" si="153"/>
        <v>7.8905000000000003E-2</v>
      </c>
      <c r="T861" s="447">
        <f t="shared" si="154"/>
        <v>-1.3205002960885448E-2</v>
      </c>
      <c r="V861" s="448"/>
      <c r="W861" s="448"/>
      <c r="X861" s="448"/>
      <c r="Y861" s="448"/>
      <c r="Z861" s="448"/>
      <c r="AA861" s="448"/>
      <c r="AB861" s="448"/>
      <c r="AC861" s="448"/>
      <c r="AD861" s="448"/>
      <c r="AF861" s="448"/>
      <c r="AG861" s="448"/>
      <c r="AH861" s="448"/>
      <c r="AI861" s="448"/>
      <c r="AJ861" s="448"/>
      <c r="AK861" s="448"/>
      <c r="AL861" s="448"/>
      <c r="AM861" s="448"/>
      <c r="AN861" s="448"/>
      <c r="AP861" s="448"/>
      <c r="AQ861" s="448"/>
      <c r="AR861" s="448"/>
      <c r="AS861" s="448"/>
      <c r="AT861" s="448"/>
      <c r="AU861" s="448"/>
      <c r="AV861" s="448"/>
      <c r="AW861" s="448"/>
      <c r="AX861" s="448"/>
    </row>
    <row r="862" spans="1:50" x14ac:dyDescent="0.4">
      <c r="A862" s="442" t="str">
        <f t="shared" si="155"/>
        <v>61997</v>
      </c>
      <c r="B862" s="442">
        <v>35582</v>
      </c>
      <c r="C862" s="455">
        <v>4.48E-2</v>
      </c>
      <c r="D862" s="438">
        <v>3.1399999999999997E-2</v>
      </c>
      <c r="E862" s="438">
        <v>5.8999999999999999E-3</v>
      </c>
      <c r="F862" s="438">
        <v>6.1750000000000008E-3</v>
      </c>
      <c r="G862" s="438">
        <v>6.3499999999999997E-3</v>
      </c>
      <c r="H862" s="438">
        <v>6.2624999999999998E-3</v>
      </c>
      <c r="I862" s="438">
        <v>6.437333333333334E-3</v>
      </c>
      <c r="J862" s="438">
        <f t="shared" si="156"/>
        <v>3.8899999999999997E-2</v>
      </c>
      <c r="K862" s="438">
        <f t="shared" si="160"/>
        <v>3.8537500000000002E-2</v>
      </c>
      <c r="L862" s="438">
        <f t="shared" si="161"/>
        <v>2.4962666666666664E-2</v>
      </c>
      <c r="M862" s="446">
        <f t="shared" si="157"/>
        <v>0.34703639077357873</v>
      </c>
      <c r="N862" s="446">
        <f t="shared" si="158"/>
        <v>7.0800000000000002E-2</v>
      </c>
      <c r="O862" s="446">
        <f t="shared" si="150"/>
        <v>7.5149999999999995E-2</v>
      </c>
      <c r="P862" s="447">
        <f t="shared" si="159"/>
        <v>0.27623639077357875</v>
      </c>
      <c r="Q862" s="446">
        <f t="shared" si="151"/>
        <v>0.27188639077357873</v>
      </c>
      <c r="R862" s="446">
        <f t="shared" si="152"/>
        <v>5.5263994763961932E-2</v>
      </c>
      <c r="S862" s="446">
        <f t="shared" si="153"/>
        <v>7.7248000000000011E-2</v>
      </c>
      <c r="T862" s="447">
        <f t="shared" si="154"/>
        <v>-2.1984005236038079E-2</v>
      </c>
      <c r="V862" s="448"/>
      <c r="W862" s="448"/>
      <c r="X862" s="448"/>
      <c r="Y862" s="448"/>
      <c r="Z862" s="448"/>
      <c r="AA862" s="448"/>
      <c r="AB862" s="448"/>
      <c r="AC862" s="448"/>
      <c r="AD862" s="448"/>
      <c r="AF862" s="448"/>
      <c r="AG862" s="448"/>
      <c r="AH862" s="448"/>
      <c r="AI862" s="448"/>
      <c r="AJ862" s="448"/>
      <c r="AK862" s="448"/>
      <c r="AL862" s="448"/>
      <c r="AM862" s="448"/>
      <c r="AN862" s="448"/>
      <c r="AP862" s="448"/>
      <c r="AQ862" s="448"/>
      <c r="AR862" s="448"/>
      <c r="AS862" s="448"/>
      <c r="AT862" s="448"/>
      <c r="AU862" s="448"/>
      <c r="AV862" s="448"/>
      <c r="AW862" s="448"/>
      <c r="AX862" s="448"/>
    </row>
    <row r="863" spans="1:50" x14ac:dyDescent="0.4">
      <c r="A863" s="442" t="str">
        <f t="shared" si="155"/>
        <v>71997</v>
      </c>
      <c r="B863" s="442">
        <v>35612</v>
      </c>
      <c r="C863" s="455">
        <v>7.9600000000000004E-2</v>
      </c>
      <c r="D863" s="438">
        <v>2.3E-2</v>
      </c>
      <c r="E863" s="438">
        <v>5.7999999999999996E-3</v>
      </c>
      <c r="F863" s="438">
        <v>5.9499999999999996E-3</v>
      </c>
      <c r="G863" s="438">
        <v>6.1333333333333344E-3</v>
      </c>
      <c r="H863" s="438">
        <v>6.0416666666666674E-3</v>
      </c>
      <c r="I863" s="438">
        <v>6.2409166666666663E-3</v>
      </c>
      <c r="J863" s="438">
        <f t="shared" si="156"/>
        <v>7.3800000000000004E-2</v>
      </c>
      <c r="K863" s="438">
        <f t="shared" si="160"/>
        <v>7.3558333333333337E-2</v>
      </c>
      <c r="L863" s="438">
        <f t="shared" si="161"/>
        <v>1.6759083333333334E-2</v>
      </c>
      <c r="M863" s="446">
        <f t="shared" si="157"/>
        <v>0.52151128633517074</v>
      </c>
      <c r="N863" s="446">
        <f t="shared" si="158"/>
        <v>6.9599999999999995E-2</v>
      </c>
      <c r="O863" s="446">
        <f t="shared" si="150"/>
        <v>7.2500000000000009E-2</v>
      </c>
      <c r="P863" s="447">
        <f t="shared" si="159"/>
        <v>0.45191128633517075</v>
      </c>
      <c r="Q863" s="446">
        <f t="shared" si="151"/>
        <v>0.44901128633517073</v>
      </c>
      <c r="R863" s="446">
        <f t="shared" si="152"/>
        <v>0.15187267034094409</v>
      </c>
      <c r="S863" s="446">
        <f t="shared" si="153"/>
        <v>7.4890999999999999E-2</v>
      </c>
      <c r="T863" s="447">
        <f t="shared" si="154"/>
        <v>7.6981670340944094E-2</v>
      </c>
      <c r="V863" s="448"/>
      <c r="W863" s="448"/>
      <c r="X863" s="448"/>
      <c r="Y863" s="448"/>
      <c r="Z863" s="448"/>
      <c r="AA863" s="448"/>
      <c r="AB863" s="448"/>
      <c r="AC863" s="448"/>
      <c r="AD863" s="448"/>
      <c r="AF863" s="448"/>
      <c r="AG863" s="448"/>
      <c r="AH863" s="448"/>
      <c r="AI863" s="448"/>
      <c r="AJ863" s="448"/>
      <c r="AK863" s="448"/>
      <c r="AL863" s="448"/>
      <c r="AM863" s="448"/>
      <c r="AN863" s="448"/>
      <c r="AP863" s="448"/>
      <c r="AQ863" s="448"/>
      <c r="AR863" s="448"/>
      <c r="AS863" s="448"/>
      <c r="AT863" s="448"/>
      <c r="AU863" s="448"/>
      <c r="AV863" s="448"/>
      <c r="AW863" s="448"/>
      <c r="AX863" s="448"/>
    </row>
    <row r="864" spans="1:50" x14ac:dyDescent="0.4">
      <c r="A864" s="442" t="str">
        <f t="shared" si="155"/>
        <v>81997</v>
      </c>
      <c r="B864" s="442">
        <v>35643</v>
      </c>
      <c r="C864" s="455">
        <v>-5.6000000000000001E-2</v>
      </c>
      <c r="D864" s="438">
        <v>-1.83E-2</v>
      </c>
      <c r="E864" s="438">
        <v>4.8999999999999998E-3</v>
      </c>
      <c r="F864" s="438">
        <v>6.0166666666666667E-3</v>
      </c>
      <c r="G864" s="438">
        <v>6.1666666666666667E-3</v>
      </c>
      <c r="H864" s="438">
        <v>6.0916666666666662E-3</v>
      </c>
      <c r="I864" s="438">
        <v>6.2475833333333333E-3</v>
      </c>
      <c r="J864" s="438">
        <f t="shared" si="156"/>
        <v>-6.0900000000000003E-2</v>
      </c>
      <c r="K864" s="438">
        <f t="shared" si="160"/>
        <v>-6.209166666666667E-2</v>
      </c>
      <c r="L864" s="438">
        <f t="shared" si="161"/>
        <v>-2.4547583333333334E-2</v>
      </c>
      <c r="M864" s="446">
        <f t="shared" si="157"/>
        <v>0.40662682822485663</v>
      </c>
      <c r="N864" s="446">
        <f t="shared" si="158"/>
        <v>5.8799999999999998E-2</v>
      </c>
      <c r="O864" s="446">
        <f t="shared" si="150"/>
        <v>7.3099999999999998E-2</v>
      </c>
      <c r="P864" s="447">
        <f t="shared" si="159"/>
        <v>0.34782682822485661</v>
      </c>
      <c r="Q864" s="446">
        <f t="shared" si="151"/>
        <v>0.33352682822485663</v>
      </c>
      <c r="R864" s="446">
        <f t="shared" si="152"/>
        <v>0.10720983107187365</v>
      </c>
      <c r="S864" s="446">
        <f t="shared" si="153"/>
        <v>7.4970999999999996E-2</v>
      </c>
      <c r="T864" s="447">
        <f t="shared" si="154"/>
        <v>3.2238831071873655E-2</v>
      </c>
      <c r="V864" s="448"/>
      <c r="W864" s="448"/>
      <c r="X864" s="448"/>
      <c r="Y864" s="448"/>
      <c r="Z864" s="448"/>
      <c r="AA864" s="448"/>
      <c r="AB864" s="448"/>
      <c r="AC864" s="448"/>
      <c r="AD864" s="448"/>
      <c r="AF864" s="448"/>
      <c r="AG864" s="448"/>
      <c r="AH864" s="448"/>
      <c r="AI864" s="448"/>
      <c r="AJ864" s="448"/>
      <c r="AK864" s="448"/>
      <c r="AL864" s="448"/>
      <c r="AM864" s="448"/>
      <c r="AN864" s="448"/>
      <c r="AP864" s="448"/>
      <c r="AQ864" s="448"/>
      <c r="AR864" s="448"/>
      <c r="AS864" s="448"/>
      <c r="AT864" s="448"/>
      <c r="AU864" s="448"/>
      <c r="AV864" s="448"/>
      <c r="AW864" s="448"/>
      <c r="AX864" s="448"/>
    </row>
    <row r="865" spans="1:50" x14ac:dyDescent="0.4">
      <c r="A865" s="442" t="str">
        <f t="shared" si="155"/>
        <v>91997</v>
      </c>
      <c r="B865" s="442">
        <v>35674</v>
      </c>
      <c r="C865" s="455">
        <v>5.4800000000000001E-2</v>
      </c>
      <c r="D865" s="438">
        <v>4.3299999999999998E-2</v>
      </c>
      <c r="E865" s="438">
        <v>5.7999999999999996E-3</v>
      </c>
      <c r="F865" s="438">
        <v>5.9499999999999996E-3</v>
      </c>
      <c r="G865" s="438">
        <v>6.116666666666667E-3</v>
      </c>
      <c r="H865" s="438">
        <v>6.0333333333333324E-3</v>
      </c>
      <c r="I865" s="438">
        <v>6.2285833333333342E-3</v>
      </c>
      <c r="J865" s="438">
        <f t="shared" si="156"/>
        <v>4.9000000000000002E-2</v>
      </c>
      <c r="K865" s="438">
        <f t="shared" si="160"/>
        <v>4.8766666666666666E-2</v>
      </c>
      <c r="L865" s="438">
        <f t="shared" si="161"/>
        <v>3.7071416666666662E-2</v>
      </c>
      <c r="M865" s="446">
        <f t="shared" si="157"/>
        <v>0.40462934621942526</v>
      </c>
      <c r="N865" s="446">
        <f t="shared" si="158"/>
        <v>6.9599999999999995E-2</v>
      </c>
      <c r="O865" s="446">
        <f t="shared" si="150"/>
        <v>7.2399999999999992E-2</v>
      </c>
      <c r="P865" s="447">
        <f t="shared" si="159"/>
        <v>0.33502934621942526</v>
      </c>
      <c r="Q865" s="446">
        <f t="shared" si="151"/>
        <v>0.33222934621942524</v>
      </c>
      <c r="R865" s="446">
        <f t="shared" si="152"/>
        <v>0.14428134398938663</v>
      </c>
      <c r="S865" s="446">
        <f t="shared" si="153"/>
        <v>7.4743000000000004E-2</v>
      </c>
      <c r="T865" s="447">
        <f t="shared" si="154"/>
        <v>6.9538343989386631E-2</v>
      </c>
      <c r="V865" s="448"/>
      <c r="W865" s="448"/>
      <c r="X865" s="448"/>
      <c r="Y865" s="448"/>
      <c r="Z865" s="448"/>
      <c r="AA865" s="448"/>
      <c r="AB865" s="448"/>
      <c r="AC865" s="448"/>
      <c r="AD865" s="448"/>
      <c r="AF865" s="448"/>
      <c r="AG865" s="448"/>
      <c r="AH865" s="448"/>
      <c r="AI865" s="448"/>
      <c r="AJ865" s="448"/>
      <c r="AK865" s="448"/>
      <c r="AL865" s="448"/>
      <c r="AM865" s="448"/>
      <c r="AN865" s="448"/>
      <c r="AP865" s="448"/>
      <c r="AQ865" s="448"/>
      <c r="AR865" s="448"/>
      <c r="AS865" s="448"/>
      <c r="AT865" s="448"/>
      <c r="AU865" s="448"/>
      <c r="AV865" s="448"/>
      <c r="AW865" s="448"/>
      <c r="AX865" s="448"/>
    </row>
    <row r="866" spans="1:50" x14ac:dyDescent="0.4">
      <c r="A866" s="442" t="str">
        <f t="shared" si="155"/>
        <v>101997</v>
      </c>
      <c r="B866" s="442">
        <v>35704</v>
      </c>
      <c r="C866" s="455">
        <v>-3.3399999999999999E-2</v>
      </c>
      <c r="D866" s="438">
        <v>9.7999999999999997E-3</v>
      </c>
      <c r="E866" s="438">
        <v>5.4000000000000003E-3</v>
      </c>
      <c r="F866" s="438">
        <v>5.8333333333333336E-3</v>
      </c>
      <c r="G866" s="438">
        <v>6.0000000000000001E-3</v>
      </c>
      <c r="H866" s="438">
        <v>5.9166666666666664E-3</v>
      </c>
      <c r="I866" s="438">
        <v>6.130416666666666E-3</v>
      </c>
      <c r="J866" s="438">
        <f t="shared" si="156"/>
        <v>-3.8800000000000001E-2</v>
      </c>
      <c r="K866" s="438">
        <f t="shared" si="160"/>
        <v>-3.9316666666666666E-2</v>
      </c>
      <c r="L866" s="438">
        <f t="shared" si="161"/>
        <v>3.6695833333333337E-3</v>
      </c>
      <c r="M866" s="446">
        <f t="shared" si="157"/>
        <v>0.3212482737015343</v>
      </c>
      <c r="N866" s="446">
        <f t="shared" si="158"/>
        <v>6.4799999999999996E-2</v>
      </c>
      <c r="O866" s="446">
        <f t="shared" si="150"/>
        <v>7.0999999999999994E-2</v>
      </c>
      <c r="P866" s="447">
        <f t="shared" si="159"/>
        <v>0.25644827370153433</v>
      </c>
      <c r="Q866" s="446">
        <f t="shared" si="151"/>
        <v>0.2502482737015343</v>
      </c>
      <c r="R866" s="446">
        <f t="shared" si="152"/>
        <v>9.9633899086869704E-2</v>
      </c>
      <c r="S866" s="446">
        <f t="shared" si="153"/>
        <v>7.3564999999999992E-2</v>
      </c>
      <c r="T866" s="447">
        <f t="shared" si="154"/>
        <v>2.6068899086869712E-2</v>
      </c>
      <c r="V866" s="448"/>
      <c r="W866" s="448"/>
      <c r="X866" s="448"/>
      <c r="Y866" s="448"/>
      <c r="Z866" s="448"/>
      <c r="AA866" s="448"/>
      <c r="AB866" s="448"/>
      <c r="AC866" s="448"/>
      <c r="AD866" s="448"/>
      <c r="AF866" s="448"/>
      <c r="AG866" s="448"/>
      <c r="AH866" s="448"/>
      <c r="AI866" s="448"/>
      <c r="AJ866" s="448"/>
      <c r="AK866" s="448"/>
      <c r="AL866" s="448"/>
      <c r="AM866" s="448"/>
      <c r="AN866" s="448"/>
      <c r="AP866" s="448"/>
      <c r="AQ866" s="448"/>
      <c r="AR866" s="448"/>
      <c r="AS866" s="448"/>
      <c r="AT866" s="448"/>
      <c r="AU866" s="448"/>
      <c r="AV866" s="448"/>
      <c r="AW866" s="448"/>
      <c r="AX866" s="448"/>
    </row>
    <row r="867" spans="1:50" x14ac:dyDescent="0.4">
      <c r="A867" s="442" t="str">
        <f t="shared" si="155"/>
        <v>111997</v>
      </c>
      <c r="B867" s="442">
        <v>35735</v>
      </c>
      <c r="C867" s="455">
        <v>4.6300000000000001E-2</v>
      </c>
      <c r="D867" s="438">
        <v>7.0700000000000013E-2</v>
      </c>
      <c r="E867" s="438">
        <v>4.7000000000000002E-3</v>
      </c>
      <c r="F867" s="438">
        <v>5.7250000000000001E-3</v>
      </c>
      <c r="G867" s="438">
        <v>5.8916666666666674E-3</v>
      </c>
      <c r="H867" s="438">
        <v>5.8083333333333329E-3</v>
      </c>
      <c r="I867" s="438">
        <v>6.0390000000000001E-3</v>
      </c>
      <c r="J867" s="438">
        <f t="shared" si="156"/>
        <v>4.1599999999999998E-2</v>
      </c>
      <c r="K867" s="438">
        <f t="shared" si="160"/>
        <v>4.0491666666666669E-2</v>
      </c>
      <c r="L867" s="438">
        <f t="shared" si="161"/>
        <v>6.466100000000001E-2</v>
      </c>
      <c r="M867" s="446">
        <f t="shared" si="157"/>
        <v>0.28525666490694968</v>
      </c>
      <c r="N867" s="446">
        <f t="shared" si="158"/>
        <v>5.6400000000000006E-2</v>
      </c>
      <c r="O867" s="446">
        <f t="shared" si="150"/>
        <v>6.9699999999999998E-2</v>
      </c>
      <c r="P867" s="447">
        <f t="shared" si="159"/>
        <v>0.22885666490694967</v>
      </c>
      <c r="Q867" s="446">
        <f t="shared" si="151"/>
        <v>0.21555666490694969</v>
      </c>
      <c r="R867" s="446">
        <f t="shared" si="152"/>
        <v>0.15304868842651209</v>
      </c>
      <c r="S867" s="446">
        <f t="shared" si="153"/>
        <v>7.2468000000000005E-2</v>
      </c>
      <c r="T867" s="447">
        <f t="shared" si="154"/>
        <v>8.0580688426512087E-2</v>
      </c>
      <c r="V867" s="448"/>
      <c r="W867" s="448"/>
      <c r="X867" s="448"/>
      <c r="Y867" s="448"/>
      <c r="Z867" s="448"/>
      <c r="AA867" s="448"/>
      <c r="AB867" s="448"/>
      <c r="AC867" s="448"/>
      <c r="AD867" s="448"/>
      <c r="AF867" s="448"/>
      <c r="AG867" s="448"/>
      <c r="AH867" s="448"/>
      <c r="AI867" s="448"/>
      <c r="AJ867" s="448"/>
      <c r="AK867" s="448"/>
      <c r="AL867" s="448"/>
      <c r="AM867" s="448"/>
      <c r="AN867" s="448"/>
      <c r="AP867" s="448"/>
      <c r="AQ867" s="448"/>
      <c r="AR867" s="448"/>
      <c r="AS867" s="448"/>
      <c r="AT867" s="448"/>
      <c r="AU867" s="448"/>
      <c r="AV867" s="448"/>
      <c r="AW867" s="448"/>
      <c r="AX867" s="448"/>
    </row>
    <row r="868" spans="1:50" x14ac:dyDescent="0.4">
      <c r="A868" s="442" t="str">
        <f t="shared" si="155"/>
        <v>121997</v>
      </c>
      <c r="B868" s="442">
        <v>35765</v>
      </c>
      <c r="C868" s="455">
        <v>1.72E-2</v>
      </c>
      <c r="D868" s="438">
        <v>7.5200000000000003E-2</v>
      </c>
      <c r="E868" s="438">
        <v>5.4000000000000003E-3</v>
      </c>
      <c r="F868" s="438">
        <v>5.6333333333333339E-3</v>
      </c>
      <c r="G868" s="438">
        <v>5.8250000000000003E-3</v>
      </c>
      <c r="H868" s="438">
        <v>5.7291666666666671E-3</v>
      </c>
      <c r="I868" s="438">
        <v>5.9696666666666665E-3</v>
      </c>
      <c r="J868" s="438">
        <f t="shared" si="156"/>
        <v>1.18E-2</v>
      </c>
      <c r="K868" s="438">
        <f t="shared" si="160"/>
        <v>1.1470833333333333E-2</v>
      </c>
      <c r="L868" s="438">
        <f t="shared" si="161"/>
        <v>6.9230333333333338E-2</v>
      </c>
      <c r="M868" s="446">
        <f t="shared" si="157"/>
        <v>0.33377176039925405</v>
      </c>
      <c r="N868" s="446">
        <f t="shared" si="158"/>
        <v>6.4799999999999996E-2</v>
      </c>
      <c r="O868" s="446">
        <f t="shared" si="150"/>
        <v>6.8750000000000006E-2</v>
      </c>
      <c r="P868" s="447">
        <f t="shared" si="159"/>
        <v>0.26897176039925408</v>
      </c>
      <c r="Q868" s="446">
        <f t="shared" si="151"/>
        <v>0.26502176039925407</v>
      </c>
      <c r="R868" s="446">
        <f t="shared" si="152"/>
        <v>0.24724139818529722</v>
      </c>
      <c r="S868" s="446">
        <f t="shared" si="153"/>
        <v>7.1636000000000005E-2</v>
      </c>
      <c r="T868" s="447">
        <f t="shared" si="154"/>
        <v>0.17560539818529722</v>
      </c>
      <c r="V868" s="448"/>
      <c r="W868" s="448"/>
      <c r="X868" s="448"/>
      <c r="Y868" s="448"/>
      <c r="Z868" s="448"/>
      <c r="AA868" s="448"/>
      <c r="AB868" s="448"/>
      <c r="AC868" s="448"/>
      <c r="AD868" s="448"/>
      <c r="AF868" s="448"/>
      <c r="AG868" s="448"/>
      <c r="AH868" s="448"/>
      <c r="AI868" s="448"/>
      <c r="AJ868" s="448"/>
      <c r="AK868" s="448"/>
      <c r="AL868" s="448"/>
      <c r="AM868" s="448"/>
      <c r="AN868" s="448"/>
      <c r="AP868" s="448"/>
      <c r="AQ868" s="448"/>
      <c r="AR868" s="448"/>
      <c r="AS868" s="448"/>
      <c r="AT868" s="448"/>
      <c r="AU868" s="448"/>
      <c r="AV868" s="448"/>
      <c r="AW868" s="448"/>
      <c r="AX868" s="448"/>
    </row>
    <row r="869" spans="1:50" x14ac:dyDescent="0.4">
      <c r="A869" s="442" t="str">
        <f t="shared" si="155"/>
        <v>11998</v>
      </c>
      <c r="B869" s="442">
        <v>35796</v>
      </c>
      <c r="C869" s="455">
        <v>1.11E-2</v>
      </c>
      <c r="D869" s="438">
        <v>-3.95E-2</v>
      </c>
      <c r="E869" s="438">
        <v>4.7999999999999996E-3</v>
      </c>
      <c r="F869" s="438">
        <v>5.5083333333333338E-3</v>
      </c>
      <c r="G869" s="438">
        <v>5.6833333333333336E-3</v>
      </c>
      <c r="H869" s="438">
        <v>5.5958333333333329E-3</v>
      </c>
      <c r="I869" s="438">
        <v>5.8783333333333335E-3</v>
      </c>
      <c r="J869" s="438">
        <f t="shared" si="156"/>
        <v>6.3000000000000009E-3</v>
      </c>
      <c r="K869" s="438">
        <f t="shared" si="160"/>
        <v>5.5041666666666676E-3</v>
      </c>
      <c r="L869" s="438">
        <f t="shared" si="161"/>
        <v>-4.5378333333333333E-2</v>
      </c>
      <c r="M869" s="446">
        <f t="shared" si="157"/>
        <v>0.26924859006088098</v>
      </c>
      <c r="N869" s="446">
        <f t="shared" si="158"/>
        <v>5.7599999999999998E-2</v>
      </c>
      <c r="O869" s="446">
        <f t="shared" si="150"/>
        <v>6.7149999999999987E-2</v>
      </c>
      <c r="P869" s="447">
        <f t="shared" si="159"/>
        <v>0.21164859006088099</v>
      </c>
      <c r="Q869" s="446">
        <f t="shared" si="151"/>
        <v>0.20209859006088099</v>
      </c>
      <c r="R869" s="446">
        <f t="shared" si="152"/>
        <v>0.19012056721337034</v>
      </c>
      <c r="S869" s="446">
        <f t="shared" si="153"/>
        <v>7.0540000000000005E-2</v>
      </c>
      <c r="T869" s="447">
        <f t="shared" si="154"/>
        <v>0.11958056721337033</v>
      </c>
      <c r="V869" s="448"/>
      <c r="W869" s="448"/>
      <c r="X869" s="448"/>
      <c r="Y869" s="448"/>
      <c r="Z869" s="448"/>
      <c r="AA869" s="448"/>
      <c r="AB869" s="448"/>
      <c r="AC869" s="448"/>
      <c r="AD869" s="448"/>
      <c r="AF869" s="448"/>
      <c r="AG869" s="448"/>
      <c r="AH869" s="448"/>
      <c r="AI869" s="448"/>
      <c r="AJ869" s="448"/>
      <c r="AK869" s="448"/>
      <c r="AL869" s="448"/>
      <c r="AM869" s="448"/>
      <c r="AN869" s="448"/>
      <c r="AP869" s="448"/>
      <c r="AQ869" s="448"/>
      <c r="AR869" s="448"/>
      <c r="AS869" s="448"/>
      <c r="AT869" s="448"/>
      <c r="AU869" s="448"/>
      <c r="AV869" s="448"/>
      <c r="AW869" s="448"/>
      <c r="AX869" s="448"/>
    </row>
    <row r="870" spans="1:50" x14ac:dyDescent="0.4">
      <c r="A870" s="442" t="str">
        <f t="shared" si="155"/>
        <v>21998</v>
      </c>
      <c r="B870" s="442">
        <v>35827</v>
      </c>
      <c r="C870" s="455">
        <v>7.2099999999999997E-2</v>
      </c>
      <c r="D870" s="438">
        <v>3.4099999999999998E-2</v>
      </c>
      <c r="E870" s="438">
        <v>4.4000000000000003E-3</v>
      </c>
      <c r="F870" s="438">
        <v>5.5583333333333327E-3</v>
      </c>
      <c r="G870" s="438">
        <v>5.7333333333333333E-3</v>
      </c>
      <c r="H870" s="438">
        <v>5.6458333333333334E-3</v>
      </c>
      <c r="I870" s="438">
        <v>5.9315833333333338E-3</v>
      </c>
      <c r="J870" s="438">
        <f t="shared" si="156"/>
        <v>6.7699999999999996E-2</v>
      </c>
      <c r="K870" s="438">
        <f t="shared" si="160"/>
        <v>6.6454166666666661E-2</v>
      </c>
      <c r="L870" s="438">
        <f t="shared" si="161"/>
        <v>2.8168416666666665E-2</v>
      </c>
      <c r="M870" s="446">
        <f t="shared" si="157"/>
        <v>0.35022962234994104</v>
      </c>
      <c r="N870" s="446">
        <f t="shared" si="158"/>
        <v>5.28E-2</v>
      </c>
      <c r="O870" s="446">
        <f t="shared" si="150"/>
        <v>6.7750000000000005E-2</v>
      </c>
      <c r="P870" s="447">
        <f t="shared" si="159"/>
        <v>0.29742962234994103</v>
      </c>
      <c r="Q870" s="446">
        <f t="shared" si="151"/>
        <v>0.28247962234994106</v>
      </c>
      <c r="R870" s="446">
        <f t="shared" si="152"/>
        <v>0.2425074998034793</v>
      </c>
      <c r="S870" s="446">
        <f t="shared" si="153"/>
        <v>7.1179000000000006E-2</v>
      </c>
      <c r="T870" s="447">
        <f t="shared" si="154"/>
        <v>0.17132849980347931</v>
      </c>
      <c r="V870" s="448"/>
      <c r="W870" s="448"/>
      <c r="X870" s="448"/>
      <c r="Y870" s="448"/>
      <c r="Z870" s="448"/>
      <c r="AA870" s="448"/>
      <c r="AB870" s="448"/>
      <c r="AC870" s="448"/>
      <c r="AD870" s="448"/>
      <c r="AF870" s="448"/>
      <c r="AG870" s="448"/>
      <c r="AH870" s="448"/>
      <c r="AI870" s="448"/>
      <c r="AJ870" s="448"/>
      <c r="AK870" s="448"/>
      <c r="AL870" s="448"/>
      <c r="AM870" s="448"/>
      <c r="AN870" s="448"/>
      <c r="AP870" s="448"/>
      <c r="AQ870" s="448"/>
      <c r="AR870" s="448"/>
      <c r="AS870" s="448"/>
      <c r="AT870" s="448"/>
      <c r="AU870" s="448"/>
      <c r="AV870" s="448"/>
      <c r="AW870" s="448"/>
      <c r="AX870" s="448"/>
    </row>
    <row r="871" spans="1:50" x14ac:dyDescent="0.4">
      <c r="A871" s="442" t="str">
        <f t="shared" si="155"/>
        <v>31998</v>
      </c>
      <c r="B871" s="442">
        <v>35855</v>
      </c>
      <c r="C871" s="455">
        <v>5.1200000000000002E-2</v>
      </c>
      <c r="D871" s="438">
        <v>6.4199999999999993E-2</v>
      </c>
      <c r="E871" s="438">
        <v>5.1999999999999998E-3</v>
      </c>
      <c r="F871" s="438">
        <v>5.5916666666666667E-3</v>
      </c>
      <c r="G871" s="438">
        <v>5.7749999999999998E-3</v>
      </c>
      <c r="H871" s="438">
        <v>5.6833333333333336E-3</v>
      </c>
      <c r="I871" s="438">
        <v>5.9681666666666668E-3</v>
      </c>
      <c r="J871" s="438">
        <f t="shared" si="156"/>
        <v>4.5999999999999999E-2</v>
      </c>
      <c r="K871" s="438">
        <f t="shared" si="160"/>
        <v>4.5516666666666671E-2</v>
      </c>
      <c r="L871" s="438">
        <f t="shared" si="161"/>
        <v>5.823183333333333E-2</v>
      </c>
      <c r="M871" s="446">
        <f t="shared" si="157"/>
        <v>0.4801974961041382</v>
      </c>
      <c r="N871" s="446">
        <f t="shared" si="158"/>
        <v>6.2399999999999997E-2</v>
      </c>
      <c r="O871" s="446">
        <f t="shared" si="150"/>
        <v>6.8200000000000011E-2</v>
      </c>
      <c r="P871" s="447">
        <f t="shared" si="159"/>
        <v>0.41779749610413819</v>
      </c>
      <c r="Q871" s="446">
        <f t="shared" si="151"/>
        <v>0.41199749610413816</v>
      </c>
      <c r="R871" s="446">
        <f t="shared" si="152"/>
        <v>0.36331217784396586</v>
      </c>
      <c r="S871" s="446">
        <f t="shared" si="153"/>
        <v>7.1618000000000001E-2</v>
      </c>
      <c r="T871" s="447">
        <f t="shared" si="154"/>
        <v>0.29169417784396584</v>
      </c>
      <c r="V871" s="448"/>
      <c r="W871" s="448"/>
      <c r="X871" s="448"/>
      <c r="Y871" s="448"/>
      <c r="Z871" s="448"/>
      <c r="AA871" s="448"/>
      <c r="AB871" s="448"/>
      <c r="AC871" s="448"/>
      <c r="AD871" s="448"/>
      <c r="AF871" s="448"/>
      <c r="AG871" s="448"/>
      <c r="AH871" s="448"/>
      <c r="AI871" s="448"/>
      <c r="AJ871" s="448"/>
      <c r="AK871" s="448"/>
      <c r="AL871" s="448"/>
      <c r="AM871" s="448"/>
      <c r="AN871" s="448"/>
      <c r="AP871" s="448"/>
      <c r="AQ871" s="448"/>
      <c r="AR871" s="448"/>
      <c r="AS871" s="448"/>
      <c r="AT871" s="448"/>
      <c r="AU871" s="448"/>
      <c r="AV871" s="448"/>
      <c r="AW871" s="448"/>
      <c r="AX871" s="448"/>
    </row>
    <row r="872" spans="1:50" x14ac:dyDescent="0.4">
      <c r="A872" s="442" t="str">
        <f t="shared" si="155"/>
        <v>41998</v>
      </c>
      <c r="B872" s="442">
        <v>35886</v>
      </c>
      <c r="C872" s="455">
        <v>1.01E-2</v>
      </c>
      <c r="D872" s="438">
        <v>-1.9300000000000001E-2</v>
      </c>
      <c r="E872" s="438">
        <v>4.8999999999999998E-3</v>
      </c>
      <c r="F872" s="438">
        <v>5.5750000000000001E-3</v>
      </c>
      <c r="G872" s="438">
        <v>5.7500000000000008E-3</v>
      </c>
      <c r="H872" s="438">
        <v>5.6625E-3</v>
      </c>
      <c r="I872" s="438">
        <v>5.9682500000000005E-3</v>
      </c>
      <c r="J872" s="438">
        <f t="shared" si="156"/>
        <v>5.1999999999999998E-3</v>
      </c>
      <c r="K872" s="438">
        <f t="shared" si="160"/>
        <v>4.4374999999999996E-3</v>
      </c>
      <c r="L872" s="438">
        <f t="shared" si="161"/>
        <v>-2.5268250000000003E-2</v>
      </c>
      <c r="M872" s="446">
        <f t="shared" si="157"/>
        <v>0.41091581656581044</v>
      </c>
      <c r="N872" s="446">
        <f t="shared" si="158"/>
        <v>5.8799999999999998E-2</v>
      </c>
      <c r="O872" s="446">
        <f t="shared" ref="O872:O935" si="162">H872*12</f>
        <v>6.7949999999999997E-2</v>
      </c>
      <c r="P872" s="447">
        <f t="shared" si="159"/>
        <v>0.35211581656581042</v>
      </c>
      <c r="Q872" s="446">
        <f t="shared" ref="Q872:Q935" si="163">M872-O872</f>
        <v>0.34296581656581043</v>
      </c>
      <c r="R872" s="446">
        <f t="shared" ref="R872:R935" si="164">((1+D861)*(1+D862)*(1+D863)*(1+D864)*(1+D865)*(1+D866)*(1+D867)*(1+D868)*(1+D869)*(1+D870)*(1+D871)*(1+D872))-1</f>
        <v>0.35736066275287071</v>
      </c>
      <c r="S872" s="446">
        <f t="shared" ref="S872:S935" si="165">I872*12</f>
        <v>7.1619000000000002E-2</v>
      </c>
      <c r="T872" s="447">
        <f t="shared" ref="T872:T935" si="166">R872-S872</f>
        <v>0.28574166275287072</v>
      </c>
      <c r="V872" s="448"/>
      <c r="W872" s="448"/>
      <c r="X872" s="448"/>
      <c r="Y872" s="448"/>
      <c r="Z872" s="448"/>
      <c r="AA872" s="448"/>
      <c r="AB872" s="448"/>
      <c r="AC872" s="448"/>
      <c r="AD872" s="448"/>
      <c r="AF872" s="448"/>
      <c r="AG872" s="448"/>
      <c r="AH872" s="448"/>
      <c r="AI872" s="448"/>
      <c r="AJ872" s="448"/>
      <c r="AK872" s="448"/>
      <c r="AL872" s="448"/>
      <c r="AM872" s="448"/>
      <c r="AN872" s="448"/>
      <c r="AP872" s="448"/>
      <c r="AQ872" s="448"/>
      <c r="AR872" s="448"/>
      <c r="AS872" s="448"/>
      <c r="AT872" s="448"/>
      <c r="AU872" s="448"/>
      <c r="AV872" s="448"/>
      <c r="AW872" s="448"/>
      <c r="AX872" s="448"/>
    </row>
    <row r="873" spans="1:50" x14ac:dyDescent="0.4">
      <c r="A873" s="442" t="str">
        <f t="shared" ref="A873:A936" si="167">MONTH(B873)&amp;YEAR(B873)</f>
        <v>51998</v>
      </c>
      <c r="B873" s="442">
        <v>35916</v>
      </c>
      <c r="C873" s="455">
        <v>-1.72E-2</v>
      </c>
      <c r="D873" s="438">
        <v>-5.0000000000000001E-3</v>
      </c>
      <c r="E873" s="438">
        <v>4.7999999999999996E-3</v>
      </c>
      <c r="F873" s="438">
        <v>5.5750000000000001E-3</v>
      </c>
      <c r="G873" s="438">
        <v>5.7583333333333332E-3</v>
      </c>
      <c r="H873" s="438">
        <v>5.6666666666666662E-3</v>
      </c>
      <c r="I873" s="438">
        <v>5.9691666666666669E-3</v>
      </c>
      <c r="J873" s="438">
        <f t="shared" si="156"/>
        <v>-2.1999999999999999E-2</v>
      </c>
      <c r="K873" s="438">
        <f t="shared" si="160"/>
        <v>-2.2866666666666667E-2</v>
      </c>
      <c r="L873" s="438">
        <f t="shared" si="161"/>
        <v>-1.0969166666666667E-2</v>
      </c>
      <c r="M873" s="446">
        <f t="shared" si="157"/>
        <v>0.30704879302561916</v>
      </c>
      <c r="N873" s="446">
        <f t="shared" si="158"/>
        <v>5.7599999999999998E-2</v>
      </c>
      <c r="O873" s="446">
        <f t="shared" si="162"/>
        <v>6.7999999999999991E-2</v>
      </c>
      <c r="P873" s="447">
        <f t="shared" si="159"/>
        <v>0.24944879302561918</v>
      </c>
      <c r="Q873" s="446">
        <f t="shared" si="163"/>
        <v>0.23904879302561916</v>
      </c>
      <c r="R873" s="446">
        <f t="shared" si="164"/>
        <v>0.29576308110822813</v>
      </c>
      <c r="S873" s="446">
        <f t="shared" si="165"/>
        <v>7.1629999999999999E-2</v>
      </c>
      <c r="T873" s="447">
        <f t="shared" si="166"/>
        <v>0.22413308110822813</v>
      </c>
      <c r="V873" s="448"/>
      <c r="W873" s="448"/>
      <c r="X873" s="448"/>
      <c r="Y873" s="448"/>
      <c r="Z873" s="448"/>
      <c r="AA873" s="448"/>
      <c r="AB873" s="448"/>
      <c r="AC873" s="448"/>
      <c r="AD873" s="448"/>
      <c r="AF873" s="448"/>
      <c r="AG873" s="448"/>
      <c r="AH873" s="448"/>
      <c r="AI873" s="448"/>
      <c r="AJ873" s="448"/>
      <c r="AK873" s="448"/>
      <c r="AL873" s="448"/>
      <c r="AM873" s="448"/>
      <c r="AN873" s="448"/>
      <c r="AP873" s="448"/>
      <c r="AQ873" s="448"/>
      <c r="AR873" s="448"/>
      <c r="AS873" s="448"/>
      <c r="AT873" s="448"/>
      <c r="AU873" s="448"/>
      <c r="AV873" s="448"/>
      <c r="AW873" s="448"/>
      <c r="AX873" s="448"/>
    </row>
    <row r="874" spans="1:50" x14ac:dyDescent="0.4">
      <c r="A874" s="442" t="str">
        <f t="shared" si="167"/>
        <v>61998</v>
      </c>
      <c r="B874" s="442">
        <v>35947</v>
      </c>
      <c r="C874" s="455">
        <v>4.0599999999999997E-2</v>
      </c>
      <c r="D874" s="438">
        <v>3.6900000000000002E-2</v>
      </c>
      <c r="E874" s="438">
        <v>5.1999999999999998E-3</v>
      </c>
      <c r="F874" s="438">
        <v>5.4416666666666667E-3</v>
      </c>
      <c r="G874" s="438">
        <v>5.6500000000000005E-3</v>
      </c>
      <c r="H874" s="438">
        <v>5.545833333333334E-3</v>
      </c>
      <c r="I874" s="438">
        <v>5.8636666666666672E-3</v>
      </c>
      <c r="J874" s="438">
        <f t="shared" si="156"/>
        <v>3.5400000000000001E-2</v>
      </c>
      <c r="K874" s="438">
        <f t="shared" si="160"/>
        <v>3.5054166666666664E-2</v>
      </c>
      <c r="L874" s="438">
        <f t="shared" si="161"/>
        <v>3.1036333333333336E-2</v>
      </c>
      <c r="M874" s="446">
        <f t="shared" si="157"/>
        <v>0.30179457697402223</v>
      </c>
      <c r="N874" s="446">
        <f t="shared" si="158"/>
        <v>6.2399999999999997E-2</v>
      </c>
      <c r="O874" s="446">
        <f t="shared" si="162"/>
        <v>6.6550000000000012E-2</v>
      </c>
      <c r="P874" s="447">
        <f t="shared" si="159"/>
        <v>0.23939457697402222</v>
      </c>
      <c r="Q874" s="446">
        <f t="shared" si="163"/>
        <v>0.23524457697402223</v>
      </c>
      <c r="R874" s="446">
        <f t="shared" si="164"/>
        <v>0.30267281248896793</v>
      </c>
      <c r="S874" s="446">
        <f t="shared" si="165"/>
        <v>7.036400000000001E-2</v>
      </c>
      <c r="T874" s="447">
        <f t="shared" si="166"/>
        <v>0.23230881248896793</v>
      </c>
      <c r="V874" s="448"/>
      <c r="W874" s="448"/>
      <c r="X874" s="448"/>
      <c r="Y874" s="448"/>
      <c r="Z874" s="448"/>
      <c r="AA874" s="448"/>
      <c r="AB874" s="448"/>
      <c r="AC874" s="448"/>
      <c r="AD874" s="448"/>
      <c r="AF874" s="448"/>
      <c r="AG874" s="448"/>
      <c r="AH874" s="448"/>
      <c r="AI874" s="448"/>
      <c r="AJ874" s="448"/>
      <c r="AK874" s="448"/>
      <c r="AL874" s="448"/>
      <c r="AM874" s="448"/>
      <c r="AN874" s="448"/>
      <c r="AP874" s="448"/>
      <c r="AQ874" s="448"/>
      <c r="AR874" s="448"/>
      <c r="AS874" s="448"/>
      <c r="AT874" s="448"/>
      <c r="AU874" s="448"/>
      <c r="AV874" s="448"/>
      <c r="AW874" s="448"/>
      <c r="AX874" s="448"/>
    </row>
    <row r="875" spans="1:50" x14ac:dyDescent="0.4">
      <c r="A875" s="442" t="str">
        <f t="shared" si="167"/>
        <v>71998</v>
      </c>
      <c r="B875" s="442">
        <v>35977</v>
      </c>
      <c r="C875" s="455">
        <v>-1.06E-2</v>
      </c>
      <c r="D875" s="438">
        <v>-4.9299999999999997E-2</v>
      </c>
      <c r="E875" s="438">
        <v>4.8999999999999998E-3</v>
      </c>
      <c r="F875" s="438">
        <v>5.4583333333333324E-3</v>
      </c>
      <c r="G875" s="438">
        <v>5.6500000000000005E-3</v>
      </c>
      <c r="H875" s="438">
        <v>5.5541666666666665E-3</v>
      </c>
      <c r="I875" s="438">
        <v>5.8534166666666665E-3</v>
      </c>
      <c r="J875" s="438">
        <f t="shared" si="156"/>
        <v>-1.55E-2</v>
      </c>
      <c r="K875" s="438">
        <f t="shared" si="160"/>
        <v>-1.6154166666666667E-2</v>
      </c>
      <c r="L875" s="438">
        <f t="shared" si="161"/>
        <v>-5.5153416666666663E-2</v>
      </c>
      <c r="M875" s="446">
        <f t="shared" si="157"/>
        <v>0.19303033943877201</v>
      </c>
      <c r="N875" s="446">
        <f t="shared" si="158"/>
        <v>5.8799999999999998E-2</v>
      </c>
      <c r="O875" s="446">
        <f t="shared" si="162"/>
        <v>6.6650000000000001E-2</v>
      </c>
      <c r="P875" s="447">
        <f t="shared" si="159"/>
        <v>0.13423033943877202</v>
      </c>
      <c r="Q875" s="446">
        <f t="shared" si="163"/>
        <v>0.12638033943877203</v>
      </c>
      <c r="R875" s="446">
        <f t="shared" si="164"/>
        <v>0.21060707999341299</v>
      </c>
      <c r="S875" s="446">
        <f t="shared" si="165"/>
        <v>7.0240999999999998E-2</v>
      </c>
      <c r="T875" s="447">
        <f t="shared" si="166"/>
        <v>0.140366079993413</v>
      </c>
      <c r="V875" s="448"/>
      <c r="W875" s="448"/>
      <c r="X875" s="448"/>
      <c r="Y875" s="448"/>
      <c r="Z875" s="448"/>
      <c r="AA875" s="448"/>
      <c r="AB875" s="448"/>
      <c r="AC875" s="448"/>
      <c r="AD875" s="448"/>
      <c r="AF875" s="448"/>
      <c r="AG875" s="448"/>
      <c r="AH875" s="448"/>
      <c r="AI875" s="448"/>
      <c r="AJ875" s="448"/>
      <c r="AK875" s="448"/>
      <c r="AL875" s="448"/>
      <c r="AM875" s="448"/>
      <c r="AN875" s="448"/>
      <c r="AP875" s="448"/>
      <c r="AQ875" s="448"/>
      <c r="AR875" s="448"/>
      <c r="AS875" s="448"/>
      <c r="AT875" s="448"/>
      <c r="AU875" s="448"/>
      <c r="AV875" s="448"/>
      <c r="AW875" s="448"/>
      <c r="AX875" s="448"/>
    </row>
    <row r="876" spans="1:50" x14ac:dyDescent="0.4">
      <c r="A876" s="442" t="str">
        <f t="shared" si="167"/>
        <v>81998</v>
      </c>
      <c r="B876" s="442">
        <v>36008</v>
      </c>
      <c r="C876" s="455">
        <v>-0.14460000000000001</v>
      </c>
      <c r="D876" s="438">
        <v>1.61E-2</v>
      </c>
      <c r="E876" s="438">
        <v>4.7999999999999996E-3</v>
      </c>
      <c r="F876" s="438">
        <v>5.4333333333333334E-3</v>
      </c>
      <c r="G876" s="438">
        <v>5.6416666666666664E-3</v>
      </c>
      <c r="H876" s="438">
        <v>5.5374999999999999E-3</v>
      </c>
      <c r="I876" s="438">
        <v>5.8349166666666662E-3</v>
      </c>
      <c r="J876" s="438">
        <f t="shared" si="156"/>
        <v>-0.14940000000000001</v>
      </c>
      <c r="K876" s="438">
        <f t="shared" si="160"/>
        <v>-0.15013750000000001</v>
      </c>
      <c r="L876" s="438">
        <f t="shared" si="161"/>
        <v>1.0265083333333334E-2</v>
      </c>
      <c r="M876" s="446">
        <f t="shared" si="157"/>
        <v>8.1057364783819308E-2</v>
      </c>
      <c r="N876" s="446">
        <f t="shared" si="158"/>
        <v>5.7599999999999998E-2</v>
      </c>
      <c r="O876" s="446">
        <f t="shared" si="162"/>
        <v>6.6449999999999995E-2</v>
      </c>
      <c r="P876" s="447">
        <f t="shared" si="159"/>
        <v>2.3457364783819309E-2</v>
      </c>
      <c r="Q876" s="446">
        <f t="shared" si="163"/>
        <v>1.4607364783819313E-2</v>
      </c>
      <c r="R876" s="446">
        <f t="shared" si="164"/>
        <v>0.25302827134695627</v>
      </c>
      <c r="S876" s="446">
        <f t="shared" si="165"/>
        <v>7.0018999999999998E-2</v>
      </c>
      <c r="T876" s="447">
        <f t="shared" si="166"/>
        <v>0.18300927134695627</v>
      </c>
      <c r="V876" s="448"/>
      <c r="W876" s="448"/>
      <c r="X876" s="448"/>
      <c r="Y876" s="448"/>
      <c r="Z876" s="448"/>
      <c r="AA876" s="448"/>
      <c r="AB876" s="448"/>
      <c r="AC876" s="448"/>
      <c r="AD876" s="448"/>
      <c r="AF876" s="448"/>
      <c r="AG876" s="448"/>
      <c r="AH876" s="448"/>
      <c r="AI876" s="448"/>
      <c r="AJ876" s="448"/>
      <c r="AK876" s="448"/>
      <c r="AL876" s="448"/>
      <c r="AM876" s="448"/>
      <c r="AN876" s="448"/>
      <c r="AP876" s="448"/>
      <c r="AQ876" s="448"/>
      <c r="AR876" s="448"/>
      <c r="AS876" s="448"/>
      <c r="AT876" s="448"/>
      <c r="AU876" s="448"/>
      <c r="AV876" s="448"/>
      <c r="AW876" s="448"/>
      <c r="AX876" s="448"/>
    </row>
    <row r="877" spans="1:50" x14ac:dyDescent="0.4">
      <c r="A877" s="442" t="str">
        <f t="shared" si="167"/>
        <v>91998</v>
      </c>
      <c r="B877" s="442">
        <v>36039</v>
      </c>
      <c r="C877" s="455">
        <v>6.4100000000000004E-2</v>
      </c>
      <c r="D877" s="438">
        <v>8.3499999999999991E-2</v>
      </c>
      <c r="E877" s="438">
        <v>4.4000000000000003E-3</v>
      </c>
      <c r="F877" s="438">
        <v>5.3333333333333332E-3</v>
      </c>
      <c r="G877" s="438">
        <v>5.5666666666666668E-3</v>
      </c>
      <c r="H877" s="438">
        <v>5.4499999999999991E-3</v>
      </c>
      <c r="I877" s="438">
        <v>5.780166666666667E-3</v>
      </c>
      <c r="J877" s="438">
        <f t="shared" si="156"/>
        <v>5.9700000000000003E-2</v>
      </c>
      <c r="K877" s="438">
        <f t="shared" si="160"/>
        <v>5.8650000000000008E-2</v>
      </c>
      <c r="L877" s="438">
        <f t="shared" si="161"/>
        <v>7.7719833333333321E-2</v>
      </c>
      <c r="M877" s="446">
        <f t="shared" si="157"/>
        <v>9.0588871697442341E-2</v>
      </c>
      <c r="N877" s="446">
        <f t="shared" si="158"/>
        <v>5.28E-2</v>
      </c>
      <c r="O877" s="446">
        <f t="shared" si="162"/>
        <v>6.5399999999999986E-2</v>
      </c>
      <c r="P877" s="447">
        <f t="shared" si="159"/>
        <v>3.7788871697442342E-2</v>
      </c>
      <c r="Q877" s="446">
        <f t="shared" si="163"/>
        <v>2.5188871697442355E-2</v>
      </c>
      <c r="R877" s="446">
        <f t="shared" si="164"/>
        <v>0.30130943353247108</v>
      </c>
      <c r="S877" s="446">
        <f t="shared" si="165"/>
        <v>6.9362000000000007E-2</v>
      </c>
      <c r="T877" s="447">
        <f t="shared" si="166"/>
        <v>0.23194743353247108</v>
      </c>
      <c r="V877" s="448"/>
      <c r="W877" s="448"/>
      <c r="X877" s="448"/>
      <c r="Y877" s="448"/>
      <c r="Z877" s="448"/>
      <c r="AA877" s="448"/>
      <c r="AB877" s="448"/>
      <c r="AC877" s="448"/>
      <c r="AD877" s="448"/>
      <c r="AF877" s="448"/>
      <c r="AG877" s="448"/>
      <c r="AH877" s="448"/>
      <c r="AI877" s="448"/>
      <c r="AJ877" s="448"/>
      <c r="AK877" s="448"/>
      <c r="AL877" s="448"/>
      <c r="AM877" s="448"/>
      <c r="AN877" s="448"/>
      <c r="AP877" s="448"/>
      <c r="AQ877" s="448"/>
      <c r="AR877" s="448"/>
      <c r="AS877" s="448"/>
      <c r="AT877" s="448"/>
      <c r="AU877" s="448"/>
      <c r="AV877" s="448"/>
      <c r="AW877" s="448"/>
      <c r="AX877" s="448"/>
    </row>
    <row r="878" spans="1:50" x14ac:dyDescent="0.4">
      <c r="A878" s="442" t="str">
        <f t="shared" si="167"/>
        <v>101998</v>
      </c>
      <c r="B878" s="442">
        <v>36069</v>
      </c>
      <c r="C878" s="455">
        <v>8.1299999999999997E-2</v>
      </c>
      <c r="D878" s="438">
        <v>-1.66E-2</v>
      </c>
      <c r="E878" s="438">
        <v>4.1999999999999997E-3</v>
      </c>
      <c r="F878" s="438">
        <v>5.3083333333333342E-3</v>
      </c>
      <c r="G878" s="438">
        <v>5.5833333333333334E-3</v>
      </c>
      <c r="H878" s="438">
        <v>5.4458333333333338E-3</v>
      </c>
      <c r="I878" s="438">
        <v>5.7962499999999993E-3</v>
      </c>
      <c r="J878" s="438">
        <f t="shared" si="156"/>
        <v>7.7100000000000002E-2</v>
      </c>
      <c r="K878" s="438">
        <f t="shared" si="160"/>
        <v>7.5854166666666667E-2</v>
      </c>
      <c r="L878" s="438">
        <f t="shared" si="161"/>
        <v>-2.2396249999999999E-2</v>
      </c>
      <c r="M878" s="446">
        <f t="shared" si="157"/>
        <v>0.22000180733130992</v>
      </c>
      <c r="N878" s="446">
        <f t="shared" si="158"/>
        <v>5.04E-2</v>
      </c>
      <c r="O878" s="446">
        <f t="shared" si="162"/>
        <v>6.5350000000000005E-2</v>
      </c>
      <c r="P878" s="447">
        <f t="shared" si="159"/>
        <v>0.16960180733130992</v>
      </c>
      <c r="Q878" s="446">
        <f t="shared" si="163"/>
        <v>0.1546518073313099</v>
      </c>
      <c r="R878" s="446">
        <f t="shared" si="164"/>
        <v>0.26728827187149151</v>
      </c>
      <c r="S878" s="446">
        <f t="shared" si="165"/>
        <v>6.9554999999999992E-2</v>
      </c>
      <c r="T878" s="447">
        <f t="shared" si="166"/>
        <v>0.19773327187149153</v>
      </c>
      <c r="V878" s="448"/>
      <c r="W878" s="448"/>
      <c r="X878" s="448"/>
      <c r="Y878" s="448"/>
      <c r="Z878" s="448"/>
      <c r="AA878" s="448"/>
      <c r="AB878" s="448"/>
      <c r="AC878" s="448"/>
      <c r="AD878" s="448"/>
      <c r="AF878" s="448"/>
      <c r="AG878" s="448"/>
      <c r="AH878" s="448"/>
      <c r="AI878" s="448"/>
      <c r="AJ878" s="448"/>
      <c r="AK878" s="448"/>
      <c r="AL878" s="448"/>
      <c r="AM878" s="448"/>
      <c r="AN878" s="448"/>
      <c r="AP878" s="448"/>
      <c r="AQ878" s="448"/>
      <c r="AR878" s="448"/>
      <c r="AS878" s="448"/>
      <c r="AT878" s="448"/>
      <c r="AU878" s="448"/>
      <c r="AV878" s="448"/>
      <c r="AW878" s="448"/>
      <c r="AX878" s="448"/>
    </row>
    <row r="879" spans="1:50" x14ac:dyDescent="0.4">
      <c r="A879" s="442" t="str">
        <f t="shared" si="167"/>
        <v>111998</v>
      </c>
      <c r="B879" s="442">
        <v>36100</v>
      </c>
      <c r="C879" s="455">
        <v>6.0600000000000001E-2</v>
      </c>
      <c r="D879" s="438">
        <v>1.3399999999999999E-2</v>
      </c>
      <c r="E879" s="438">
        <v>4.4999999999999997E-3</v>
      </c>
      <c r="F879" s="438">
        <v>5.3416666666666664E-3</v>
      </c>
      <c r="G879" s="438">
        <v>5.6583333333333329E-3</v>
      </c>
      <c r="H879" s="438">
        <v>5.5000000000000005E-3</v>
      </c>
      <c r="I879" s="438">
        <v>5.8635833333333335E-3</v>
      </c>
      <c r="J879" s="438">
        <f t="shared" si="156"/>
        <v>5.6100000000000004E-2</v>
      </c>
      <c r="K879" s="438">
        <f t="shared" si="160"/>
        <v>5.5100000000000003E-2</v>
      </c>
      <c r="L879" s="438">
        <f t="shared" si="161"/>
        <v>7.5364166666666652E-3</v>
      </c>
      <c r="M879" s="446">
        <f t="shared" si="157"/>
        <v>0.2366758261068409</v>
      </c>
      <c r="N879" s="446">
        <f t="shared" si="158"/>
        <v>5.3999999999999992E-2</v>
      </c>
      <c r="O879" s="446">
        <f t="shared" si="162"/>
        <v>6.6000000000000003E-2</v>
      </c>
      <c r="P879" s="447">
        <f t="shared" si="159"/>
        <v>0.18267582610684091</v>
      </c>
      <c r="Q879" s="446">
        <f t="shared" si="163"/>
        <v>0.1706758261068409</v>
      </c>
      <c r="R879" s="446">
        <f t="shared" si="164"/>
        <v>0.19946757701930484</v>
      </c>
      <c r="S879" s="446">
        <f t="shared" si="165"/>
        <v>7.0363000000000009E-2</v>
      </c>
      <c r="T879" s="447">
        <f t="shared" si="166"/>
        <v>0.12910457701930483</v>
      </c>
      <c r="V879" s="448"/>
      <c r="W879" s="448"/>
      <c r="X879" s="448"/>
      <c r="Y879" s="448"/>
      <c r="Z879" s="448"/>
      <c r="AA879" s="448"/>
      <c r="AB879" s="448"/>
      <c r="AC879" s="448"/>
      <c r="AD879" s="448"/>
      <c r="AF879" s="448"/>
      <c r="AG879" s="448"/>
      <c r="AH879" s="448"/>
      <c r="AI879" s="448"/>
      <c r="AJ879" s="448"/>
      <c r="AK879" s="448"/>
      <c r="AL879" s="448"/>
      <c r="AM879" s="448"/>
      <c r="AN879" s="448"/>
      <c r="AP879" s="448"/>
      <c r="AQ879" s="448"/>
      <c r="AR879" s="448"/>
      <c r="AS879" s="448"/>
      <c r="AT879" s="448"/>
      <c r="AU879" s="448"/>
      <c r="AV879" s="448"/>
      <c r="AW879" s="448"/>
      <c r="AX879" s="448"/>
    </row>
    <row r="880" spans="1:50" x14ac:dyDescent="0.4">
      <c r="A880" s="442" t="str">
        <f t="shared" si="167"/>
        <v>121998</v>
      </c>
      <c r="B880" s="442">
        <v>36130</v>
      </c>
      <c r="C880" s="455">
        <v>5.7599999999999998E-2</v>
      </c>
      <c r="D880" s="438">
        <v>2.9500000000000002E-2</v>
      </c>
      <c r="E880" s="438">
        <v>4.4999999999999997E-3</v>
      </c>
      <c r="F880" s="438">
        <v>5.1833333333333332E-3</v>
      </c>
      <c r="G880" s="438">
        <v>5.541666666666667E-3</v>
      </c>
      <c r="H880" s="438">
        <v>5.3625000000000001E-3</v>
      </c>
      <c r="I880" s="438">
        <v>5.7568333333333334E-3</v>
      </c>
      <c r="J880" s="438">
        <f t="shared" si="156"/>
        <v>5.3100000000000001E-2</v>
      </c>
      <c r="K880" s="438">
        <f t="shared" si="160"/>
        <v>5.2237499999999999E-2</v>
      </c>
      <c r="L880" s="438">
        <f t="shared" si="161"/>
        <v>2.3743166666666669E-2</v>
      </c>
      <c r="M880" s="446">
        <f t="shared" si="157"/>
        <v>0.28579271892508329</v>
      </c>
      <c r="N880" s="446">
        <f t="shared" si="158"/>
        <v>5.3999999999999992E-2</v>
      </c>
      <c r="O880" s="446">
        <f t="shared" si="162"/>
        <v>6.4350000000000004E-2</v>
      </c>
      <c r="P880" s="447">
        <f t="shared" si="159"/>
        <v>0.2317927189250833</v>
      </c>
      <c r="Q880" s="446">
        <f t="shared" si="163"/>
        <v>0.22144271892508327</v>
      </c>
      <c r="R880" s="446">
        <f t="shared" si="164"/>
        <v>0.14848574269101045</v>
      </c>
      <c r="S880" s="446">
        <f t="shared" si="165"/>
        <v>6.9082000000000005E-2</v>
      </c>
      <c r="T880" s="447">
        <f t="shared" si="166"/>
        <v>7.9403742691010443E-2</v>
      </c>
      <c r="V880" s="448"/>
      <c r="W880" s="448"/>
      <c r="X880" s="448"/>
      <c r="Y880" s="448"/>
      <c r="Z880" s="448"/>
      <c r="AA880" s="448"/>
      <c r="AB880" s="448"/>
      <c r="AC880" s="448"/>
      <c r="AD880" s="448"/>
      <c r="AF880" s="448"/>
      <c r="AG880" s="448"/>
      <c r="AH880" s="448"/>
      <c r="AI880" s="448"/>
      <c r="AJ880" s="448"/>
      <c r="AK880" s="448"/>
      <c r="AL880" s="448"/>
      <c r="AM880" s="448"/>
      <c r="AN880" s="448"/>
      <c r="AP880" s="448"/>
      <c r="AQ880" s="448"/>
      <c r="AR880" s="448"/>
      <c r="AS880" s="448"/>
      <c r="AT880" s="448"/>
      <c r="AU880" s="448"/>
      <c r="AV880" s="448"/>
      <c r="AW880" s="448"/>
      <c r="AX880" s="448"/>
    </row>
    <row r="881" spans="1:50" x14ac:dyDescent="0.4">
      <c r="A881" s="442" t="str">
        <f t="shared" si="167"/>
        <v>11999</v>
      </c>
      <c r="B881" s="442">
        <v>36161</v>
      </c>
      <c r="C881" s="455">
        <v>4.1799999999999997E-2</v>
      </c>
      <c r="D881" s="438">
        <v>-4.5100000000000001E-2</v>
      </c>
      <c r="E881" s="438">
        <v>4.1999999999999997E-3</v>
      </c>
      <c r="F881" s="438">
        <v>5.1999999999999998E-3</v>
      </c>
      <c r="G881" s="438">
        <v>5.5666666666666668E-3</v>
      </c>
      <c r="H881" s="438">
        <v>5.3833333333333337E-3</v>
      </c>
      <c r="I881" s="438">
        <v>5.8083333333333329E-3</v>
      </c>
      <c r="J881" s="438">
        <f t="shared" si="156"/>
        <v>3.7599999999999995E-2</v>
      </c>
      <c r="K881" s="438">
        <f t="shared" si="160"/>
        <v>3.6416666666666667E-2</v>
      </c>
      <c r="L881" s="438">
        <f t="shared" si="161"/>
        <v>-5.0908333333333333E-2</v>
      </c>
      <c r="M881" s="446">
        <f t="shared" si="157"/>
        <v>0.32483320598966614</v>
      </c>
      <c r="N881" s="446">
        <f t="shared" si="158"/>
        <v>5.04E-2</v>
      </c>
      <c r="O881" s="446">
        <f t="shared" si="162"/>
        <v>6.4600000000000005E-2</v>
      </c>
      <c r="P881" s="447">
        <f t="shared" si="159"/>
        <v>0.27443320598966614</v>
      </c>
      <c r="Q881" s="446">
        <f t="shared" si="163"/>
        <v>0.26023320598966615</v>
      </c>
      <c r="R881" s="446">
        <f t="shared" si="164"/>
        <v>0.1417897300319062</v>
      </c>
      <c r="S881" s="446">
        <f t="shared" si="165"/>
        <v>6.9699999999999998E-2</v>
      </c>
      <c r="T881" s="447">
        <f t="shared" si="166"/>
        <v>7.2089730031906205E-2</v>
      </c>
      <c r="V881" s="448"/>
      <c r="W881" s="448"/>
      <c r="X881" s="448"/>
      <c r="Y881" s="448"/>
      <c r="Z881" s="448"/>
      <c r="AA881" s="448"/>
      <c r="AB881" s="448"/>
      <c r="AC881" s="448"/>
      <c r="AD881" s="448"/>
      <c r="AF881" s="448"/>
      <c r="AG881" s="448"/>
      <c r="AH881" s="448"/>
      <c r="AI881" s="448"/>
      <c r="AJ881" s="448"/>
      <c r="AK881" s="448"/>
      <c r="AL881" s="448"/>
      <c r="AM881" s="448"/>
      <c r="AN881" s="448"/>
      <c r="AP881" s="448"/>
      <c r="AQ881" s="448"/>
      <c r="AR881" s="448"/>
      <c r="AS881" s="448"/>
      <c r="AT881" s="448"/>
      <c r="AU881" s="448"/>
      <c r="AV881" s="448"/>
      <c r="AW881" s="448"/>
      <c r="AX881" s="448"/>
    </row>
    <row r="882" spans="1:50" x14ac:dyDescent="0.4">
      <c r="A882" s="442" t="str">
        <f t="shared" si="167"/>
        <v>21999</v>
      </c>
      <c r="B882" s="442">
        <v>36192</v>
      </c>
      <c r="C882" s="455">
        <v>-3.1099999999999999E-2</v>
      </c>
      <c r="D882" s="438">
        <v>-3.6400000000000002E-2</v>
      </c>
      <c r="E882" s="438">
        <v>4.0000000000000001E-3</v>
      </c>
      <c r="F882" s="438">
        <v>5.3333333333333332E-3</v>
      </c>
      <c r="G882" s="438">
        <v>5.6583333333333329E-3</v>
      </c>
      <c r="H882" s="438">
        <v>5.4958333333333335E-3</v>
      </c>
      <c r="I882" s="438">
        <v>5.8964999999999998E-3</v>
      </c>
      <c r="J882" s="438">
        <f t="shared" si="156"/>
        <v>-3.5099999999999999E-2</v>
      </c>
      <c r="K882" s="438">
        <f t="shared" si="160"/>
        <v>-3.6595833333333334E-2</v>
      </c>
      <c r="L882" s="438">
        <f t="shared" si="161"/>
        <v>-4.2296500000000001E-2</v>
      </c>
      <c r="M882" s="446">
        <f t="shared" si="157"/>
        <v>0.19730518914596384</v>
      </c>
      <c r="N882" s="446">
        <f t="shared" si="158"/>
        <v>4.8000000000000001E-2</v>
      </c>
      <c r="O882" s="446">
        <f t="shared" si="162"/>
        <v>6.5950000000000009E-2</v>
      </c>
      <c r="P882" s="447">
        <f t="shared" si="159"/>
        <v>0.14930518914596386</v>
      </c>
      <c r="Q882" s="446">
        <f t="shared" si="163"/>
        <v>0.13135518914596384</v>
      </c>
      <c r="R882" s="446">
        <f t="shared" si="164"/>
        <v>6.3947958474755984E-2</v>
      </c>
      <c r="S882" s="446">
        <f t="shared" si="165"/>
        <v>7.0758000000000001E-2</v>
      </c>
      <c r="T882" s="447">
        <f t="shared" si="166"/>
        <v>-6.8100415252440177E-3</v>
      </c>
      <c r="V882" s="448"/>
      <c r="W882" s="448"/>
      <c r="X882" s="448"/>
      <c r="Y882" s="448"/>
      <c r="Z882" s="448"/>
      <c r="AA882" s="448"/>
      <c r="AB882" s="448"/>
      <c r="AC882" s="448"/>
      <c r="AD882" s="448"/>
      <c r="AF882" s="448"/>
      <c r="AG882" s="448"/>
      <c r="AH882" s="448"/>
      <c r="AI882" s="448"/>
      <c r="AJ882" s="448"/>
      <c r="AK882" s="448"/>
      <c r="AL882" s="448"/>
      <c r="AM882" s="448"/>
      <c r="AN882" s="448"/>
      <c r="AP882" s="448"/>
      <c r="AQ882" s="448"/>
      <c r="AR882" s="448"/>
      <c r="AS882" s="448"/>
      <c r="AT882" s="448"/>
      <c r="AU882" s="448"/>
      <c r="AV882" s="448"/>
      <c r="AW882" s="448"/>
      <c r="AX882" s="448"/>
    </row>
    <row r="883" spans="1:50" x14ac:dyDescent="0.4">
      <c r="A883" s="442" t="str">
        <f t="shared" si="167"/>
        <v>31999</v>
      </c>
      <c r="B883" s="442">
        <v>36220</v>
      </c>
      <c r="C883" s="455">
        <v>0.04</v>
      </c>
      <c r="D883" s="438">
        <v>-1.4800000000000001E-2</v>
      </c>
      <c r="E883" s="438">
        <v>5.3E-3</v>
      </c>
      <c r="F883" s="438">
        <v>5.5166666666666662E-3</v>
      </c>
      <c r="G883" s="438">
        <v>5.816666666666667E-3</v>
      </c>
      <c r="H883" s="438">
        <v>5.6666666666666662E-3</v>
      </c>
      <c r="I883" s="438">
        <v>6.0460000000000002E-3</v>
      </c>
      <c r="J883" s="438">
        <f t="shared" si="156"/>
        <v>3.4700000000000002E-2</v>
      </c>
      <c r="K883" s="438">
        <f t="shared" si="160"/>
        <v>3.4333333333333334E-2</v>
      </c>
      <c r="L883" s="438">
        <f t="shared" si="161"/>
        <v>-2.0846E-2</v>
      </c>
      <c r="M883" s="446">
        <f t="shared" si="157"/>
        <v>0.18454851285369367</v>
      </c>
      <c r="N883" s="446">
        <f t="shared" si="158"/>
        <v>6.3600000000000004E-2</v>
      </c>
      <c r="O883" s="446">
        <f t="shared" si="162"/>
        <v>6.7999999999999991E-2</v>
      </c>
      <c r="P883" s="447">
        <f t="shared" si="159"/>
        <v>0.12094851285369367</v>
      </c>
      <c r="Q883" s="446">
        <f t="shared" si="163"/>
        <v>0.11654851285369368</v>
      </c>
      <c r="R883" s="446">
        <f t="shared" si="164"/>
        <v>-1.5033331432691921E-2</v>
      </c>
      <c r="S883" s="446">
        <f t="shared" si="165"/>
        <v>7.2552000000000005E-2</v>
      </c>
      <c r="T883" s="447">
        <f t="shared" si="166"/>
        <v>-8.7585331432691926E-2</v>
      </c>
      <c r="V883" s="448"/>
      <c r="W883" s="448"/>
      <c r="X883" s="448"/>
      <c r="Y883" s="448"/>
      <c r="Z883" s="448"/>
      <c r="AA883" s="448"/>
      <c r="AB883" s="448"/>
      <c r="AC883" s="448"/>
      <c r="AD883" s="448"/>
      <c r="AF883" s="448"/>
      <c r="AG883" s="448"/>
      <c r="AH883" s="448"/>
      <c r="AI883" s="448"/>
      <c r="AJ883" s="448"/>
      <c r="AK883" s="448"/>
      <c r="AL883" s="448"/>
      <c r="AM883" s="448"/>
      <c r="AN883" s="448"/>
      <c r="AP883" s="448"/>
      <c r="AQ883" s="448"/>
      <c r="AR883" s="448"/>
      <c r="AS883" s="448"/>
      <c r="AT883" s="448"/>
      <c r="AU883" s="448"/>
      <c r="AV883" s="448"/>
      <c r="AW883" s="448"/>
      <c r="AX883" s="448"/>
    </row>
    <row r="884" spans="1:50" x14ac:dyDescent="0.4">
      <c r="A884" s="442" t="str">
        <f t="shared" si="167"/>
        <v>41999</v>
      </c>
      <c r="B884" s="442">
        <v>36251</v>
      </c>
      <c r="C884" s="455">
        <v>3.8699999999999998E-2</v>
      </c>
      <c r="D884" s="438">
        <v>8.8399999999999992E-2</v>
      </c>
      <c r="E884" s="438">
        <v>4.7999999999999996E-3</v>
      </c>
      <c r="F884" s="438">
        <v>5.5333333333333337E-3</v>
      </c>
      <c r="G884" s="438">
        <v>5.7999999999999996E-3</v>
      </c>
      <c r="H884" s="438">
        <v>5.6666666666666662E-3</v>
      </c>
      <c r="I884" s="438">
        <v>6.0119166666666671E-3</v>
      </c>
      <c r="J884" s="438">
        <f t="shared" si="156"/>
        <v>3.39E-2</v>
      </c>
      <c r="K884" s="438">
        <f t="shared" si="160"/>
        <v>3.3033333333333331E-2</v>
      </c>
      <c r="L884" s="438">
        <f t="shared" si="161"/>
        <v>8.238808333333332E-2</v>
      </c>
      <c r="M884" s="446">
        <f t="shared" si="157"/>
        <v>0.21808785298597266</v>
      </c>
      <c r="N884" s="446">
        <f t="shared" si="158"/>
        <v>5.7599999999999998E-2</v>
      </c>
      <c r="O884" s="446">
        <f t="shared" si="162"/>
        <v>6.7999999999999991E-2</v>
      </c>
      <c r="P884" s="447">
        <f t="shared" si="159"/>
        <v>0.16048785298597268</v>
      </c>
      <c r="Q884" s="446">
        <f t="shared" si="163"/>
        <v>0.15008785298597266</v>
      </c>
      <c r="R884" s="446">
        <f t="shared" si="164"/>
        <v>9.3135232047168781E-2</v>
      </c>
      <c r="S884" s="446">
        <f t="shared" si="165"/>
        <v>7.2143000000000013E-2</v>
      </c>
      <c r="T884" s="447">
        <f t="shared" si="166"/>
        <v>2.0992232047168768E-2</v>
      </c>
      <c r="V884" s="448"/>
      <c r="W884" s="448"/>
      <c r="X884" s="448"/>
      <c r="Y884" s="448"/>
      <c r="Z884" s="448"/>
      <c r="AA884" s="448"/>
      <c r="AB884" s="448"/>
      <c r="AC884" s="448"/>
      <c r="AD884" s="448"/>
      <c r="AF884" s="448"/>
      <c r="AG884" s="448"/>
      <c r="AH884" s="448"/>
      <c r="AI884" s="448"/>
      <c r="AJ884" s="448"/>
      <c r="AK884" s="448"/>
      <c r="AL884" s="448"/>
      <c r="AM884" s="448"/>
      <c r="AN884" s="448"/>
      <c r="AP884" s="448"/>
      <c r="AQ884" s="448"/>
      <c r="AR884" s="448"/>
      <c r="AS884" s="448"/>
      <c r="AT884" s="448"/>
      <c r="AU884" s="448"/>
      <c r="AV884" s="448"/>
      <c r="AW884" s="448"/>
      <c r="AX884" s="448"/>
    </row>
    <row r="885" spans="1:50" x14ac:dyDescent="0.4">
      <c r="A885" s="442" t="str">
        <f t="shared" si="167"/>
        <v>51999</v>
      </c>
      <c r="B885" s="442">
        <v>36281</v>
      </c>
      <c r="C885" s="455">
        <v>-2.3599999999999999E-2</v>
      </c>
      <c r="D885" s="438">
        <v>6.0899999999999996E-2</v>
      </c>
      <c r="E885" s="438">
        <v>4.4999999999999997E-3</v>
      </c>
      <c r="F885" s="438">
        <v>5.7749999999999998E-3</v>
      </c>
      <c r="G885" s="438">
        <v>6.025E-3</v>
      </c>
      <c r="H885" s="438">
        <v>5.9000000000000007E-3</v>
      </c>
      <c r="I885" s="438">
        <v>6.2141666666666664E-3</v>
      </c>
      <c r="J885" s="438">
        <f t="shared" si="156"/>
        <v>-2.81E-2</v>
      </c>
      <c r="K885" s="438">
        <f t="shared" si="160"/>
        <v>-2.9499999999999998E-2</v>
      </c>
      <c r="L885" s="438">
        <f t="shared" si="161"/>
        <v>5.4685833333333329E-2</v>
      </c>
      <c r="M885" s="446">
        <f t="shared" si="157"/>
        <v>0.21015565695513172</v>
      </c>
      <c r="N885" s="446">
        <f t="shared" si="158"/>
        <v>5.3999999999999992E-2</v>
      </c>
      <c r="O885" s="446">
        <f t="shared" si="162"/>
        <v>7.0800000000000002E-2</v>
      </c>
      <c r="P885" s="447">
        <f t="shared" si="159"/>
        <v>0.15615565695513173</v>
      </c>
      <c r="Q885" s="446">
        <f t="shared" si="163"/>
        <v>0.13935565695513172</v>
      </c>
      <c r="R885" s="446">
        <f t="shared" si="164"/>
        <v>0.16553484188828227</v>
      </c>
      <c r="S885" s="446">
        <f t="shared" si="165"/>
        <v>7.4569999999999997E-2</v>
      </c>
      <c r="T885" s="447">
        <f t="shared" si="166"/>
        <v>9.0964841888282272E-2</v>
      </c>
      <c r="V885" s="448"/>
      <c r="W885" s="448"/>
      <c r="X885" s="448"/>
      <c r="Y885" s="448"/>
      <c r="Z885" s="448"/>
      <c r="AA885" s="448"/>
      <c r="AB885" s="448"/>
      <c r="AC885" s="448"/>
      <c r="AD885" s="448"/>
      <c r="AF885" s="448"/>
      <c r="AG885" s="448"/>
      <c r="AH885" s="448"/>
      <c r="AI885" s="448"/>
      <c r="AJ885" s="448"/>
      <c r="AK885" s="448"/>
      <c r="AL885" s="448"/>
      <c r="AM885" s="448"/>
      <c r="AN885" s="448"/>
      <c r="AP885" s="448"/>
      <c r="AQ885" s="448"/>
      <c r="AR885" s="448"/>
      <c r="AS885" s="448"/>
      <c r="AT885" s="448"/>
      <c r="AU885" s="448"/>
      <c r="AV885" s="448"/>
      <c r="AW885" s="448"/>
      <c r="AX885" s="448"/>
    </row>
    <row r="886" spans="1:50" x14ac:dyDescent="0.4">
      <c r="A886" s="442" t="str">
        <f t="shared" si="167"/>
        <v>61999</v>
      </c>
      <c r="B886" s="442">
        <v>36312</v>
      </c>
      <c r="C886" s="455">
        <v>5.5500000000000001E-2</v>
      </c>
      <c r="D886" s="438">
        <v>-3.32E-2</v>
      </c>
      <c r="E886" s="438">
        <v>5.4999999999999997E-3</v>
      </c>
      <c r="F886" s="438">
        <v>6.025E-3</v>
      </c>
      <c r="G886" s="438">
        <v>6.266666666666666E-3</v>
      </c>
      <c r="H886" s="438">
        <v>6.145833333333333E-3</v>
      </c>
      <c r="I886" s="438">
        <v>6.445416666666667E-3</v>
      </c>
      <c r="J886" s="438">
        <f t="shared" si="156"/>
        <v>0.05</v>
      </c>
      <c r="K886" s="438">
        <f t="shared" si="160"/>
        <v>4.9354166666666671E-2</v>
      </c>
      <c r="L886" s="438">
        <f t="shared" si="161"/>
        <v>-3.9645416666666669E-2</v>
      </c>
      <c r="M886" s="446">
        <f t="shared" si="157"/>
        <v>0.22748346714985801</v>
      </c>
      <c r="N886" s="446">
        <f t="shared" si="158"/>
        <v>6.6000000000000003E-2</v>
      </c>
      <c r="O886" s="446">
        <f t="shared" si="162"/>
        <v>7.3749999999999996E-2</v>
      </c>
      <c r="P886" s="447">
        <f t="shared" si="159"/>
        <v>0.16148346714985801</v>
      </c>
      <c r="Q886" s="446">
        <f t="shared" si="163"/>
        <v>0.15373346714985803</v>
      </c>
      <c r="R886" s="446">
        <f t="shared" si="164"/>
        <v>8.6738436818971643E-2</v>
      </c>
      <c r="S886" s="446">
        <f t="shared" si="165"/>
        <v>7.7344999999999997E-2</v>
      </c>
      <c r="T886" s="447">
        <f t="shared" si="166"/>
        <v>9.3934368189716455E-3</v>
      </c>
      <c r="V886" s="448"/>
      <c r="W886" s="448"/>
      <c r="X886" s="448"/>
      <c r="Y886" s="448"/>
      <c r="Z886" s="448"/>
      <c r="AA886" s="448"/>
      <c r="AB886" s="448"/>
      <c r="AC886" s="448"/>
      <c r="AD886" s="448"/>
      <c r="AF886" s="448"/>
      <c r="AG886" s="448"/>
      <c r="AH886" s="448"/>
      <c r="AI886" s="448"/>
      <c r="AJ886" s="448"/>
      <c r="AK886" s="448"/>
      <c r="AL886" s="448"/>
      <c r="AM886" s="448"/>
      <c r="AN886" s="448"/>
      <c r="AP886" s="448"/>
      <c r="AQ886" s="448"/>
      <c r="AR886" s="448"/>
      <c r="AS886" s="448"/>
      <c r="AT886" s="448"/>
      <c r="AU886" s="448"/>
      <c r="AV886" s="448"/>
      <c r="AW886" s="448"/>
      <c r="AX886" s="448"/>
    </row>
    <row r="887" spans="1:50" x14ac:dyDescent="0.4">
      <c r="A887" s="442" t="str">
        <f t="shared" si="167"/>
        <v>71999</v>
      </c>
      <c r="B887" s="442">
        <v>36342</v>
      </c>
      <c r="C887" s="455">
        <v>-3.1199999999999999E-2</v>
      </c>
      <c r="D887" s="438">
        <v>-1.14E-2</v>
      </c>
      <c r="E887" s="438">
        <v>5.1000000000000004E-3</v>
      </c>
      <c r="F887" s="438">
        <v>5.9916666666666677E-3</v>
      </c>
      <c r="G887" s="438">
        <v>6.2333333333333338E-3</v>
      </c>
      <c r="H887" s="438">
        <v>6.1125000000000007E-3</v>
      </c>
      <c r="I887" s="438">
        <v>6.4182499999999995E-3</v>
      </c>
      <c r="J887" s="438">
        <f t="shared" si="156"/>
        <v>-3.6299999999999999E-2</v>
      </c>
      <c r="K887" s="438">
        <f t="shared" si="160"/>
        <v>-3.7312499999999998E-2</v>
      </c>
      <c r="L887" s="438">
        <f t="shared" si="161"/>
        <v>-1.7818250000000001E-2</v>
      </c>
      <c r="M887" s="446">
        <f t="shared" si="157"/>
        <v>0.20192640284493835</v>
      </c>
      <c r="N887" s="446">
        <f t="shared" si="158"/>
        <v>6.1200000000000004E-2</v>
      </c>
      <c r="O887" s="446">
        <f t="shared" si="162"/>
        <v>7.3350000000000012E-2</v>
      </c>
      <c r="P887" s="447">
        <f t="shared" si="159"/>
        <v>0.14072640284493834</v>
      </c>
      <c r="Q887" s="446">
        <f t="shared" si="163"/>
        <v>0.12857640284493832</v>
      </c>
      <c r="R887" s="446">
        <f t="shared" si="164"/>
        <v>0.13006165839827011</v>
      </c>
      <c r="S887" s="446">
        <f t="shared" si="165"/>
        <v>7.701899999999999E-2</v>
      </c>
      <c r="T887" s="447">
        <f t="shared" si="166"/>
        <v>5.3042658398270118E-2</v>
      </c>
      <c r="V887" s="448"/>
      <c r="W887" s="448"/>
      <c r="X887" s="448"/>
      <c r="Y887" s="448"/>
      <c r="Z887" s="448"/>
      <c r="AA887" s="448"/>
      <c r="AB887" s="448"/>
      <c r="AC887" s="448"/>
      <c r="AD887" s="448"/>
      <c r="AF887" s="448"/>
      <c r="AG887" s="448"/>
      <c r="AH887" s="448"/>
      <c r="AI887" s="448"/>
      <c r="AJ887" s="448"/>
      <c r="AK887" s="448"/>
      <c r="AL887" s="448"/>
      <c r="AM887" s="448"/>
      <c r="AN887" s="448"/>
      <c r="AP887" s="448"/>
      <c r="AQ887" s="448"/>
      <c r="AR887" s="448"/>
      <c r="AS887" s="448"/>
      <c r="AT887" s="448"/>
      <c r="AU887" s="448"/>
      <c r="AV887" s="448"/>
      <c r="AW887" s="448"/>
      <c r="AX887" s="448"/>
    </row>
    <row r="888" spans="1:50" x14ac:dyDescent="0.4">
      <c r="A888" s="442" t="str">
        <f t="shared" si="167"/>
        <v>81999</v>
      </c>
      <c r="B888" s="442">
        <v>36373</v>
      </c>
      <c r="C888" s="455">
        <v>-4.8999999999999998E-3</v>
      </c>
      <c r="D888" s="438">
        <v>1.1699999999999999E-2</v>
      </c>
      <c r="E888" s="438">
        <v>5.4000000000000003E-3</v>
      </c>
      <c r="F888" s="438">
        <v>6.1666666666666667E-3</v>
      </c>
      <c r="G888" s="438">
        <v>6.4000000000000003E-3</v>
      </c>
      <c r="H888" s="438">
        <v>6.2833333333333343E-3</v>
      </c>
      <c r="I888" s="438">
        <v>6.5894166666666662E-3</v>
      </c>
      <c r="J888" s="438">
        <f t="shared" si="156"/>
        <v>-1.03E-2</v>
      </c>
      <c r="K888" s="438">
        <f t="shared" si="160"/>
        <v>-1.1183333333333333E-2</v>
      </c>
      <c r="L888" s="438">
        <f t="shared" si="161"/>
        <v>5.1105833333333324E-3</v>
      </c>
      <c r="M888" s="446">
        <f t="shared" si="157"/>
        <v>0.39821950370703663</v>
      </c>
      <c r="N888" s="446">
        <f t="shared" si="158"/>
        <v>6.4799999999999996E-2</v>
      </c>
      <c r="O888" s="446">
        <f t="shared" si="162"/>
        <v>7.5400000000000009E-2</v>
      </c>
      <c r="P888" s="447">
        <f t="shared" si="159"/>
        <v>0.33341950370703666</v>
      </c>
      <c r="Q888" s="446">
        <f t="shared" si="163"/>
        <v>0.3228195037070366</v>
      </c>
      <c r="R888" s="446">
        <f t="shared" si="164"/>
        <v>0.12516817222864884</v>
      </c>
      <c r="S888" s="446">
        <f t="shared" si="165"/>
        <v>7.9072999999999991E-2</v>
      </c>
      <c r="T888" s="447">
        <f t="shared" si="166"/>
        <v>4.6095172228648854E-2</v>
      </c>
      <c r="V888" s="448"/>
      <c r="W888" s="448"/>
      <c r="X888" s="448"/>
      <c r="Y888" s="448"/>
      <c r="Z888" s="448"/>
      <c r="AA888" s="448"/>
      <c r="AB888" s="448"/>
      <c r="AC888" s="448"/>
      <c r="AD888" s="448"/>
      <c r="AF888" s="448"/>
      <c r="AG888" s="448"/>
      <c r="AH888" s="448"/>
      <c r="AI888" s="448"/>
      <c r="AJ888" s="448"/>
      <c r="AK888" s="448"/>
      <c r="AL888" s="448"/>
      <c r="AM888" s="448"/>
      <c r="AN888" s="448"/>
      <c r="AP888" s="448"/>
      <c r="AQ888" s="448"/>
      <c r="AR888" s="448"/>
      <c r="AS888" s="448"/>
      <c r="AT888" s="448"/>
      <c r="AU888" s="448"/>
      <c r="AV888" s="448"/>
      <c r="AW888" s="448"/>
      <c r="AX888" s="448"/>
    </row>
    <row r="889" spans="1:50" x14ac:dyDescent="0.4">
      <c r="A889" s="442" t="str">
        <f t="shared" si="167"/>
        <v>91999</v>
      </c>
      <c r="B889" s="442">
        <v>36404</v>
      </c>
      <c r="C889" s="455">
        <v>-2.7400000000000001E-2</v>
      </c>
      <c r="D889" s="438">
        <v>-4.8000000000000001E-2</v>
      </c>
      <c r="E889" s="438">
        <v>5.1999999999999998E-3</v>
      </c>
      <c r="F889" s="438">
        <v>6.1583333333333334E-3</v>
      </c>
      <c r="G889" s="438">
        <v>6.4000000000000003E-3</v>
      </c>
      <c r="H889" s="438">
        <v>6.2791666666666664E-3</v>
      </c>
      <c r="I889" s="438">
        <v>6.6099166666666667E-3</v>
      </c>
      <c r="J889" s="438">
        <f t="shared" si="156"/>
        <v>-3.2600000000000004E-2</v>
      </c>
      <c r="K889" s="438">
        <f t="shared" si="160"/>
        <v>-3.367916666666667E-2</v>
      </c>
      <c r="L889" s="438">
        <f t="shared" si="161"/>
        <v>-5.4609916666666668E-2</v>
      </c>
      <c r="M889" s="446">
        <f t="shared" si="157"/>
        <v>0.27798918269473072</v>
      </c>
      <c r="N889" s="446">
        <f t="shared" si="158"/>
        <v>6.2399999999999997E-2</v>
      </c>
      <c r="O889" s="446">
        <f t="shared" si="162"/>
        <v>7.535E-2</v>
      </c>
      <c r="P889" s="447">
        <f t="shared" si="159"/>
        <v>0.21558918269473071</v>
      </c>
      <c r="Q889" s="446">
        <f t="shared" si="163"/>
        <v>0.20263918269473072</v>
      </c>
      <c r="R889" s="446">
        <f t="shared" si="164"/>
        <v>-1.1388924816176038E-2</v>
      </c>
      <c r="S889" s="446">
        <f t="shared" si="165"/>
        <v>7.9319000000000001E-2</v>
      </c>
      <c r="T889" s="447">
        <f t="shared" si="166"/>
        <v>-9.0707924816176039E-2</v>
      </c>
      <c r="V889" s="448"/>
      <c r="W889" s="448"/>
      <c r="X889" s="448"/>
      <c r="Y889" s="448"/>
      <c r="Z889" s="448"/>
      <c r="AA889" s="448"/>
      <c r="AB889" s="448"/>
      <c r="AC889" s="448"/>
      <c r="AD889" s="448"/>
      <c r="AF889" s="448"/>
      <c r="AG889" s="448"/>
      <c r="AH889" s="448"/>
      <c r="AI889" s="448"/>
      <c r="AJ889" s="448"/>
      <c r="AK889" s="448"/>
      <c r="AL889" s="448"/>
      <c r="AM889" s="448"/>
      <c r="AN889" s="448"/>
      <c r="AP889" s="448"/>
      <c r="AQ889" s="448"/>
      <c r="AR889" s="448"/>
      <c r="AS889" s="448"/>
      <c r="AT889" s="448"/>
      <c r="AU889" s="448"/>
      <c r="AV889" s="448"/>
      <c r="AW889" s="448"/>
      <c r="AX889" s="448"/>
    </row>
    <row r="890" spans="1:50" x14ac:dyDescent="0.4">
      <c r="A890" s="442" t="str">
        <f t="shared" si="167"/>
        <v>101999</v>
      </c>
      <c r="B890" s="442">
        <v>36434</v>
      </c>
      <c r="C890" s="455">
        <v>6.3299999999999995E-2</v>
      </c>
      <c r="D890" s="438">
        <v>1.5699999999999999E-2</v>
      </c>
      <c r="E890" s="438">
        <v>5.0000000000000001E-3</v>
      </c>
      <c r="F890" s="438">
        <v>6.2916666666666668E-3</v>
      </c>
      <c r="G890" s="438">
        <v>6.4916666666666664E-3</v>
      </c>
      <c r="H890" s="438">
        <v>6.391666666666667E-3</v>
      </c>
      <c r="I890" s="438">
        <v>6.7205833333333327E-3</v>
      </c>
      <c r="J890" s="438">
        <f t="shared" si="156"/>
        <v>5.8299999999999998E-2</v>
      </c>
      <c r="K890" s="438">
        <f t="shared" si="160"/>
        <v>5.6908333333333325E-2</v>
      </c>
      <c r="L890" s="438">
        <f t="shared" si="161"/>
        <v>8.9794166666666668E-3</v>
      </c>
      <c r="M890" s="446">
        <f t="shared" si="157"/>
        <v>0.25671497083076611</v>
      </c>
      <c r="N890" s="446">
        <f t="shared" si="158"/>
        <v>0.06</v>
      </c>
      <c r="O890" s="446">
        <f t="shared" si="162"/>
        <v>7.6700000000000004E-2</v>
      </c>
      <c r="P890" s="447">
        <f t="shared" si="159"/>
        <v>0.19671497083076611</v>
      </c>
      <c r="Q890" s="446">
        <f t="shared" si="163"/>
        <v>0.18001497083076612</v>
      </c>
      <c r="R890" s="446">
        <f t="shared" si="164"/>
        <v>2.108223415111854E-2</v>
      </c>
      <c r="S890" s="446">
        <f t="shared" si="165"/>
        <v>8.0646999999999996E-2</v>
      </c>
      <c r="T890" s="447">
        <f t="shared" si="166"/>
        <v>-5.9564765848881457E-2</v>
      </c>
      <c r="V890" s="448"/>
      <c r="W890" s="448"/>
      <c r="X890" s="448"/>
      <c r="Y890" s="448"/>
      <c r="Z890" s="448"/>
      <c r="AA890" s="448"/>
      <c r="AB890" s="448"/>
      <c r="AC890" s="448"/>
      <c r="AD890" s="448"/>
      <c r="AF890" s="448"/>
      <c r="AG890" s="448"/>
      <c r="AH890" s="448"/>
      <c r="AI890" s="448"/>
      <c r="AJ890" s="448"/>
      <c r="AK890" s="448"/>
      <c r="AL890" s="448"/>
      <c r="AM890" s="448"/>
      <c r="AN890" s="448"/>
      <c r="AP890" s="448"/>
      <c r="AQ890" s="448"/>
      <c r="AR890" s="448"/>
      <c r="AS890" s="448"/>
      <c r="AT890" s="448"/>
      <c r="AU890" s="448"/>
      <c r="AV890" s="448"/>
      <c r="AW890" s="448"/>
      <c r="AX890" s="448"/>
    </row>
    <row r="891" spans="1:50" x14ac:dyDescent="0.4">
      <c r="A891" s="442" t="str">
        <f t="shared" si="167"/>
        <v>111999</v>
      </c>
      <c r="B891" s="442">
        <v>36465</v>
      </c>
      <c r="C891" s="455">
        <v>2.0299999999999999E-2</v>
      </c>
      <c r="D891" s="438">
        <v>-7.7300000000000008E-2</v>
      </c>
      <c r="E891" s="438">
        <v>5.5999999999999991E-3</v>
      </c>
      <c r="F891" s="438">
        <v>6.1333333333333344E-3</v>
      </c>
      <c r="G891" s="438">
        <v>6.3499999999999997E-3</v>
      </c>
      <c r="H891" s="438">
        <v>6.2416666666666679E-3</v>
      </c>
      <c r="I891" s="438">
        <v>6.6095833333333328E-3</v>
      </c>
      <c r="J891" s="438">
        <f t="shared" si="156"/>
        <v>1.47E-2</v>
      </c>
      <c r="K891" s="438">
        <f t="shared" si="160"/>
        <v>1.4058333333333331E-2</v>
      </c>
      <c r="L891" s="438">
        <f t="shared" si="161"/>
        <v>-8.3909583333333343E-2</v>
      </c>
      <c r="M891" s="446">
        <f t="shared" si="157"/>
        <v>0.20896311968567827</v>
      </c>
      <c r="N891" s="446">
        <f t="shared" si="158"/>
        <v>6.7199999999999982E-2</v>
      </c>
      <c r="O891" s="446">
        <f t="shared" si="162"/>
        <v>7.4900000000000022E-2</v>
      </c>
      <c r="P891" s="447">
        <f t="shared" si="159"/>
        <v>0.14176311968567828</v>
      </c>
      <c r="Q891" s="446">
        <f t="shared" si="163"/>
        <v>0.13406311968567824</v>
      </c>
      <c r="R891" s="446">
        <f t="shared" si="164"/>
        <v>-7.03053311118641E-2</v>
      </c>
      <c r="S891" s="446">
        <f t="shared" si="165"/>
        <v>7.9314999999999997E-2</v>
      </c>
      <c r="T891" s="447">
        <f t="shared" si="166"/>
        <v>-0.1496203311118641</v>
      </c>
      <c r="V891" s="448"/>
      <c r="W891" s="448"/>
      <c r="X891" s="448"/>
      <c r="Y891" s="448"/>
      <c r="Z891" s="448"/>
      <c r="AA891" s="448"/>
      <c r="AB891" s="448"/>
      <c r="AC891" s="448"/>
      <c r="AD891" s="448"/>
      <c r="AF891" s="448"/>
      <c r="AG891" s="448"/>
      <c r="AH891" s="448"/>
      <c r="AI891" s="448"/>
      <c r="AJ891" s="448"/>
      <c r="AK891" s="448"/>
      <c r="AL891" s="448"/>
      <c r="AM891" s="448"/>
      <c r="AN891" s="448"/>
      <c r="AP891" s="448"/>
      <c r="AQ891" s="448"/>
      <c r="AR891" s="448"/>
      <c r="AS891" s="448"/>
      <c r="AT891" s="448"/>
      <c r="AU891" s="448"/>
      <c r="AV891" s="448"/>
      <c r="AW891" s="448"/>
      <c r="AX891" s="448"/>
    </row>
    <row r="892" spans="1:50" x14ac:dyDescent="0.4">
      <c r="A892" s="442" t="str">
        <f t="shared" si="167"/>
        <v>121999</v>
      </c>
      <c r="B892" s="442">
        <v>36495</v>
      </c>
      <c r="C892" s="455">
        <v>5.8900000000000001E-2</v>
      </c>
      <c r="D892" s="438">
        <v>9.2999999999999992E-3</v>
      </c>
      <c r="E892" s="438">
        <v>5.4999999999999997E-3</v>
      </c>
      <c r="F892" s="438">
        <v>6.2916666666666668E-3</v>
      </c>
      <c r="G892" s="438">
        <v>6.4833333333333331E-3</v>
      </c>
      <c r="H892" s="438">
        <v>6.3874999999999991E-3</v>
      </c>
      <c r="I892" s="438">
        <v>6.7658333333333329E-3</v>
      </c>
      <c r="J892" s="438">
        <f t="shared" si="156"/>
        <v>5.3400000000000003E-2</v>
      </c>
      <c r="K892" s="438">
        <f t="shared" si="160"/>
        <v>5.2512500000000004E-2</v>
      </c>
      <c r="L892" s="438">
        <f t="shared" si="161"/>
        <v>2.5341666666666663E-3</v>
      </c>
      <c r="M892" s="446">
        <f t="shared" si="157"/>
        <v>0.21044917495760695</v>
      </c>
      <c r="N892" s="446">
        <f t="shared" si="158"/>
        <v>6.6000000000000003E-2</v>
      </c>
      <c r="O892" s="446">
        <f t="shared" si="162"/>
        <v>7.6649999999999996E-2</v>
      </c>
      <c r="P892" s="447">
        <f t="shared" si="159"/>
        <v>0.14444917495760695</v>
      </c>
      <c r="Q892" s="446">
        <f t="shared" si="163"/>
        <v>0.13379917495760696</v>
      </c>
      <c r="R892" s="446">
        <f t="shared" si="164"/>
        <v>-8.8547033211466175E-2</v>
      </c>
      <c r="S892" s="446">
        <f t="shared" si="165"/>
        <v>8.1189999999999998E-2</v>
      </c>
      <c r="T892" s="447">
        <f t="shared" si="166"/>
        <v>-0.16973703321146616</v>
      </c>
      <c r="V892" s="448"/>
      <c r="W892" s="448"/>
      <c r="X892" s="448"/>
      <c r="Y892" s="448"/>
      <c r="Z892" s="448"/>
      <c r="AA892" s="448"/>
      <c r="AB892" s="448"/>
      <c r="AC892" s="448"/>
      <c r="AD892" s="448"/>
      <c r="AF892" s="448"/>
      <c r="AG892" s="448"/>
      <c r="AH892" s="448"/>
      <c r="AI892" s="448"/>
      <c r="AJ892" s="448"/>
      <c r="AK892" s="448"/>
      <c r="AL892" s="448"/>
      <c r="AM892" s="448"/>
      <c r="AN892" s="448"/>
      <c r="AP892" s="448"/>
      <c r="AQ892" s="448"/>
      <c r="AR892" s="448"/>
      <c r="AS892" s="448"/>
      <c r="AT892" s="448"/>
      <c r="AU892" s="448"/>
      <c r="AV892" s="448"/>
      <c r="AW892" s="448"/>
      <c r="AX892" s="448"/>
    </row>
    <row r="893" spans="1:50" x14ac:dyDescent="0.4">
      <c r="A893" s="442" t="str">
        <f t="shared" si="167"/>
        <v>12000</v>
      </c>
      <c r="B893" s="442">
        <v>36526</v>
      </c>
      <c r="C893" s="455">
        <v>-5.0200000000000002E-2</v>
      </c>
      <c r="D893" s="438">
        <v>0.1085</v>
      </c>
      <c r="E893" s="438">
        <v>5.7000000000000002E-3</v>
      </c>
      <c r="F893" s="438">
        <v>6.4833333333333331E-3</v>
      </c>
      <c r="G893" s="438">
        <v>6.6333333333333331E-3</v>
      </c>
      <c r="H893" s="438">
        <v>6.5583333333333327E-3</v>
      </c>
      <c r="I893" s="438">
        <v>6.9562500000000006E-3</v>
      </c>
      <c r="J893" s="438">
        <f t="shared" si="156"/>
        <v>-5.5900000000000005E-2</v>
      </c>
      <c r="K893" s="438">
        <f t="shared" si="160"/>
        <v>-5.6758333333333334E-2</v>
      </c>
      <c r="L893" s="438">
        <f t="shared" si="161"/>
        <v>0.10154375</v>
      </c>
      <c r="M893" s="446">
        <f t="shared" si="157"/>
        <v>0.10355598615351802</v>
      </c>
      <c r="N893" s="446">
        <f t="shared" si="158"/>
        <v>6.8400000000000002E-2</v>
      </c>
      <c r="O893" s="446">
        <f t="shared" si="162"/>
        <v>7.8699999999999992E-2</v>
      </c>
      <c r="P893" s="447">
        <f t="shared" si="159"/>
        <v>3.5155986153518018E-2</v>
      </c>
      <c r="Q893" s="446">
        <f t="shared" si="163"/>
        <v>2.4855986153518028E-2</v>
      </c>
      <c r="R893" s="446">
        <f t="shared" si="164"/>
        <v>5.8064314258131855E-2</v>
      </c>
      <c r="S893" s="446">
        <f t="shared" si="165"/>
        <v>8.3475000000000008E-2</v>
      </c>
      <c r="T893" s="447">
        <f t="shared" si="166"/>
        <v>-2.5410685741868153E-2</v>
      </c>
      <c r="V893" s="448"/>
      <c r="W893" s="448"/>
      <c r="X893" s="448"/>
      <c r="Y893" s="448"/>
      <c r="Z893" s="448"/>
      <c r="AA893" s="448"/>
      <c r="AB893" s="448"/>
      <c r="AC893" s="448"/>
      <c r="AD893" s="448"/>
      <c r="AF893" s="448"/>
      <c r="AG893" s="448"/>
      <c r="AH893" s="448"/>
      <c r="AI893" s="448"/>
      <c r="AJ893" s="448"/>
      <c r="AK893" s="448"/>
      <c r="AL893" s="448"/>
      <c r="AM893" s="448"/>
      <c r="AN893" s="448"/>
      <c r="AP893" s="448"/>
      <c r="AQ893" s="448"/>
      <c r="AR893" s="448"/>
      <c r="AS893" s="448"/>
      <c r="AT893" s="448"/>
      <c r="AU893" s="448"/>
      <c r="AV893" s="448"/>
      <c r="AW893" s="448"/>
      <c r="AX893" s="448"/>
    </row>
    <row r="894" spans="1:50" x14ac:dyDescent="0.4">
      <c r="A894" s="442" t="str">
        <f t="shared" si="167"/>
        <v>22000</v>
      </c>
      <c r="B894" s="442">
        <v>36557</v>
      </c>
      <c r="C894" s="455">
        <v>-1.89E-2</v>
      </c>
      <c r="D894" s="438">
        <v>-5.7800000000000004E-2</v>
      </c>
      <c r="E894" s="438">
        <v>5.1000000000000004E-3</v>
      </c>
      <c r="F894" s="438">
        <v>6.4000000000000003E-3</v>
      </c>
      <c r="G894" s="438">
        <v>6.5166666666666671E-3</v>
      </c>
      <c r="H894" s="438">
        <v>6.4583333333333333E-3</v>
      </c>
      <c r="I894" s="438">
        <v>6.8737499999999997E-3</v>
      </c>
      <c r="J894" s="438">
        <f t="shared" si="156"/>
        <v>-2.4E-2</v>
      </c>
      <c r="K894" s="438">
        <f t="shared" si="160"/>
        <v>-2.5358333333333333E-2</v>
      </c>
      <c r="L894" s="438">
        <f t="shared" si="161"/>
        <v>-6.4673750000000002E-2</v>
      </c>
      <c r="M894" s="446">
        <f t="shared" si="157"/>
        <v>0.11745152029643569</v>
      </c>
      <c r="N894" s="446">
        <f t="shared" si="158"/>
        <v>6.1200000000000004E-2</v>
      </c>
      <c r="O894" s="446">
        <f t="shared" si="162"/>
        <v>7.7499999999999999E-2</v>
      </c>
      <c r="P894" s="447">
        <f t="shared" si="159"/>
        <v>5.6251520296435681E-2</v>
      </c>
      <c r="Q894" s="446">
        <f t="shared" si="163"/>
        <v>3.9951520296435686E-2</v>
      </c>
      <c r="R894" s="446">
        <f t="shared" si="164"/>
        <v>3.4566414377346977E-2</v>
      </c>
      <c r="S894" s="446">
        <f t="shared" si="165"/>
        <v>8.2485000000000003E-2</v>
      </c>
      <c r="T894" s="447">
        <f t="shared" si="166"/>
        <v>-4.7918585622653026E-2</v>
      </c>
      <c r="V894" s="448"/>
      <c r="W894" s="448"/>
      <c r="X894" s="448"/>
      <c r="Y894" s="448"/>
      <c r="Z894" s="448"/>
      <c r="AA894" s="448"/>
      <c r="AB894" s="448"/>
      <c r="AC894" s="448"/>
      <c r="AD894" s="448"/>
      <c r="AF894" s="448"/>
      <c r="AG894" s="448"/>
      <c r="AH894" s="448"/>
      <c r="AI894" s="448"/>
      <c r="AJ894" s="448"/>
      <c r="AK894" s="448"/>
      <c r="AL894" s="448"/>
      <c r="AM894" s="448"/>
      <c r="AN894" s="448"/>
      <c r="AP894" s="448"/>
      <c r="AQ894" s="448"/>
      <c r="AR894" s="448"/>
      <c r="AS894" s="448"/>
      <c r="AT894" s="448"/>
      <c r="AU894" s="448"/>
      <c r="AV894" s="448"/>
      <c r="AW894" s="448"/>
      <c r="AX894" s="448"/>
    </row>
    <row r="895" spans="1:50" x14ac:dyDescent="0.4">
      <c r="A895" s="442" t="str">
        <f t="shared" si="167"/>
        <v>32000</v>
      </c>
      <c r="B895" s="442">
        <v>36586</v>
      </c>
      <c r="C895" s="455">
        <v>9.7799999999999998E-2</v>
      </c>
      <c r="D895" s="438">
        <v>3.49E-2</v>
      </c>
      <c r="E895" s="438">
        <v>5.4000000000000003E-3</v>
      </c>
      <c r="F895" s="438">
        <v>6.4000000000000003E-3</v>
      </c>
      <c r="G895" s="438">
        <v>6.5249999999999996E-3</v>
      </c>
      <c r="H895" s="438">
        <v>6.4624999999999995E-3</v>
      </c>
      <c r="I895" s="438">
        <v>6.9058333333333341E-3</v>
      </c>
      <c r="J895" s="438">
        <f t="shared" si="156"/>
        <v>9.2399999999999996E-2</v>
      </c>
      <c r="K895" s="438">
        <f t="shared" si="160"/>
        <v>9.1337500000000002E-2</v>
      </c>
      <c r="L895" s="438">
        <f t="shared" si="161"/>
        <v>2.7994166666666667E-2</v>
      </c>
      <c r="M895" s="446">
        <f t="shared" si="157"/>
        <v>0.17955603748214122</v>
      </c>
      <c r="N895" s="446">
        <f t="shared" si="158"/>
        <v>6.4799999999999996E-2</v>
      </c>
      <c r="O895" s="446">
        <f t="shared" si="162"/>
        <v>7.7549999999999994E-2</v>
      </c>
      <c r="P895" s="447">
        <f t="shared" si="159"/>
        <v>0.11475603748214122</v>
      </c>
      <c r="Q895" s="446">
        <f t="shared" si="163"/>
        <v>0.10200603748214122</v>
      </c>
      <c r="R895" s="446">
        <f t="shared" si="164"/>
        <v>8.6756782621921102E-2</v>
      </c>
      <c r="S895" s="446">
        <f t="shared" si="165"/>
        <v>8.2870000000000013E-2</v>
      </c>
      <c r="T895" s="447">
        <f t="shared" si="166"/>
        <v>3.8867826219210894E-3</v>
      </c>
      <c r="V895" s="448"/>
      <c r="W895" s="448"/>
      <c r="X895" s="448"/>
      <c r="Y895" s="448"/>
      <c r="Z895" s="448"/>
      <c r="AA895" s="448"/>
      <c r="AB895" s="448"/>
      <c r="AC895" s="448"/>
      <c r="AD895" s="448"/>
      <c r="AF895" s="448"/>
      <c r="AG895" s="448"/>
      <c r="AH895" s="448"/>
      <c r="AI895" s="448"/>
      <c r="AJ895" s="448"/>
      <c r="AK895" s="448"/>
      <c r="AL895" s="448"/>
      <c r="AM895" s="448"/>
      <c r="AN895" s="448"/>
      <c r="AP895" s="448"/>
      <c r="AQ895" s="448"/>
      <c r="AR895" s="448"/>
      <c r="AS895" s="448"/>
      <c r="AT895" s="448"/>
      <c r="AU895" s="448"/>
      <c r="AV895" s="448"/>
      <c r="AW895" s="448"/>
      <c r="AX895" s="448"/>
    </row>
    <row r="896" spans="1:50" x14ac:dyDescent="0.4">
      <c r="A896" s="442" t="str">
        <f t="shared" si="167"/>
        <v>42000</v>
      </c>
      <c r="B896" s="442">
        <v>36617</v>
      </c>
      <c r="C896" s="455">
        <v>-3.0099999999999998E-2</v>
      </c>
      <c r="D896" s="438">
        <v>7.9399999999999998E-2</v>
      </c>
      <c r="E896" s="438">
        <v>4.7000000000000002E-3</v>
      </c>
      <c r="F896" s="438">
        <v>6.3666666666666663E-3</v>
      </c>
      <c r="G896" s="438">
        <v>6.5166666666666671E-3</v>
      </c>
      <c r="H896" s="438">
        <v>6.4416666666666667E-3</v>
      </c>
      <c r="I896" s="438">
        <v>6.8982499999999999E-3</v>
      </c>
      <c r="J896" s="438">
        <f t="shared" si="156"/>
        <v>-3.4799999999999998E-2</v>
      </c>
      <c r="K896" s="438">
        <f t="shared" si="160"/>
        <v>-3.6541666666666667E-2</v>
      </c>
      <c r="L896" s="438">
        <f t="shared" si="161"/>
        <v>7.2501750000000004E-2</v>
      </c>
      <c r="M896" s="446">
        <f t="shared" si="157"/>
        <v>0.10142620656005441</v>
      </c>
      <c r="N896" s="446">
        <f t="shared" si="158"/>
        <v>5.6400000000000006E-2</v>
      </c>
      <c r="O896" s="446">
        <f t="shared" si="162"/>
        <v>7.7300000000000008E-2</v>
      </c>
      <c r="P896" s="447">
        <f t="shared" si="159"/>
        <v>4.5026206560054405E-2</v>
      </c>
      <c r="Q896" s="446">
        <f t="shared" si="163"/>
        <v>2.4126206560054403E-2</v>
      </c>
      <c r="R896" s="446">
        <f t="shared" si="164"/>
        <v>7.7770370417219237E-2</v>
      </c>
      <c r="S896" s="446">
        <f t="shared" si="165"/>
        <v>8.2778999999999991E-2</v>
      </c>
      <c r="T896" s="447">
        <f t="shared" si="166"/>
        <v>-5.0086295827807548E-3</v>
      </c>
      <c r="V896" s="448"/>
      <c r="W896" s="448"/>
      <c r="X896" s="448"/>
      <c r="Y896" s="448"/>
      <c r="Z896" s="448"/>
      <c r="AA896" s="448"/>
      <c r="AB896" s="448"/>
      <c r="AC896" s="448"/>
      <c r="AD896" s="448"/>
      <c r="AF896" s="448"/>
      <c r="AG896" s="448"/>
      <c r="AH896" s="448"/>
      <c r="AI896" s="448"/>
      <c r="AJ896" s="448"/>
      <c r="AK896" s="448"/>
      <c r="AL896" s="448"/>
      <c r="AM896" s="448"/>
      <c r="AN896" s="448"/>
      <c r="AP896" s="448"/>
      <c r="AQ896" s="448"/>
      <c r="AR896" s="448"/>
      <c r="AS896" s="448"/>
      <c r="AT896" s="448"/>
      <c r="AU896" s="448"/>
      <c r="AV896" s="448"/>
      <c r="AW896" s="448"/>
      <c r="AX896" s="448"/>
    </row>
    <row r="897" spans="1:50" x14ac:dyDescent="0.4">
      <c r="A897" s="442" t="str">
        <f t="shared" si="167"/>
        <v>52000</v>
      </c>
      <c r="B897" s="442">
        <v>36647</v>
      </c>
      <c r="C897" s="455">
        <v>-2.0500000000000001E-2</v>
      </c>
      <c r="D897" s="438">
        <v>4.8599999999999997E-2</v>
      </c>
      <c r="E897" s="438">
        <v>5.5999999999999991E-3</v>
      </c>
      <c r="F897" s="438">
        <v>6.6583333333333338E-3</v>
      </c>
      <c r="G897" s="438">
        <v>6.8666666666666668E-3</v>
      </c>
      <c r="H897" s="438">
        <v>6.7625000000000003E-3</v>
      </c>
      <c r="I897" s="438">
        <v>7.2435833333333336E-3</v>
      </c>
      <c r="J897" s="438">
        <f t="shared" si="156"/>
        <v>-2.6099999999999998E-2</v>
      </c>
      <c r="K897" s="438">
        <f t="shared" si="160"/>
        <v>-2.7262500000000002E-2</v>
      </c>
      <c r="L897" s="438">
        <f t="shared" si="161"/>
        <v>4.1356416666666666E-2</v>
      </c>
      <c r="M897" s="446">
        <f t="shared" si="157"/>
        <v>0.10492315580251277</v>
      </c>
      <c r="N897" s="446">
        <f t="shared" si="158"/>
        <v>6.7199999999999982E-2</v>
      </c>
      <c r="O897" s="446">
        <f t="shared" si="162"/>
        <v>8.115E-2</v>
      </c>
      <c r="P897" s="447">
        <f t="shared" si="159"/>
        <v>3.7723155802512787E-2</v>
      </c>
      <c r="Q897" s="446">
        <f t="shared" si="163"/>
        <v>2.3773155802512769E-2</v>
      </c>
      <c r="R897" s="446">
        <f t="shared" si="164"/>
        <v>6.5274776528886802E-2</v>
      </c>
      <c r="S897" s="446">
        <f t="shared" si="165"/>
        <v>8.6923E-2</v>
      </c>
      <c r="T897" s="447">
        <f t="shared" si="166"/>
        <v>-2.1648223471113198E-2</v>
      </c>
      <c r="V897" s="448"/>
      <c r="W897" s="448"/>
      <c r="X897" s="448"/>
      <c r="Y897" s="448"/>
      <c r="Z897" s="448"/>
      <c r="AA897" s="448"/>
      <c r="AB897" s="448"/>
      <c r="AC897" s="448"/>
      <c r="AD897" s="448"/>
      <c r="AF897" s="448"/>
      <c r="AG897" s="448"/>
      <c r="AH897" s="448"/>
      <c r="AI897" s="448"/>
      <c r="AJ897" s="448"/>
      <c r="AK897" s="448"/>
      <c r="AL897" s="448"/>
      <c r="AM897" s="448"/>
      <c r="AN897" s="448"/>
      <c r="AP897" s="448"/>
      <c r="AQ897" s="448"/>
      <c r="AR897" s="448"/>
      <c r="AS897" s="448"/>
      <c r="AT897" s="448"/>
      <c r="AU897" s="448"/>
      <c r="AV897" s="448"/>
      <c r="AW897" s="448"/>
      <c r="AX897" s="448"/>
    </row>
    <row r="898" spans="1:50" x14ac:dyDescent="0.4">
      <c r="A898" s="442" t="str">
        <f t="shared" si="167"/>
        <v>62000</v>
      </c>
      <c r="B898" s="442">
        <v>36678</v>
      </c>
      <c r="C898" s="455">
        <v>2.47E-2</v>
      </c>
      <c r="D898" s="438">
        <v>-5.7500000000000002E-2</v>
      </c>
      <c r="E898" s="438">
        <v>5.1999999999999998E-3</v>
      </c>
      <c r="F898" s="438">
        <v>6.391666666666667E-3</v>
      </c>
      <c r="G898" s="438">
        <v>6.5583333333333335E-3</v>
      </c>
      <c r="H898" s="438">
        <v>6.4749999999999999E-3</v>
      </c>
      <c r="I898" s="438">
        <v>6.9795833333333333E-3</v>
      </c>
      <c r="J898" s="438">
        <f t="shared" si="156"/>
        <v>1.95E-2</v>
      </c>
      <c r="K898" s="438">
        <f t="shared" si="160"/>
        <v>1.8224999999999998E-2</v>
      </c>
      <c r="L898" s="438">
        <f t="shared" si="161"/>
        <v>-6.447958333333334E-2</v>
      </c>
      <c r="M898" s="446">
        <f t="shared" si="157"/>
        <v>7.2680964235750212E-2</v>
      </c>
      <c r="N898" s="446">
        <f t="shared" si="158"/>
        <v>6.2399999999999997E-2</v>
      </c>
      <c r="O898" s="446">
        <f t="shared" si="162"/>
        <v>7.7699999999999991E-2</v>
      </c>
      <c r="P898" s="447">
        <f t="shared" si="159"/>
        <v>1.0280964235750215E-2</v>
      </c>
      <c r="Q898" s="446">
        <f t="shared" si="163"/>
        <v>-5.0190357642497796E-3</v>
      </c>
      <c r="R898" s="446">
        <f t="shared" si="164"/>
        <v>3.849966578245323E-2</v>
      </c>
      <c r="S898" s="446">
        <f t="shared" si="165"/>
        <v>8.3754999999999996E-2</v>
      </c>
      <c r="T898" s="447">
        <f t="shared" si="166"/>
        <v>-4.5255334217546767E-2</v>
      </c>
      <c r="V898" s="448"/>
      <c r="W898" s="448"/>
      <c r="X898" s="448"/>
      <c r="Y898" s="448"/>
      <c r="Z898" s="448"/>
      <c r="AA898" s="448"/>
      <c r="AB898" s="448"/>
      <c r="AC898" s="448"/>
      <c r="AD898" s="448"/>
      <c r="AF898" s="448"/>
      <c r="AG898" s="448"/>
      <c r="AH898" s="448"/>
      <c r="AI898" s="448"/>
      <c r="AJ898" s="448"/>
      <c r="AK898" s="448"/>
      <c r="AL898" s="448"/>
      <c r="AM898" s="448"/>
      <c r="AN898" s="448"/>
      <c r="AP898" s="448"/>
      <c r="AQ898" s="448"/>
      <c r="AR898" s="448"/>
      <c r="AS898" s="448"/>
      <c r="AT898" s="448"/>
      <c r="AU898" s="448"/>
      <c r="AV898" s="448"/>
      <c r="AW898" s="448"/>
      <c r="AX898" s="448"/>
    </row>
    <row r="899" spans="1:50" x14ac:dyDescent="0.4">
      <c r="A899" s="442" t="str">
        <f t="shared" si="167"/>
        <v>72000</v>
      </c>
      <c r="B899" s="442">
        <v>36708</v>
      </c>
      <c r="C899" s="455">
        <v>-1.5599999999999999E-2</v>
      </c>
      <c r="D899" s="438">
        <v>6.7699999999999996E-2</v>
      </c>
      <c r="E899" s="438">
        <v>5.1999999999999998E-3</v>
      </c>
      <c r="F899" s="438">
        <v>6.3750000000000005E-3</v>
      </c>
      <c r="G899" s="438">
        <v>6.508333333333333E-3</v>
      </c>
      <c r="H899" s="438">
        <v>6.4416666666666667E-3</v>
      </c>
      <c r="I899" s="438">
        <v>6.8820000000000001E-3</v>
      </c>
      <c r="J899" s="438">
        <f t="shared" si="156"/>
        <v>-2.0799999999999999E-2</v>
      </c>
      <c r="K899" s="438">
        <f t="shared" si="160"/>
        <v>-2.2041666666666668E-2</v>
      </c>
      <c r="L899" s="438">
        <f t="shared" si="161"/>
        <v>6.0817999999999997E-2</v>
      </c>
      <c r="M899" s="446">
        <f t="shared" si="157"/>
        <v>8.9953696525261195E-2</v>
      </c>
      <c r="N899" s="446">
        <f t="shared" si="158"/>
        <v>6.2399999999999997E-2</v>
      </c>
      <c r="O899" s="446">
        <f t="shared" si="162"/>
        <v>7.7300000000000008E-2</v>
      </c>
      <c r="P899" s="447">
        <f t="shared" si="159"/>
        <v>2.7553696525261198E-2</v>
      </c>
      <c r="Q899" s="446">
        <f t="shared" si="163"/>
        <v>1.2653696525261188E-2</v>
      </c>
      <c r="R899" s="446">
        <f t="shared" si="164"/>
        <v>0.12159224474603048</v>
      </c>
      <c r="S899" s="446">
        <f t="shared" si="165"/>
        <v>8.2584000000000005E-2</v>
      </c>
      <c r="T899" s="447">
        <f t="shared" si="166"/>
        <v>3.9008244746030471E-2</v>
      </c>
      <c r="V899" s="448"/>
      <c r="W899" s="448"/>
      <c r="X899" s="448"/>
      <c r="Y899" s="448"/>
      <c r="Z899" s="448"/>
      <c r="AA899" s="448"/>
      <c r="AB899" s="448"/>
      <c r="AC899" s="448"/>
      <c r="AD899" s="448"/>
      <c r="AF899" s="448"/>
      <c r="AG899" s="448"/>
      <c r="AH899" s="448"/>
      <c r="AI899" s="448"/>
      <c r="AJ899" s="448"/>
      <c r="AK899" s="448"/>
      <c r="AL899" s="448"/>
      <c r="AM899" s="448"/>
      <c r="AN899" s="448"/>
      <c r="AP899" s="448"/>
      <c r="AQ899" s="448"/>
      <c r="AR899" s="448"/>
      <c r="AS899" s="448"/>
      <c r="AT899" s="448"/>
      <c r="AU899" s="448"/>
      <c r="AV899" s="448"/>
      <c r="AW899" s="448"/>
      <c r="AX899" s="448"/>
    </row>
    <row r="900" spans="1:50" x14ac:dyDescent="0.4">
      <c r="A900" s="442" t="str">
        <f t="shared" si="167"/>
        <v>82000</v>
      </c>
      <c r="B900" s="442">
        <v>36739</v>
      </c>
      <c r="C900" s="455">
        <v>6.2100000000000002E-2</v>
      </c>
      <c r="D900" s="438">
        <v>0.13720000000000002</v>
      </c>
      <c r="E900" s="438">
        <v>5.0000000000000001E-3</v>
      </c>
      <c r="F900" s="438">
        <v>6.2916666666666668E-3</v>
      </c>
      <c r="G900" s="438">
        <v>6.4166666666666669E-3</v>
      </c>
      <c r="H900" s="438">
        <v>6.3541666666666677E-3</v>
      </c>
      <c r="I900" s="438">
        <v>6.7739166666666677E-3</v>
      </c>
      <c r="J900" s="438">
        <f t="shared" si="156"/>
        <v>5.7100000000000005E-2</v>
      </c>
      <c r="K900" s="438">
        <f t="shared" si="160"/>
        <v>5.5745833333333335E-2</v>
      </c>
      <c r="L900" s="438">
        <f t="shared" si="161"/>
        <v>0.13042608333333336</v>
      </c>
      <c r="M900" s="446">
        <f t="shared" si="157"/>
        <v>0.16334018800068306</v>
      </c>
      <c r="N900" s="446">
        <f t="shared" si="158"/>
        <v>0.06</v>
      </c>
      <c r="O900" s="446">
        <f t="shared" si="162"/>
        <v>7.6250000000000012E-2</v>
      </c>
      <c r="P900" s="447">
        <f t="shared" si="159"/>
        <v>0.10334018800068306</v>
      </c>
      <c r="Q900" s="446">
        <f t="shared" si="163"/>
        <v>8.709018800068305E-2</v>
      </c>
      <c r="R900" s="446">
        <f t="shared" si="164"/>
        <v>0.26072422726617117</v>
      </c>
      <c r="S900" s="446">
        <f t="shared" si="165"/>
        <v>8.1287000000000012E-2</v>
      </c>
      <c r="T900" s="447">
        <f t="shared" si="166"/>
        <v>0.17943722726617117</v>
      </c>
      <c r="V900" s="448"/>
      <c r="W900" s="448"/>
      <c r="X900" s="448"/>
      <c r="Y900" s="448"/>
      <c r="Z900" s="448"/>
      <c r="AA900" s="448"/>
      <c r="AB900" s="448"/>
      <c r="AC900" s="448"/>
      <c r="AD900" s="448"/>
      <c r="AF900" s="448"/>
      <c r="AG900" s="448"/>
      <c r="AH900" s="448"/>
      <c r="AI900" s="448"/>
      <c r="AJ900" s="448"/>
      <c r="AK900" s="448"/>
      <c r="AL900" s="448"/>
      <c r="AM900" s="448"/>
      <c r="AN900" s="448"/>
      <c r="AP900" s="448"/>
      <c r="AQ900" s="448"/>
      <c r="AR900" s="448"/>
      <c r="AS900" s="448"/>
      <c r="AT900" s="448"/>
      <c r="AU900" s="448"/>
      <c r="AV900" s="448"/>
      <c r="AW900" s="448"/>
      <c r="AX900" s="448"/>
    </row>
    <row r="901" spans="1:50" x14ac:dyDescent="0.4">
      <c r="A901" s="442" t="str">
        <f t="shared" si="167"/>
        <v>92000</v>
      </c>
      <c r="B901" s="442">
        <v>36770</v>
      </c>
      <c r="C901" s="455">
        <v>-5.28E-2</v>
      </c>
      <c r="D901" s="438">
        <v>9.1499999999999998E-2</v>
      </c>
      <c r="E901" s="438">
        <v>4.5999999999999999E-3</v>
      </c>
      <c r="F901" s="438">
        <v>6.3499999999999997E-3</v>
      </c>
      <c r="G901" s="438">
        <v>6.5249999999999996E-3</v>
      </c>
      <c r="H901" s="438">
        <v>6.4375000000000005E-3</v>
      </c>
      <c r="I901" s="438">
        <v>6.8533333333333337E-3</v>
      </c>
      <c r="J901" s="438">
        <f t="shared" si="156"/>
        <v>-5.74E-2</v>
      </c>
      <c r="K901" s="438">
        <f t="shared" si="160"/>
        <v>-5.9237499999999998E-2</v>
      </c>
      <c r="L901" s="438">
        <f t="shared" si="161"/>
        <v>8.4646666666666662E-2</v>
      </c>
      <c r="M901" s="446">
        <f t="shared" si="157"/>
        <v>0.13295889993239474</v>
      </c>
      <c r="N901" s="446">
        <f t="shared" si="158"/>
        <v>5.5199999999999999E-2</v>
      </c>
      <c r="O901" s="446">
        <f t="shared" si="162"/>
        <v>7.7250000000000013E-2</v>
      </c>
      <c r="P901" s="447">
        <f t="shared" si="159"/>
        <v>7.7758899932394737E-2</v>
      </c>
      <c r="Q901" s="446">
        <f t="shared" si="163"/>
        <v>5.5708899932394723E-2</v>
      </c>
      <c r="R901" s="446">
        <f t="shared" si="164"/>
        <v>0.44546270384561582</v>
      </c>
      <c r="S901" s="446">
        <f t="shared" si="165"/>
        <v>8.2240000000000008E-2</v>
      </c>
      <c r="T901" s="447">
        <f t="shared" si="166"/>
        <v>0.36322270384561584</v>
      </c>
      <c r="V901" s="448"/>
      <c r="W901" s="448"/>
      <c r="X901" s="448"/>
      <c r="Y901" s="448"/>
      <c r="Z901" s="448"/>
      <c r="AA901" s="448"/>
      <c r="AB901" s="448"/>
      <c r="AC901" s="448"/>
      <c r="AD901" s="448"/>
      <c r="AF901" s="448"/>
      <c r="AG901" s="448"/>
      <c r="AH901" s="448"/>
      <c r="AI901" s="448"/>
      <c r="AJ901" s="448"/>
      <c r="AK901" s="448"/>
      <c r="AL901" s="448"/>
      <c r="AM901" s="448"/>
      <c r="AN901" s="448"/>
      <c r="AP901" s="448"/>
      <c r="AQ901" s="448"/>
      <c r="AR901" s="448"/>
      <c r="AS901" s="448"/>
      <c r="AT901" s="448"/>
      <c r="AU901" s="448"/>
      <c r="AV901" s="448"/>
      <c r="AW901" s="448"/>
      <c r="AX901" s="448"/>
    </row>
    <row r="902" spans="1:50" x14ac:dyDescent="0.4">
      <c r="A902" s="442" t="str">
        <f t="shared" si="167"/>
        <v>102000</v>
      </c>
      <c r="B902" s="442">
        <v>36800</v>
      </c>
      <c r="C902" s="455">
        <v>-4.1999999999999997E-3</v>
      </c>
      <c r="D902" s="438">
        <v>-3.5699999999999996E-2</v>
      </c>
      <c r="E902" s="438">
        <v>5.3E-3</v>
      </c>
      <c r="F902" s="438">
        <v>6.2916666666666668E-3</v>
      </c>
      <c r="G902" s="438">
        <v>6.508333333333333E-3</v>
      </c>
      <c r="H902" s="438">
        <v>6.3999999999999994E-3</v>
      </c>
      <c r="I902" s="438">
        <v>6.7868333333333331E-3</v>
      </c>
      <c r="J902" s="438">
        <f t="shared" ref="J902:J965" si="168">C902-E902</f>
        <v>-9.4999999999999998E-3</v>
      </c>
      <c r="K902" s="438">
        <f t="shared" si="160"/>
        <v>-1.0599999999999998E-2</v>
      </c>
      <c r="L902" s="438">
        <f t="shared" si="161"/>
        <v>-4.2486833333333328E-2</v>
      </c>
      <c r="M902" s="446">
        <f t="shared" si="157"/>
        <v>6.1036840546109694E-2</v>
      </c>
      <c r="N902" s="446">
        <f t="shared" si="158"/>
        <v>6.3600000000000004E-2</v>
      </c>
      <c r="O902" s="446">
        <f t="shared" si="162"/>
        <v>7.6799999999999993E-2</v>
      </c>
      <c r="P902" s="447">
        <f t="shared" si="159"/>
        <v>-2.5631594538903096E-3</v>
      </c>
      <c r="Q902" s="446">
        <f t="shared" si="163"/>
        <v>-1.5763159453890299E-2</v>
      </c>
      <c r="R902" s="446">
        <f t="shared" si="164"/>
        <v>0.37231435002296598</v>
      </c>
      <c r="S902" s="446">
        <f t="shared" si="165"/>
        <v>8.1442000000000001E-2</v>
      </c>
      <c r="T902" s="447">
        <f t="shared" si="166"/>
        <v>0.29087235002296596</v>
      </c>
      <c r="V902" s="448"/>
      <c r="W902" s="448"/>
      <c r="X902" s="448"/>
      <c r="Y902" s="448"/>
      <c r="Z902" s="448"/>
      <c r="AA902" s="448"/>
      <c r="AB902" s="448"/>
      <c r="AC902" s="448"/>
      <c r="AD902" s="448"/>
      <c r="AF902" s="448"/>
      <c r="AG902" s="448"/>
      <c r="AH902" s="448"/>
      <c r="AI902" s="448"/>
      <c r="AJ902" s="448"/>
      <c r="AK902" s="448"/>
      <c r="AL902" s="448"/>
      <c r="AM902" s="448"/>
      <c r="AN902" s="448"/>
      <c r="AP902" s="448"/>
      <c r="AQ902" s="448"/>
      <c r="AR902" s="448"/>
      <c r="AS902" s="448"/>
      <c r="AT902" s="448"/>
      <c r="AU902" s="448"/>
      <c r="AV902" s="448"/>
      <c r="AW902" s="448"/>
      <c r="AX902" s="448"/>
    </row>
    <row r="903" spans="1:50" x14ac:dyDescent="0.4">
      <c r="A903" s="442" t="str">
        <f t="shared" si="167"/>
        <v>112000</v>
      </c>
      <c r="B903" s="442">
        <v>36831</v>
      </c>
      <c r="C903" s="455">
        <v>-7.8799999999999995E-2</v>
      </c>
      <c r="D903" s="438">
        <v>-1.32E-2</v>
      </c>
      <c r="E903" s="438">
        <v>4.7999999999999996E-3</v>
      </c>
      <c r="F903" s="438">
        <v>6.2083333333333331E-3</v>
      </c>
      <c r="G903" s="438">
        <v>6.4583333333333333E-3</v>
      </c>
      <c r="H903" s="438">
        <v>6.3333333333333332E-3</v>
      </c>
      <c r="I903" s="438">
        <v>6.7716666666666654E-3</v>
      </c>
      <c r="J903" s="438">
        <f t="shared" si="168"/>
        <v>-8.3599999999999994E-2</v>
      </c>
      <c r="K903" s="438">
        <f t="shared" si="160"/>
        <v>-8.5133333333333325E-2</v>
      </c>
      <c r="L903" s="438">
        <f t="shared" si="161"/>
        <v>-1.9971666666666665E-2</v>
      </c>
      <c r="M903" s="446">
        <f t="shared" si="157"/>
        <v>-4.2019859344235244E-2</v>
      </c>
      <c r="N903" s="446">
        <f t="shared" si="158"/>
        <v>5.7599999999999998E-2</v>
      </c>
      <c r="O903" s="446">
        <f t="shared" si="162"/>
        <v>7.5999999999999998E-2</v>
      </c>
      <c r="P903" s="447">
        <f t="shared" si="159"/>
        <v>-9.9619859344235243E-2</v>
      </c>
      <c r="Q903" s="446">
        <f t="shared" si="163"/>
        <v>-0.11801985934423524</v>
      </c>
      <c r="R903" s="446">
        <f t="shared" si="164"/>
        <v>0.46764907402477873</v>
      </c>
      <c r="S903" s="446">
        <f t="shared" si="165"/>
        <v>8.1259999999999985E-2</v>
      </c>
      <c r="T903" s="447">
        <f t="shared" si="166"/>
        <v>0.38638907402477873</v>
      </c>
      <c r="V903" s="448"/>
      <c r="W903" s="448"/>
      <c r="X903" s="448"/>
      <c r="Y903" s="448"/>
      <c r="Z903" s="448"/>
      <c r="AA903" s="448"/>
      <c r="AB903" s="448"/>
      <c r="AC903" s="448"/>
      <c r="AD903" s="448"/>
      <c r="AF903" s="448"/>
      <c r="AG903" s="448"/>
      <c r="AH903" s="448"/>
      <c r="AI903" s="448"/>
      <c r="AJ903" s="448"/>
      <c r="AK903" s="448"/>
      <c r="AL903" s="448"/>
      <c r="AM903" s="448"/>
      <c r="AN903" s="448"/>
      <c r="AP903" s="448"/>
      <c r="AQ903" s="448"/>
      <c r="AR903" s="448"/>
      <c r="AS903" s="448"/>
      <c r="AT903" s="448"/>
      <c r="AU903" s="448"/>
      <c r="AV903" s="448"/>
      <c r="AW903" s="448"/>
      <c r="AX903" s="448"/>
    </row>
    <row r="904" spans="1:50" x14ac:dyDescent="0.4">
      <c r="A904" s="442" t="str">
        <f t="shared" si="167"/>
        <v>122000</v>
      </c>
      <c r="B904" s="442">
        <v>36861</v>
      </c>
      <c r="C904" s="455">
        <v>4.8999999999999998E-3</v>
      </c>
      <c r="D904" s="438">
        <v>9.820000000000001E-2</v>
      </c>
      <c r="E904" s="438">
        <v>4.4999999999999997E-3</v>
      </c>
      <c r="F904" s="438">
        <v>6.0083333333333334E-3</v>
      </c>
      <c r="G904" s="438">
        <v>6.2333333333333338E-3</v>
      </c>
      <c r="H904" s="438">
        <v>6.1208333333333332E-3</v>
      </c>
      <c r="I904" s="438">
        <v>6.5465000000000002E-3</v>
      </c>
      <c r="J904" s="438">
        <f t="shared" si="168"/>
        <v>4.0000000000000018E-4</v>
      </c>
      <c r="K904" s="438">
        <f t="shared" si="160"/>
        <v>-1.2208333333333333E-3</v>
      </c>
      <c r="L904" s="438">
        <f t="shared" si="161"/>
        <v>9.1653500000000013E-2</v>
      </c>
      <c r="M904" s="446">
        <f t="shared" si="157"/>
        <v>-9.08733182123167E-2</v>
      </c>
      <c r="N904" s="446">
        <f t="shared" si="158"/>
        <v>5.3999999999999992E-2</v>
      </c>
      <c r="O904" s="446">
        <f t="shared" si="162"/>
        <v>7.3450000000000001E-2</v>
      </c>
      <c r="P904" s="447">
        <f t="shared" si="159"/>
        <v>-0.14487331821231669</v>
      </c>
      <c r="Q904" s="446">
        <f t="shared" si="163"/>
        <v>-0.16432331821231672</v>
      </c>
      <c r="R904" s="446">
        <f t="shared" si="164"/>
        <v>0.5969208491964848</v>
      </c>
      <c r="S904" s="446">
        <f t="shared" si="165"/>
        <v>7.8558000000000003E-2</v>
      </c>
      <c r="T904" s="447">
        <f t="shared" si="166"/>
        <v>0.51836284919648479</v>
      </c>
      <c r="V904" s="448"/>
      <c r="W904" s="448"/>
      <c r="X904" s="448"/>
      <c r="Y904" s="448"/>
      <c r="Z904" s="448"/>
      <c r="AA904" s="448"/>
      <c r="AB904" s="448"/>
      <c r="AC904" s="448"/>
      <c r="AD904" s="448"/>
      <c r="AF904" s="448"/>
      <c r="AG904" s="448"/>
      <c r="AH904" s="448"/>
      <c r="AI904" s="448"/>
      <c r="AJ904" s="448"/>
      <c r="AK904" s="448"/>
      <c r="AL904" s="448"/>
      <c r="AM904" s="448"/>
      <c r="AN904" s="448"/>
      <c r="AP904" s="448"/>
      <c r="AQ904" s="448"/>
      <c r="AR904" s="448"/>
      <c r="AS904" s="448"/>
      <c r="AT904" s="448"/>
      <c r="AU904" s="448"/>
      <c r="AV904" s="448"/>
      <c r="AW904" s="448"/>
      <c r="AX904" s="448"/>
    </row>
    <row r="905" spans="1:50" x14ac:dyDescent="0.4">
      <c r="A905" s="442" t="str">
        <f t="shared" si="167"/>
        <v>12001</v>
      </c>
      <c r="B905" s="442">
        <v>36892</v>
      </c>
      <c r="C905" s="455">
        <v>3.5499999999999997E-2</v>
      </c>
      <c r="D905" s="438">
        <v>-9.6699999999999994E-2</v>
      </c>
      <c r="E905" s="438">
        <v>4.8999999999999998E-3</v>
      </c>
      <c r="F905" s="438">
        <v>5.9583333333333328E-3</v>
      </c>
      <c r="G905" s="438">
        <v>6.1500000000000001E-3</v>
      </c>
      <c r="H905" s="438">
        <v>6.0541666666666669E-3</v>
      </c>
      <c r="I905" s="438">
        <v>6.4988333333333339E-3</v>
      </c>
      <c r="J905" s="438">
        <f t="shared" si="168"/>
        <v>3.0599999999999995E-2</v>
      </c>
      <c r="K905" s="438">
        <f t="shared" si="160"/>
        <v>2.9445833333333331E-2</v>
      </c>
      <c r="L905" s="438">
        <f t="shared" si="161"/>
        <v>-0.10319883333333332</v>
      </c>
      <c r="M905" s="446">
        <f t="shared" si="157"/>
        <v>-8.8432522729566809E-3</v>
      </c>
      <c r="N905" s="446">
        <f t="shared" si="158"/>
        <v>5.8799999999999998E-2</v>
      </c>
      <c r="O905" s="446">
        <f t="shared" si="162"/>
        <v>7.2650000000000006E-2</v>
      </c>
      <c r="P905" s="447">
        <f t="shared" si="159"/>
        <v>-6.7643252272956672E-2</v>
      </c>
      <c r="Q905" s="446">
        <f t="shared" si="163"/>
        <v>-8.1493252272956687E-2</v>
      </c>
      <c r="R905" s="446">
        <f t="shared" si="164"/>
        <v>0.30130681378365787</v>
      </c>
      <c r="S905" s="446">
        <f t="shared" si="165"/>
        <v>7.7986E-2</v>
      </c>
      <c r="T905" s="447">
        <f t="shared" si="166"/>
        <v>0.22332081378365787</v>
      </c>
      <c r="V905" s="448"/>
      <c r="W905" s="448"/>
      <c r="X905" s="448"/>
      <c r="Y905" s="448"/>
      <c r="Z905" s="448"/>
      <c r="AA905" s="448"/>
      <c r="AB905" s="448"/>
      <c r="AC905" s="448"/>
      <c r="AD905" s="448"/>
      <c r="AF905" s="448"/>
      <c r="AG905" s="448"/>
      <c r="AH905" s="448"/>
      <c r="AI905" s="448"/>
      <c r="AJ905" s="448"/>
      <c r="AK905" s="448"/>
      <c r="AL905" s="448"/>
      <c r="AM905" s="448"/>
      <c r="AN905" s="448"/>
      <c r="AP905" s="448"/>
      <c r="AQ905" s="448"/>
      <c r="AR905" s="448"/>
      <c r="AS905" s="448"/>
      <c r="AT905" s="448"/>
      <c r="AU905" s="448"/>
      <c r="AV905" s="448"/>
      <c r="AW905" s="448"/>
      <c r="AX905" s="448"/>
    </row>
    <row r="906" spans="1:50" x14ac:dyDescent="0.4">
      <c r="A906" s="442" t="str">
        <f t="shared" si="167"/>
        <v>22001</v>
      </c>
      <c r="B906" s="442">
        <v>36923</v>
      </c>
      <c r="C906" s="455">
        <v>-9.1200000000000003E-2</v>
      </c>
      <c r="D906" s="438">
        <v>3.5299999999999998E-2</v>
      </c>
      <c r="E906" s="438">
        <v>4.1999999999999997E-3</v>
      </c>
      <c r="F906" s="438">
        <v>5.9166666666666664E-3</v>
      </c>
      <c r="G906" s="438">
        <v>6.0999999999999995E-3</v>
      </c>
      <c r="H906" s="438">
        <v>6.0083333333333334E-3</v>
      </c>
      <c r="I906" s="438">
        <v>6.4490833333333327E-3</v>
      </c>
      <c r="J906" s="438">
        <f t="shared" si="168"/>
        <v>-9.5399999999999999E-2</v>
      </c>
      <c r="K906" s="438">
        <f t="shared" si="160"/>
        <v>-9.7208333333333341E-2</v>
      </c>
      <c r="L906" s="438">
        <f t="shared" si="161"/>
        <v>2.8850916666666664E-2</v>
      </c>
      <c r="M906" s="446">
        <f t="shared" si="157"/>
        <v>-8.1884362109533093E-2</v>
      </c>
      <c r="N906" s="446">
        <f t="shared" si="158"/>
        <v>5.04E-2</v>
      </c>
      <c r="O906" s="446">
        <f t="shared" si="162"/>
        <v>7.2099999999999997E-2</v>
      </c>
      <c r="P906" s="447">
        <f t="shared" si="159"/>
        <v>-0.13228436210953309</v>
      </c>
      <c r="Q906" s="446">
        <f t="shared" si="163"/>
        <v>-0.15398436210953309</v>
      </c>
      <c r="R906" s="446">
        <f t="shared" si="164"/>
        <v>0.42989062227788222</v>
      </c>
      <c r="S906" s="446">
        <f t="shared" si="165"/>
        <v>7.7388999999999986E-2</v>
      </c>
      <c r="T906" s="447">
        <f t="shared" si="166"/>
        <v>0.35250162227788223</v>
      </c>
      <c r="V906" s="448"/>
      <c r="W906" s="448"/>
      <c r="X906" s="448"/>
      <c r="Y906" s="448"/>
      <c r="Z906" s="448"/>
      <c r="AA906" s="448"/>
      <c r="AB906" s="448"/>
      <c r="AC906" s="448"/>
      <c r="AD906" s="448"/>
      <c r="AF906" s="448"/>
      <c r="AG906" s="448"/>
      <c r="AH906" s="448"/>
      <c r="AI906" s="448"/>
      <c r="AJ906" s="448"/>
      <c r="AK906" s="448"/>
      <c r="AL906" s="448"/>
      <c r="AM906" s="448"/>
      <c r="AN906" s="448"/>
      <c r="AP906" s="448"/>
      <c r="AQ906" s="448"/>
      <c r="AR906" s="448"/>
      <c r="AS906" s="448"/>
      <c r="AT906" s="448"/>
      <c r="AU906" s="448"/>
      <c r="AV906" s="448"/>
      <c r="AW906" s="448"/>
      <c r="AX906" s="448"/>
    </row>
    <row r="907" spans="1:50" x14ac:dyDescent="0.4">
      <c r="A907" s="442" t="str">
        <f t="shared" si="167"/>
        <v>32001</v>
      </c>
      <c r="B907" s="442">
        <v>36951</v>
      </c>
      <c r="C907" s="455">
        <v>-6.3399999999999998E-2</v>
      </c>
      <c r="D907" s="438">
        <v>-6.3E-3</v>
      </c>
      <c r="E907" s="438">
        <v>4.4999999999999997E-3</v>
      </c>
      <c r="F907" s="438">
        <v>5.816666666666667E-3</v>
      </c>
      <c r="G907" s="438">
        <v>6.0166666666666667E-3</v>
      </c>
      <c r="H907" s="438">
        <v>5.9166666666666664E-3</v>
      </c>
      <c r="I907" s="438">
        <v>6.3935833333333336E-3</v>
      </c>
      <c r="J907" s="438">
        <f t="shared" si="168"/>
        <v>-6.7900000000000002E-2</v>
      </c>
      <c r="K907" s="438">
        <f t="shared" si="160"/>
        <v>-6.9316666666666665E-2</v>
      </c>
      <c r="L907" s="438">
        <f t="shared" si="161"/>
        <v>-1.2693583333333334E-2</v>
      </c>
      <c r="M907" s="446">
        <f t="shared" si="157"/>
        <v>-0.21669966619765779</v>
      </c>
      <c r="N907" s="446">
        <f t="shared" si="158"/>
        <v>5.3999999999999992E-2</v>
      </c>
      <c r="O907" s="446">
        <f t="shared" si="162"/>
        <v>7.0999999999999994E-2</v>
      </c>
      <c r="P907" s="447">
        <f t="shared" si="159"/>
        <v>-0.27069966619765778</v>
      </c>
      <c r="Q907" s="446">
        <f t="shared" si="163"/>
        <v>-0.2876996661976578</v>
      </c>
      <c r="R907" s="446">
        <f t="shared" si="164"/>
        <v>0.37296580477102292</v>
      </c>
      <c r="S907" s="446">
        <f t="shared" si="165"/>
        <v>7.6723E-2</v>
      </c>
      <c r="T907" s="447">
        <f t="shared" si="166"/>
        <v>0.29624280477102294</v>
      </c>
      <c r="V907" s="448"/>
      <c r="W907" s="448"/>
      <c r="X907" s="448"/>
      <c r="Y907" s="448"/>
      <c r="Z907" s="448"/>
      <c r="AA907" s="448"/>
      <c r="AB907" s="448"/>
      <c r="AC907" s="448"/>
      <c r="AD907" s="448"/>
      <c r="AF907" s="448"/>
      <c r="AG907" s="448"/>
      <c r="AH907" s="448"/>
      <c r="AI907" s="448"/>
      <c r="AJ907" s="448"/>
      <c r="AK907" s="448"/>
      <c r="AL907" s="448"/>
      <c r="AM907" s="448"/>
      <c r="AN907" s="448"/>
      <c r="AP907" s="448"/>
      <c r="AQ907" s="448"/>
      <c r="AR907" s="448"/>
      <c r="AS907" s="448"/>
      <c r="AT907" s="448"/>
      <c r="AU907" s="448"/>
      <c r="AV907" s="448"/>
      <c r="AW907" s="448"/>
      <c r="AX907" s="448"/>
    </row>
    <row r="908" spans="1:50" x14ac:dyDescent="0.4">
      <c r="A908" s="442" t="str">
        <f t="shared" si="167"/>
        <v>42001</v>
      </c>
      <c r="B908" s="442">
        <v>36982</v>
      </c>
      <c r="C908" s="455">
        <v>7.7700000000000005E-2</v>
      </c>
      <c r="D908" s="438">
        <v>6.0499999999999998E-2</v>
      </c>
      <c r="E908" s="438">
        <v>4.7000000000000002E-3</v>
      </c>
      <c r="F908" s="438">
        <v>6.0000000000000001E-3</v>
      </c>
      <c r="G908" s="438">
        <v>6.1916666666666665E-3</v>
      </c>
      <c r="H908" s="438">
        <v>6.0958333333333333E-3</v>
      </c>
      <c r="I908" s="438">
        <v>6.6033333333333335E-3</v>
      </c>
      <c r="J908" s="438">
        <f t="shared" si="168"/>
        <v>7.3000000000000009E-2</v>
      </c>
      <c r="K908" s="438">
        <f t="shared" si="160"/>
        <v>7.1604166666666677E-2</v>
      </c>
      <c r="L908" s="438">
        <f t="shared" si="161"/>
        <v>5.3896666666666662E-2</v>
      </c>
      <c r="M908" s="446">
        <f t="shared" si="157"/>
        <v>-0.12963937546264104</v>
      </c>
      <c r="N908" s="446">
        <f t="shared" si="158"/>
        <v>5.6400000000000006E-2</v>
      </c>
      <c r="O908" s="446">
        <f t="shared" si="162"/>
        <v>7.3149999999999993E-2</v>
      </c>
      <c r="P908" s="447">
        <f t="shared" si="159"/>
        <v>-0.18603937546264104</v>
      </c>
      <c r="Q908" s="446">
        <f t="shared" si="163"/>
        <v>-0.20278937546264103</v>
      </c>
      <c r="R908" s="446">
        <f t="shared" si="164"/>
        <v>0.34892554748904003</v>
      </c>
      <c r="S908" s="446">
        <f t="shared" si="165"/>
        <v>7.9240000000000005E-2</v>
      </c>
      <c r="T908" s="447">
        <f t="shared" si="166"/>
        <v>0.26968554748904006</v>
      </c>
      <c r="V908" s="448"/>
      <c r="W908" s="448"/>
      <c r="X908" s="448"/>
      <c r="Y908" s="448"/>
      <c r="Z908" s="448"/>
      <c r="AA908" s="448"/>
      <c r="AB908" s="448"/>
      <c r="AC908" s="448"/>
      <c r="AD908" s="448"/>
      <c r="AF908" s="448"/>
      <c r="AG908" s="448"/>
      <c r="AH908" s="448"/>
      <c r="AI908" s="448"/>
      <c r="AJ908" s="448"/>
      <c r="AK908" s="448"/>
      <c r="AL908" s="448"/>
      <c r="AM908" s="448"/>
      <c r="AN908" s="448"/>
      <c r="AP908" s="448"/>
      <c r="AQ908" s="448"/>
      <c r="AR908" s="448"/>
      <c r="AS908" s="448"/>
      <c r="AT908" s="448"/>
      <c r="AU908" s="448"/>
      <c r="AV908" s="448"/>
      <c r="AW908" s="448"/>
      <c r="AX908" s="448"/>
    </row>
    <row r="909" spans="1:50" x14ac:dyDescent="0.4">
      <c r="A909" s="442" t="str">
        <f t="shared" si="167"/>
        <v>52001</v>
      </c>
      <c r="B909" s="442">
        <v>37012</v>
      </c>
      <c r="C909" s="455">
        <v>6.7000000000000002E-3</v>
      </c>
      <c r="D909" s="438">
        <v>-3.4300000000000004E-2</v>
      </c>
      <c r="E909" s="438">
        <v>5.0000000000000001E-3</v>
      </c>
      <c r="F909" s="438">
        <v>6.0750000000000005E-3</v>
      </c>
      <c r="G909" s="438">
        <v>6.2500000000000003E-3</v>
      </c>
      <c r="H909" s="438">
        <v>6.1624999999999996E-3</v>
      </c>
      <c r="I909" s="438">
        <v>6.6629166666666659E-3</v>
      </c>
      <c r="J909" s="438">
        <f t="shared" si="168"/>
        <v>1.7000000000000001E-3</v>
      </c>
      <c r="K909" s="438">
        <f t="shared" si="160"/>
        <v>5.3750000000000065E-4</v>
      </c>
      <c r="L909" s="438">
        <f t="shared" si="161"/>
        <v>-4.0962916666666668E-2</v>
      </c>
      <c r="M909" s="446">
        <f t="shared" si="157"/>
        <v>-0.10547009625139425</v>
      </c>
      <c r="N909" s="446">
        <f t="shared" si="158"/>
        <v>0.06</v>
      </c>
      <c r="O909" s="446">
        <f t="shared" si="162"/>
        <v>7.3949999999999988E-2</v>
      </c>
      <c r="P909" s="447">
        <f t="shared" si="159"/>
        <v>-0.16547009625139425</v>
      </c>
      <c r="Q909" s="446">
        <f t="shared" si="163"/>
        <v>-0.17942009625139424</v>
      </c>
      <c r="R909" s="446">
        <f t="shared" si="164"/>
        <v>0.24228247302132999</v>
      </c>
      <c r="S909" s="446">
        <f t="shared" si="165"/>
        <v>7.9954999999999998E-2</v>
      </c>
      <c r="T909" s="447">
        <f t="shared" si="166"/>
        <v>0.16232747302132999</v>
      </c>
      <c r="V909" s="448"/>
      <c r="W909" s="448"/>
      <c r="X909" s="448"/>
      <c r="Y909" s="448"/>
      <c r="Z909" s="448"/>
      <c r="AA909" s="448"/>
      <c r="AB909" s="448"/>
      <c r="AC909" s="448"/>
      <c r="AD909" s="448"/>
      <c r="AF909" s="448"/>
      <c r="AG909" s="448"/>
      <c r="AH909" s="448"/>
      <c r="AI909" s="448"/>
      <c r="AJ909" s="448"/>
      <c r="AK909" s="448"/>
      <c r="AL909" s="448"/>
      <c r="AM909" s="448"/>
      <c r="AN909" s="448"/>
      <c r="AP909" s="448"/>
      <c r="AQ909" s="448"/>
      <c r="AR909" s="448"/>
      <c r="AS909" s="448"/>
      <c r="AT909" s="448"/>
      <c r="AU909" s="448"/>
      <c r="AV909" s="448"/>
      <c r="AW909" s="448"/>
      <c r="AX909" s="448"/>
    </row>
    <row r="910" spans="1:50" x14ac:dyDescent="0.4">
      <c r="A910" s="442" t="str">
        <f t="shared" si="167"/>
        <v>62001</v>
      </c>
      <c r="B910" s="442">
        <v>37043</v>
      </c>
      <c r="C910" s="455">
        <v>-2.4299999999999999E-2</v>
      </c>
      <c r="D910" s="438">
        <v>-7.9100000000000004E-2</v>
      </c>
      <c r="E910" s="438">
        <v>4.7000000000000002E-3</v>
      </c>
      <c r="F910" s="438">
        <v>5.9833333333333327E-3</v>
      </c>
      <c r="G910" s="438">
        <v>6.116666666666667E-3</v>
      </c>
      <c r="H910" s="438">
        <v>6.0499999999999998E-3</v>
      </c>
      <c r="I910" s="438">
        <v>6.5459999999999997E-3</v>
      </c>
      <c r="J910" s="438">
        <f t="shared" si="168"/>
        <v>-2.8999999999999998E-2</v>
      </c>
      <c r="K910" s="438">
        <f t="shared" si="160"/>
        <v>-3.0349999999999999E-2</v>
      </c>
      <c r="L910" s="438">
        <f t="shared" si="161"/>
        <v>-8.5646E-2</v>
      </c>
      <c r="M910" s="446">
        <f t="shared" si="157"/>
        <v>-0.14824550884403775</v>
      </c>
      <c r="N910" s="446">
        <f t="shared" si="158"/>
        <v>5.6400000000000006E-2</v>
      </c>
      <c r="O910" s="446">
        <f t="shared" si="162"/>
        <v>7.2599999999999998E-2</v>
      </c>
      <c r="P910" s="447">
        <f t="shared" si="159"/>
        <v>-0.20464550884403776</v>
      </c>
      <c r="Q910" s="446">
        <f t="shared" si="163"/>
        <v>-0.22084550884403775</v>
      </c>
      <c r="R910" s="446">
        <f t="shared" si="164"/>
        <v>0.21381212669001859</v>
      </c>
      <c r="S910" s="446">
        <f t="shared" si="165"/>
        <v>7.8551999999999997E-2</v>
      </c>
      <c r="T910" s="447">
        <f t="shared" si="166"/>
        <v>0.13526012669001858</v>
      </c>
      <c r="V910" s="448"/>
      <c r="W910" s="448"/>
      <c r="X910" s="448"/>
      <c r="Y910" s="448"/>
      <c r="Z910" s="448"/>
      <c r="AA910" s="448"/>
      <c r="AB910" s="448"/>
      <c r="AC910" s="448"/>
      <c r="AD910" s="448"/>
      <c r="AF910" s="448"/>
      <c r="AG910" s="448"/>
      <c r="AH910" s="448"/>
      <c r="AI910" s="448"/>
      <c r="AJ910" s="448"/>
      <c r="AK910" s="448"/>
      <c r="AL910" s="448"/>
      <c r="AM910" s="448"/>
      <c r="AN910" s="448"/>
      <c r="AP910" s="448"/>
      <c r="AQ910" s="448"/>
      <c r="AR910" s="448"/>
      <c r="AS910" s="448"/>
      <c r="AT910" s="448"/>
      <c r="AU910" s="448"/>
      <c r="AV910" s="448"/>
      <c r="AW910" s="448"/>
      <c r="AX910" s="448"/>
    </row>
    <row r="911" spans="1:50" x14ac:dyDescent="0.4">
      <c r="A911" s="442" t="str">
        <f t="shared" si="167"/>
        <v>72001</v>
      </c>
      <c r="B911" s="442">
        <v>37073</v>
      </c>
      <c r="C911" s="455">
        <v>-9.7999999999999997E-3</v>
      </c>
      <c r="D911" s="438">
        <v>-4.4799999999999993E-2</v>
      </c>
      <c r="E911" s="438">
        <v>5.1999999999999998E-3</v>
      </c>
      <c r="F911" s="438">
        <v>5.9416666666666663E-3</v>
      </c>
      <c r="G911" s="438">
        <v>6.0583333333333331E-3</v>
      </c>
      <c r="H911" s="438">
        <v>6.0000000000000001E-3</v>
      </c>
      <c r="I911" s="438">
        <v>6.4940833333333335E-3</v>
      </c>
      <c r="J911" s="438">
        <f t="shared" si="168"/>
        <v>-1.4999999999999999E-2</v>
      </c>
      <c r="K911" s="438">
        <f t="shared" si="160"/>
        <v>-1.5800000000000002E-2</v>
      </c>
      <c r="L911" s="438">
        <f t="shared" si="161"/>
        <v>-5.1294083333333323E-2</v>
      </c>
      <c r="M911" s="446">
        <f t="shared" si="157"/>
        <v>-0.1432270447555527</v>
      </c>
      <c r="N911" s="446">
        <f t="shared" si="158"/>
        <v>6.2399999999999997E-2</v>
      </c>
      <c r="O911" s="446">
        <f t="shared" si="162"/>
        <v>7.2000000000000008E-2</v>
      </c>
      <c r="P911" s="447">
        <f t="shared" si="159"/>
        <v>-0.20562704475555271</v>
      </c>
      <c r="Q911" s="446">
        <f t="shared" si="163"/>
        <v>-0.21522704475555271</v>
      </c>
      <c r="R911" s="446">
        <f t="shared" si="164"/>
        <v>8.5916777572637937E-2</v>
      </c>
      <c r="S911" s="446">
        <f t="shared" si="165"/>
        <v>7.7928999999999998E-2</v>
      </c>
      <c r="T911" s="447">
        <f t="shared" si="166"/>
        <v>7.9877775726379385E-3</v>
      </c>
      <c r="V911" s="448"/>
      <c r="W911" s="448"/>
      <c r="X911" s="448"/>
      <c r="Y911" s="448"/>
      <c r="Z911" s="448"/>
      <c r="AA911" s="448"/>
      <c r="AB911" s="448"/>
      <c r="AC911" s="448"/>
      <c r="AD911" s="448"/>
      <c r="AF911" s="448"/>
      <c r="AG911" s="448"/>
      <c r="AH911" s="448"/>
      <c r="AI911" s="448"/>
      <c r="AJ911" s="448"/>
      <c r="AK911" s="448"/>
      <c r="AL911" s="448"/>
      <c r="AM911" s="448"/>
      <c r="AN911" s="448"/>
      <c r="AP911" s="448"/>
      <c r="AQ911" s="448"/>
      <c r="AR911" s="448"/>
      <c r="AS911" s="448"/>
      <c r="AT911" s="448"/>
      <c r="AU911" s="448"/>
      <c r="AV911" s="448"/>
      <c r="AW911" s="448"/>
      <c r="AX911" s="448"/>
    </row>
    <row r="912" spans="1:50" x14ac:dyDescent="0.4">
      <c r="A912" s="442" t="str">
        <f t="shared" si="167"/>
        <v>82001</v>
      </c>
      <c r="B912" s="442">
        <v>37104</v>
      </c>
      <c r="C912" s="455">
        <v>-6.2600000000000003E-2</v>
      </c>
      <c r="D912" s="438">
        <v>-2.9000000000000005E-2</v>
      </c>
      <c r="E912" s="438">
        <v>4.5999999999999999E-3</v>
      </c>
      <c r="F912" s="438">
        <v>6.0000000000000001E-3</v>
      </c>
      <c r="G912" s="438">
        <v>5.9250000000000006E-3</v>
      </c>
      <c r="H912" s="438">
        <v>5.9624999999999991E-3</v>
      </c>
      <c r="I912" s="438">
        <v>6.3285833333333328E-3</v>
      </c>
      <c r="J912" s="438">
        <f t="shared" si="168"/>
        <v>-6.720000000000001E-2</v>
      </c>
      <c r="K912" s="438">
        <f t="shared" si="160"/>
        <v>-6.8562499999999998E-2</v>
      </c>
      <c r="L912" s="438">
        <f t="shared" si="161"/>
        <v>-3.5328583333333337E-2</v>
      </c>
      <c r="M912" s="446">
        <f t="shared" ref="M912:M975" si="169">((1+C901)*(1+C902)*(1+C903)*(1+C904)*(1+C905)*(1+C906)*(1+C907)*(1+C908)*(1+C909)*(1+C910)*(1+C911)*(1+C912))-1</f>
        <v>-0.24381982087737064</v>
      </c>
      <c r="N912" s="446">
        <f t="shared" ref="N912:N975" si="170">E912*12</f>
        <v>5.5199999999999999E-2</v>
      </c>
      <c r="O912" s="446">
        <f t="shared" si="162"/>
        <v>7.1549999999999989E-2</v>
      </c>
      <c r="P912" s="447">
        <f t="shared" ref="P912:P975" si="171">M912-N912</f>
        <v>-0.29901982087737067</v>
      </c>
      <c r="Q912" s="446">
        <f t="shared" si="163"/>
        <v>-0.31536982087737064</v>
      </c>
      <c r="R912" s="446">
        <f t="shared" si="164"/>
        <v>-7.2788259740563466E-2</v>
      </c>
      <c r="S912" s="446">
        <f t="shared" si="165"/>
        <v>7.5942999999999997E-2</v>
      </c>
      <c r="T912" s="447">
        <f t="shared" si="166"/>
        <v>-0.14873125974056345</v>
      </c>
      <c r="V912" s="448"/>
      <c r="W912" s="448"/>
      <c r="X912" s="448"/>
      <c r="Y912" s="448"/>
      <c r="Z912" s="448"/>
      <c r="AA912" s="448"/>
      <c r="AB912" s="448"/>
      <c r="AC912" s="448"/>
      <c r="AD912" s="448"/>
      <c r="AF912" s="448"/>
      <c r="AG912" s="448"/>
      <c r="AH912" s="448"/>
      <c r="AI912" s="448"/>
      <c r="AJ912" s="448"/>
      <c r="AK912" s="448"/>
      <c r="AL912" s="448"/>
      <c r="AM912" s="448"/>
      <c r="AN912" s="448"/>
      <c r="AP912" s="448"/>
      <c r="AQ912" s="448"/>
      <c r="AR912" s="448"/>
      <c r="AS912" s="448"/>
      <c r="AT912" s="448"/>
      <c r="AU912" s="448"/>
      <c r="AV912" s="448"/>
      <c r="AW912" s="448"/>
      <c r="AX912" s="448"/>
    </row>
    <row r="913" spans="1:50" x14ac:dyDescent="0.4">
      <c r="A913" s="442" t="str">
        <f t="shared" si="167"/>
        <v>92001</v>
      </c>
      <c r="B913" s="442">
        <v>37135</v>
      </c>
      <c r="C913" s="455">
        <v>-8.0799999999999997E-2</v>
      </c>
      <c r="D913" s="438">
        <v>-0.1152</v>
      </c>
      <c r="E913" s="438">
        <v>4.1000000000000003E-3</v>
      </c>
      <c r="F913" s="438">
        <v>5.9750000000000003E-3</v>
      </c>
      <c r="G913" s="438">
        <v>6.0583333333333331E-3</v>
      </c>
      <c r="H913" s="438">
        <v>6.0166666666666667E-3</v>
      </c>
      <c r="I913" s="438">
        <v>6.4227500000000005E-3</v>
      </c>
      <c r="J913" s="438">
        <f t="shared" si="168"/>
        <v>-8.4900000000000003E-2</v>
      </c>
      <c r="K913" s="438">
        <f t="shared" si="160"/>
        <v>-8.6816666666666667E-2</v>
      </c>
      <c r="L913" s="438">
        <f t="shared" si="161"/>
        <v>-0.12162275</v>
      </c>
      <c r="M913" s="446">
        <f t="shared" si="169"/>
        <v>-0.26617312009129956</v>
      </c>
      <c r="N913" s="446">
        <f t="shared" si="170"/>
        <v>4.9200000000000008E-2</v>
      </c>
      <c r="O913" s="446">
        <f t="shared" si="162"/>
        <v>7.22E-2</v>
      </c>
      <c r="P913" s="447">
        <f t="shared" si="171"/>
        <v>-0.31537312009129959</v>
      </c>
      <c r="Q913" s="446">
        <f t="shared" si="163"/>
        <v>-0.33837312009129955</v>
      </c>
      <c r="R913" s="446">
        <f t="shared" si="164"/>
        <v>-0.24837659387856181</v>
      </c>
      <c r="S913" s="446">
        <f t="shared" si="165"/>
        <v>7.7073000000000003E-2</v>
      </c>
      <c r="T913" s="447">
        <f t="shared" si="166"/>
        <v>-0.32544959387856182</v>
      </c>
      <c r="V913" s="448"/>
      <c r="W913" s="448"/>
      <c r="X913" s="448"/>
      <c r="Y913" s="448"/>
      <c r="Z913" s="448"/>
      <c r="AA913" s="448"/>
      <c r="AB913" s="448"/>
      <c r="AC913" s="448"/>
      <c r="AD913" s="448"/>
      <c r="AF913" s="448"/>
      <c r="AG913" s="448"/>
      <c r="AH913" s="448"/>
      <c r="AI913" s="448"/>
      <c r="AJ913" s="448"/>
      <c r="AK913" s="448"/>
      <c r="AL913" s="448"/>
      <c r="AM913" s="448"/>
      <c r="AN913" s="448"/>
      <c r="AP913" s="448"/>
      <c r="AQ913" s="448"/>
      <c r="AR913" s="448"/>
      <c r="AS913" s="448"/>
      <c r="AT913" s="448"/>
      <c r="AU913" s="448"/>
      <c r="AV913" s="448"/>
      <c r="AW913" s="448"/>
      <c r="AX913" s="448"/>
    </row>
    <row r="914" spans="1:50" x14ac:dyDescent="0.4">
      <c r="A914" s="442" t="str">
        <f t="shared" si="167"/>
        <v>102001</v>
      </c>
      <c r="B914" s="442">
        <v>37165</v>
      </c>
      <c r="C914" s="455">
        <v>1.9099999999999999E-2</v>
      </c>
      <c r="D914" s="438">
        <v>-1.7000000000000001E-3</v>
      </c>
      <c r="E914" s="438">
        <v>4.7999999999999996E-3</v>
      </c>
      <c r="F914" s="438">
        <v>5.8583333333333334E-3</v>
      </c>
      <c r="G914" s="438">
        <v>5.9416666666666663E-3</v>
      </c>
      <c r="H914" s="438">
        <v>5.8999999999999999E-3</v>
      </c>
      <c r="I914" s="438">
        <v>6.3725833333333334E-3</v>
      </c>
      <c r="J914" s="438">
        <f t="shared" si="168"/>
        <v>1.43E-2</v>
      </c>
      <c r="K914" s="438">
        <f t="shared" si="160"/>
        <v>1.32E-2</v>
      </c>
      <c r="L914" s="438">
        <f t="shared" si="161"/>
        <v>-8.0725833333333344E-3</v>
      </c>
      <c r="M914" s="446">
        <f t="shared" si="169"/>
        <v>-0.24900283860719374</v>
      </c>
      <c r="N914" s="446">
        <f t="shared" si="170"/>
        <v>5.7599999999999998E-2</v>
      </c>
      <c r="O914" s="446">
        <f t="shared" si="162"/>
        <v>7.0800000000000002E-2</v>
      </c>
      <c r="P914" s="447">
        <f t="shared" si="171"/>
        <v>-0.30660283860719373</v>
      </c>
      <c r="Q914" s="446">
        <f t="shared" si="163"/>
        <v>-0.31980283860719372</v>
      </c>
      <c r="R914" s="446">
        <f t="shared" si="164"/>
        <v>-0.22187530194853111</v>
      </c>
      <c r="S914" s="446">
        <f t="shared" si="165"/>
        <v>7.6470999999999997E-2</v>
      </c>
      <c r="T914" s="447">
        <f t="shared" si="166"/>
        <v>-0.29834630194853112</v>
      </c>
      <c r="V914" s="448"/>
      <c r="W914" s="448"/>
      <c r="X914" s="448"/>
      <c r="Y914" s="448"/>
      <c r="Z914" s="448"/>
      <c r="AA914" s="448"/>
      <c r="AB914" s="448"/>
      <c r="AC914" s="448"/>
      <c r="AD914" s="448"/>
      <c r="AF914" s="448"/>
      <c r="AG914" s="448"/>
      <c r="AH914" s="448"/>
      <c r="AI914" s="448"/>
      <c r="AJ914" s="448"/>
      <c r="AK914" s="448"/>
      <c r="AL914" s="448"/>
      <c r="AM914" s="448"/>
      <c r="AN914" s="448"/>
      <c r="AP914" s="448"/>
      <c r="AQ914" s="448"/>
      <c r="AR914" s="448"/>
      <c r="AS914" s="448"/>
      <c r="AT914" s="448"/>
      <c r="AU914" s="448"/>
      <c r="AV914" s="448"/>
      <c r="AW914" s="448"/>
      <c r="AX914" s="448"/>
    </row>
    <row r="915" spans="1:50" x14ac:dyDescent="0.4">
      <c r="A915" s="442" t="str">
        <f t="shared" si="167"/>
        <v>112001</v>
      </c>
      <c r="B915" s="442">
        <v>37196</v>
      </c>
      <c r="C915" s="455">
        <v>7.6700000000000004E-2</v>
      </c>
      <c r="D915" s="438">
        <v>-5.5199999999999999E-2</v>
      </c>
      <c r="E915" s="438">
        <v>4.1000000000000003E-3</v>
      </c>
      <c r="F915" s="438">
        <v>5.8083333333333329E-3</v>
      </c>
      <c r="G915" s="438">
        <v>5.841666666666666E-3</v>
      </c>
      <c r="H915" s="438">
        <v>5.8250000000000003E-3</v>
      </c>
      <c r="I915" s="438">
        <v>6.2872499999999994E-3</v>
      </c>
      <c r="J915" s="438">
        <f t="shared" si="168"/>
        <v>7.2599999999999998E-2</v>
      </c>
      <c r="K915" s="438">
        <f t="shared" si="160"/>
        <v>7.0875000000000007E-2</v>
      </c>
      <c r="L915" s="438">
        <f t="shared" si="161"/>
        <v>-6.148725E-2</v>
      </c>
      <c r="M915" s="446">
        <f t="shared" si="169"/>
        <v>-0.12223334382149964</v>
      </c>
      <c r="N915" s="446">
        <f t="shared" si="170"/>
        <v>4.9200000000000008E-2</v>
      </c>
      <c r="O915" s="446">
        <f t="shared" si="162"/>
        <v>6.9900000000000004E-2</v>
      </c>
      <c r="P915" s="447">
        <f t="shared" si="171"/>
        <v>-0.17143334382149966</v>
      </c>
      <c r="Q915" s="446">
        <f t="shared" si="163"/>
        <v>-0.19213334382149966</v>
      </c>
      <c r="R915" s="446">
        <f t="shared" si="164"/>
        <v>-0.25499370214934347</v>
      </c>
      <c r="S915" s="446">
        <f t="shared" si="165"/>
        <v>7.5446999999999986E-2</v>
      </c>
      <c r="T915" s="447">
        <f t="shared" si="166"/>
        <v>-0.33044070214934346</v>
      </c>
      <c r="V915" s="448"/>
      <c r="W915" s="448"/>
      <c r="X915" s="448"/>
      <c r="Y915" s="448"/>
      <c r="Z915" s="448"/>
      <c r="AA915" s="448"/>
      <c r="AB915" s="448"/>
      <c r="AC915" s="448"/>
      <c r="AD915" s="448"/>
      <c r="AF915" s="448"/>
      <c r="AG915" s="448"/>
      <c r="AH915" s="448"/>
      <c r="AI915" s="448"/>
      <c r="AJ915" s="448"/>
      <c r="AK915" s="448"/>
      <c r="AL915" s="448"/>
      <c r="AM915" s="448"/>
      <c r="AN915" s="448"/>
      <c r="AP915" s="448"/>
      <c r="AQ915" s="448"/>
      <c r="AR915" s="448"/>
      <c r="AS915" s="448"/>
      <c r="AT915" s="448"/>
      <c r="AU915" s="448"/>
      <c r="AV915" s="448"/>
      <c r="AW915" s="448"/>
      <c r="AX915" s="448"/>
    </row>
    <row r="916" spans="1:50" x14ac:dyDescent="0.4">
      <c r="A916" s="442" t="str">
        <f t="shared" si="167"/>
        <v>122001</v>
      </c>
      <c r="B916" s="442">
        <v>37226</v>
      </c>
      <c r="C916" s="455">
        <v>8.8000000000000005E-3</v>
      </c>
      <c r="D916" s="438">
        <v>2.6000000000000002E-2</v>
      </c>
      <c r="E916" s="438">
        <v>4.5999999999999999E-3</v>
      </c>
      <c r="F916" s="438">
        <v>5.6333333333333339E-3</v>
      </c>
      <c r="G916" s="438">
        <v>5.9916666666666677E-3</v>
      </c>
      <c r="H916" s="438">
        <v>5.8125000000000008E-3</v>
      </c>
      <c r="I916" s="438">
        <v>6.5259166666666668E-3</v>
      </c>
      <c r="J916" s="438">
        <f t="shared" si="168"/>
        <v>4.2000000000000006E-3</v>
      </c>
      <c r="K916" s="438">
        <f t="shared" si="160"/>
        <v>2.9874999999999997E-3</v>
      </c>
      <c r="L916" s="438">
        <f t="shared" si="161"/>
        <v>1.9474083333333336E-2</v>
      </c>
      <c r="M916" s="446">
        <f t="shared" si="169"/>
        <v>-0.11882674619079403</v>
      </c>
      <c r="N916" s="446">
        <f t="shared" si="170"/>
        <v>5.5199999999999999E-2</v>
      </c>
      <c r="O916" s="446">
        <f t="shared" si="162"/>
        <v>6.9750000000000006E-2</v>
      </c>
      <c r="P916" s="447">
        <f t="shared" si="171"/>
        <v>-0.17402674619079403</v>
      </c>
      <c r="Q916" s="446">
        <f t="shared" si="163"/>
        <v>-0.18857674619079404</v>
      </c>
      <c r="R916" s="446">
        <f t="shared" si="164"/>
        <v>-0.3039733549492134</v>
      </c>
      <c r="S916" s="446">
        <f t="shared" si="165"/>
        <v>7.8311000000000006E-2</v>
      </c>
      <c r="T916" s="447">
        <f t="shared" si="166"/>
        <v>-0.38228435494921342</v>
      </c>
      <c r="V916" s="448"/>
      <c r="W916" s="448"/>
      <c r="X916" s="448"/>
      <c r="Y916" s="448"/>
      <c r="Z916" s="448"/>
      <c r="AA916" s="448"/>
      <c r="AB916" s="448"/>
      <c r="AC916" s="448"/>
      <c r="AD916" s="448"/>
      <c r="AF916" s="448"/>
      <c r="AG916" s="448"/>
      <c r="AH916" s="448"/>
      <c r="AI916" s="448"/>
      <c r="AJ916" s="448"/>
      <c r="AK916" s="448"/>
      <c r="AL916" s="448"/>
      <c r="AM916" s="448"/>
      <c r="AN916" s="448"/>
      <c r="AP916" s="448"/>
      <c r="AQ916" s="448"/>
      <c r="AR916" s="448"/>
      <c r="AS916" s="448"/>
      <c r="AT916" s="448"/>
      <c r="AU916" s="448"/>
      <c r="AV916" s="448"/>
      <c r="AW916" s="448"/>
      <c r="AX916" s="448"/>
    </row>
    <row r="917" spans="1:50" x14ac:dyDescent="0.4">
      <c r="A917" s="442" t="str">
        <f t="shared" si="167"/>
        <v>12002</v>
      </c>
      <c r="B917" s="442">
        <v>37257</v>
      </c>
      <c r="C917" s="455">
        <v>-1.46E-2</v>
      </c>
      <c r="D917" s="438">
        <v>-5.6499999999999995E-2</v>
      </c>
      <c r="E917" s="438">
        <v>4.7999999999999996E-3</v>
      </c>
      <c r="F917" s="438">
        <v>5.4583333333333324E-3</v>
      </c>
      <c r="G917" s="438">
        <v>5.8583333333333334E-3</v>
      </c>
      <c r="H917" s="438">
        <v>5.6583333333333329E-3</v>
      </c>
      <c r="I917" s="438">
        <v>6.3869166666666666E-3</v>
      </c>
      <c r="J917" s="438">
        <f t="shared" si="168"/>
        <v>-1.9400000000000001E-2</v>
      </c>
      <c r="K917" s="438">
        <f t="shared" si="160"/>
        <v>-2.0258333333333333E-2</v>
      </c>
      <c r="L917" s="438">
        <f t="shared" si="161"/>
        <v>-6.2886916666666667E-2</v>
      </c>
      <c r="M917" s="446">
        <f t="shared" si="169"/>
        <v>-0.16146004412980031</v>
      </c>
      <c r="N917" s="446">
        <f t="shared" si="170"/>
        <v>5.7599999999999998E-2</v>
      </c>
      <c r="O917" s="446">
        <f t="shared" si="162"/>
        <v>6.7899999999999988E-2</v>
      </c>
      <c r="P917" s="447">
        <f t="shared" si="171"/>
        <v>-0.21906004412980029</v>
      </c>
      <c r="Q917" s="446">
        <f t="shared" si="163"/>
        <v>-0.22936004412980029</v>
      </c>
      <c r="R917" s="446">
        <f t="shared" si="164"/>
        <v>-0.27299774205090566</v>
      </c>
      <c r="S917" s="446">
        <f t="shared" si="165"/>
        <v>7.6643000000000003E-2</v>
      </c>
      <c r="T917" s="447">
        <f t="shared" si="166"/>
        <v>-0.34964074205090567</v>
      </c>
      <c r="V917" s="448"/>
      <c r="W917" s="448"/>
      <c r="X917" s="448"/>
      <c r="Y917" s="448"/>
      <c r="Z917" s="448"/>
      <c r="AA917" s="448"/>
      <c r="AB917" s="448"/>
      <c r="AC917" s="448"/>
      <c r="AD917" s="448"/>
      <c r="AF917" s="448"/>
      <c r="AG917" s="448"/>
      <c r="AH917" s="448"/>
      <c r="AI917" s="448"/>
      <c r="AJ917" s="448"/>
      <c r="AK917" s="448"/>
      <c r="AL917" s="448"/>
      <c r="AM917" s="448"/>
      <c r="AN917" s="448"/>
      <c r="AP917" s="448"/>
      <c r="AQ917" s="448"/>
      <c r="AR917" s="448"/>
      <c r="AS917" s="448"/>
      <c r="AT917" s="448"/>
      <c r="AU917" s="448"/>
      <c r="AV917" s="448"/>
      <c r="AW917" s="448"/>
      <c r="AX917" s="448"/>
    </row>
    <row r="918" spans="1:50" x14ac:dyDescent="0.4">
      <c r="A918" s="442" t="str">
        <f t="shared" si="167"/>
        <v>22002</v>
      </c>
      <c r="B918" s="442">
        <v>37288</v>
      </c>
      <c r="C918" s="455">
        <v>-1.9300000000000001E-2</v>
      </c>
      <c r="D918" s="438">
        <v>-2.35E-2</v>
      </c>
      <c r="E918" s="438">
        <v>4.3E-3</v>
      </c>
      <c r="F918" s="438">
        <v>5.4250000000000001E-3</v>
      </c>
      <c r="G918" s="438">
        <v>5.7916666666666672E-3</v>
      </c>
      <c r="H918" s="438">
        <v>5.6083333333333332E-3</v>
      </c>
      <c r="I918" s="438">
        <v>6.2833333333333326E-3</v>
      </c>
      <c r="J918" s="438">
        <f t="shared" si="168"/>
        <v>-2.3600000000000003E-2</v>
      </c>
      <c r="K918" s="438">
        <f t="shared" si="160"/>
        <v>-2.4908333333333334E-2</v>
      </c>
      <c r="L918" s="438">
        <f t="shared" si="161"/>
        <v>-2.9783333333333332E-2</v>
      </c>
      <c r="M918" s="446">
        <f t="shared" si="169"/>
        <v>-9.5118689786636734E-2</v>
      </c>
      <c r="N918" s="446">
        <f t="shared" si="170"/>
        <v>5.16E-2</v>
      </c>
      <c r="O918" s="446">
        <f t="shared" si="162"/>
        <v>6.7299999999999999E-2</v>
      </c>
      <c r="P918" s="447">
        <f t="shared" si="171"/>
        <v>-0.14671868978663674</v>
      </c>
      <c r="Q918" s="446">
        <f t="shared" si="163"/>
        <v>-0.16241868978663673</v>
      </c>
      <c r="R918" s="446">
        <f t="shared" si="164"/>
        <v>-0.31428793114334896</v>
      </c>
      <c r="S918" s="446">
        <f t="shared" si="165"/>
        <v>7.5399999999999995E-2</v>
      </c>
      <c r="T918" s="447">
        <f t="shared" si="166"/>
        <v>-0.38968793114334899</v>
      </c>
      <c r="V918" s="448"/>
      <c r="W918" s="448"/>
      <c r="X918" s="448"/>
      <c r="Y918" s="448"/>
      <c r="Z918" s="448"/>
      <c r="AA918" s="448"/>
      <c r="AB918" s="448"/>
      <c r="AC918" s="448"/>
      <c r="AD918" s="448"/>
      <c r="AF918" s="448"/>
      <c r="AG918" s="448"/>
      <c r="AH918" s="448"/>
      <c r="AI918" s="448"/>
      <c r="AJ918" s="448"/>
      <c r="AK918" s="448"/>
      <c r="AL918" s="448"/>
      <c r="AM918" s="448"/>
      <c r="AN918" s="448"/>
      <c r="AP918" s="448"/>
      <c r="AQ918" s="448"/>
      <c r="AR918" s="448"/>
      <c r="AS918" s="448"/>
      <c r="AT918" s="448"/>
      <c r="AU918" s="448"/>
      <c r="AV918" s="448"/>
      <c r="AW918" s="448"/>
      <c r="AX918" s="448"/>
    </row>
    <row r="919" spans="1:50" x14ac:dyDescent="0.4">
      <c r="A919" s="442" t="str">
        <f t="shared" si="167"/>
        <v>32002</v>
      </c>
      <c r="B919" s="442">
        <v>37316</v>
      </c>
      <c r="C919" s="455">
        <v>3.7600000000000001E-2</v>
      </c>
      <c r="D919" s="438">
        <v>0.12229999999999999</v>
      </c>
      <c r="E919" s="438">
        <v>4.3E-3</v>
      </c>
      <c r="F919" s="438">
        <v>5.6750000000000004E-3</v>
      </c>
      <c r="G919" s="438">
        <v>6.0166666666666667E-3</v>
      </c>
      <c r="H919" s="438">
        <v>5.8458333333333331E-3</v>
      </c>
      <c r="I919" s="438">
        <v>6.4529166666666667E-3</v>
      </c>
      <c r="J919" s="438">
        <f t="shared" si="168"/>
        <v>3.3300000000000003E-2</v>
      </c>
      <c r="K919" s="438">
        <f t="shared" si="160"/>
        <v>3.1754166666666667E-2</v>
      </c>
      <c r="L919" s="438">
        <f t="shared" si="161"/>
        <v>0.11584708333333332</v>
      </c>
      <c r="M919" s="446">
        <f t="shared" si="169"/>
        <v>2.4608664076297693E-3</v>
      </c>
      <c r="N919" s="446">
        <f t="shared" si="170"/>
        <v>5.16E-2</v>
      </c>
      <c r="O919" s="446">
        <f t="shared" si="162"/>
        <v>7.014999999999999E-2</v>
      </c>
      <c r="P919" s="447">
        <f t="shared" si="171"/>
        <v>-4.9139133592370231E-2</v>
      </c>
      <c r="Q919" s="446">
        <f t="shared" si="163"/>
        <v>-6.7689133592370221E-2</v>
      </c>
      <c r="R919" s="446">
        <f t="shared" si="164"/>
        <v>-0.22554628672857013</v>
      </c>
      <c r="S919" s="446">
        <f t="shared" si="165"/>
        <v>7.7435000000000004E-2</v>
      </c>
      <c r="T919" s="447">
        <f t="shared" si="166"/>
        <v>-0.30298128672857016</v>
      </c>
      <c r="V919" s="448"/>
      <c r="W919" s="448"/>
      <c r="X919" s="448"/>
      <c r="Y919" s="448"/>
      <c r="Z919" s="448"/>
      <c r="AA919" s="448"/>
      <c r="AB919" s="448"/>
      <c r="AC919" s="448"/>
      <c r="AD919" s="448"/>
      <c r="AF919" s="448"/>
      <c r="AG919" s="448"/>
      <c r="AH919" s="448"/>
      <c r="AI919" s="448"/>
      <c r="AJ919" s="448"/>
      <c r="AK919" s="448"/>
      <c r="AL919" s="448"/>
      <c r="AM919" s="448"/>
      <c r="AN919" s="448"/>
      <c r="AP919" s="448"/>
      <c r="AQ919" s="448"/>
      <c r="AR919" s="448"/>
      <c r="AS919" s="448"/>
      <c r="AT919" s="448"/>
      <c r="AU919" s="448"/>
      <c r="AV919" s="448"/>
      <c r="AW919" s="448"/>
      <c r="AX919" s="448"/>
    </row>
    <row r="920" spans="1:50" x14ac:dyDescent="0.4">
      <c r="A920" s="442" t="str">
        <f t="shared" si="167"/>
        <v>42002</v>
      </c>
      <c r="B920" s="442">
        <v>37347</v>
      </c>
      <c r="C920" s="455">
        <v>-6.0600000000000001E-2</v>
      </c>
      <c r="D920" s="438">
        <v>-1.7100000000000001E-2</v>
      </c>
      <c r="E920" s="438">
        <v>5.4000000000000003E-3</v>
      </c>
      <c r="F920" s="438">
        <v>5.6333333333333339E-3</v>
      </c>
      <c r="G920" s="438">
        <v>5.966666666666667E-3</v>
      </c>
      <c r="H920" s="438">
        <v>5.8000000000000005E-3</v>
      </c>
      <c r="I920" s="438">
        <v>6.3159166666666667E-3</v>
      </c>
      <c r="J920" s="438">
        <f t="shared" si="168"/>
        <v>-6.6000000000000003E-2</v>
      </c>
      <c r="K920" s="438">
        <f t="shared" si="160"/>
        <v>-6.6400000000000001E-2</v>
      </c>
      <c r="L920" s="438">
        <f t="shared" si="161"/>
        <v>-2.3415916666666668E-2</v>
      </c>
      <c r="M920" s="446">
        <f t="shared" si="169"/>
        <v>-0.12618378221831006</v>
      </c>
      <c r="N920" s="446">
        <f t="shared" si="170"/>
        <v>6.4799999999999996E-2</v>
      </c>
      <c r="O920" s="446">
        <f t="shared" si="162"/>
        <v>6.9600000000000009E-2</v>
      </c>
      <c r="P920" s="447">
        <f t="shared" si="171"/>
        <v>-0.19098378221831006</v>
      </c>
      <c r="Q920" s="446">
        <f t="shared" si="163"/>
        <v>-0.19578378221831005</v>
      </c>
      <c r="R920" s="446">
        <f t="shared" si="164"/>
        <v>-0.28221541275390094</v>
      </c>
      <c r="S920" s="446">
        <f t="shared" si="165"/>
        <v>7.5790999999999997E-2</v>
      </c>
      <c r="T920" s="447">
        <f t="shared" si="166"/>
        <v>-0.35800641275390094</v>
      </c>
      <c r="V920" s="448"/>
      <c r="W920" s="448"/>
      <c r="X920" s="448"/>
      <c r="Y920" s="448"/>
      <c r="Z920" s="448"/>
      <c r="AA920" s="448"/>
      <c r="AB920" s="448"/>
      <c r="AC920" s="448"/>
      <c r="AD920" s="448"/>
      <c r="AF920" s="448"/>
      <c r="AG920" s="448"/>
      <c r="AH920" s="448"/>
      <c r="AI920" s="448"/>
      <c r="AJ920" s="448"/>
      <c r="AK920" s="448"/>
      <c r="AL920" s="448"/>
      <c r="AM920" s="448"/>
      <c r="AN920" s="448"/>
      <c r="AP920" s="448"/>
      <c r="AQ920" s="448"/>
      <c r="AR920" s="448"/>
      <c r="AS920" s="448"/>
      <c r="AT920" s="448"/>
      <c r="AU920" s="448"/>
      <c r="AV920" s="448"/>
      <c r="AW920" s="448"/>
      <c r="AX920" s="448"/>
    </row>
    <row r="921" spans="1:50" x14ac:dyDescent="0.4">
      <c r="A921" s="442" t="str">
        <f t="shared" si="167"/>
        <v>52002</v>
      </c>
      <c r="B921" s="442">
        <v>37377</v>
      </c>
      <c r="C921" s="455">
        <v>-7.4000000000000003E-3</v>
      </c>
      <c r="D921" s="438">
        <v>-9.0200000000000002E-2</v>
      </c>
      <c r="E921" s="438">
        <v>4.8999999999999998E-3</v>
      </c>
      <c r="F921" s="438">
        <v>5.6249999999999998E-3</v>
      </c>
      <c r="G921" s="438">
        <v>6.0000000000000001E-3</v>
      </c>
      <c r="H921" s="438">
        <v>5.8125000000000008E-3</v>
      </c>
      <c r="I921" s="438">
        <v>6.2723333333333329E-3</v>
      </c>
      <c r="J921" s="438">
        <f t="shared" si="168"/>
        <v>-1.23E-2</v>
      </c>
      <c r="K921" s="438">
        <f t="shared" si="160"/>
        <v>-1.3212500000000002E-2</v>
      </c>
      <c r="L921" s="438">
        <f t="shared" si="161"/>
        <v>-9.647233333333334E-2</v>
      </c>
      <c r="M921" s="446">
        <f t="shared" si="169"/>
        <v>-0.13842259087105857</v>
      </c>
      <c r="N921" s="446">
        <f t="shared" si="170"/>
        <v>5.8799999999999998E-2</v>
      </c>
      <c r="O921" s="446">
        <f t="shared" si="162"/>
        <v>6.9750000000000006E-2</v>
      </c>
      <c r="P921" s="447">
        <f t="shared" si="171"/>
        <v>-0.19722259087105856</v>
      </c>
      <c r="Q921" s="446">
        <f t="shared" si="163"/>
        <v>-0.20817259087105858</v>
      </c>
      <c r="R921" s="446">
        <f t="shared" si="164"/>
        <v>-0.3237647121502526</v>
      </c>
      <c r="S921" s="446">
        <f t="shared" si="165"/>
        <v>7.5268000000000002E-2</v>
      </c>
      <c r="T921" s="447">
        <f t="shared" si="166"/>
        <v>-0.3990327121502526</v>
      </c>
      <c r="V921" s="448"/>
      <c r="W921" s="448"/>
      <c r="X921" s="448"/>
      <c r="Y921" s="448"/>
      <c r="Z921" s="448"/>
      <c r="AA921" s="448"/>
      <c r="AB921" s="448"/>
      <c r="AC921" s="448"/>
      <c r="AD921" s="448"/>
      <c r="AF921" s="448"/>
      <c r="AG921" s="448"/>
      <c r="AH921" s="448"/>
      <c r="AI921" s="448"/>
      <c r="AJ921" s="448"/>
      <c r="AK921" s="448"/>
      <c r="AL921" s="448"/>
      <c r="AM921" s="448"/>
      <c r="AN921" s="448"/>
      <c r="AP921" s="448"/>
      <c r="AQ921" s="448"/>
      <c r="AR921" s="448"/>
      <c r="AS921" s="448"/>
      <c r="AT921" s="448"/>
      <c r="AU921" s="448"/>
      <c r="AV921" s="448"/>
      <c r="AW921" s="448"/>
      <c r="AX921" s="448"/>
    </row>
    <row r="922" spans="1:50" x14ac:dyDescent="0.4">
      <c r="A922" s="442" t="str">
        <f t="shared" si="167"/>
        <v>62002</v>
      </c>
      <c r="B922" s="442">
        <v>37408</v>
      </c>
      <c r="C922" s="455">
        <v>-7.1199999999999999E-2</v>
      </c>
      <c r="D922" s="438">
        <v>-7.1000000000000008E-2</v>
      </c>
      <c r="E922" s="438">
        <v>4.4000000000000003E-3</v>
      </c>
      <c r="F922" s="438">
        <v>5.5333333333333337E-3</v>
      </c>
      <c r="G922" s="438">
        <v>5.8999999999999999E-3</v>
      </c>
      <c r="H922" s="438">
        <v>5.7166666666666668E-3</v>
      </c>
      <c r="I922" s="438">
        <v>6.1804166666666674E-3</v>
      </c>
      <c r="J922" s="438">
        <f t="shared" si="168"/>
        <v>-7.5600000000000001E-2</v>
      </c>
      <c r="K922" s="438">
        <f t="shared" si="160"/>
        <v>-7.6916666666666661E-2</v>
      </c>
      <c r="L922" s="438">
        <f t="shared" si="161"/>
        <v>-7.7180416666666668E-2</v>
      </c>
      <c r="M922" s="446">
        <f t="shared" si="169"/>
        <v>-0.1798369400441111</v>
      </c>
      <c r="N922" s="446">
        <f t="shared" si="170"/>
        <v>5.28E-2</v>
      </c>
      <c r="O922" s="446">
        <f t="shared" si="162"/>
        <v>6.8599999999999994E-2</v>
      </c>
      <c r="P922" s="447">
        <f t="shared" si="171"/>
        <v>-0.23263694004411112</v>
      </c>
      <c r="Q922" s="446">
        <f t="shared" si="163"/>
        <v>-0.2484369400441111</v>
      </c>
      <c r="R922" s="446">
        <f t="shared" si="164"/>
        <v>-0.31781672015157447</v>
      </c>
      <c r="S922" s="446">
        <f t="shared" si="165"/>
        <v>7.4165000000000009E-2</v>
      </c>
      <c r="T922" s="447">
        <f t="shared" si="166"/>
        <v>-0.39198172015157451</v>
      </c>
      <c r="V922" s="448"/>
      <c r="W922" s="448"/>
      <c r="X922" s="448"/>
      <c r="Y922" s="448"/>
      <c r="Z922" s="448"/>
      <c r="AA922" s="448"/>
      <c r="AB922" s="448"/>
      <c r="AC922" s="448"/>
      <c r="AD922" s="448"/>
      <c r="AF922" s="448"/>
      <c r="AG922" s="448"/>
      <c r="AH922" s="448"/>
      <c r="AI922" s="448"/>
      <c r="AJ922" s="448"/>
      <c r="AK922" s="448"/>
      <c r="AL922" s="448"/>
      <c r="AM922" s="448"/>
      <c r="AN922" s="448"/>
      <c r="AP922" s="448"/>
      <c r="AQ922" s="448"/>
      <c r="AR922" s="448"/>
      <c r="AS922" s="448"/>
      <c r="AT922" s="448"/>
      <c r="AU922" s="448"/>
      <c r="AV922" s="448"/>
      <c r="AW922" s="448"/>
      <c r="AX922" s="448"/>
    </row>
    <row r="923" spans="1:50" x14ac:dyDescent="0.4">
      <c r="A923" s="442" t="str">
        <f t="shared" si="167"/>
        <v>72002</v>
      </c>
      <c r="B923" s="442">
        <v>37438</v>
      </c>
      <c r="C923" s="455">
        <v>-7.8E-2</v>
      </c>
      <c r="D923" s="438">
        <v>-0.13799999999999998</v>
      </c>
      <c r="E923" s="438">
        <v>5.1000000000000004E-3</v>
      </c>
      <c r="F923" s="438">
        <v>5.4416666666666667E-3</v>
      </c>
      <c r="G923" s="438">
        <v>5.816666666666667E-3</v>
      </c>
      <c r="H923" s="438">
        <v>5.6291666666666677E-3</v>
      </c>
      <c r="I923" s="438">
        <v>6.1008333333333331E-3</v>
      </c>
      <c r="J923" s="438">
        <f t="shared" si="168"/>
        <v>-8.3100000000000007E-2</v>
      </c>
      <c r="K923" s="438">
        <f t="shared" si="160"/>
        <v>-8.3629166666666671E-2</v>
      </c>
      <c r="L923" s="438">
        <f t="shared" si="161"/>
        <v>-0.14410083333333332</v>
      </c>
      <c r="M923" s="446">
        <f t="shared" si="169"/>
        <v>-0.23632565009156781</v>
      </c>
      <c r="N923" s="446">
        <f t="shared" si="170"/>
        <v>6.1200000000000004E-2</v>
      </c>
      <c r="O923" s="446">
        <f t="shared" si="162"/>
        <v>6.7550000000000013E-2</v>
      </c>
      <c r="P923" s="447">
        <f t="shared" si="171"/>
        <v>-0.29752565009156784</v>
      </c>
      <c r="Q923" s="446">
        <f t="shared" si="163"/>
        <v>-0.30387565009156781</v>
      </c>
      <c r="R923" s="446">
        <f t="shared" si="164"/>
        <v>-0.38437815407313347</v>
      </c>
      <c r="S923" s="446">
        <f t="shared" si="165"/>
        <v>7.3209999999999997E-2</v>
      </c>
      <c r="T923" s="447">
        <f t="shared" si="166"/>
        <v>-0.45758815407313347</v>
      </c>
      <c r="V923" s="448"/>
      <c r="W923" s="448"/>
      <c r="X923" s="448"/>
      <c r="Y923" s="448"/>
      <c r="Z923" s="448"/>
      <c r="AA923" s="448"/>
      <c r="AB923" s="448"/>
      <c r="AC923" s="448"/>
      <c r="AD923" s="448"/>
      <c r="AF923" s="448"/>
      <c r="AG923" s="448"/>
      <c r="AH923" s="448"/>
      <c r="AI923" s="448"/>
      <c r="AJ923" s="448"/>
      <c r="AK923" s="448"/>
      <c r="AL923" s="448"/>
      <c r="AM923" s="448"/>
      <c r="AN923" s="448"/>
      <c r="AP923" s="448"/>
      <c r="AQ923" s="448"/>
      <c r="AR923" s="448"/>
      <c r="AS923" s="448"/>
      <c r="AT923" s="448"/>
      <c r="AU923" s="448"/>
      <c r="AV923" s="448"/>
      <c r="AW923" s="448"/>
      <c r="AX923" s="448"/>
    </row>
    <row r="924" spans="1:50" x14ac:dyDescent="0.4">
      <c r="A924" s="442" t="str">
        <f t="shared" si="167"/>
        <v>82002</v>
      </c>
      <c r="B924" s="442">
        <v>37469</v>
      </c>
      <c r="C924" s="455">
        <v>6.6E-3</v>
      </c>
      <c r="D924" s="438">
        <v>3.5000000000000003E-2</v>
      </c>
      <c r="E924" s="438">
        <v>4.4000000000000003E-3</v>
      </c>
      <c r="F924" s="438">
        <v>5.3083333333333342E-3</v>
      </c>
      <c r="G924" s="438">
        <v>5.6999999999999993E-3</v>
      </c>
      <c r="H924" s="438">
        <v>5.5041666666666668E-3</v>
      </c>
      <c r="I924" s="438">
        <v>5.9787500000000006E-3</v>
      </c>
      <c r="J924" s="438">
        <f t="shared" si="168"/>
        <v>2.1999999999999997E-3</v>
      </c>
      <c r="K924" s="438">
        <f t="shared" si="160"/>
        <v>1.0958333333333332E-3</v>
      </c>
      <c r="L924" s="438">
        <f t="shared" si="161"/>
        <v>2.9021250000000002E-2</v>
      </c>
      <c r="M924" s="446">
        <f t="shared" si="169"/>
        <v>-0.17995028737163654</v>
      </c>
      <c r="N924" s="446">
        <f t="shared" si="170"/>
        <v>5.28E-2</v>
      </c>
      <c r="O924" s="446">
        <f t="shared" si="162"/>
        <v>6.6049999999999998E-2</v>
      </c>
      <c r="P924" s="447">
        <f t="shared" si="171"/>
        <v>-0.23275028737163656</v>
      </c>
      <c r="Q924" s="446">
        <f t="shared" si="163"/>
        <v>-0.24600028737163654</v>
      </c>
      <c r="R924" s="446">
        <f t="shared" si="164"/>
        <v>-0.34380163693686228</v>
      </c>
      <c r="S924" s="446">
        <f t="shared" si="165"/>
        <v>7.1745000000000003E-2</v>
      </c>
      <c r="T924" s="447">
        <f t="shared" si="166"/>
        <v>-0.41554663693686228</v>
      </c>
      <c r="V924" s="448"/>
      <c r="W924" s="448"/>
      <c r="X924" s="448"/>
      <c r="Y924" s="448"/>
      <c r="Z924" s="448"/>
      <c r="AA924" s="448"/>
      <c r="AB924" s="448"/>
      <c r="AC924" s="448"/>
      <c r="AD924" s="448"/>
      <c r="AF924" s="448"/>
      <c r="AG924" s="448"/>
      <c r="AH924" s="448"/>
      <c r="AI924" s="448"/>
      <c r="AJ924" s="448"/>
      <c r="AK924" s="448"/>
      <c r="AL924" s="448"/>
      <c r="AM924" s="448"/>
      <c r="AN924" s="448"/>
      <c r="AP924" s="448"/>
      <c r="AQ924" s="448"/>
      <c r="AR924" s="448"/>
      <c r="AS924" s="448"/>
      <c r="AT924" s="448"/>
      <c r="AU924" s="448"/>
      <c r="AV924" s="448"/>
      <c r="AW924" s="448"/>
      <c r="AX924" s="448"/>
    </row>
    <row r="925" spans="1:50" x14ac:dyDescent="0.4">
      <c r="A925" s="442" t="str">
        <f t="shared" si="167"/>
        <v>92002</v>
      </c>
      <c r="B925" s="442">
        <v>37500</v>
      </c>
      <c r="C925" s="455">
        <v>-0.1087</v>
      </c>
      <c r="D925" s="438">
        <v>-0.12830000000000003</v>
      </c>
      <c r="E925" s="438">
        <v>4.1999999999999997E-3</v>
      </c>
      <c r="F925" s="438">
        <v>5.1250000000000011E-3</v>
      </c>
      <c r="G925" s="438">
        <v>5.5249999999999995E-3</v>
      </c>
      <c r="H925" s="438">
        <v>5.3249999999999999E-3</v>
      </c>
      <c r="I925" s="438">
        <v>5.9062500000000009E-3</v>
      </c>
      <c r="J925" s="438">
        <f t="shared" si="168"/>
        <v>-0.1129</v>
      </c>
      <c r="K925" s="438">
        <f t="shared" ref="K925:K988" si="172">C925-H925</f>
        <v>-0.114025</v>
      </c>
      <c r="L925" s="438">
        <f t="shared" ref="L925:L988" si="173">$D925-I925</f>
        <v>-0.13420625000000003</v>
      </c>
      <c r="M925" s="446">
        <f t="shared" si="169"/>
        <v>-0.20484083021577415</v>
      </c>
      <c r="N925" s="446">
        <f t="shared" si="170"/>
        <v>5.04E-2</v>
      </c>
      <c r="O925" s="446">
        <f t="shared" si="162"/>
        <v>6.3899999999999998E-2</v>
      </c>
      <c r="P925" s="447">
        <f t="shared" si="171"/>
        <v>-0.25524083021577415</v>
      </c>
      <c r="Q925" s="446">
        <f t="shared" si="163"/>
        <v>-0.26874083021577416</v>
      </c>
      <c r="R925" s="446">
        <f t="shared" si="164"/>
        <v>-0.35351705121819943</v>
      </c>
      <c r="S925" s="446">
        <f t="shared" si="165"/>
        <v>7.0875000000000007E-2</v>
      </c>
      <c r="T925" s="447">
        <f t="shared" si="166"/>
        <v>-0.42439205121819945</v>
      </c>
      <c r="V925" s="448"/>
      <c r="W925" s="448"/>
      <c r="X925" s="448"/>
      <c r="Y925" s="448"/>
      <c r="Z925" s="448"/>
      <c r="AA925" s="448"/>
      <c r="AB925" s="448"/>
      <c r="AC925" s="448"/>
      <c r="AD925" s="448"/>
      <c r="AF925" s="448"/>
      <c r="AG925" s="448"/>
      <c r="AH925" s="448"/>
      <c r="AI925" s="448"/>
      <c r="AJ925" s="448"/>
      <c r="AK925" s="448"/>
      <c r="AL925" s="448"/>
      <c r="AM925" s="448"/>
      <c r="AN925" s="448"/>
      <c r="AP925" s="448"/>
      <c r="AQ925" s="448"/>
      <c r="AR925" s="448"/>
      <c r="AS925" s="448"/>
      <c r="AT925" s="448"/>
      <c r="AU925" s="448"/>
      <c r="AV925" s="448"/>
      <c r="AW925" s="448"/>
      <c r="AX925" s="448"/>
    </row>
    <row r="926" spans="1:50" x14ac:dyDescent="0.4">
      <c r="A926" s="442" t="str">
        <f t="shared" si="167"/>
        <v>102002</v>
      </c>
      <c r="B926" s="442">
        <v>37530</v>
      </c>
      <c r="C926" s="455">
        <v>8.7999999999999995E-2</v>
      </c>
      <c r="D926" s="438">
        <v>-1.7299999999999999E-2</v>
      </c>
      <c r="E926" s="438">
        <v>4.0000000000000001E-3</v>
      </c>
      <c r="F926" s="438">
        <v>5.2749999999999993E-3</v>
      </c>
      <c r="G926" s="438">
        <v>5.6166666666666665E-3</v>
      </c>
      <c r="H926" s="438">
        <v>5.4458333333333329E-3</v>
      </c>
      <c r="I926" s="438">
        <v>6.0162499999999999E-3</v>
      </c>
      <c r="J926" s="438">
        <f t="shared" si="168"/>
        <v>8.3999999999999991E-2</v>
      </c>
      <c r="K926" s="438">
        <f t="shared" si="172"/>
        <v>8.2554166666666665E-2</v>
      </c>
      <c r="L926" s="438">
        <f t="shared" si="173"/>
        <v>-2.331625E-2</v>
      </c>
      <c r="M926" s="446">
        <f t="shared" si="169"/>
        <v>-0.15108117287289002</v>
      </c>
      <c r="N926" s="446">
        <f t="shared" si="170"/>
        <v>4.8000000000000001E-2</v>
      </c>
      <c r="O926" s="446">
        <f t="shared" si="162"/>
        <v>6.5349999999999991E-2</v>
      </c>
      <c r="P926" s="447">
        <f t="shared" si="171"/>
        <v>-0.19908117287289001</v>
      </c>
      <c r="Q926" s="446">
        <f t="shared" si="163"/>
        <v>-0.21643117287289002</v>
      </c>
      <c r="R926" s="446">
        <f t="shared" si="164"/>
        <v>-0.36361935914266708</v>
      </c>
      <c r="S926" s="446">
        <f t="shared" si="165"/>
        <v>7.2194999999999995E-2</v>
      </c>
      <c r="T926" s="447">
        <f t="shared" si="166"/>
        <v>-0.43581435914266708</v>
      </c>
      <c r="V926" s="448"/>
      <c r="W926" s="448"/>
      <c r="X926" s="448"/>
      <c r="Y926" s="448"/>
      <c r="Z926" s="448"/>
      <c r="AA926" s="448"/>
      <c r="AB926" s="448"/>
      <c r="AC926" s="448"/>
      <c r="AD926" s="448"/>
      <c r="AF926" s="448"/>
      <c r="AG926" s="448"/>
      <c r="AH926" s="448"/>
      <c r="AI926" s="448"/>
      <c r="AJ926" s="448"/>
      <c r="AK926" s="448"/>
      <c r="AL926" s="448"/>
      <c r="AM926" s="448"/>
      <c r="AN926" s="448"/>
      <c r="AP926" s="448"/>
      <c r="AQ926" s="448"/>
      <c r="AR926" s="448"/>
      <c r="AS926" s="448"/>
      <c r="AT926" s="448"/>
      <c r="AU926" s="448"/>
      <c r="AV926" s="448"/>
      <c r="AW926" s="448"/>
      <c r="AX926" s="448"/>
    </row>
    <row r="927" spans="1:50" x14ac:dyDescent="0.4">
      <c r="A927" s="442" t="str">
        <f t="shared" si="167"/>
        <v>112002</v>
      </c>
      <c r="B927" s="442">
        <v>37561</v>
      </c>
      <c r="C927" s="455">
        <v>5.8900000000000001E-2</v>
      </c>
      <c r="D927" s="438">
        <v>2.4900000000000002E-2</v>
      </c>
      <c r="E927" s="438">
        <v>4.0000000000000001E-3</v>
      </c>
      <c r="F927" s="438">
        <v>5.2583333333333327E-3</v>
      </c>
      <c r="G927" s="438">
        <v>5.5916666666666667E-3</v>
      </c>
      <c r="H927" s="438">
        <v>5.4250000000000001E-3</v>
      </c>
      <c r="I927" s="438">
        <v>5.9523333333333338E-3</v>
      </c>
      <c r="J927" s="438">
        <f t="shared" si="168"/>
        <v>5.4900000000000004E-2</v>
      </c>
      <c r="K927" s="438">
        <f t="shared" si="172"/>
        <v>5.3475000000000002E-2</v>
      </c>
      <c r="L927" s="438">
        <f t="shared" si="173"/>
        <v>1.8947666666666668E-2</v>
      </c>
      <c r="M927" s="446">
        <f t="shared" si="169"/>
        <v>-0.16511549545379689</v>
      </c>
      <c r="N927" s="446">
        <f t="shared" si="170"/>
        <v>4.8000000000000001E-2</v>
      </c>
      <c r="O927" s="446">
        <f t="shared" si="162"/>
        <v>6.5100000000000005E-2</v>
      </c>
      <c r="P927" s="447">
        <f t="shared" si="171"/>
        <v>-0.21311549545379688</v>
      </c>
      <c r="Q927" s="446">
        <f t="shared" si="163"/>
        <v>-0.23021549545379688</v>
      </c>
      <c r="R927" s="446">
        <f t="shared" si="164"/>
        <v>-0.3096671054035981</v>
      </c>
      <c r="S927" s="446">
        <f t="shared" si="165"/>
        <v>7.1428000000000005E-2</v>
      </c>
      <c r="T927" s="447">
        <f t="shared" si="166"/>
        <v>-0.38109510540359809</v>
      </c>
      <c r="V927" s="448"/>
      <c r="W927" s="448"/>
      <c r="X927" s="448"/>
      <c r="Y927" s="448"/>
      <c r="Z927" s="448"/>
      <c r="AA927" s="448"/>
      <c r="AB927" s="448"/>
      <c r="AC927" s="448"/>
      <c r="AD927" s="448"/>
      <c r="AF927" s="448"/>
      <c r="AG927" s="448"/>
      <c r="AH927" s="448"/>
      <c r="AI927" s="448"/>
      <c r="AJ927" s="448"/>
      <c r="AK927" s="448"/>
      <c r="AL927" s="448"/>
      <c r="AM927" s="448"/>
      <c r="AN927" s="448"/>
      <c r="AP927" s="448"/>
      <c r="AQ927" s="448"/>
      <c r="AR927" s="448"/>
      <c r="AS927" s="448"/>
      <c r="AT927" s="448"/>
      <c r="AU927" s="448"/>
      <c r="AV927" s="448"/>
      <c r="AW927" s="448"/>
      <c r="AX927" s="448"/>
    </row>
    <row r="928" spans="1:50" x14ac:dyDescent="0.4">
      <c r="A928" s="442" t="str">
        <f t="shared" si="167"/>
        <v>122002</v>
      </c>
      <c r="B928" s="442">
        <v>37591</v>
      </c>
      <c r="C928" s="455">
        <v>-5.8700000000000002E-2</v>
      </c>
      <c r="D928" s="438">
        <v>4.1599999999999998E-2</v>
      </c>
      <c r="E928" s="438">
        <v>4.4999999999999997E-3</v>
      </c>
      <c r="F928" s="438">
        <v>5.1749999999999999E-3</v>
      </c>
      <c r="G928" s="438">
        <v>5.5249999999999995E-3</v>
      </c>
      <c r="H928" s="438">
        <v>5.3499999999999989E-3</v>
      </c>
      <c r="I928" s="438">
        <v>5.896416666666667E-3</v>
      </c>
      <c r="J928" s="438">
        <f t="shared" si="168"/>
        <v>-6.3200000000000006E-2</v>
      </c>
      <c r="K928" s="438">
        <f t="shared" si="172"/>
        <v>-6.4049999999999996E-2</v>
      </c>
      <c r="L928" s="438">
        <f t="shared" si="173"/>
        <v>3.570358333333333E-2</v>
      </c>
      <c r="M928" s="446">
        <f t="shared" si="169"/>
        <v>-0.22097860415410286</v>
      </c>
      <c r="N928" s="446">
        <f t="shared" si="170"/>
        <v>5.3999999999999992E-2</v>
      </c>
      <c r="O928" s="446">
        <f t="shared" si="162"/>
        <v>6.4199999999999979E-2</v>
      </c>
      <c r="P928" s="447">
        <f t="shared" si="171"/>
        <v>-0.27497860415410286</v>
      </c>
      <c r="Q928" s="446">
        <f t="shared" si="163"/>
        <v>-0.28517860415410284</v>
      </c>
      <c r="R928" s="446">
        <f t="shared" si="164"/>
        <v>-0.29917081577815585</v>
      </c>
      <c r="S928" s="446">
        <f t="shared" si="165"/>
        <v>7.0757E-2</v>
      </c>
      <c r="T928" s="447">
        <f t="shared" si="166"/>
        <v>-0.36992781577815587</v>
      </c>
      <c r="V928" s="448"/>
      <c r="W928" s="448"/>
      <c r="X928" s="448"/>
      <c r="Y928" s="448"/>
      <c r="Z928" s="448"/>
      <c r="AA928" s="448"/>
      <c r="AB928" s="448"/>
      <c r="AC928" s="448"/>
      <c r="AD928" s="448"/>
      <c r="AF928" s="448"/>
      <c r="AG928" s="448"/>
      <c r="AH928" s="448"/>
      <c r="AI928" s="448"/>
      <c r="AJ928" s="448"/>
      <c r="AK928" s="448"/>
      <c r="AL928" s="448"/>
      <c r="AM928" s="448"/>
      <c r="AN928" s="448"/>
      <c r="AP928" s="448"/>
      <c r="AQ928" s="448"/>
      <c r="AR928" s="448"/>
      <c r="AS928" s="448"/>
      <c r="AT928" s="448"/>
      <c r="AU928" s="448"/>
      <c r="AV928" s="448"/>
      <c r="AW928" s="448"/>
      <c r="AX928" s="448"/>
    </row>
    <row r="929" spans="1:50" x14ac:dyDescent="0.4">
      <c r="A929" s="442" t="str">
        <f t="shared" si="167"/>
        <v>12003</v>
      </c>
      <c r="B929" s="442">
        <v>37622</v>
      </c>
      <c r="C929" s="455">
        <v>-2.6200000000000001E-2</v>
      </c>
      <c r="D929" s="438">
        <v>-2.9200000000000004E-2</v>
      </c>
      <c r="E929" s="438">
        <v>4.1000000000000003E-3</v>
      </c>
      <c r="F929" s="438">
        <v>5.1416666666666668E-3</v>
      </c>
      <c r="G929" s="438">
        <v>5.4916666666666673E-3</v>
      </c>
      <c r="H929" s="438">
        <v>5.3166666666666675E-3</v>
      </c>
      <c r="I929" s="438">
        <v>5.886916666666667E-3</v>
      </c>
      <c r="J929" s="438">
        <f t="shared" si="168"/>
        <v>-3.0300000000000001E-2</v>
      </c>
      <c r="K929" s="438">
        <f t="shared" si="172"/>
        <v>-3.1516666666666665E-2</v>
      </c>
      <c r="L929" s="438">
        <f t="shared" si="173"/>
        <v>-3.5086916666666669E-2</v>
      </c>
      <c r="M929" s="446">
        <f t="shared" si="169"/>
        <v>-0.23014914220140603</v>
      </c>
      <c r="N929" s="446">
        <f t="shared" si="170"/>
        <v>4.9200000000000008E-2</v>
      </c>
      <c r="O929" s="446">
        <f t="shared" si="162"/>
        <v>6.3800000000000009E-2</v>
      </c>
      <c r="P929" s="447">
        <f t="shared" si="171"/>
        <v>-0.27934914220140605</v>
      </c>
      <c r="Q929" s="446">
        <f t="shared" si="163"/>
        <v>-0.29394914220140606</v>
      </c>
      <c r="R929" s="446">
        <f t="shared" si="164"/>
        <v>-0.27889245146521846</v>
      </c>
      <c r="S929" s="446">
        <f t="shared" si="165"/>
        <v>7.0643000000000011E-2</v>
      </c>
      <c r="T929" s="447">
        <f t="shared" si="166"/>
        <v>-0.34953545146521847</v>
      </c>
      <c r="V929" s="448"/>
      <c r="W929" s="448"/>
      <c r="X929" s="448"/>
      <c r="Y929" s="448"/>
      <c r="Z929" s="448"/>
      <c r="AA929" s="448"/>
      <c r="AB929" s="448"/>
      <c r="AC929" s="448"/>
      <c r="AD929" s="448"/>
      <c r="AF929" s="448"/>
      <c r="AG929" s="448"/>
      <c r="AH929" s="448"/>
      <c r="AI929" s="448"/>
      <c r="AJ929" s="448"/>
      <c r="AK929" s="448"/>
      <c r="AL929" s="448"/>
      <c r="AM929" s="448"/>
      <c r="AN929" s="448"/>
      <c r="AP929" s="448"/>
      <c r="AQ929" s="448"/>
      <c r="AR929" s="448"/>
      <c r="AS929" s="448"/>
      <c r="AT929" s="448"/>
      <c r="AU929" s="448"/>
      <c r="AV929" s="448"/>
      <c r="AW929" s="448"/>
      <c r="AX929" s="448"/>
    </row>
    <row r="930" spans="1:50" x14ac:dyDescent="0.4">
      <c r="A930" s="442" t="str">
        <f t="shared" si="167"/>
        <v>22003</v>
      </c>
      <c r="B930" s="442">
        <v>37653</v>
      </c>
      <c r="C930" s="455">
        <v>-1.4999999999999999E-2</v>
      </c>
      <c r="D930" s="438">
        <v>-4.8999999999999995E-2</v>
      </c>
      <c r="E930" s="438">
        <v>3.8E-3</v>
      </c>
      <c r="F930" s="438">
        <v>4.9583333333333337E-3</v>
      </c>
      <c r="G930" s="438">
        <v>5.2833333333333335E-3</v>
      </c>
      <c r="H930" s="438">
        <v>5.1208333333333331E-3</v>
      </c>
      <c r="I930" s="438">
        <v>5.7775833333333325E-3</v>
      </c>
      <c r="J930" s="438">
        <f t="shared" si="168"/>
        <v>-1.8800000000000001E-2</v>
      </c>
      <c r="K930" s="438">
        <f t="shared" si="172"/>
        <v>-2.0120833333333331E-2</v>
      </c>
      <c r="L930" s="438">
        <f t="shared" si="173"/>
        <v>-5.4777583333333324E-2</v>
      </c>
      <c r="M930" s="446">
        <f t="shared" si="169"/>
        <v>-0.22677363624797076</v>
      </c>
      <c r="N930" s="446">
        <f t="shared" si="170"/>
        <v>4.5600000000000002E-2</v>
      </c>
      <c r="O930" s="446">
        <f t="shared" si="162"/>
        <v>6.1449999999999998E-2</v>
      </c>
      <c r="P930" s="447">
        <f t="shared" si="171"/>
        <v>-0.27237363624797073</v>
      </c>
      <c r="Q930" s="446">
        <f t="shared" si="163"/>
        <v>-0.28822363624797076</v>
      </c>
      <c r="R930" s="446">
        <f t="shared" si="164"/>
        <v>-0.29772321694154924</v>
      </c>
      <c r="S930" s="446">
        <f t="shared" si="165"/>
        <v>6.933099999999999E-2</v>
      </c>
      <c r="T930" s="447">
        <f t="shared" si="166"/>
        <v>-0.36705421694154922</v>
      </c>
      <c r="V930" s="448"/>
      <c r="W930" s="448"/>
      <c r="X930" s="448"/>
      <c r="Y930" s="448"/>
      <c r="Z930" s="448"/>
      <c r="AA930" s="448"/>
      <c r="AB930" s="448"/>
      <c r="AC930" s="448"/>
      <c r="AD930" s="448"/>
      <c r="AF930" s="448"/>
      <c r="AG930" s="448"/>
      <c r="AH930" s="448"/>
      <c r="AI930" s="448"/>
      <c r="AJ930" s="448"/>
      <c r="AK930" s="448"/>
      <c r="AL930" s="448"/>
      <c r="AM930" s="448"/>
      <c r="AN930" s="448"/>
      <c r="AP930" s="448"/>
      <c r="AQ930" s="448"/>
      <c r="AR930" s="448"/>
      <c r="AS930" s="448"/>
      <c r="AT930" s="448"/>
      <c r="AU930" s="448"/>
      <c r="AV930" s="448"/>
      <c r="AW930" s="448"/>
      <c r="AX930" s="448"/>
    </row>
    <row r="931" spans="1:50" x14ac:dyDescent="0.4">
      <c r="A931" s="442" t="str">
        <f t="shared" si="167"/>
        <v>32003</v>
      </c>
      <c r="B931" s="442">
        <v>37681</v>
      </c>
      <c r="C931" s="455">
        <v>9.7000000000000003E-3</v>
      </c>
      <c r="D931" s="438">
        <v>5.050000000000001E-2</v>
      </c>
      <c r="E931" s="438">
        <v>4.0000000000000001E-3</v>
      </c>
      <c r="F931" s="438">
        <v>4.9083333333333331E-3</v>
      </c>
      <c r="G931" s="438">
        <v>5.2333333333333329E-3</v>
      </c>
      <c r="H931" s="438">
        <v>5.0708333333333334E-3</v>
      </c>
      <c r="I931" s="438">
        <v>5.6626666666666665E-3</v>
      </c>
      <c r="J931" s="438">
        <f t="shared" si="168"/>
        <v>5.7000000000000002E-3</v>
      </c>
      <c r="K931" s="438">
        <f t="shared" si="172"/>
        <v>4.6291666666666668E-3</v>
      </c>
      <c r="L931" s="438">
        <f t="shared" si="173"/>
        <v>4.483733333333334E-2</v>
      </c>
      <c r="M931" s="446">
        <f t="shared" si="169"/>
        <v>-0.24756490026944489</v>
      </c>
      <c r="N931" s="446">
        <f t="shared" si="170"/>
        <v>4.8000000000000001E-2</v>
      </c>
      <c r="O931" s="446">
        <f t="shared" si="162"/>
        <v>6.0850000000000001E-2</v>
      </c>
      <c r="P931" s="447">
        <f t="shared" si="171"/>
        <v>-0.29556490026944487</v>
      </c>
      <c r="Q931" s="446">
        <f t="shared" si="163"/>
        <v>-0.3084149002694449</v>
      </c>
      <c r="R931" s="446">
        <f t="shared" si="164"/>
        <v>-0.34265191071647272</v>
      </c>
      <c r="S931" s="446">
        <f t="shared" si="165"/>
        <v>6.7951999999999999E-2</v>
      </c>
      <c r="T931" s="447">
        <f t="shared" si="166"/>
        <v>-0.41060391071647273</v>
      </c>
      <c r="V931" s="448"/>
      <c r="W931" s="448"/>
      <c r="X931" s="448"/>
      <c r="Y931" s="448"/>
      <c r="Z931" s="448"/>
      <c r="AA931" s="448"/>
      <c r="AB931" s="448"/>
      <c r="AC931" s="448"/>
      <c r="AD931" s="448"/>
      <c r="AF931" s="448"/>
      <c r="AG931" s="448"/>
      <c r="AH931" s="448"/>
      <c r="AI931" s="448"/>
      <c r="AJ931" s="448"/>
      <c r="AK931" s="448"/>
      <c r="AL931" s="448"/>
      <c r="AM931" s="448"/>
      <c r="AN931" s="448"/>
      <c r="AP931" s="448"/>
      <c r="AQ931" s="448"/>
      <c r="AR931" s="448"/>
      <c r="AS931" s="448"/>
      <c r="AT931" s="448"/>
      <c r="AU931" s="448"/>
      <c r="AV931" s="448"/>
      <c r="AW931" s="448"/>
      <c r="AX931" s="448"/>
    </row>
    <row r="932" spans="1:50" x14ac:dyDescent="0.4">
      <c r="A932" s="442" t="str">
        <f t="shared" si="167"/>
        <v>42003</v>
      </c>
      <c r="B932" s="442">
        <v>37712</v>
      </c>
      <c r="C932" s="455">
        <v>8.2400000000000001E-2</v>
      </c>
      <c r="D932" s="438">
        <v>8.8500000000000009E-2</v>
      </c>
      <c r="E932" s="438">
        <v>4.0000000000000001E-3</v>
      </c>
      <c r="F932" s="438">
        <v>4.783333333333333E-3</v>
      </c>
      <c r="G932" s="438">
        <v>5.1833333333333332E-3</v>
      </c>
      <c r="H932" s="438">
        <v>4.9833333333333327E-3</v>
      </c>
      <c r="I932" s="438">
        <v>5.5400833333333335E-3</v>
      </c>
      <c r="J932" s="438">
        <f t="shared" si="168"/>
        <v>7.8399999999999997E-2</v>
      </c>
      <c r="K932" s="438">
        <f t="shared" si="172"/>
        <v>7.7416666666666661E-2</v>
      </c>
      <c r="L932" s="438">
        <f t="shared" si="173"/>
        <v>8.2959916666666675E-2</v>
      </c>
      <c r="M932" s="446">
        <f t="shared" si="169"/>
        <v>-0.13302559937369318</v>
      </c>
      <c r="N932" s="446">
        <f t="shared" si="170"/>
        <v>4.8000000000000001E-2</v>
      </c>
      <c r="O932" s="446">
        <f t="shared" si="162"/>
        <v>5.9799999999999992E-2</v>
      </c>
      <c r="P932" s="447">
        <f t="shared" si="171"/>
        <v>-0.18102559937369317</v>
      </c>
      <c r="Q932" s="446">
        <f t="shared" si="163"/>
        <v>-0.19282559937369317</v>
      </c>
      <c r="R932" s="446">
        <f t="shared" si="164"/>
        <v>-0.2720282885490698</v>
      </c>
      <c r="S932" s="446">
        <f t="shared" si="165"/>
        <v>6.6480999999999998E-2</v>
      </c>
      <c r="T932" s="447">
        <f t="shared" si="166"/>
        <v>-0.33850928854906981</v>
      </c>
      <c r="V932" s="448"/>
      <c r="W932" s="448"/>
      <c r="X932" s="448"/>
      <c r="Y932" s="448"/>
      <c r="Z932" s="448"/>
      <c r="AA932" s="448"/>
      <c r="AB932" s="448"/>
      <c r="AC932" s="448"/>
      <c r="AD932" s="448"/>
      <c r="AF932" s="448"/>
      <c r="AG932" s="448"/>
      <c r="AH932" s="448"/>
      <c r="AI932" s="448"/>
      <c r="AJ932" s="448"/>
      <c r="AK932" s="448"/>
      <c r="AL932" s="448"/>
      <c r="AM932" s="448"/>
      <c r="AN932" s="448"/>
      <c r="AP932" s="448"/>
      <c r="AQ932" s="448"/>
      <c r="AR932" s="448"/>
      <c r="AS932" s="448"/>
      <c r="AT932" s="448"/>
      <c r="AU932" s="448"/>
      <c r="AV932" s="448"/>
      <c r="AW932" s="448"/>
      <c r="AX932" s="448"/>
    </row>
    <row r="933" spans="1:50" x14ac:dyDescent="0.4">
      <c r="A933" s="442" t="str">
        <f t="shared" si="167"/>
        <v>52003</v>
      </c>
      <c r="B933" s="442">
        <v>37742</v>
      </c>
      <c r="C933" s="455">
        <v>5.2699999999999997E-2</v>
      </c>
      <c r="D933" s="438">
        <v>0.1021</v>
      </c>
      <c r="E933" s="438">
        <v>3.8999999999999994E-3</v>
      </c>
      <c r="F933" s="438">
        <v>4.3499999999999997E-3</v>
      </c>
      <c r="G933" s="438">
        <v>4.875E-3</v>
      </c>
      <c r="H933" s="438">
        <v>4.6125000000000003E-3</v>
      </c>
      <c r="I933" s="438">
        <v>5.3103333333333336E-3</v>
      </c>
      <c r="J933" s="438">
        <f t="shared" si="168"/>
        <v>4.8799999999999996E-2</v>
      </c>
      <c r="K933" s="438">
        <f t="shared" si="172"/>
        <v>4.8087499999999998E-2</v>
      </c>
      <c r="L933" s="438">
        <f t="shared" si="173"/>
        <v>9.6789666666666663E-2</v>
      </c>
      <c r="M933" s="446">
        <f t="shared" si="169"/>
        <v>-8.0531985150802732E-2</v>
      </c>
      <c r="N933" s="446">
        <f t="shared" si="170"/>
        <v>4.6799999999999994E-2</v>
      </c>
      <c r="O933" s="446">
        <f t="shared" si="162"/>
        <v>5.5350000000000003E-2</v>
      </c>
      <c r="P933" s="447">
        <f t="shared" si="171"/>
        <v>-0.12733198515080274</v>
      </c>
      <c r="Q933" s="446">
        <f t="shared" si="163"/>
        <v>-0.13588198515080274</v>
      </c>
      <c r="R933" s="446">
        <f t="shared" si="164"/>
        <v>-0.11816044934043735</v>
      </c>
      <c r="S933" s="446">
        <f t="shared" si="165"/>
        <v>6.3724000000000003E-2</v>
      </c>
      <c r="T933" s="447">
        <f t="shared" si="166"/>
        <v>-0.18188444934043735</v>
      </c>
      <c r="V933" s="448"/>
      <c r="W933" s="448"/>
      <c r="X933" s="448"/>
      <c r="Y933" s="448"/>
      <c r="Z933" s="448"/>
      <c r="AA933" s="448"/>
      <c r="AB933" s="448"/>
      <c r="AC933" s="448"/>
      <c r="AD933" s="448"/>
      <c r="AF933" s="448"/>
      <c r="AG933" s="448"/>
      <c r="AH933" s="448"/>
      <c r="AI933" s="448"/>
      <c r="AJ933" s="448"/>
      <c r="AK933" s="448"/>
      <c r="AL933" s="448"/>
      <c r="AM933" s="448"/>
      <c r="AN933" s="448"/>
      <c r="AP933" s="448"/>
      <c r="AQ933" s="448"/>
      <c r="AR933" s="448"/>
      <c r="AS933" s="448"/>
      <c r="AT933" s="448"/>
      <c r="AU933" s="448"/>
      <c r="AV933" s="448"/>
      <c r="AW933" s="448"/>
      <c r="AX933" s="448"/>
    </row>
    <row r="934" spans="1:50" x14ac:dyDescent="0.4">
      <c r="A934" s="442" t="str">
        <f t="shared" si="167"/>
        <v>62003</v>
      </c>
      <c r="B934" s="442">
        <v>37773</v>
      </c>
      <c r="C934" s="455">
        <v>1.2800000000000001E-2</v>
      </c>
      <c r="D934" s="438">
        <v>1.1900000000000001E-2</v>
      </c>
      <c r="E934" s="438">
        <v>3.5999999999999999E-3</v>
      </c>
      <c r="F934" s="438">
        <v>4.1416666666666659E-3</v>
      </c>
      <c r="G934" s="438">
        <v>4.7666666666666664E-3</v>
      </c>
      <c r="H934" s="438">
        <v>4.4541666666666662E-3</v>
      </c>
      <c r="I934" s="438">
        <v>5.1729999999999996E-3</v>
      </c>
      <c r="J934" s="438">
        <f t="shared" si="168"/>
        <v>9.1999999999999998E-3</v>
      </c>
      <c r="K934" s="438">
        <f t="shared" si="172"/>
        <v>8.3458333333333336E-3</v>
      </c>
      <c r="L934" s="438">
        <f t="shared" si="173"/>
        <v>6.7270000000000012E-3</v>
      </c>
      <c r="M934" s="446">
        <f t="shared" si="169"/>
        <v>2.6240368639824929E-3</v>
      </c>
      <c r="N934" s="446">
        <f t="shared" si="170"/>
        <v>4.3200000000000002E-2</v>
      </c>
      <c r="O934" s="446">
        <f t="shared" si="162"/>
        <v>5.3449999999999998E-2</v>
      </c>
      <c r="P934" s="447">
        <f t="shared" si="171"/>
        <v>-4.0575963136017509E-2</v>
      </c>
      <c r="Q934" s="446">
        <f t="shared" si="163"/>
        <v>-5.0825963136017505E-2</v>
      </c>
      <c r="R934" s="446">
        <f t="shared" si="164"/>
        <v>-3.9468846811182234E-2</v>
      </c>
      <c r="S934" s="446">
        <f t="shared" si="165"/>
        <v>6.2075999999999992E-2</v>
      </c>
      <c r="T934" s="447">
        <f t="shared" si="166"/>
        <v>-0.10154484681118223</v>
      </c>
      <c r="V934" s="448"/>
      <c r="W934" s="448"/>
      <c r="X934" s="448"/>
      <c r="Y934" s="448"/>
      <c r="Z934" s="448"/>
      <c r="AA934" s="448"/>
      <c r="AB934" s="448"/>
      <c r="AC934" s="448"/>
      <c r="AD934" s="448"/>
      <c r="AF934" s="448"/>
      <c r="AG934" s="448"/>
      <c r="AH934" s="448"/>
      <c r="AI934" s="448"/>
      <c r="AJ934" s="448"/>
      <c r="AK934" s="448"/>
      <c r="AL934" s="448"/>
      <c r="AM934" s="448"/>
      <c r="AN934" s="448"/>
      <c r="AP934" s="448"/>
      <c r="AQ934" s="448"/>
      <c r="AR934" s="448"/>
      <c r="AS934" s="448"/>
      <c r="AT934" s="448"/>
      <c r="AU934" s="448"/>
      <c r="AV934" s="448"/>
      <c r="AW934" s="448"/>
      <c r="AX934" s="448"/>
    </row>
    <row r="935" spans="1:50" x14ac:dyDescent="0.4">
      <c r="A935" s="442" t="str">
        <f t="shared" si="167"/>
        <v>72003</v>
      </c>
      <c r="B935" s="442">
        <v>37803</v>
      </c>
      <c r="C935" s="455">
        <v>1.7600000000000001E-2</v>
      </c>
      <c r="D935" s="438">
        <v>-6.5000000000000002E-2</v>
      </c>
      <c r="E935" s="438">
        <v>3.8E-3</v>
      </c>
      <c r="F935" s="438">
        <v>4.5750000000000001E-3</v>
      </c>
      <c r="G935" s="438">
        <v>5.058333333333334E-3</v>
      </c>
      <c r="H935" s="438">
        <v>4.816666666666667E-3</v>
      </c>
      <c r="I935" s="438">
        <v>5.4568333333333326E-3</v>
      </c>
      <c r="J935" s="438">
        <f t="shared" si="168"/>
        <v>1.3800000000000002E-2</v>
      </c>
      <c r="K935" s="438">
        <f t="shared" si="172"/>
        <v>1.2783333333333334E-2</v>
      </c>
      <c r="L935" s="438">
        <f t="shared" si="173"/>
        <v>-7.045683333333333E-2</v>
      </c>
      <c r="M935" s="446">
        <f t="shared" si="169"/>
        <v>0.10658375261690756</v>
      </c>
      <c r="N935" s="446">
        <f t="shared" si="170"/>
        <v>4.5600000000000002E-2</v>
      </c>
      <c r="O935" s="446">
        <f t="shared" si="162"/>
        <v>5.7800000000000004E-2</v>
      </c>
      <c r="P935" s="447">
        <f t="shared" si="171"/>
        <v>6.0983752616907555E-2</v>
      </c>
      <c r="Q935" s="446">
        <f t="shared" si="163"/>
        <v>4.8783752616907552E-2</v>
      </c>
      <c r="R935" s="446">
        <f t="shared" si="164"/>
        <v>4.1875438783694374E-2</v>
      </c>
      <c r="S935" s="446">
        <f t="shared" si="165"/>
        <v>6.5481999999999985E-2</v>
      </c>
      <c r="T935" s="447">
        <f t="shared" si="166"/>
        <v>-2.360656121630561E-2</v>
      </c>
      <c r="V935" s="448"/>
      <c r="W935" s="448"/>
      <c r="X935" s="448"/>
      <c r="Y935" s="448"/>
      <c r="Z935" s="448"/>
      <c r="AA935" s="448"/>
      <c r="AB935" s="448"/>
      <c r="AC935" s="448"/>
      <c r="AD935" s="448"/>
      <c r="AF935" s="448"/>
      <c r="AG935" s="448"/>
      <c r="AH935" s="448"/>
      <c r="AI935" s="448"/>
      <c r="AJ935" s="448"/>
      <c r="AK935" s="448"/>
      <c r="AL935" s="448"/>
      <c r="AM935" s="448"/>
      <c r="AN935" s="448"/>
      <c r="AP935" s="448"/>
      <c r="AQ935" s="448"/>
      <c r="AR935" s="448"/>
      <c r="AS935" s="448"/>
      <c r="AT935" s="448"/>
      <c r="AU935" s="448"/>
      <c r="AV935" s="448"/>
      <c r="AW935" s="448"/>
      <c r="AX935" s="448"/>
    </row>
    <row r="936" spans="1:50" x14ac:dyDescent="0.4">
      <c r="A936" s="442" t="str">
        <f t="shared" si="167"/>
        <v>82003</v>
      </c>
      <c r="B936" s="442">
        <v>37834</v>
      </c>
      <c r="C936" s="455">
        <v>1.95E-2</v>
      </c>
      <c r="D936" s="438">
        <v>1.7499999999999998E-2</v>
      </c>
      <c r="E936" s="438">
        <v>4.1999999999999997E-3</v>
      </c>
      <c r="F936" s="438">
        <v>4.8916666666666666E-3</v>
      </c>
      <c r="G936" s="438">
        <v>5.2583333333333327E-3</v>
      </c>
      <c r="H936" s="438">
        <v>5.0749999999999997E-3</v>
      </c>
      <c r="I936" s="438">
        <v>5.6591666666666674E-3</v>
      </c>
      <c r="J936" s="438">
        <f t="shared" si="168"/>
        <v>1.5300000000000001E-2</v>
      </c>
      <c r="K936" s="438">
        <f t="shared" si="172"/>
        <v>1.4425E-2</v>
      </c>
      <c r="L936" s="438">
        <f t="shared" si="173"/>
        <v>1.1840833333333332E-2</v>
      </c>
      <c r="M936" s="446">
        <f t="shared" si="169"/>
        <v>0.12076508622385984</v>
      </c>
      <c r="N936" s="446">
        <f t="shared" si="170"/>
        <v>5.04E-2</v>
      </c>
      <c r="O936" s="446">
        <f t="shared" ref="O936:O999" si="174">H936*12</f>
        <v>6.0899999999999996E-2</v>
      </c>
      <c r="P936" s="447">
        <f t="shared" si="171"/>
        <v>7.0365086223859841E-2</v>
      </c>
      <c r="Q936" s="446">
        <f t="shared" ref="Q936:Q999" si="175">M936-O936</f>
        <v>5.9865086223859845E-2</v>
      </c>
      <c r="R936" s="446">
        <f t="shared" ref="R936:R999" si="176">((1+D925)*(1+D926)*(1+D927)*(1+D928)*(1+D929)*(1+D930)*(1+D931)*(1+D932)*(1+D933)*(1+D934)*(1+D935)*(1+D936))-1</f>
        <v>2.4259187403294025E-2</v>
      </c>
      <c r="S936" s="446">
        <f t="shared" ref="S936:S999" si="177">I936*12</f>
        <v>6.7910000000000012E-2</v>
      </c>
      <c r="T936" s="447">
        <f t="shared" ref="T936:T999" si="178">R936-S936</f>
        <v>-4.3650812596705987E-2</v>
      </c>
      <c r="V936" s="448"/>
      <c r="W936" s="448"/>
      <c r="X936" s="448"/>
      <c r="Y936" s="448"/>
      <c r="Z936" s="448"/>
      <c r="AA936" s="448"/>
      <c r="AB936" s="448"/>
      <c r="AC936" s="448"/>
      <c r="AD936" s="448"/>
      <c r="AF936" s="448"/>
      <c r="AG936" s="448"/>
      <c r="AH936" s="448"/>
      <c r="AI936" s="448"/>
      <c r="AJ936" s="448"/>
      <c r="AK936" s="448"/>
      <c r="AL936" s="448"/>
      <c r="AM936" s="448"/>
      <c r="AN936" s="448"/>
      <c r="AP936" s="448"/>
      <c r="AQ936" s="448"/>
      <c r="AR936" s="448"/>
      <c r="AS936" s="448"/>
      <c r="AT936" s="448"/>
      <c r="AU936" s="448"/>
      <c r="AV936" s="448"/>
      <c r="AW936" s="448"/>
      <c r="AX936" s="448"/>
    </row>
    <row r="937" spans="1:50" x14ac:dyDescent="0.4">
      <c r="A937" s="442" t="str">
        <f t="shared" ref="A937:A1000" si="179">MONTH(B937)&amp;YEAR(B937)</f>
        <v>92003</v>
      </c>
      <c r="B937" s="442">
        <v>37865</v>
      </c>
      <c r="C937" s="455">
        <v>-1.06E-2</v>
      </c>
      <c r="D937" s="438">
        <v>4.5699999999999991E-2</v>
      </c>
      <c r="E937" s="438">
        <v>4.5999999999999999E-3</v>
      </c>
      <c r="F937" s="438">
        <v>4.7666666666666664E-3</v>
      </c>
      <c r="G937" s="438">
        <v>5.1083333333333336E-3</v>
      </c>
      <c r="H937" s="438">
        <v>4.9375E-3</v>
      </c>
      <c r="I937" s="438">
        <v>5.4869166666666669E-3</v>
      </c>
      <c r="J937" s="438">
        <f t="shared" si="168"/>
        <v>-1.52E-2</v>
      </c>
      <c r="K937" s="438">
        <f t="shared" si="172"/>
        <v>-1.5537499999999999E-2</v>
      </c>
      <c r="L937" s="438">
        <f t="shared" si="173"/>
        <v>4.0213083333333323E-2</v>
      </c>
      <c r="M937" s="446">
        <f t="shared" si="169"/>
        <v>0.24412092035216748</v>
      </c>
      <c r="N937" s="446">
        <f t="shared" si="170"/>
        <v>5.5199999999999999E-2</v>
      </c>
      <c r="O937" s="446">
        <f t="shared" si="174"/>
        <v>5.9249999999999997E-2</v>
      </c>
      <c r="P937" s="447">
        <f t="shared" si="171"/>
        <v>0.18892092035216748</v>
      </c>
      <c r="Q937" s="446">
        <f t="shared" si="175"/>
        <v>0.18487092035216748</v>
      </c>
      <c r="R937" s="446">
        <f t="shared" si="176"/>
        <v>0.22871152032536957</v>
      </c>
      <c r="S937" s="446">
        <f t="shared" si="177"/>
        <v>6.5842999999999999E-2</v>
      </c>
      <c r="T937" s="447">
        <f t="shared" si="178"/>
        <v>0.16286852032536958</v>
      </c>
      <c r="V937" s="448"/>
      <c r="W937" s="448"/>
      <c r="X937" s="448"/>
      <c r="Y937" s="448"/>
      <c r="Z937" s="448"/>
      <c r="AA937" s="448"/>
      <c r="AB937" s="448"/>
      <c r="AC937" s="448"/>
      <c r="AD937" s="448"/>
      <c r="AF937" s="448"/>
      <c r="AG937" s="448"/>
      <c r="AH937" s="448"/>
      <c r="AI937" s="448"/>
      <c r="AJ937" s="448"/>
      <c r="AK937" s="448"/>
      <c r="AL937" s="448"/>
      <c r="AM937" s="448"/>
      <c r="AN937" s="448"/>
      <c r="AP937" s="448"/>
      <c r="AQ937" s="448"/>
      <c r="AR937" s="448"/>
      <c r="AS937" s="448"/>
      <c r="AT937" s="448"/>
      <c r="AU937" s="448"/>
      <c r="AV937" s="448"/>
      <c r="AW937" s="448"/>
      <c r="AX937" s="448"/>
    </row>
    <row r="938" spans="1:50" x14ac:dyDescent="0.4">
      <c r="A938" s="442" t="str">
        <f t="shared" si="179"/>
        <v>102003</v>
      </c>
      <c r="B938" s="442">
        <v>37895</v>
      </c>
      <c r="C938" s="455">
        <v>5.6599999999999998E-2</v>
      </c>
      <c r="D938" s="438">
        <v>1.1199999999999998E-2</v>
      </c>
      <c r="E938" s="438">
        <v>4.1000000000000003E-3</v>
      </c>
      <c r="F938" s="438">
        <v>4.7500000000000007E-3</v>
      </c>
      <c r="G938" s="438">
        <v>5.0916666666666662E-3</v>
      </c>
      <c r="H938" s="438">
        <v>4.9208333333333335E-3</v>
      </c>
      <c r="I938" s="438">
        <v>5.3500000000000006E-3</v>
      </c>
      <c r="J938" s="438">
        <f t="shared" si="168"/>
        <v>5.2499999999999998E-2</v>
      </c>
      <c r="K938" s="438">
        <f t="shared" si="172"/>
        <v>5.1679166666666665E-2</v>
      </c>
      <c r="L938" s="438">
        <f t="shared" si="173"/>
        <v>5.8499999999999976E-3</v>
      </c>
      <c r="M938" s="446">
        <f t="shared" si="169"/>
        <v>0.20821522467288611</v>
      </c>
      <c r="N938" s="446">
        <f t="shared" si="170"/>
        <v>4.9200000000000008E-2</v>
      </c>
      <c r="O938" s="446">
        <f t="shared" si="174"/>
        <v>5.9050000000000005E-2</v>
      </c>
      <c r="P938" s="447">
        <f t="shared" si="171"/>
        <v>0.15901522467288609</v>
      </c>
      <c r="Q938" s="446">
        <f t="shared" si="175"/>
        <v>0.14916522467288612</v>
      </c>
      <c r="R938" s="446">
        <f t="shared" si="176"/>
        <v>0.26434627999696136</v>
      </c>
      <c r="S938" s="446">
        <f t="shared" si="177"/>
        <v>6.4200000000000007E-2</v>
      </c>
      <c r="T938" s="447">
        <f t="shared" si="178"/>
        <v>0.20014627999696136</v>
      </c>
      <c r="V938" s="448"/>
      <c r="W938" s="448"/>
      <c r="X938" s="448"/>
      <c r="Y938" s="448"/>
      <c r="Z938" s="448"/>
      <c r="AA938" s="448"/>
      <c r="AB938" s="448"/>
      <c r="AC938" s="448"/>
      <c r="AD938" s="448"/>
      <c r="AF938" s="448"/>
      <c r="AG938" s="448"/>
      <c r="AH938" s="448"/>
      <c r="AI938" s="448"/>
      <c r="AJ938" s="448"/>
      <c r="AK938" s="448"/>
      <c r="AL938" s="448"/>
      <c r="AM938" s="448"/>
      <c r="AN938" s="448"/>
      <c r="AP938" s="448"/>
      <c r="AQ938" s="448"/>
      <c r="AR938" s="448"/>
      <c r="AS938" s="448"/>
      <c r="AT938" s="448"/>
      <c r="AU938" s="448"/>
      <c r="AV938" s="448"/>
      <c r="AW938" s="448"/>
      <c r="AX938" s="448"/>
    </row>
    <row r="939" spans="1:50" x14ac:dyDescent="0.4">
      <c r="A939" s="442" t="str">
        <f t="shared" si="179"/>
        <v>112003</v>
      </c>
      <c r="B939" s="442">
        <v>37926</v>
      </c>
      <c r="C939" s="455">
        <v>8.8000000000000005E-3</v>
      </c>
      <c r="D939" s="438">
        <v>-5.0000000000000001E-4</v>
      </c>
      <c r="E939" s="438">
        <v>3.8999999999999994E-3</v>
      </c>
      <c r="F939" s="438">
        <v>4.7083333333333335E-3</v>
      </c>
      <c r="G939" s="438">
        <v>5.0666666666666672E-3</v>
      </c>
      <c r="H939" s="438">
        <v>4.8875000000000004E-3</v>
      </c>
      <c r="I939" s="438">
        <v>5.3093333333333334E-3</v>
      </c>
      <c r="J939" s="438">
        <f t="shared" si="168"/>
        <v>4.9000000000000016E-3</v>
      </c>
      <c r="K939" s="438">
        <f t="shared" si="172"/>
        <v>3.9125000000000002E-3</v>
      </c>
      <c r="L939" s="438">
        <f t="shared" si="173"/>
        <v>-5.809333333333333E-3</v>
      </c>
      <c r="M939" s="446">
        <f t="shared" si="169"/>
        <v>0.15105063617906067</v>
      </c>
      <c r="N939" s="446">
        <f t="shared" si="170"/>
        <v>4.6799999999999994E-2</v>
      </c>
      <c r="O939" s="446">
        <f t="shared" si="174"/>
        <v>5.8650000000000008E-2</v>
      </c>
      <c r="P939" s="447">
        <f t="shared" si="171"/>
        <v>0.10425063617906068</v>
      </c>
      <c r="Q939" s="446">
        <f t="shared" si="175"/>
        <v>9.2400636179060663E-2</v>
      </c>
      <c r="R939" s="446">
        <f t="shared" si="176"/>
        <v>0.23301210543171358</v>
      </c>
      <c r="S939" s="446">
        <f t="shared" si="177"/>
        <v>6.3712000000000005E-2</v>
      </c>
      <c r="T939" s="447">
        <f t="shared" si="178"/>
        <v>0.16930010543171359</v>
      </c>
      <c r="V939" s="448"/>
      <c r="W939" s="448"/>
      <c r="X939" s="448"/>
      <c r="Y939" s="448"/>
      <c r="Z939" s="448"/>
      <c r="AA939" s="448"/>
      <c r="AB939" s="448"/>
      <c r="AC939" s="448"/>
      <c r="AD939" s="448"/>
      <c r="AF939" s="448"/>
      <c r="AG939" s="448"/>
      <c r="AH939" s="448"/>
      <c r="AI939" s="448"/>
      <c r="AJ939" s="448"/>
      <c r="AK939" s="448"/>
      <c r="AL939" s="448"/>
      <c r="AM939" s="448"/>
      <c r="AN939" s="448"/>
      <c r="AP939" s="448"/>
      <c r="AQ939" s="448"/>
      <c r="AR939" s="448"/>
      <c r="AS939" s="448"/>
      <c r="AT939" s="448"/>
      <c r="AU939" s="448"/>
      <c r="AV939" s="448"/>
      <c r="AW939" s="448"/>
      <c r="AX939" s="448"/>
    </row>
    <row r="940" spans="1:50" x14ac:dyDescent="0.4">
      <c r="A940" s="442" t="str">
        <f t="shared" si="179"/>
        <v>122003</v>
      </c>
      <c r="B940" s="442">
        <v>37956</v>
      </c>
      <c r="C940" s="455">
        <v>5.2400000000000002E-2</v>
      </c>
      <c r="D940" s="438">
        <v>6.7499999999999991E-2</v>
      </c>
      <c r="E940" s="438">
        <v>4.7000000000000002E-3</v>
      </c>
      <c r="F940" s="438">
        <v>4.7083333333333335E-3</v>
      </c>
      <c r="G940" s="438">
        <v>5.0166666666666658E-3</v>
      </c>
      <c r="H940" s="438">
        <v>4.8624999999999996E-3</v>
      </c>
      <c r="I940" s="438">
        <v>5.2325000000000002E-3</v>
      </c>
      <c r="J940" s="438">
        <f t="shared" si="168"/>
        <v>4.7699999999999999E-2</v>
      </c>
      <c r="K940" s="438">
        <f t="shared" si="172"/>
        <v>4.7537500000000003E-2</v>
      </c>
      <c r="L940" s="438">
        <f t="shared" si="173"/>
        <v>6.226749999999999E-2</v>
      </c>
      <c r="M940" s="446">
        <f t="shared" si="169"/>
        <v>0.28690713854758698</v>
      </c>
      <c r="N940" s="446">
        <f t="shared" si="170"/>
        <v>5.6400000000000006E-2</v>
      </c>
      <c r="O940" s="446">
        <f t="shared" si="174"/>
        <v>5.8349999999999999E-2</v>
      </c>
      <c r="P940" s="447">
        <f t="shared" si="171"/>
        <v>0.23050713854758698</v>
      </c>
      <c r="Q940" s="446">
        <f t="shared" si="175"/>
        <v>0.22855713854758697</v>
      </c>
      <c r="R940" s="446">
        <f t="shared" si="176"/>
        <v>0.26367168063398005</v>
      </c>
      <c r="S940" s="446">
        <f t="shared" si="177"/>
        <v>6.2789999999999999E-2</v>
      </c>
      <c r="T940" s="447">
        <f t="shared" si="178"/>
        <v>0.20088168063398004</v>
      </c>
      <c r="V940" s="448"/>
      <c r="W940" s="448"/>
      <c r="X940" s="448"/>
      <c r="Y940" s="448"/>
      <c r="Z940" s="448"/>
      <c r="AA940" s="448"/>
      <c r="AB940" s="448"/>
      <c r="AC940" s="448"/>
      <c r="AD940" s="448"/>
      <c r="AF940" s="448"/>
      <c r="AG940" s="448"/>
      <c r="AH940" s="448"/>
      <c r="AI940" s="448"/>
      <c r="AJ940" s="448"/>
      <c r="AK940" s="448"/>
      <c r="AL940" s="448"/>
      <c r="AM940" s="448"/>
      <c r="AN940" s="448"/>
      <c r="AP940" s="448"/>
      <c r="AQ940" s="448"/>
      <c r="AR940" s="448"/>
      <c r="AS940" s="448"/>
      <c r="AT940" s="448"/>
      <c r="AU940" s="448"/>
      <c r="AV940" s="448"/>
      <c r="AW940" s="448"/>
      <c r="AX940" s="448"/>
    </row>
    <row r="941" spans="1:50" x14ac:dyDescent="0.4">
      <c r="A941" s="442" t="str">
        <f t="shared" si="179"/>
        <v>12004</v>
      </c>
      <c r="B941" s="442">
        <v>37987</v>
      </c>
      <c r="C941" s="455">
        <v>1.84E-2</v>
      </c>
      <c r="D941" s="438">
        <v>2.1599999999999998E-2</v>
      </c>
      <c r="E941" s="438">
        <v>4.1999999999999997E-3</v>
      </c>
      <c r="F941" s="438">
        <v>4.6166666666666665E-3</v>
      </c>
      <c r="G941" s="438">
        <v>4.9249999999999997E-3</v>
      </c>
      <c r="H941" s="438">
        <v>4.7708333333333327E-3</v>
      </c>
      <c r="I941" s="438">
        <v>5.1280833333333335E-3</v>
      </c>
      <c r="J941" s="438">
        <f t="shared" si="168"/>
        <v>1.4200000000000001E-2</v>
      </c>
      <c r="K941" s="438">
        <f t="shared" si="172"/>
        <v>1.3629166666666668E-2</v>
      </c>
      <c r="L941" s="438">
        <f t="shared" si="173"/>
        <v>1.6471916666666662E-2</v>
      </c>
      <c r="M941" s="446">
        <f t="shared" si="169"/>
        <v>0.34584743263181572</v>
      </c>
      <c r="N941" s="446">
        <f t="shared" si="170"/>
        <v>5.04E-2</v>
      </c>
      <c r="O941" s="446">
        <f t="shared" si="174"/>
        <v>5.7249999999999995E-2</v>
      </c>
      <c r="P941" s="447">
        <f t="shared" si="171"/>
        <v>0.29544743263181572</v>
      </c>
      <c r="Q941" s="446">
        <f t="shared" si="175"/>
        <v>0.2885974326318157</v>
      </c>
      <c r="R941" s="446">
        <f t="shared" si="176"/>
        <v>0.32979706318054602</v>
      </c>
      <c r="S941" s="446">
        <f t="shared" si="177"/>
        <v>6.1537000000000001E-2</v>
      </c>
      <c r="T941" s="447">
        <f t="shared" si="178"/>
        <v>0.26826006318054602</v>
      </c>
      <c r="V941" s="448"/>
      <c r="W941" s="448"/>
      <c r="X941" s="448"/>
      <c r="Y941" s="448"/>
      <c r="Z941" s="448"/>
      <c r="AA941" s="448"/>
      <c r="AB941" s="448"/>
      <c r="AC941" s="448"/>
      <c r="AD941" s="448"/>
      <c r="AF941" s="448"/>
      <c r="AG941" s="448"/>
      <c r="AH941" s="448"/>
      <c r="AI941" s="448"/>
      <c r="AJ941" s="448"/>
      <c r="AK941" s="448"/>
      <c r="AL941" s="448"/>
      <c r="AM941" s="448"/>
      <c r="AN941" s="448"/>
      <c r="AP941" s="448"/>
      <c r="AQ941" s="448"/>
      <c r="AR941" s="448"/>
      <c r="AS941" s="448"/>
      <c r="AT941" s="448"/>
      <c r="AU941" s="448"/>
      <c r="AV941" s="448"/>
      <c r="AW941" s="448"/>
      <c r="AX941" s="448"/>
    </row>
    <row r="942" spans="1:50" x14ac:dyDescent="0.4">
      <c r="A942" s="442" t="str">
        <f t="shared" si="179"/>
        <v>22004</v>
      </c>
      <c r="B942" s="442">
        <v>38018</v>
      </c>
      <c r="C942" s="455">
        <v>1.3899999999999999E-2</v>
      </c>
      <c r="D942" s="438">
        <v>1.8100000000000002E-2</v>
      </c>
      <c r="E942" s="438">
        <v>3.8E-3</v>
      </c>
      <c r="F942" s="438">
        <v>4.5833333333333334E-3</v>
      </c>
      <c r="G942" s="438">
        <v>4.8916666666666666E-3</v>
      </c>
      <c r="H942" s="438">
        <v>4.7375000000000004E-3</v>
      </c>
      <c r="I942" s="438">
        <v>5.1250000000000011E-3</v>
      </c>
      <c r="J942" s="438">
        <f t="shared" si="168"/>
        <v>1.01E-2</v>
      </c>
      <c r="K942" s="438">
        <f t="shared" si="172"/>
        <v>9.1624999999999988E-3</v>
      </c>
      <c r="L942" s="438">
        <f t="shared" si="173"/>
        <v>1.2975E-2</v>
      </c>
      <c r="M942" s="446">
        <f t="shared" si="169"/>
        <v>0.38533473293949094</v>
      </c>
      <c r="N942" s="446">
        <f t="shared" si="170"/>
        <v>4.5600000000000002E-2</v>
      </c>
      <c r="O942" s="446">
        <f t="shared" si="174"/>
        <v>5.6850000000000005E-2</v>
      </c>
      <c r="P942" s="447">
        <f t="shared" si="171"/>
        <v>0.33973473293949097</v>
      </c>
      <c r="Q942" s="446">
        <f t="shared" si="175"/>
        <v>0.32848473293949093</v>
      </c>
      <c r="R942" s="446">
        <f t="shared" si="176"/>
        <v>0.42362396427351645</v>
      </c>
      <c r="S942" s="446">
        <f t="shared" si="177"/>
        <v>6.1500000000000013E-2</v>
      </c>
      <c r="T942" s="447">
        <f t="shared" si="178"/>
        <v>0.36212396427351645</v>
      </c>
      <c r="V942" s="448"/>
      <c r="W942" s="448"/>
      <c r="X942" s="448"/>
      <c r="Y942" s="448"/>
      <c r="Z942" s="448"/>
      <c r="AA942" s="448"/>
      <c r="AB942" s="448"/>
      <c r="AC942" s="448"/>
      <c r="AD942" s="448"/>
      <c r="AF942" s="448"/>
      <c r="AG942" s="448"/>
      <c r="AH942" s="448"/>
      <c r="AI942" s="448"/>
      <c r="AJ942" s="448"/>
      <c r="AK942" s="448"/>
      <c r="AL942" s="448"/>
      <c r="AM942" s="448"/>
      <c r="AN942" s="448"/>
      <c r="AP942" s="448"/>
      <c r="AQ942" s="448"/>
      <c r="AR942" s="448"/>
      <c r="AS942" s="448"/>
      <c r="AT942" s="448"/>
      <c r="AU942" s="448"/>
      <c r="AV942" s="448"/>
      <c r="AW942" s="448"/>
      <c r="AX942" s="448"/>
    </row>
    <row r="943" spans="1:50" x14ac:dyDescent="0.4">
      <c r="A943" s="442" t="str">
        <f t="shared" si="179"/>
        <v>32004</v>
      </c>
      <c r="B943" s="442">
        <v>38047</v>
      </c>
      <c r="C943" s="455">
        <v>-1.5100000000000001E-2</v>
      </c>
      <c r="D943" s="438">
        <v>1.04E-2</v>
      </c>
      <c r="E943" s="438">
        <v>4.3E-3</v>
      </c>
      <c r="F943" s="438">
        <v>4.4416666666666667E-3</v>
      </c>
      <c r="G943" s="438">
        <v>4.7500000000000007E-3</v>
      </c>
      <c r="H943" s="438">
        <v>4.5958333333333337E-3</v>
      </c>
      <c r="I943" s="438">
        <v>4.9753333333333333E-3</v>
      </c>
      <c r="J943" s="438">
        <f t="shared" si="168"/>
        <v>-1.9400000000000001E-2</v>
      </c>
      <c r="K943" s="438">
        <f t="shared" si="172"/>
        <v>-1.9695833333333336E-2</v>
      </c>
      <c r="L943" s="438">
        <f t="shared" si="173"/>
        <v>5.4246666666666662E-3</v>
      </c>
      <c r="M943" s="446">
        <f t="shared" si="169"/>
        <v>0.35130848615638732</v>
      </c>
      <c r="N943" s="446">
        <f t="shared" si="170"/>
        <v>5.16E-2</v>
      </c>
      <c r="O943" s="446">
        <f t="shared" si="174"/>
        <v>5.5150000000000005E-2</v>
      </c>
      <c r="P943" s="447">
        <f t="shared" si="171"/>
        <v>0.29970848615638734</v>
      </c>
      <c r="Q943" s="446">
        <f t="shared" si="175"/>
        <v>0.29615848615638729</v>
      </c>
      <c r="R943" s="446">
        <f t="shared" si="176"/>
        <v>0.36928096478054373</v>
      </c>
      <c r="S943" s="446">
        <f t="shared" si="177"/>
        <v>5.9704E-2</v>
      </c>
      <c r="T943" s="447">
        <f t="shared" si="178"/>
        <v>0.30957696478054375</v>
      </c>
      <c r="V943" s="448"/>
      <c r="W943" s="448"/>
      <c r="X943" s="448"/>
      <c r="Y943" s="448"/>
      <c r="Z943" s="448"/>
      <c r="AA943" s="448"/>
      <c r="AB943" s="448"/>
      <c r="AC943" s="448"/>
      <c r="AD943" s="448"/>
      <c r="AF943" s="448"/>
      <c r="AG943" s="448"/>
      <c r="AH943" s="448"/>
      <c r="AI943" s="448"/>
      <c r="AJ943" s="448"/>
      <c r="AK943" s="448"/>
      <c r="AL943" s="448"/>
      <c r="AM943" s="448"/>
      <c r="AN943" s="448"/>
      <c r="AP943" s="448"/>
      <c r="AQ943" s="448"/>
      <c r="AR943" s="448"/>
      <c r="AS943" s="448"/>
      <c r="AT943" s="448"/>
      <c r="AU943" s="448"/>
      <c r="AV943" s="448"/>
      <c r="AW943" s="448"/>
      <c r="AX943" s="448"/>
    </row>
    <row r="944" spans="1:50" x14ac:dyDescent="0.4">
      <c r="A944" s="442" t="str">
        <f t="shared" si="179"/>
        <v>42004</v>
      </c>
      <c r="B944" s="442">
        <v>38078</v>
      </c>
      <c r="C944" s="455">
        <v>-1.5699999999999999E-2</v>
      </c>
      <c r="D944" s="438">
        <v>-3.6199999999999996E-2</v>
      </c>
      <c r="E944" s="438">
        <v>3.8999999999999994E-3</v>
      </c>
      <c r="F944" s="438">
        <v>4.7750000000000006E-3</v>
      </c>
      <c r="G944" s="438">
        <v>5.0833333333333329E-3</v>
      </c>
      <c r="H944" s="438">
        <v>4.9291666666666668E-3</v>
      </c>
      <c r="I944" s="438">
        <v>5.2710000000000005E-3</v>
      </c>
      <c r="J944" s="438">
        <f t="shared" si="168"/>
        <v>-1.9599999999999999E-2</v>
      </c>
      <c r="K944" s="438">
        <f t="shared" si="172"/>
        <v>-2.0629166666666664E-2</v>
      </c>
      <c r="L944" s="438">
        <f t="shared" si="173"/>
        <v>-4.1470999999999994E-2</v>
      </c>
      <c r="M944" s="446">
        <f t="shared" si="169"/>
        <v>0.22883679131904278</v>
      </c>
      <c r="N944" s="446">
        <f t="shared" si="170"/>
        <v>4.6799999999999994E-2</v>
      </c>
      <c r="O944" s="446">
        <f t="shared" si="174"/>
        <v>5.9150000000000001E-2</v>
      </c>
      <c r="P944" s="447">
        <f t="shared" si="171"/>
        <v>0.18203679131904277</v>
      </c>
      <c r="Q944" s="446">
        <f t="shared" si="175"/>
        <v>0.16968679131904277</v>
      </c>
      <c r="R944" s="446">
        <f t="shared" si="176"/>
        <v>0.21241432600412247</v>
      </c>
      <c r="S944" s="446">
        <f t="shared" si="177"/>
        <v>6.3252000000000003E-2</v>
      </c>
      <c r="T944" s="447">
        <f t="shared" si="178"/>
        <v>0.14916232600412246</v>
      </c>
      <c r="V944" s="448"/>
      <c r="W944" s="448"/>
      <c r="X944" s="448"/>
      <c r="Y944" s="448"/>
      <c r="Z944" s="448"/>
      <c r="AA944" s="448"/>
      <c r="AB944" s="448"/>
      <c r="AC944" s="448"/>
      <c r="AD944" s="448"/>
      <c r="AF944" s="448"/>
      <c r="AG944" s="448"/>
      <c r="AH944" s="448"/>
      <c r="AI944" s="448"/>
      <c r="AJ944" s="448"/>
      <c r="AK944" s="448"/>
      <c r="AL944" s="448"/>
      <c r="AM944" s="448"/>
      <c r="AN944" s="448"/>
      <c r="AP944" s="448"/>
      <c r="AQ944" s="448"/>
      <c r="AR944" s="448"/>
      <c r="AS944" s="448"/>
      <c r="AT944" s="448"/>
      <c r="AU944" s="448"/>
      <c r="AV944" s="448"/>
      <c r="AW944" s="448"/>
      <c r="AX944" s="448"/>
    </row>
    <row r="945" spans="1:50" x14ac:dyDescent="0.4">
      <c r="A945" s="442" t="str">
        <f t="shared" si="179"/>
        <v>52004</v>
      </c>
      <c r="B945" s="442">
        <v>38108</v>
      </c>
      <c r="C945" s="455">
        <v>1.37E-2</v>
      </c>
      <c r="D945" s="438">
        <v>7.9000000000000008E-3</v>
      </c>
      <c r="E945" s="438">
        <v>4.0000000000000001E-3</v>
      </c>
      <c r="F945" s="438">
        <v>5.0333333333333332E-3</v>
      </c>
      <c r="G945" s="438">
        <v>5.3333333333333332E-3</v>
      </c>
      <c r="H945" s="438">
        <v>5.1833333333333332E-3</v>
      </c>
      <c r="I945" s="438">
        <v>5.5170833333333339E-3</v>
      </c>
      <c r="J945" s="438">
        <f t="shared" si="168"/>
        <v>9.7000000000000003E-3</v>
      </c>
      <c r="K945" s="438">
        <f t="shared" si="172"/>
        <v>8.5166666666666672E-3</v>
      </c>
      <c r="L945" s="438">
        <f t="shared" si="173"/>
        <v>2.3829166666666669E-3</v>
      </c>
      <c r="M945" s="446">
        <f t="shared" si="169"/>
        <v>0.18331134735453003</v>
      </c>
      <c r="N945" s="446">
        <f t="shared" si="170"/>
        <v>4.8000000000000001E-2</v>
      </c>
      <c r="O945" s="446">
        <f t="shared" si="174"/>
        <v>6.2199999999999998E-2</v>
      </c>
      <c r="P945" s="447">
        <f t="shared" si="171"/>
        <v>0.13531134735453004</v>
      </c>
      <c r="Q945" s="446">
        <f t="shared" si="175"/>
        <v>0.12111134735453002</v>
      </c>
      <c r="R945" s="446">
        <f t="shared" si="176"/>
        <v>0.10878540892800559</v>
      </c>
      <c r="S945" s="446">
        <f t="shared" si="177"/>
        <v>6.6205000000000014E-2</v>
      </c>
      <c r="T945" s="447">
        <f t="shared" si="178"/>
        <v>4.2580408928005575E-2</v>
      </c>
      <c r="V945" s="448"/>
      <c r="W945" s="448"/>
      <c r="X945" s="448"/>
      <c r="Y945" s="448"/>
      <c r="Z945" s="448"/>
      <c r="AA945" s="448"/>
      <c r="AB945" s="448"/>
      <c r="AC945" s="448"/>
      <c r="AD945" s="448"/>
      <c r="AF945" s="448"/>
      <c r="AG945" s="448"/>
      <c r="AH945" s="448"/>
      <c r="AI945" s="448"/>
      <c r="AJ945" s="448"/>
      <c r="AK945" s="448"/>
      <c r="AL945" s="448"/>
      <c r="AM945" s="448"/>
      <c r="AN945" s="448"/>
      <c r="AP945" s="448"/>
      <c r="AQ945" s="448"/>
      <c r="AR945" s="448"/>
      <c r="AS945" s="448"/>
      <c r="AT945" s="448"/>
      <c r="AU945" s="448"/>
      <c r="AV945" s="448"/>
      <c r="AW945" s="448"/>
      <c r="AX945" s="448"/>
    </row>
    <row r="946" spans="1:50" x14ac:dyDescent="0.4">
      <c r="A946" s="442" t="str">
        <f t="shared" si="179"/>
        <v>62004</v>
      </c>
      <c r="B946" s="442">
        <v>38139</v>
      </c>
      <c r="C946" s="455">
        <v>1.9400000000000001E-2</v>
      </c>
      <c r="D946" s="438">
        <v>1.55E-2</v>
      </c>
      <c r="E946" s="438">
        <v>4.7999999999999996E-3</v>
      </c>
      <c r="F946" s="438">
        <v>5.0083333333333334E-3</v>
      </c>
      <c r="G946" s="438">
        <v>5.1749999999999999E-3</v>
      </c>
      <c r="H946" s="438">
        <v>5.0916666666666662E-3</v>
      </c>
      <c r="I946" s="438">
        <v>5.3876666666666673E-3</v>
      </c>
      <c r="J946" s="438">
        <f t="shared" si="168"/>
        <v>1.4600000000000002E-2</v>
      </c>
      <c r="K946" s="438">
        <f t="shared" si="172"/>
        <v>1.4308333333333334E-2</v>
      </c>
      <c r="L946" s="438">
        <f t="shared" si="173"/>
        <v>1.0112333333333333E-2</v>
      </c>
      <c r="M946" s="446">
        <f t="shared" si="169"/>
        <v>0.19102249949961325</v>
      </c>
      <c r="N946" s="446">
        <f t="shared" si="170"/>
        <v>5.7599999999999998E-2</v>
      </c>
      <c r="O946" s="446">
        <f t="shared" si="174"/>
        <v>6.1099999999999995E-2</v>
      </c>
      <c r="P946" s="447">
        <f t="shared" si="171"/>
        <v>0.13342249949961327</v>
      </c>
      <c r="Q946" s="446">
        <f t="shared" si="175"/>
        <v>0.12992249949961326</v>
      </c>
      <c r="R946" s="446">
        <f t="shared" si="176"/>
        <v>0.11273009464017236</v>
      </c>
      <c r="S946" s="446">
        <f t="shared" si="177"/>
        <v>6.4652000000000015E-2</v>
      </c>
      <c r="T946" s="447">
        <f t="shared" si="178"/>
        <v>4.8078094640172347E-2</v>
      </c>
      <c r="V946" s="448"/>
      <c r="W946" s="448"/>
      <c r="X946" s="448"/>
      <c r="Y946" s="448"/>
      <c r="Z946" s="448"/>
      <c r="AA946" s="448"/>
      <c r="AB946" s="448"/>
      <c r="AC946" s="448"/>
      <c r="AD946" s="448"/>
      <c r="AF946" s="448"/>
      <c r="AG946" s="448"/>
      <c r="AH946" s="448"/>
      <c r="AI946" s="448"/>
      <c r="AJ946" s="448"/>
      <c r="AK946" s="448"/>
      <c r="AL946" s="448"/>
      <c r="AM946" s="448"/>
      <c r="AN946" s="448"/>
      <c r="AP946" s="448"/>
      <c r="AQ946" s="448"/>
      <c r="AR946" s="448"/>
      <c r="AS946" s="448"/>
      <c r="AT946" s="448"/>
      <c r="AU946" s="448"/>
      <c r="AV946" s="448"/>
      <c r="AW946" s="448"/>
      <c r="AX946" s="448"/>
    </row>
    <row r="947" spans="1:50" x14ac:dyDescent="0.4">
      <c r="A947" s="442" t="str">
        <f t="shared" si="179"/>
        <v>72004</v>
      </c>
      <c r="B947" s="442">
        <v>38169</v>
      </c>
      <c r="C947" s="455">
        <v>-3.3099999999999997E-2</v>
      </c>
      <c r="D947" s="438">
        <v>1.7299999999999999E-2</v>
      </c>
      <c r="E947" s="438">
        <v>4.3E-3</v>
      </c>
      <c r="F947" s="438">
        <v>4.8500000000000001E-3</v>
      </c>
      <c r="G947" s="438">
        <v>5.0166666666666658E-3</v>
      </c>
      <c r="H947" s="438">
        <v>4.933333333333333E-3</v>
      </c>
      <c r="I947" s="438">
        <v>5.2270000000000007E-3</v>
      </c>
      <c r="J947" s="438">
        <f t="shared" si="168"/>
        <v>-3.7399999999999996E-2</v>
      </c>
      <c r="K947" s="438">
        <f t="shared" si="172"/>
        <v>-3.8033333333333329E-2</v>
      </c>
      <c r="L947" s="438">
        <f t="shared" si="173"/>
        <v>1.2072999999999999E-2</v>
      </c>
      <c r="M947" s="446">
        <f t="shared" si="169"/>
        <v>0.13168205067430816</v>
      </c>
      <c r="N947" s="446">
        <f t="shared" si="170"/>
        <v>5.16E-2</v>
      </c>
      <c r="O947" s="446">
        <f t="shared" si="174"/>
        <v>5.9199999999999996E-2</v>
      </c>
      <c r="P947" s="447">
        <f t="shared" si="171"/>
        <v>8.0082050674308153E-2</v>
      </c>
      <c r="Q947" s="446">
        <f t="shared" si="175"/>
        <v>7.2482050674308157E-2</v>
      </c>
      <c r="R947" s="446">
        <f t="shared" si="176"/>
        <v>0.21067414468176149</v>
      </c>
      <c r="S947" s="446">
        <f t="shared" si="177"/>
        <v>6.2724000000000002E-2</v>
      </c>
      <c r="T947" s="447">
        <f t="shared" si="178"/>
        <v>0.14795014468176149</v>
      </c>
      <c r="V947" s="448"/>
      <c r="W947" s="448"/>
      <c r="X947" s="448"/>
      <c r="Y947" s="448"/>
      <c r="Z947" s="448"/>
      <c r="AA947" s="448"/>
      <c r="AB947" s="448"/>
      <c r="AC947" s="448"/>
      <c r="AD947" s="448"/>
      <c r="AF947" s="448"/>
      <c r="AG947" s="448"/>
      <c r="AH947" s="448"/>
      <c r="AI947" s="448"/>
      <c r="AJ947" s="448"/>
      <c r="AK947" s="448"/>
      <c r="AL947" s="448"/>
      <c r="AM947" s="448"/>
      <c r="AN947" s="448"/>
      <c r="AP947" s="448"/>
      <c r="AQ947" s="448"/>
      <c r="AR947" s="448"/>
      <c r="AS947" s="448"/>
      <c r="AT947" s="448"/>
      <c r="AU947" s="448"/>
      <c r="AV947" s="448"/>
      <c r="AW947" s="448"/>
      <c r="AX947" s="448"/>
    </row>
    <row r="948" spans="1:50" x14ac:dyDescent="0.4">
      <c r="A948" s="442" t="str">
        <f t="shared" si="179"/>
        <v>82004</v>
      </c>
      <c r="B948" s="442">
        <v>38200</v>
      </c>
      <c r="C948" s="455">
        <v>4.0000000000000001E-3</v>
      </c>
      <c r="D948" s="438">
        <v>3.9300000000000002E-2</v>
      </c>
      <c r="E948" s="438">
        <v>4.4999999999999997E-3</v>
      </c>
      <c r="F948" s="438">
        <v>4.7083333333333335E-3</v>
      </c>
      <c r="G948" s="438">
        <v>4.8916666666666666E-3</v>
      </c>
      <c r="H948" s="438">
        <v>4.8000000000000004E-3</v>
      </c>
      <c r="I948" s="438">
        <v>5.1234999999999996E-3</v>
      </c>
      <c r="J948" s="438">
        <f t="shared" si="168"/>
        <v>-4.9999999999999958E-4</v>
      </c>
      <c r="K948" s="438">
        <f t="shared" si="172"/>
        <v>-8.0000000000000036E-4</v>
      </c>
      <c r="L948" s="438">
        <f t="shared" si="173"/>
        <v>3.4176499999999999E-2</v>
      </c>
      <c r="M948" s="446">
        <f t="shared" si="169"/>
        <v>0.11447648737322713</v>
      </c>
      <c r="N948" s="446">
        <f t="shared" si="170"/>
        <v>5.3999999999999992E-2</v>
      </c>
      <c r="O948" s="446">
        <f t="shared" si="174"/>
        <v>5.7600000000000005E-2</v>
      </c>
      <c r="P948" s="447">
        <f t="shared" si="171"/>
        <v>6.0476487373227139E-2</v>
      </c>
      <c r="Q948" s="446">
        <f t="shared" si="175"/>
        <v>5.6876487373227126E-2</v>
      </c>
      <c r="R948" s="446">
        <f t="shared" si="176"/>
        <v>0.23661291259730199</v>
      </c>
      <c r="S948" s="446">
        <f t="shared" si="177"/>
        <v>6.1481999999999995E-2</v>
      </c>
      <c r="T948" s="447">
        <f t="shared" si="178"/>
        <v>0.17513091259730201</v>
      </c>
      <c r="V948" s="448"/>
      <c r="W948" s="448"/>
      <c r="X948" s="448"/>
      <c r="Y948" s="448"/>
      <c r="Z948" s="448"/>
      <c r="AA948" s="448"/>
      <c r="AB948" s="448"/>
      <c r="AC948" s="448"/>
      <c r="AD948" s="448"/>
      <c r="AF948" s="448"/>
      <c r="AG948" s="448"/>
      <c r="AH948" s="448"/>
      <c r="AI948" s="448"/>
      <c r="AJ948" s="448"/>
      <c r="AK948" s="448"/>
      <c r="AL948" s="448"/>
      <c r="AM948" s="448"/>
      <c r="AN948" s="448"/>
      <c r="AP948" s="448"/>
      <c r="AQ948" s="448"/>
      <c r="AR948" s="448"/>
      <c r="AS948" s="448"/>
      <c r="AT948" s="448"/>
      <c r="AU948" s="448"/>
      <c r="AV948" s="448"/>
      <c r="AW948" s="448"/>
      <c r="AX948" s="448"/>
    </row>
    <row r="949" spans="1:50" x14ac:dyDescent="0.4">
      <c r="A949" s="442" t="str">
        <f t="shared" si="179"/>
        <v>92004</v>
      </c>
      <c r="B949" s="442">
        <v>38231</v>
      </c>
      <c r="C949" s="455">
        <v>1.0800000000000001E-2</v>
      </c>
      <c r="D949" s="438">
        <v>9.1000000000000004E-3</v>
      </c>
      <c r="E949" s="438">
        <v>4.0000000000000001E-3</v>
      </c>
      <c r="F949" s="438">
        <v>4.5500000000000002E-3</v>
      </c>
      <c r="G949" s="438">
        <v>4.7750000000000006E-3</v>
      </c>
      <c r="H949" s="438">
        <v>4.6625000000000008E-3</v>
      </c>
      <c r="I949" s="438">
        <v>4.9853333333333329E-3</v>
      </c>
      <c r="J949" s="438">
        <f t="shared" si="168"/>
        <v>6.8000000000000005E-3</v>
      </c>
      <c r="K949" s="438">
        <f t="shared" si="172"/>
        <v>6.1374999999999997E-3</v>
      </c>
      <c r="L949" s="438">
        <f t="shared" si="173"/>
        <v>4.1146666666666675E-3</v>
      </c>
      <c r="M949" s="446">
        <f t="shared" si="169"/>
        <v>0.13858180052239555</v>
      </c>
      <c r="N949" s="446">
        <f t="shared" si="170"/>
        <v>4.8000000000000001E-2</v>
      </c>
      <c r="O949" s="446">
        <f t="shared" si="174"/>
        <v>5.5950000000000014E-2</v>
      </c>
      <c r="P949" s="447">
        <f t="shared" si="171"/>
        <v>9.0581800522395547E-2</v>
      </c>
      <c r="Q949" s="446">
        <f t="shared" si="175"/>
        <v>8.2631800522395535E-2</v>
      </c>
      <c r="R949" s="446">
        <f t="shared" si="176"/>
        <v>0.19333086937165311</v>
      </c>
      <c r="S949" s="446">
        <f t="shared" si="177"/>
        <v>5.9823999999999995E-2</v>
      </c>
      <c r="T949" s="447">
        <f t="shared" si="178"/>
        <v>0.13350686937165313</v>
      </c>
      <c r="V949" s="448"/>
      <c r="W949" s="448"/>
      <c r="X949" s="448"/>
      <c r="Y949" s="448"/>
      <c r="Z949" s="448"/>
      <c r="AA949" s="448"/>
      <c r="AB949" s="448"/>
      <c r="AC949" s="448"/>
      <c r="AD949" s="448"/>
      <c r="AF949" s="448"/>
      <c r="AG949" s="448"/>
      <c r="AH949" s="448"/>
      <c r="AI949" s="448"/>
      <c r="AJ949" s="448"/>
      <c r="AK949" s="448"/>
      <c r="AL949" s="448"/>
      <c r="AM949" s="448"/>
      <c r="AN949" s="448"/>
      <c r="AP949" s="448"/>
      <c r="AQ949" s="448"/>
      <c r="AR949" s="448"/>
      <c r="AS949" s="448"/>
      <c r="AT949" s="448"/>
      <c r="AU949" s="448"/>
      <c r="AV949" s="448"/>
      <c r="AW949" s="448"/>
      <c r="AX949" s="448"/>
    </row>
    <row r="950" spans="1:50" x14ac:dyDescent="0.4">
      <c r="A950" s="442" t="str">
        <f t="shared" si="179"/>
        <v>102004</v>
      </c>
      <c r="B950" s="442">
        <v>38261</v>
      </c>
      <c r="C950" s="455">
        <v>1.5299999999999999E-2</v>
      </c>
      <c r="D950" s="438">
        <v>4.9499999999999995E-2</v>
      </c>
      <c r="E950" s="438">
        <v>3.8E-3</v>
      </c>
      <c r="F950" s="438">
        <v>4.5583333333333335E-3</v>
      </c>
      <c r="G950" s="438">
        <v>4.7416666666666666E-3</v>
      </c>
      <c r="H950" s="438">
        <v>4.6499999999999996E-3</v>
      </c>
      <c r="I950" s="438">
        <v>4.9920833333333327E-3</v>
      </c>
      <c r="J950" s="438">
        <f t="shared" si="168"/>
        <v>1.15E-2</v>
      </c>
      <c r="K950" s="438">
        <f t="shared" si="172"/>
        <v>1.065E-2</v>
      </c>
      <c r="L950" s="438">
        <f t="shared" si="173"/>
        <v>4.4507916666666661E-2</v>
      </c>
      <c r="M950" s="446">
        <f t="shared" si="169"/>
        <v>9.4077325449922977E-2</v>
      </c>
      <c r="N950" s="446">
        <f t="shared" si="170"/>
        <v>4.5600000000000002E-2</v>
      </c>
      <c r="O950" s="446">
        <f t="shared" si="174"/>
        <v>5.5799999999999995E-2</v>
      </c>
      <c r="P950" s="447">
        <f t="shared" si="171"/>
        <v>4.8477325449922976E-2</v>
      </c>
      <c r="Q950" s="446">
        <f t="shared" si="175"/>
        <v>3.8277325449922982E-2</v>
      </c>
      <c r="R950" s="446">
        <f t="shared" si="176"/>
        <v>0.23852922013998135</v>
      </c>
      <c r="S950" s="446">
        <f t="shared" si="177"/>
        <v>5.9904999999999993E-2</v>
      </c>
      <c r="T950" s="447">
        <f t="shared" si="178"/>
        <v>0.17862422013998136</v>
      </c>
      <c r="V950" s="448"/>
      <c r="W950" s="448"/>
      <c r="X950" s="448"/>
      <c r="Y950" s="448"/>
      <c r="Z950" s="448"/>
      <c r="AA950" s="448"/>
      <c r="AB950" s="448"/>
      <c r="AC950" s="448"/>
      <c r="AD950" s="448"/>
      <c r="AF950" s="448"/>
      <c r="AG950" s="448"/>
      <c r="AH950" s="448"/>
      <c r="AI950" s="448"/>
      <c r="AJ950" s="448"/>
      <c r="AK950" s="448"/>
      <c r="AL950" s="448"/>
      <c r="AM950" s="448"/>
      <c r="AN950" s="448"/>
      <c r="AP950" s="448"/>
      <c r="AQ950" s="448"/>
      <c r="AR950" s="448"/>
      <c r="AS950" s="448"/>
      <c r="AT950" s="448"/>
      <c r="AU950" s="448"/>
      <c r="AV950" s="448"/>
      <c r="AW950" s="448"/>
      <c r="AX950" s="448"/>
    </row>
    <row r="951" spans="1:50" x14ac:dyDescent="0.4">
      <c r="A951" s="442" t="str">
        <f t="shared" si="179"/>
        <v>112004</v>
      </c>
      <c r="B951" s="442">
        <v>38292</v>
      </c>
      <c r="C951" s="455">
        <v>4.0500000000000001E-2</v>
      </c>
      <c r="D951" s="438">
        <v>4.07E-2</v>
      </c>
      <c r="E951" s="438">
        <v>4.1000000000000003E-3</v>
      </c>
      <c r="F951" s="438">
        <v>4.5999999999999999E-3</v>
      </c>
      <c r="G951" s="438">
        <v>4.7666666666666664E-3</v>
      </c>
      <c r="H951" s="438">
        <v>4.6833333333333328E-3</v>
      </c>
      <c r="I951" s="438">
        <v>4.9627500000000001E-3</v>
      </c>
      <c r="J951" s="438">
        <f t="shared" si="168"/>
        <v>3.6400000000000002E-2</v>
      </c>
      <c r="K951" s="438">
        <f t="shared" si="172"/>
        <v>3.581666666666667E-2</v>
      </c>
      <c r="L951" s="438">
        <f t="shared" si="173"/>
        <v>3.5737249999999998E-2</v>
      </c>
      <c r="M951" s="446">
        <f t="shared" si="169"/>
        <v>0.1284570352207024</v>
      </c>
      <c r="N951" s="446">
        <f t="shared" si="170"/>
        <v>4.9200000000000008E-2</v>
      </c>
      <c r="O951" s="446">
        <f t="shared" si="174"/>
        <v>5.6199999999999993E-2</v>
      </c>
      <c r="P951" s="447">
        <f t="shared" si="171"/>
        <v>7.925703522070239E-2</v>
      </c>
      <c r="Q951" s="446">
        <f t="shared" si="175"/>
        <v>7.2257035220702398E-2</v>
      </c>
      <c r="R951" s="446">
        <f t="shared" si="176"/>
        <v>0.28958215047491631</v>
      </c>
      <c r="S951" s="446">
        <f t="shared" si="177"/>
        <v>5.9553000000000002E-2</v>
      </c>
      <c r="T951" s="447">
        <f t="shared" si="178"/>
        <v>0.23002915047491632</v>
      </c>
      <c r="V951" s="448"/>
      <c r="W951" s="448"/>
      <c r="X951" s="448"/>
      <c r="Y951" s="448"/>
      <c r="Z951" s="448"/>
      <c r="AA951" s="448"/>
      <c r="AB951" s="448"/>
      <c r="AC951" s="448"/>
      <c r="AD951" s="448"/>
      <c r="AF951" s="448"/>
      <c r="AG951" s="448"/>
      <c r="AH951" s="448"/>
      <c r="AI951" s="448"/>
      <c r="AJ951" s="448"/>
      <c r="AK951" s="448"/>
      <c r="AL951" s="448"/>
      <c r="AM951" s="448"/>
      <c r="AN951" s="448"/>
      <c r="AP951" s="448"/>
      <c r="AQ951" s="448"/>
      <c r="AR951" s="448"/>
      <c r="AS951" s="448"/>
      <c r="AT951" s="448"/>
      <c r="AU951" s="448"/>
      <c r="AV951" s="448"/>
      <c r="AW951" s="448"/>
      <c r="AX951" s="448"/>
    </row>
    <row r="952" spans="1:50" x14ac:dyDescent="0.4">
      <c r="A952" s="442" t="str">
        <f t="shared" si="179"/>
        <v>122004</v>
      </c>
      <c r="B952" s="442">
        <v>38322</v>
      </c>
      <c r="C952" s="455">
        <v>3.4000000000000002E-2</v>
      </c>
      <c r="D952" s="438">
        <v>2.6499999999999999E-2</v>
      </c>
      <c r="E952" s="438">
        <v>4.3E-3</v>
      </c>
      <c r="F952" s="438">
        <v>4.5583333333333335E-3</v>
      </c>
      <c r="G952" s="438">
        <v>4.7416666666666666E-3</v>
      </c>
      <c r="H952" s="438">
        <v>4.6499999999999996E-3</v>
      </c>
      <c r="I952" s="438">
        <v>4.938916666666667E-3</v>
      </c>
      <c r="J952" s="438">
        <f t="shared" si="168"/>
        <v>2.9700000000000004E-2</v>
      </c>
      <c r="K952" s="438">
        <f t="shared" si="172"/>
        <v>2.9350000000000001E-2</v>
      </c>
      <c r="L952" s="438">
        <f t="shared" si="173"/>
        <v>2.1561083333333331E-2</v>
      </c>
      <c r="M952" s="446">
        <f t="shared" si="169"/>
        <v>0.10872726569574942</v>
      </c>
      <c r="N952" s="446">
        <f t="shared" si="170"/>
        <v>5.16E-2</v>
      </c>
      <c r="O952" s="446">
        <f t="shared" si="174"/>
        <v>5.5799999999999995E-2</v>
      </c>
      <c r="P952" s="447">
        <f t="shared" si="171"/>
        <v>5.712726569574942E-2</v>
      </c>
      <c r="Q952" s="446">
        <f t="shared" si="175"/>
        <v>5.2927265695749424E-2</v>
      </c>
      <c r="R952" s="446">
        <f t="shared" si="176"/>
        <v>0.24005253158079798</v>
      </c>
      <c r="S952" s="446">
        <f t="shared" si="177"/>
        <v>5.9267E-2</v>
      </c>
      <c r="T952" s="447">
        <f t="shared" si="178"/>
        <v>0.18078553158079796</v>
      </c>
      <c r="V952" s="448"/>
      <c r="W952" s="448"/>
      <c r="X952" s="448"/>
      <c r="Y952" s="448"/>
      <c r="Z952" s="448"/>
      <c r="AA952" s="448"/>
      <c r="AB952" s="448"/>
      <c r="AC952" s="448"/>
      <c r="AD952" s="448"/>
      <c r="AF952" s="448"/>
      <c r="AG952" s="448"/>
      <c r="AH952" s="448"/>
      <c r="AI952" s="448"/>
      <c r="AJ952" s="448"/>
      <c r="AK952" s="448"/>
      <c r="AL952" s="448"/>
      <c r="AM952" s="448"/>
      <c r="AN952" s="448"/>
      <c r="AP952" s="448"/>
      <c r="AQ952" s="448"/>
      <c r="AR952" s="448"/>
      <c r="AS952" s="448"/>
      <c r="AT952" s="448"/>
      <c r="AU952" s="448"/>
      <c r="AV952" s="448"/>
      <c r="AW952" s="448"/>
      <c r="AX952" s="448"/>
    </row>
    <row r="953" spans="1:50" x14ac:dyDescent="0.4">
      <c r="A953" s="442" t="str">
        <f t="shared" si="179"/>
        <v>12005</v>
      </c>
      <c r="B953" s="442">
        <v>38353</v>
      </c>
      <c r="C953" s="455">
        <v>-2.4400000000000002E-2</v>
      </c>
      <c r="D953" s="438">
        <v>2.2099999999999998E-2</v>
      </c>
      <c r="E953" s="438">
        <v>4.1000000000000003E-3</v>
      </c>
      <c r="F953" s="438">
        <v>4.4666666666666674E-3</v>
      </c>
      <c r="G953" s="438">
        <v>4.6500000000000005E-3</v>
      </c>
      <c r="H953" s="438">
        <v>4.5583333333333335E-3</v>
      </c>
      <c r="I953" s="438">
        <v>4.827916666666667E-3</v>
      </c>
      <c r="J953" s="438">
        <f t="shared" si="168"/>
        <v>-2.8500000000000001E-2</v>
      </c>
      <c r="K953" s="438">
        <f t="shared" si="172"/>
        <v>-2.8958333333333336E-2</v>
      </c>
      <c r="L953" s="438">
        <f t="shared" si="173"/>
        <v>1.727208333333333E-2</v>
      </c>
      <c r="M953" s="446">
        <f t="shared" si="169"/>
        <v>6.2131108025110571E-2</v>
      </c>
      <c r="N953" s="446">
        <f t="shared" si="170"/>
        <v>4.9200000000000008E-2</v>
      </c>
      <c r="O953" s="446">
        <f t="shared" si="174"/>
        <v>5.4699999999999999E-2</v>
      </c>
      <c r="P953" s="447">
        <f t="shared" si="171"/>
        <v>1.2931108025110563E-2</v>
      </c>
      <c r="Q953" s="446">
        <f t="shared" si="175"/>
        <v>7.4311080251105721E-3</v>
      </c>
      <c r="R953" s="446">
        <f t="shared" si="176"/>
        <v>0.2406594484423783</v>
      </c>
      <c r="S953" s="446">
        <f t="shared" si="177"/>
        <v>5.7935E-2</v>
      </c>
      <c r="T953" s="447">
        <f t="shared" si="178"/>
        <v>0.18272444844237828</v>
      </c>
      <c r="V953" s="448"/>
      <c r="W953" s="448"/>
      <c r="X953" s="448"/>
      <c r="Y953" s="448"/>
      <c r="Z953" s="448"/>
      <c r="AA953" s="448"/>
      <c r="AB953" s="448"/>
      <c r="AC953" s="448"/>
      <c r="AD953" s="448"/>
      <c r="AF953" s="448"/>
      <c r="AG953" s="448"/>
      <c r="AH953" s="448"/>
      <c r="AI953" s="448"/>
      <c r="AJ953" s="448"/>
      <c r="AK953" s="448"/>
      <c r="AL953" s="448"/>
      <c r="AM953" s="448"/>
      <c r="AN953" s="448"/>
      <c r="AP953" s="448"/>
      <c r="AQ953" s="448"/>
      <c r="AR953" s="448"/>
      <c r="AS953" s="448"/>
      <c r="AT953" s="448"/>
      <c r="AU953" s="448"/>
      <c r="AV953" s="448"/>
      <c r="AW953" s="448"/>
      <c r="AX953" s="448"/>
    </row>
    <row r="954" spans="1:50" x14ac:dyDescent="0.4">
      <c r="A954" s="442" t="str">
        <f t="shared" si="179"/>
        <v>22005</v>
      </c>
      <c r="B954" s="442">
        <v>38384</v>
      </c>
      <c r="C954" s="455">
        <v>2.1000000000000001E-2</v>
      </c>
      <c r="D954" s="438">
        <v>1.9699999999999999E-2</v>
      </c>
      <c r="E954" s="438">
        <v>3.5000000000000005E-3</v>
      </c>
      <c r="F954" s="438">
        <v>4.3333333333333331E-3</v>
      </c>
      <c r="G954" s="438">
        <v>4.5333333333333337E-3</v>
      </c>
      <c r="H954" s="438">
        <v>4.4333333333333334E-3</v>
      </c>
      <c r="I954" s="438">
        <v>4.6785000000000004E-3</v>
      </c>
      <c r="J954" s="438">
        <f t="shared" si="168"/>
        <v>1.7500000000000002E-2</v>
      </c>
      <c r="K954" s="438">
        <f t="shared" si="172"/>
        <v>1.6566666666666667E-2</v>
      </c>
      <c r="L954" s="438">
        <f t="shared" si="173"/>
        <v>1.5021499999999998E-2</v>
      </c>
      <c r="M954" s="446">
        <f t="shared" si="169"/>
        <v>6.9568854219980381E-2</v>
      </c>
      <c r="N954" s="446">
        <f t="shared" si="170"/>
        <v>4.200000000000001E-2</v>
      </c>
      <c r="O954" s="446">
        <f t="shared" si="174"/>
        <v>5.3199999999999997E-2</v>
      </c>
      <c r="P954" s="447">
        <f t="shared" si="171"/>
        <v>2.7568854219980371E-2</v>
      </c>
      <c r="Q954" s="446">
        <f t="shared" si="175"/>
        <v>1.6368854219980383E-2</v>
      </c>
      <c r="R954" s="446">
        <f t="shared" si="176"/>
        <v>0.24260921282456849</v>
      </c>
      <c r="S954" s="446">
        <f t="shared" si="177"/>
        <v>5.6142000000000004E-2</v>
      </c>
      <c r="T954" s="447">
        <f t="shared" si="178"/>
        <v>0.18646721282456849</v>
      </c>
      <c r="V954" s="448"/>
      <c r="W954" s="448"/>
      <c r="X954" s="448"/>
      <c r="Y954" s="448"/>
      <c r="Z954" s="448"/>
      <c r="AA954" s="448"/>
      <c r="AB954" s="448"/>
      <c r="AC954" s="448"/>
      <c r="AD954" s="448"/>
      <c r="AF954" s="448"/>
      <c r="AG954" s="448"/>
      <c r="AH954" s="448"/>
      <c r="AI954" s="448"/>
      <c r="AJ954" s="448"/>
      <c r="AK954" s="448"/>
      <c r="AL954" s="448"/>
      <c r="AM954" s="448"/>
      <c r="AN954" s="448"/>
      <c r="AP954" s="448"/>
      <c r="AQ954" s="448"/>
      <c r="AR954" s="448"/>
      <c r="AS954" s="448"/>
      <c r="AT954" s="448"/>
      <c r="AU954" s="448"/>
      <c r="AV954" s="448"/>
      <c r="AW954" s="448"/>
      <c r="AX954" s="448"/>
    </row>
    <row r="955" spans="1:50" x14ac:dyDescent="0.4">
      <c r="A955" s="442" t="str">
        <f t="shared" si="179"/>
        <v>32005</v>
      </c>
      <c r="B955" s="442">
        <v>38412</v>
      </c>
      <c r="C955" s="455">
        <v>-1.77E-2</v>
      </c>
      <c r="D955" s="438">
        <v>1.0800000000000001E-2</v>
      </c>
      <c r="E955" s="438">
        <v>4.1000000000000003E-3</v>
      </c>
      <c r="F955" s="438">
        <v>4.5000000000000005E-3</v>
      </c>
      <c r="G955" s="438">
        <v>4.6999999999999993E-3</v>
      </c>
      <c r="H955" s="438">
        <v>4.5999999999999999E-3</v>
      </c>
      <c r="I955" s="438">
        <v>4.855333333333333E-3</v>
      </c>
      <c r="J955" s="438">
        <f t="shared" si="168"/>
        <v>-2.18E-2</v>
      </c>
      <c r="K955" s="438">
        <f t="shared" si="172"/>
        <v>-2.23E-2</v>
      </c>
      <c r="L955" s="438">
        <f t="shared" si="173"/>
        <v>5.9446666666666675E-3</v>
      </c>
      <c r="M955" s="446">
        <f t="shared" si="169"/>
        <v>6.6745340136345588E-2</v>
      </c>
      <c r="N955" s="446">
        <f t="shared" si="170"/>
        <v>4.9200000000000008E-2</v>
      </c>
      <c r="O955" s="446">
        <f t="shared" si="174"/>
        <v>5.5199999999999999E-2</v>
      </c>
      <c r="P955" s="447">
        <f t="shared" si="171"/>
        <v>1.754534013634558E-2</v>
      </c>
      <c r="Q955" s="446">
        <f t="shared" si="175"/>
        <v>1.1545340136345589E-2</v>
      </c>
      <c r="R955" s="446">
        <f t="shared" si="176"/>
        <v>0.24310114046226605</v>
      </c>
      <c r="S955" s="446">
        <f t="shared" si="177"/>
        <v>5.8263999999999996E-2</v>
      </c>
      <c r="T955" s="447">
        <f t="shared" si="178"/>
        <v>0.18483714046226607</v>
      </c>
      <c r="V955" s="448"/>
      <c r="W955" s="448"/>
      <c r="X955" s="448"/>
      <c r="Y955" s="448"/>
      <c r="Z955" s="448"/>
      <c r="AA955" s="448"/>
      <c r="AB955" s="448"/>
      <c r="AC955" s="448"/>
      <c r="AD955" s="448"/>
      <c r="AF955" s="448"/>
      <c r="AG955" s="448"/>
      <c r="AH955" s="448"/>
      <c r="AI955" s="448"/>
      <c r="AJ955" s="448"/>
      <c r="AK955" s="448"/>
      <c r="AL955" s="448"/>
      <c r="AM955" s="448"/>
      <c r="AN955" s="448"/>
      <c r="AP955" s="448"/>
      <c r="AQ955" s="448"/>
      <c r="AR955" s="448"/>
      <c r="AS955" s="448"/>
      <c r="AT955" s="448"/>
      <c r="AU955" s="448"/>
      <c r="AV955" s="448"/>
      <c r="AW955" s="448"/>
      <c r="AX955" s="448"/>
    </row>
    <row r="956" spans="1:50" x14ac:dyDescent="0.4">
      <c r="A956" s="442" t="str">
        <f t="shared" si="179"/>
        <v>42005</v>
      </c>
      <c r="B956" s="442">
        <v>38443</v>
      </c>
      <c r="C956" s="455">
        <v>-1.9E-2</v>
      </c>
      <c r="D956" s="438">
        <v>3.2100000000000004E-2</v>
      </c>
      <c r="E956" s="438">
        <v>3.8999999999999994E-3</v>
      </c>
      <c r="F956" s="438">
        <v>4.4416666666666667E-3</v>
      </c>
      <c r="G956" s="438">
        <v>4.5333333333333337E-3</v>
      </c>
      <c r="H956" s="438">
        <v>4.4875000000000002E-3</v>
      </c>
      <c r="I956" s="438">
        <v>4.7079166666666667E-3</v>
      </c>
      <c r="J956" s="438">
        <f t="shared" si="168"/>
        <v>-2.29E-2</v>
      </c>
      <c r="K956" s="438">
        <f t="shared" si="172"/>
        <v>-2.3487500000000001E-2</v>
      </c>
      <c r="L956" s="438">
        <f t="shared" si="173"/>
        <v>2.7392083333333338E-2</v>
      </c>
      <c r="M956" s="446">
        <f t="shared" si="169"/>
        <v>6.3168930888707564E-2</v>
      </c>
      <c r="N956" s="446">
        <f t="shared" si="170"/>
        <v>4.6799999999999994E-2</v>
      </c>
      <c r="O956" s="446">
        <f t="shared" si="174"/>
        <v>5.3850000000000002E-2</v>
      </c>
      <c r="P956" s="447">
        <f t="shared" si="171"/>
        <v>1.636893088870757E-2</v>
      </c>
      <c r="Q956" s="446">
        <f t="shared" si="175"/>
        <v>9.318930888707562E-3</v>
      </c>
      <c r="R956" s="446">
        <f t="shared" si="176"/>
        <v>0.33119390648589442</v>
      </c>
      <c r="S956" s="446">
        <f t="shared" si="177"/>
        <v>5.6495000000000004E-2</v>
      </c>
      <c r="T956" s="447">
        <f t="shared" si="178"/>
        <v>0.2746989064858944</v>
      </c>
      <c r="V956" s="448"/>
      <c r="W956" s="448"/>
      <c r="X956" s="448"/>
      <c r="Y956" s="448"/>
      <c r="Z956" s="448"/>
      <c r="AA956" s="448"/>
      <c r="AB956" s="448"/>
      <c r="AC956" s="448"/>
      <c r="AD956" s="448"/>
      <c r="AF956" s="448"/>
      <c r="AG956" s="448"/>
      <c r="AH956" s="448"/>
      <c r="AI956" s="448"/>
      <c r="AJ956" s="448"/>
      <c r="AK956" s="448"/>
      <c r="AL956" s="448"/>
      <c r="AM956" s="448"/>
      <c r="AN956" s="448"/>
      <c r="AP956" s="448"/>
      <c r="AQ956" s="448"/>
      <c r="AR956" s="448"/>
      <c r="AS956" s="448"/>
      <c r="AT956" s="448"/>
      <c r="AU956" s="448"/>
      <c r="AV956" s="448"/>
      <c r="AW956" s="448"/>
      <c r="AX956" s="448"/>
    </row>
    <row r="957" spans="1:50" x14ac:dyDescent="0.4">
      <c r="A957" s="442" t="str">
        <f t="shared" si="179"/>
        <v>52005</v>
      </c>
      <c r="B957" s="442">
        <v>38473</v>
      </c>
      <c r="C957" s="455">
        <v>3.1800000000000002E-2</v>
      </c>
      <c r="D957" s="438">
        <v>7.9999999999999993E-4</v>
      </c>
      <c r="E957" s="438">
        <v>4.0000000000000001E-3</v>
      </c>
      <c r="F957" s="438">
        <v>4.2916666666666667E-3</v>
      </c>
      <c r="G957" s="438">
        <v>4.4083333333333335E-3</v>
      </c>
      <c r="H957" s="438">
        <v>4.3500000000000006E-3</v>
      </c>
      <c r="I957" s="438">
        <v>4.6162499999999997E-3</v>
      </c>
      <c r="J957" s="438">
        <f t="shared" si="168"/>
        <v>2.7800000000000002E-2</v>
      </c>
      <c r="K957" s="438">
        <f t="shared" si="172"/>
        <v>2.7450000000000002E-2</v>
      </c>
      <c r="L957" s="438">
        <f t="shared" si="173"/>
        <v>-3.8162499999999998E-3</v>
      </c>
      <c r="M957" s="446">
        <f t="shared" si="169"/>
        <v>8.2152217511066716E-2</v>
      </c>
      <c r="N957" s="446">
        <f t="shared" si="170"/>
        <v>4.8000000000000001E-2</v>
      </c>
      <c r="O957" s="446">
        <f t="shared" si="174"/>
        <v>5.220000000000001E-2</v>
      </c>
      <c r="P957" s="447">
        <f t="shared" si="171"/>
        <v>3.4152217511066715E-2</v>
      </c>
      <c r="Q957" s="446">
        <f t="shared" si="175"/>
        <v>2.9952217511066706E-2</v>
      </c>
      <c r="R957" s="446">
        <f t="shared" si="176"/>
        <v>0.32181651117281684</v>
      </c>
      <c r="S957" s="446">
        <f t="shared" si="177"/>
        <v>5.5395E-2</v>
      </c>
      <c r="T957" s="447">
        <f t="shared" si="178"/>
        <v>0.26642151117281687</v>
      </c>
      <c r="V957" s="448"/>
      <c r="W957" s="448"/>
      <c r="X957" s="448"/>
      <c r="Y957" s="448"/>
      <c r="Z957" s="448"/>
      <c r="AA957" s="448"/>
      <c r="AB957" s="448"/>
      <c r="AC957" s="448"/>
      <c r="AD957" s="448"/>
      <c r="AF957" s="448"/>
      <c r="AG957" s="448"/>
      <c r="AH957" s="448"/>
      <c r="AI957" s="448"/>
      <c r="AJ957" s="448"/>
      <c r="AK957" s="448"/>
      <c r="AL957" s="448"/>
      <c r="AM957" s="448"/>
      <c r="AN957" s="448"/>
      <c r="AP957" s="448"/>
      <c r="AQ957" s="448"/>
      <c r="AR957" s="448"/>
      <c r="AS957" s="448"/>
      <c r="AT957" s="448"/>
      <c r="AU957" s="448"/>
      <c r="AV957" s="448"/>
      <c r="AW957" s="448"/>
      <c r="AX957" s="448"/>
    </row>
    <row r="958" spans="1:50" x14ac:dyDescent="0.4">
      <c r="A958" s="442" t="str">
        <f t="shared" si="179"/>
        <v>62005</v>
      </c>
      <c r="B958" s="442">
        <v>38504</v>
      </c>
      <c r="C958" s="455">
        <v>1.4E-3</v>
      </c>
      <c r="D958" s="438">
        <v>5.7599999999999998E-2</v>
      </c>
      <c r="E958" s="438">
        <v>3.5999999999999999E-3</v>
      </c>
      <c r="F958" s="438">
        <v>4.1333333333333335E-3</v>
      </c>
      <c r="G958" s="438">
        <v>4.1833333333333332E-3</v>
      </c>
      <c r="H958" s="438">
        <v>4.1583333333333325E-3</v>
      </c>
      <c r="I958" s="438">
        <v>4.5019166666666671E-3</v>
      </c>
      <c r="J958" s="438">
        <f t="shared" si="168"/>
        <v>-2.1999999999999997E-3</v>
      </c>
      <c r="K958" s="438">
        <f t="shared" si="172"/>
        <v>-2.7583333333333323E-3</v>
      </c>
      <c r="L958" s="438">
        <f t="shared" si="173"/>
        <v>5.309808333333333E-2</v>
      </c>
      <c r="M958" s="446">
        <f t="shared" si="169"/>
        <v>6.3044173646833679E-2</v>
      </c>
      <c r="N958" s="446">
        <f t="shared" si="170"/>
        <v>4.3200000000000002E-2</v>
      </c>
      <c r="O958" s="446">
        <f t="shared" si="174"/>
        <v>4.9899999999999986E-2</v>
      </c>
      <c r="P958" s="447">
        <f t="shared" si="171"/>
        <v>1.9844173646833677E-2</v>
      </c>
      <c r="Q958" s="446">
        <f t="shared" si="175"/>
        <v>1.3144173646833693E-2</v>
      </c>
      <c r="R958" s="446">
        <f t="shared" si="176"/>
        <v>0.37661560041001652</v>
      </c>
      <c r="S958" s="446">
        <f t="shared" si="177"/>
        <v>5.4023000000000002E-2</v>
      </c>
      <c r="T958" s="447">
        <f t="shared" si="178"/>
        <v>0.32259260041001653</v>
      </c>
      <c r="V958" s="448"/>
      <c r="W958" s="448"/>
      <c r="X958" s="448"/>
      <c r="Y958" s="448"/>
      <c r="Z958" s="448"/>
      <c r="AA958" s="448"/>
      <c r="AB958" s="448"/>
      <c r="AC958" s="448"/>
      <c r="AD958" s="448"/>
      <c r="AF958" s="448"/>
      <c r="AG958" s="448"/>
      <c r="AH958" s="448"/>
      <c r="AI958" s="448"/>
      <c r="AJ958" s="448"/>
      <c r="AK958" s="448"/>
      <c r="AL958" s="448"/>
      <c r="AM958" s="448"/>
      <c r="AN958" s="448"/>
      <c r="AP958" s="448"/>
      <c r="AQ958" s="448"/>
      <c r="AR958" s="448"/>
      <c r="AS958" s="448"/>
      <c r="AT958" s="448"/>
      <c r="AU958" s="448"/>
      <c r="AV958" s="448"/>
      <c r="AW958" s="448"/>
      <c r="AX958" s="448"/>
    </row>
    <row r="959" spans="1:50" x14ac:dyDescent="0.4">
      <c r="A959" s="442" t="str">
        <f t="shared" si="179"/>
        <v>72005</v>
      </c>
      <c r="B959" s="442">
        <v>38534</v>
      </c>
      <c r="C959" s="455">
        <v>3.7199999999999997E-2</v>
      </c>
      <c r="D959" s="438">
        <v>2.3300000000000001E-2</v>
      </c>
      <c r="E959" s="438">
        <v>3.3999999999999998E-3</v>
      </c>
      <c r="F959" s="438">
        <v>4.2166666666666663E-3</v>
      </c>
      <c r="G959" s="438">
        <v>4.2833333333333326E-3</v>
      </c>
      <c r="H959" s="438">
        <v>4.2499999999999994E-3</v>
      </c>
      <c r="I959" s="438">
        <v>4.5829166666666674E-3</v>
      </c>
      <c r="J959" s="438">
        <f t="shared" si="168"/>
        <v>3.3799999999999997E-2</v>
      </c>
      <c r="K959" s="438">
        <f t="shared" si="172"/>
        <v>3.295E-2</v>
      </c>
      <c r="L959" s="438">
        <f t="shared" si="173"/>
        <v>1.8717083333333336E-2</v>
      </c>
      <c r="M959" s="446">
        <f t="shared" si="169"/>
        <v>0.14033448847501884</v>
      </c>
      <c r="N959" s="446">
        <f t="shared" si="170"/>
        <v>4.0799999999999996E-2</v>
      </c>
      <c r="O959" s="446">
        <f t="shared" si="174"/>
        <v>5.099999999999999E-2</v>
      </c>
      <c r="P959" s="447">
        <f t="shared" si="171"/>
        <v>9.9534488475018834E-2</v>
      </c>
      <c r="Q959" s="446">
        <f t="shared" si="175"/>
        <v>8.9334488475018847E-2</v>
      </c>
      <c r="R959" s="446">
        <f t="shared" si="176"/>
        <v>0.38473483131777297</v>
      </c>
      <c r="S959" s="446">
        <f t="shared" si="177"/>
        <v>5.4995000000000009E-2</v>
      </c>
      <c r="T959" s="447">
        <f t="shared" si="178"/>
        <v>0.32973983131777296</v>
      </c>
      <c r="V959" s="448"/>
      <c r="W959" s="448"/>
      <c r="X959" s="448"/>
      <c r="Y959" s="448"/>
      <c r="Z959" s="448"/>
      <c r="AA959" s="448"/>
      <c r="AB959" s="448"/>
      <c r="AC959" s="448"/>
      <c r="AD959" s="448"/>
      <c r="AF959" s="448"/>
      <c r="AG959" s="448"/>
      <c r="AH959" s="448"/>
      <c r="AI959" s="448"/>
      <c r="AJ959" s="448"/>
      <c r="AK959" s="448"/>
      <c r="AL959" s="448"/>
      <c r="AM959" s="448"/>
      <c r="AN959" s="448"/>
      <c r="AP959" s="448"/>
      <c r="AQ959" s="448"/>
      <c r="AR959" s="448"/>
      <c r="AS959" s="448"/>
      <c r="AT959" s="448"/>
      <c r="AU959" s="448"/>
      <c r="AV959" s="448"/>
      <c r="AW959" s="448"/>
      <c r="AX959" s="448"/>
    </row>
    <row r="960" spans="1:50" x14ac:dyDescent="0.4">
      <c r="A960" s="442" t="str">
        <f t="shared" si="179"/>
        <v>82005</v>
      </c>
      <c r="B960" s="442">
        <v>38565</v>
      </c>
      <c r="C960" s="455">
        <v>-9.1000000000000004E-3</v>
      </c>
      <c r="D960" s="438">
        <v>7.3000000000000001E-3</v>
      </c>
      <c r="E960" s="438">
        <v>4.0000000000000001E-3</v>
      </c>
      <c r="F960" s="438">
        <v>4.2416666666666662E-3</v>
      </c>
      <c r="G960" s="438">
        <v>4.3333333333333331E-3</v>
      </c>
      <c r="H960" s="438">
        <v>4.2874999999999996E-3</v>
      </c>
      <c r="I960" s="438">
        <v>4.5909166666666668E-3</v>
      </c>
      <c r="J960" s="438">
        <f t="shared" si="168"/>
        <v>-1.3100000000000001E-2</v>
      </c>
      <c r="K960" s="438">
        <f t="shared" si="172"/>
        <v>-1.33875E-2</v>
      </c>
      <c r="L960" s="438">
        <f t="shared" si="173"/>
        <v>2.7090833333333333E-3</v>
      </c>
      <c r="M960" s="446">
        <f t="shared" si="169"/>
        <v>0.12545562214133099</v>
      </c>
      <c r="N960" s="446">
        <f t="shared" si="170"/>
        <v>4.8000000000000001E-2</v>
      </c>
      <c r="O960" s="446">
        <f t="shared" si="174"/>
        <v>5.1449999999999996E-2</v>
      </c>
      <c r="P960" s="447">
        <f t="shared" si="171"/>
        <v>7.745562214133099E-2</v>
      </c>
      <c r="Q960" s="446">
        <f t="shared" si="175"/>
        <v>7.4005622141330996E-2</v>
      </c>
      <c r="R960" s="446">
        <f t="shared" si="176"/>
        <v>0.34209890848301061</v>
      </c>
      <c r="S960" s="446">
        <f t="shared" si="177"/>
        <v>5.5091000000000001E-2</v>
      </c>
      <c r="T960" s="447">
        <f t="shared" si="178"/>
        <v>0.28700790848301061</v>
      </c>
      <c r="V960" s="448"/>
      <c r="W960" s="448"/>
      <c r="X960" s="448"/>
      <c r="Y960" s="448"/>
      <c r="Z960" s="448"/>
      <c r="AA960" s="448"/>
      <c r="AB960" s="448"/>
      <c r="AC960" s="448"/>
      <c r="AD960" s="448"/>
      <c r="AF960" s="448"/>
      <c r="AG960" s="448"/>
      <c r="AH960" s="448"/>
      <c r="AI960" s="448"/>
      <c r="AJ960" s="448"/>
      <c r="AK960" s="448"/>
      <c r="AL960" s="448"/>
      <c r="AM960" s="448"/>
      <c r="AN960" s="448"/>
      <c r="AP960" s="448"/>
      <c r="AQ960" s="448"/>
      <c r="AR960" s="448"/>
      <c r="AS960" s="448"/>
      <c r="AT960" s="448"/>
      <c r="AU960" s="448"/>
      <c r="AV960" s="448"/>
      <c r="AW960" s="448"/>
      <c r="AX960" s="448"/>
    </row>
    <row r="961" spans="1:50" x14ac:dyDescent="0.4">
      <c r="A961" s="442" t="str">
        <f t="shared" si="179"/>
        <v>92005</v>
      </c>
      <c r="B961" s="442">
        <v>38596</v>
      </c>
      <c r="C961" s="455">
        <v>8.0999999999999996E-3</v>
      </c>
      <c r="D961" s="438">
        <v>4.0199999999999993E-2</v>
      </c>
      <c r="E961" s="438">
        <v>3.5000000000000005E-3</v>
      </c>
      <c r="F961" s="438">
        <v>4.2750000000000002E-3</v>
      </c>
      <c r="G961" s="438">
        <v>4.3666666666666671E-3</v>
      </c>
      <c r="H961" s="438">
        <v>4.3208333333333336E-3</v>
      </c>
      <c r="I961" s="438">
        <v>4.5853333333333328E-3</v>
      </c>
      <c r="J961" s="438">
        <f t="shared" si="168"/>
        <v>4.5999999999999991E-3</v>
      </c>
      <c r="K961" s="438">
        <f t="shared" si="172"/>
        <v>3.7791666666666659E-3</v>
      </c>
      <c r="L961" s="438">
        <f t="shared" si="173"/>
        <v>3.5614666666666663E-2</v>
      </c>
      <c r="M961" s="446">
        <f t="shared" si="169"/>
        <v>0.12244935959702796</v>
      </c>
      <c r="N961" s="446">
        <f t="shared" si="170"/>
        <v>4.200000000000001E-2</v>
      </c>
      <c r="O961" s="446">
        <f t="shared" si="174"/>
        <v>5.1850000000000007E-2</v>
      </c>
      <c r="P961" s="447">
        <f t="shared" si="171"/>
        <v>8.0449359597027953E-2</v>
      </c>
      <c r="Q961" s="446">
        <f t="shared" si="175"/>
        <v>7.0599359597027955E-2</v>
      </c>
      <c r="R961" s="446">
        <f t="shared" si="176"/>
        <v>0.38346178238433004</v>
      </c>
      <c r="S961" s="446">
        <f t="shared" si="177"/>
        <v>5.502399999999999E-2</v>
      </c>
      <c r="T961" s="447">
        <f t="shared" si="178"/>
        <v>0.32843778238433008</v>
      </c>
      <c r="V961" s="448"/>
      <c r="W961" s="448"/>
      <c r="X961" s="448"/>
      <c r="Y961" s="448"/>
      <c r="Z961" s="448"/>
      <c r="AA961" s="448"/>
      <c r="AB961" s="448"/>
      <c r="AC961" s="448"/>
      <c r="AD961" s="448"/>
      <c r="AF961" s="448"/>
      <c r="AG961" s="448"/>
      <c r="AH961" s="448"/>
      <c r="AI961" s="448"/>
      <c r="AJ961" s="448"/>
      <c r="AK961" s="448"/>
      <c r="AL961" s="448"/>
      <c r="AM961" s="448"/>
      <c r="AN961" s="448"/>
      <c r="AP961" s="448"/>
      <c r="AQ961" s="448"/>
      <c r="AR961" s="448"/>
      <c r="AS961" s="448"/>
      <c r="AT961" s="448"/>
      <c r="AU961" s="448"/>
      <c r="AV961" s="448"/>
      <c r="AW961" s="448"/>
      <c r="AX961" s="448"/>
    </row>
    <row r="962" spans="1:50" x14ac:dyDescent="0.4">
      <c r="A962" s="442" t="str">
        <f t="shared" si="179"/>
        <v>102005</v>
      </c>
      <c r="B962" s="442">
        <v>38626</v>
      </c>
      <c r="C962" s="455">
        <v>-1.67E-2</v>
      </c>
      <c r="D962" s="438">
        <v>-6.1699999999999998E-2</v>
      </c>
      <c r="E962" s="438">
        <v>3.8999999999999994E-3</v>
      </c>
      <c r="F962" s="438">
        <v>4.45E-3</v>
      </c>
      <c r="G962" s="438">
        <v>4.5500000000000002E-3</v>
      </c>
      <c r="H962" s="438">
        <v>4.5000000000000005E-3</v>
      </c>
      <c r="I962" s="438">
        <v>4.8123333333333334E-3</v>
      </c>
      <c r="J962" s="438">
        <f t="shared" si="168"/>
        <v>-2.06E-2</v>
      </c>
      <c r="K962" s="438">
        <f t="shared" si="172"/>
        <v>-2.12E-2</v>
      </c>
      <c r="L962" s="438">
        <f t="shared" si="173"/>
        <v>-6.6512333333333326E-2</v>
      </c>
      <c r="M962" s="446">
        <f t="shared" si="169"/>
        <v>8.707224986876505E-2</v>
      </c>
      <c r="N962" s="446">
        <f t="shared" si="170"/>
        <v>4.6799999999999994E-2</v>
      </c>
      <c r="O962" s="446">
        <f t="shared" si="174"/>
        <v>5.4000000000000006E-2</v>
      </c>
      <c r="P962" s="447">
        <f t="shared" si="171"/>
        <v>4.0272249868765056E-2</v>
      </c>
      <c r="Q962" s="446">
        <f t="shared" si="175"/>
        <v>3.3072249868765044E-2</v>
      </c>
      <c r="R962" s="446">
        <f t="shared" si="176"/>
        <v>0.2368767893389383</v>
      </c>
      <c r="S962" s="446">
        <f t="shared" si="177"/>
        <v>5.7748000000000001E-2</v>
      </c>
      <c r="T962" s="447">
        <f t="shared" si="178"/>
        <v>0.1791287893389383</v>
      </c>
      <c r="V962" s="448"/>
      <c r="W962" s="448"/>
      <c r="X962" s="448"/>
      <c r="Y962" s="448"/>
      <c r="Z962" s="448"/>
      <c r="AA962" s="448"/>
      <c r="AB962" s="448"/>
      <c r="AC962" s="448"/>
      <c r="AD962" s="448"/>
      <c r="AF962" s="448"/>
      <c r="AG962" s="448"/>
      <c r="AH962" s="448"/>
      <c r="AI962" s="448"/>
      <c r="AJ962" s="448"/>
      <c r="AK962" s="448"/>
      <c r="AL962" s="448"/>
      <c r="AM962" s="448"/>
      <c r="AN962" s="448"/>
      <c r="AP962" s="448"/>
      <c r="AQ962" s="448"/>
      <c r="AR962" s="448"/>
      <c r="AS962" s="448"/>
      <c r="AT962" s="448"/>
      <c r="AU962" s="448"/>
      <c r="AV962" s="448"/>
      <c r="AW962" s="448"/>
      <c r="AX962" s="448"/>
    </row>
    <row r="963" spans="1:50" x14ac:dyDescent="0.4">
      <c r="A963" s="442" t="str">
        <f t="shared" si="179"/>
        <v>112005</v>
      </c>
      <c r="B963" s="442">
        <v>38657</v>
      </c>
      <c r="C963" s="455">
        <v>3.78E-2</v>
      </c>
      <c r="D963" s="438">
        <v>-3.8999999999999994E-3</v>
      </c>
      <c r="E963" s="438">
        <v>3.8999999999999994E-3</v>
      </c>
      <c r="F963" s="438">
        <v>4.5208333333333333E-3</v>
      </c>
      <c r="G963" s="438">
        <v>4.6249999999999998E-3</v>
      </c>
      <c r="H963" s="438">
        <v>4.5729166666666661E-3</v>
      </c>
      <c r="I963" s="438">
        <v>4.8986666666666666E-3</v>
      </c>
      <c r="J963" s="438">
        <f t="shared" si="168"/>
        <v>3.39E-2</v>
      </c>
      <c r="K963" s="438">
        <f t="shared" si="172"/>
        <v>3.3227083333333338E-2</v>
      </c>
      <c r="L963" s="438">
        <f t="shared" si="173"/>
        <v>-8.7986666666666664E-3</v>
      </c>
      <c r="M963" s="446">
        <f t="shared" si="169"/>
        <v>8.4251399244406056E-2</v>
      </c>
      <c r="N963" s="446">
        <f t="shared" si="170"/>
        <v>4.6799999999999994E-2</v>
      </c>
      <c r="O963" s="446">
        <f t="shared" si="174"/>
        <v>5.4874999999999993E-2</v>
      </c>
      <c r="P963" s="447">
        <f t="shared" si="171"/>
        <v>3.7451399244406061E-2</v>
      </c>
      <c r="Q963" s="446">
        <f t="shared" si="175"/>
        <v>2.9376399244406062E-2</v>
      </c>
      <c r="R963" s="446">
        <f t="shared" si="176"/>
        <v>0.1838694819453417</v>
      </c>
      <c r="S963" s="446">
        <f t="shared" si="177"/>
        <v>5.8784000000000003E-2</v>
      </c>
      <c r="T963" s="447">
        <f t="shared" si="178"/>
        <v>0.12508548194534169</v>
      </c>
      <c r="V963" s="448"/>
      <c r="W963" s="448"/>
      <c r="X963" s="448"/>
      <c r="Y963" s="448"/>
      <c r="Z963" s="448"/>
      <c r="AA963" s="448"/>
      <c r="AB963" s="448"/>
      <c r="AC963" s="448"/>
      <c r="AD963" s="448"/>
      <c r="AF963" s="448"/>
      <c r="AG963" s="448"/>
      <c r="AH963" s="448"/>
      <c r="AI963" s="448"/>
      <c r="AJ963" s="448"/>
      <c r="AK963" s="448"/>
      <c r="AL963" s="448"/>
      <c r="AM963" s="448"/>
      <c r="AN963" s="448"/>
      <c r="AP963" s="448"/>
      <c r="AQ963" s="448"/>
      <c r="AR963" s="448"/>
      <c r="AS963" s="448"/>
      <c r="AT963" s="448"/>
      <c r="AU963" s="448"/>
      <c r="AV963" s="448"/>
      <c r="AW963" s="448"/>
      <c r="AX963" s="448"/>
    </row>
    <row r="964" spans="1:50" x14ac:dyDescent="0.4">
      <c r="A964" s="442" t="str">
        <f t="shared" si="179"/>
        <v>122005</v>
      </c>
      <c r="B964" s="442">
        <v>38687</v>
      </c>
      <c r="C964" s="455">
        <v>2.9999999999999997E-4</v>
      </c>
      <c r="D964" s="438">
        <v>1.0999999999999999E-2</v>
      </c>
      <c r="E964" s="438">
        <v>3.8999999999999994E-3</v>
      </c>
      <c r="F964" s="438">
        <v>4.4833333333333331E-3</v>
      </c>
      <c r="G964" s="438">
        <v>4.5916666666666666E-3</v>
      </c>
      <c r="H964" s="438">
        <v>4.5374999999999999E-3</v>
      </c>
      <c r="I964" s="438">
        <v>4.8481666666666664E-3</v>
      </c>
      <c r="J964" s="438">
        <f t="shared" si="168"/>
        <v>-3.5999999999999995E-3</v>
      </c>
      <c r="K964" s="438">
        <f t="shared" si="172"/>
        <v>-4.2374999999999999E-3</v>
      </c>
      <c r="L964" s="438">
        <f t="shared" si="173"/>
        <v>6.1518333333333329E-3</v>
      </c>
      <c r="M964" s="446">
        <f t="shared" si="169"/>
        <v>4.891361186090859E-2</v>
      </c>
      <c r="N964" s="446">
        <f t="shared" si="170"/>
        <v>4.6799999999999994E-2</v>
      </c>
      <c r="O964" s="446">
        <f t="shared" si="174"/>
        <v>5.4449999999999998E-2</v>
      </c>
      <c r="P964" s="447">
        <f t="shared" si="171"/>
        <v>2.1136118609085958E-3</v>
      </c>
      <c r="Q964" s="446">
        <f t="shared" si="175"/>
        <v>-5.5363881390914083E-3</v>
      </c>
      <c r="R964" s="446">
        <f t="shared" si="176"/>
        <v>0.16599322576399467</v>
      </c>
      <c r="S964" s="446">
        <f t="shared" si="177"/>
        <v>5.8177999999999994E-2</v>
      </c>
      <c r="T964" s="447">
        <f t="shared" si="178"/>
        <v>0.10781522576399467</v>
      </c>
      <c r="V964" s="448"/>
      <c r="W964" s="448"/>
      <c r="X964" s="448"/>
      <c r="Y964" s="448"/>
      <c r="Z964" s="448"/>
      <c r="AA964" s="448"/>
      <c r="AB964" s="448"/>
      <c r="AC964" s="448"/>
      <c r="AD964" s="448"/>
      <c r="AF964" s="448"/>
      <c r="AG964" s="448"/>
      <c r="AH964" s="448"/>
      <c r="AI964" s="448"/>
      <c r="AJ964" s="448"/>
      <c r="AK964" s="448"/>
      <c r="AL964" s="448"/>
      <c r="AM964" s="448"/>
      <c r="AN964" s="448"/>
      <c r="AP964" s="448"/>
      <c r="AQ964" s="448"/>
      <c r="AR964" s="448"/>
      <c r="AS964" s="448"/>
      <c r="AT964" s="448"/>
      <c r="AU964" s="448"/>
      <c r="AV964" s="448"/>
      <c r="AW964" s="448"/>
      <c r="AX964" s="448"/>
    </row>
    <row r="965" spans="1:50" x14ac:dyDescent="0.4">
      <c r="A965" s="442" t="str">
        <f t="shared" si="179"/>
        <v>12006</v>
      </c>
      <c r="B965" s="442">
        <v>38718</v>
      </c>
      <c r="C965" s="455">
        <v>2.6499999999999999E-2</v>
      </c>
      <c r="D965" s="438">
        <v>2.6347999999999996E-2</v>
      </c>
      <c r="E965" s="438">
        <v>4.0000000000000001E-3</v>
      </c>
      <c r="F965" s="438">
        <v>4.4083333333333335E-3</v>
      </c>
      <c r="G965" s="438">
        <v>4.5416666666666669E-3</v>
      </c>
      <c r="H965" s="438">
        <v>4.4749999999999998E-3</v>
      </c>
      <c r="I965" s="438">
        <v>4.7916666666666672E-3</v>
      </c>
      <c r="J965" s="438">
        <f t="shared" si="168"/>
        <v>2.2499999999999999E-2</v>
      </c>
      <c r="K965" s="438">
        <f t="shared" si="172"/>
        <v>2.2024999999999999E-2</v>
      </c>
      <c r="L965" s="438">
        <f t="shared" si="173"/>
        <v>2.155633333333333E-2</v>
      </c>
      <c r="M965" s="446">
        <f t="shared" si="169"/>
        <v>0.10363860452564855</v>
      </c>
      <c r="N965" s="446">
        <f t="shared" si="170"/>
        <v>4.8000000000000001E-2</v>
      </c>
      <c r="O965" s="446">
        <f t="shared" si="174"/>
        <v>5.3699999999999998E-2</v>
      </c>
      <c r="P965" s="447">
        <f t="shared" si="171"/>
        <v>5.5638604525648547E-2</v>
      </c>
      <c r="Q965" s="446">
        <f t="shared" si="175"/>
        <v>4.993860452564855E-2</v>
      </c>
      <c r="R965" s="446">
        <f t="shared" si="176"/>
        <v>0.1708392674654382</v>
      </c>
      <c r="S965" s="446">
        <f t="shared" si="177"/>
        <v>5.7500000000000009E-2</v>
      </c>
      <c r="T965" s="447">
        <f t="shared" si="178"/>
        <v>0.1133392674654382</v>
      </c>
      <c r="V965" s="448"/>
      <c r="W965" s="448"/>
      <c r="X965" s="448"/>
      <c r="Y965" s="448"/>
      <c r="Z965" s="448"/>
      <c r="AA965" s="448"/>
      <c r="AB965" s="448"/>
      <c r="AC965" s="448"/>
      <c r="AD965" s="448"/>
      <c r="AF965" s="448"/>
      <c r="AG965" s="448"/>
      <c r="AH965" s="448"/>
      <c r="AI965" s="448"/>
      <c r="AJ965" s="448"/>
      <c r="AK965" s="448"/>
      <c r="AL965" s="448"/>
      <c r="AM965" s="448"/>
      <c r="AN965" s="448"/>
      <c r="AP965" s="448"/>
      <c r="AQ965" s="448"/>
      <c r="AR965" s="448"/>
      <c r="AS965" s="448"/>
      <c r="AT965" s="448"/>
      <c r="AU965" s="448"/>
      <c r="AV965" s="448"/>
      <c r="AW965" s="448"/>
      <c r="AX965" s="448"/>
    </row>
    <row r="966" spans="1:50" x14ac:dyDescent="0.4">
      <c r="A966" s="442" t="str">
        <f t="shared" si="179"/>
        <v>22006</v>
      </c>
      <c r="B966" s="442">
        <v>38749</v>
      </c>
      <c r="C966" s="455">
        <v>2.7000000000000001E-3</v>
      </c>
      <c r="D966" s="438">
        <v>9.5270000000000007E-3</v>
      </c>
      <c r="E966" s="438">
        <v>3.5999999999999999E-3</v>
      </c>
      <c r="F966" s="438">
        <v>4.4583333333333332E-3</v>
      </c>
      <c r="G966" s="438">
        <v>4.5916666666666666E-3</v>
      </c>
      <c r="H966" s="438">
        <v>4.5250000000000004E-3</v>
      </c>
      <c r="I966" s="438">
        <v>4.8500000000000001E-3</v>
      </c>
      <c r="J966" s="438">
        <f t="shared" ref="J966:J1029" si="180">C966-E966</f>
        <v>-8.9999999999999976E-4</v>
      </c>
      <c r="K966" s="438">
        <f t="shared" si="172"/>
        <v>-1.8250000000000002E-3</v>
      </c>
      <c r="L966" s="438">
        <f t="shared" si="173"/>
        <v>4.6770000000000006E-3</v>
      </c>
      <c r="M966" s="446">
        <f t="shared" si="169"/>
        <v>8.3857422877441579E-2</v>
      </c>
      <c r="N966" s="446">
        <f t="shared" si="170"/>
        <v>4.3200000000000002E-2</v>
      </c>
      <c r="O966" s="446">
        <f t="shared" si="174"/>
        <v>5.4300000000000001E-2</v>
      </c>
      <c r="P966" s="447">
        <f t="shared" si="171"/>
        <v>4.0657422877441576E-2</v>
      </c>
      <c r="Q966" s="446">
        <f t="shared" si="175"/>
        <v>2.9557422877441578E-2</v>
      </c>
      <c r="R966" s="446">
        <f t="shared" si="176"/>
        <v>0.15915843205509606</v>
      </c>
      <c r="S966" s="446">
        <f t="shared" si="177"/>
        <v>5.8200000000000002E-2</v>
      </c>
      <c r="T966" s="447">
        <f t="shared" si="178"/>
        <v>0.10095843205509605</v>
      </c>
      <c r="V966" s="448"/>
      <c r="W966" s="448"/>
      <c r="X966" s="448"/>
      <c r="Y966" s="448"/>
      <c r="Z966" s="448"/>
      <c r="AA966" s="448"/>
      <c r="AB966" s="448"/>
      <c r="AC966" s="448"/>
      <c r="AD966" s="448"/>
      <c r="AF966" s="448"/>
      <c r="AG966" s="448"/>
      <c r="AH966" s="448"/>
      <c r="AI966" s="448"/>
      <c r="AJ966" s="448"/>
      <c r="AK966" s="448"/>
      <c r="AL966" s="448"/>
      <c r="AM966" s="448"/>
      <c r="AN966" s="448"/>
      <c r="AP966" s="448"/>
      <c r="AQ966" s="448"/>
      <c r="AR966" s="448"/>
      <c r="AS966" s="448"/>
      <c r="AT966" s="448"/>
      <c r="AU966" s="448"/>
      <c r="AV966" s="448"/>
      <c r="AW966" s="448"/>
      <c r="AX966" s="448"/>
    </row>
    <row r="967" spans="1:50" x14ac:dyDescent="0.4">
      <c r="A967" s="442" t="str">
        <f t="shared" si="179"/>
        <v>32006</v>
      </c>
      <c r="B967" s="442">
        <v>38777</v>
      </c>
      <c r="C967" s="455">
        <v>1.24E-2</v>
      </c>
      <c r="D967" s="438">
        <v>-4.6344999999999997E-2</v>
      </c>
      <c r="E967" s="438">
        <v>3.8999999999999994E-3</v>
      </c>
      <c r="F967" s="438">
        <v>4.5999999999999999E-3</v>
      </c>
      <c r="G967" s="438">
        <v>4.725E-3</v>
      </c>
      <c r="H967" s="438">
        <v>4.6624999999999991E-3</v>
      </c>
      <c r="I967" s="438">
        <v>4.9833333333333335E-3</v>
      </c>
      <c r="J967" s="438">
        <f t="shared" si="180"/>
        <v>8.5000000000000006E-3</v>
      </c>
      <c r="K967" s="438">
        <f t="shared" si="172"/>
        <v>7.7375000000000005E-3</v>
      </c>
      <c r="L967" s="438">
        <f t="shared" si="173"/>
        <v>-5.132833333333333E-2</v>
      </c>
      <c r="M967" s="446">
        <f t="shared" si="169"/>
        <v>0.11706938300022585</v>
      </c>
      <c r="N967" s="446">
        <f t="shared" si="170"/>
        <v>4.6799999999999994E-2</v>
      </c>
      <c r="O967" s="446">
        <f t="shared" si="174"/>
        <v>5.5949999999999986E-2</v>
      </c>
      <c r="P967" s="447">
        <f t="shared" si="171"/>
        <v>7.0269383000225852E-2</v>
      </c>
      <c r="Q967" s="446">
        <f t="shared" si="175"/>
        <v>6.111938300022586E-2</v>
      </c>
      <c r="R967" s="446">
        <f t="shared" si="176"/>
        <v>9.3626072933817417E-2</v>
      </c>
      <c r="S967" s="446">
        <f t="shared" si="177"/>
        <v>5.9800000000000006E-2</v>
      </c>
      <c r="T967" s="447">
        <f t="shared" si="178"/>
        <v>3.3826072933817411E-2</v>
      </c>
      <c r="V967" s="448"/>
      <c r="W967" s="448"/>
      <c r="X967" s="448"/>
      <c r="Y967" s="448"/>
      <c r="Z967" s="448"/>
      <c r="AA967" s="448"/>
      <c r="AB967" s="448"/>
      <c r="AC967" s="448"/>
      <c r="AD967" s="448"/>
      <c r="AF967" s="448"/>
      <c r="AG967" s="448"/>
      <c r="AH967" s="448"/>
      <c r="AI967" s="448"/>
      <c r="AJ967" s="448"/>
      <c r="AK967" s="448"/>
      <c r="AL967" s="448"/>
      <c r="AM967" s="448"/>
      <c r="AN967" s="448"/>
      <c r="AP967" s="448"/>
      <c r="AQ967" s="448"/>
      <c r="AR967" s="448"/>
      <c r="AS967" s="448"/>
      <c r="AT967" s="448"/>
      <c r="AU967" s="448"/>
      <c r="AV967" s="448"/>
      <c r="AW967" s="448"/>
      <c r="AX967" s="448"/>
    </row>
    <row r="968" spans="1:50" x14ac:dyDescent="0.4">
      <c r="A968" s="442" t="str">
        <f t="shared" si="179"/>
        <v>42006</v>
      </c>
      <c r="B968" s="442">
        <v>38808</v>
      </c>
      <c r="C968" s="455">
        <v>1.34E-2</v>
      </c>
      <c r="D968" s="438">
        <v>1.7167000000000002E-2</v>
      </c>
      <c r="E968" s="438">
        <v>3.8999999999999994E-3</v>
      </c>
      <c r="F968" s="438">
        <v>4.8666666666666667E-3</v>
      </c>
      <c r="G968" s="438">
        <v>5.0000000000000001E-3</v>
      </c>
      <c r="H968" s="438">
        <v>4.933333333333333E-3</v>
      </c>
      <c r="I968" s="438">
        <v>5.241666666666667E-3</v>
      </c>
      <c r="J968" s="438">
        <f t="shared" si="180"/>
        <v>9.5000000000000015E-3</v>
      </c>
      <c r="K968" s="438">
        <f t="shared" si="172"/>
        <v>8.4666666666666675E-3</v>
      </c>
      <c r="L968" s="438">
        <f t="shared" si="173"/>
        <v>1.1925333333333335E-2</v>
      </c>
      <c r="M968" s="446">
        <f t="shared" si="169"/>
        <v>0.15396341766812349</v>
      </c>
      <c r="N968" s="446">
        <f t="shared" si="170"/>
        <v>4.6799999999999994E-2</v>
      </c>
      <c r="O968" s="446">
        <f t="shared" si="174"/>
        <v>5.9199999999999996E-2</v>
      </c>
      <c r="P968" s="447">
        <f t="shared" si="171"/>
        <v>0.1071634176681235</v>
      </c>
      <c r="Q968" s="446">
        <f t="shared" si="175"/>
        <v>9.476341766812349E-2</v>
      </c>
      <c r="R968" s="446">
        <f t="shared" si="176"/>
        <v>7.7802879302269368E-2</v>
      </c>
      <c r="S968" s="446">
        <f t="shared" si="177"/>
        <v>6.2900000000000011E-2</v>
      </c>
      <c r="T968" s="447">
        <f t="shared" si="178"/>
        <v>1.4902879302269356E-2</v>
      </c>
      <c r="V968" s="448"/>
      <c r="W968" s="448"/>
      <c r="X968" s="448"/>
      <c r="Y968" s="448"/>
      <c r="Z968" s="448"/>
      <c r="AA968" s="448"/>
      <c r="AB968" s="448"/>
      <c r="AC968" s="448"/>
      <c r="AD968" s="448"/>
      <c r="AF968" s="448"/>
      <c r="AG968" s="448"/>
      <c r="AH968" s="448"/>
      <c r="AI968" s="448"/>
      <c r="AJ968" s="448"/>
      <c r="AK968" s="448"/>
      <c r="AL968" s="448"/>
      <c r="AM968" s="448"/>
      <c r="AN968" s="448"/>
      <c r="AP968" s="448"/>
      <c r="AQ968" s="448"/>
      <c r="AR968" s="448"/>
      <c r="AS968" s="448"/>
      <c r="AT968" s="448"/>
      <c r="AU968" s="448"/>
      <c r="AV968" s="448"/>
      <c r="AW968" s="448"/>
      <c r="AX968" s="448"/>
    </row>
    <row r="969" spans="1:50" x14ac:dyDescent="0.4">
      <c r="A969" s="442" t="str">
        <f t="shared" si="179"/>
        <v>52006</v>
      </c>
      <c r="B969" s="442">
        <v>38838</v>
      </c>
      <c r="C969" s="455">
        <v>-2.8799999999999999E-2</v>
      </c>
      <c r="D969" s="438">
        <v>1.4280999999999999E-2</v>
      </c>
      <c r="E969" s="438">
        <v>4.7999999999999996E-3</v>
      </c>
      <c r="F969" s="438">
        <v>4.9583333333333337E-3</v>
      </c>
      <c r="G969" s="438">
        <v>5.1083333333333336E-3</v>
      </c>
      <c r="H969" s="438">
        <v>5.0333333333333341E-3</v>
      </c>
      <c r="I969" s="438">
        <v>5.3500000000000006E-3</v>
      </c>
      <c r="J969" s="438">
        <f t="shared" si="180"/>
        <v>-3.3599999999999998E-2</v>
      </c>
      <c r="K969" s="438">
        <f t="shared" si="172"/>
        <v>-3.3833333333333333E-2</v>
      </c>
      <c r="L969" s="438">
        <f t="shared" si="173"/>
        <v>8.930999999999998E-3</v>
      </c>
      <c r="M969" s="446">
        <f t="shared" si="169"/>
        <v>8.6188477650010586E-2</v>
      </c>
      <c r="N969" s="446">
        <f t="shared" si="170"/>
        <v>5.7599999999999998E-2</v>
      </c>
      <c r="O969" s="446">
        <f t="shared" si="174"/>
        <v>6.0400000000000009E-2</v>
      </c>
      <c r="P969" s="447">
        <f t="shared" si="171"/>
        <v>2.8588477650010588E-2</v>
      </c>
      <c r="Q969" s="446">
        <f t="shared" si="175"/>
        <v>2.5788477650010577E-2</v>
      </c>
      <c r="R969" s="446">
        <f t="shared" si="176"/>
        <v>9.2321125321327857E-2</v>
      </c>
      <c r="S969" s="446">
        <f t="shared" si="177"/>
        <v>6.4200000000000007E-2</v>
      </c>
      <c r="T969" s="447">
        <f t="shared" si="178"/>
        <v>2.812112532132785E-2</v>
      </c>
      <c r="V969" s="448"/>
      <c r="W969" s="448"/>
      <c r="X969" s="448"/>
      <c r="Y969" s="448"/>
      <c r="Z969" s="448"/>
      <c r="AA969" s="448"/>
      <c r="AB969" s="448"/>
      <c r="AC969" s="448"/>
      <c r="AD969" s="448"/>
      <c r="AF969" s="448"/>
      <c r="AG969" s="448"/>
      <c r="AH969" s="448"/>
      <c r="AI969" s="448"/>
      <c r="AJ969" s="448"/>
      <c r="AK969" s="448"/>
      <c r="AL969" s="448"/>
      <c r="AM969" s="448"/>
      <c r="AN969" s="448"/>
      <c r="AP969" s="448"/>
      <c r="AQ969" s="448"/>
      <c r="AR969" s="448"/>
      <c r="AS969" s="448"/>
      <c r="AT969" s="448"/>
      <c r="AU969" s="448"/>
      <c r="AV969" s="448"/>
      <c r="AW969" s="448"/>
      <c r="AX969" s="448"/>
    </row>
    <row r="970" spans="1:50" x14ac:dyDescent="0.4">
      <c r="A970" s="442" t="str">
        <f t="shared" si="179"/>
        <v>62006</v>
      </c>
      <c r="B970" s="442">
        <v>38869</v>
      </c>
      <c r="C970" s="455">
        <v>1.4E-3</v>
      </c>
      <c r="D970" s="438">
        <v>2.4157999999999999E-2</v>
      </c>
      <c r="E970" s="438">
        <v>4.4000000000000003E-3</v>
      </c>
      <c r="F970" s="438">
        <v>4.9083333333333331E-3</v>
      </c>
      <c r="G970" s="438">
        <v>5.0916666666666662E-3</v>
      </c>
      <c r="H970" s="438">
        <v>5.0000000000000001E-3</v>
      </c>
      <c r="I970" s="438">
        <v>5.3333333333333332E-3</v>
      </c>
      <c r="J970" s="438">
        <f t="shared" si="180"/>
        <v>-3.0000000000000001E-3</v>
      </c>
      <c r="K970" s="438">
        <f t="shared" si="172"/>
        <v>-3.5999999999999999E-3</v>
      </c>
      <c r="L970" s="438">
        <f t="shared" si="173"/>
        <v>1.8824666666666667E-2</v>
      </c>
      <c r="M970" s="446">
        <f t="shared" si="169"/>
        <v>8.6188477650010586E-2</v>
      </c>
      <c r="N970" s="446">
        <f t="shared" si="170"/>
        <v>5.28E-2</v>
      </c>
      <c r="O970" s="446">
        <f t="shared" si="174"/>
        <v>0.06</v>
      </c>
      <c r="P970" s="447">
        <f t="shared" si="171"/>
        <v>3.3388477650010587E-2</v>
      </c>
      <c r="Q970" s="446">
        <f t="shared" si="175"/>
        <v>2.6188477650010589E-2</v>
      </c>
      <c r="R970" s="446">
        <f t="shared" si="176"/>
        <v>5.7781220751551121E-2</v>
      </c>
      <c r="S970" s="446">
        <f t="shared" si="177"/>
        <v>6.4000000000000001E-2</v>
      </c>
      <c r="T970" s="447">
        <f t="shared" si="178"/>
        <v>-6.2187792484488802E-3</v>
      </c>
      <c r="V970" s="448"/>
      <c r="W970" s="448"/>
      <c r="X970" s="448"/>
      <c r="Y970" s="448"/>
      <c r="Z970" s="448"/>
      <c r="AA970" s="448"/>
      <c r="AB970" s="448"/>
      <c r="AC970" s="448"/>
      <c r="AD970" s="448"/>
      <c r="AF970" s="448"/>
      <c r="AG970" s="448"/>
      <c r="AH970" s="448"/>
      <c r="AI970" s="448"/>
      <c r="AJ970" s="448"/>
      <c r="AK970" s="448"/>
      <c r="AL970" s="448"/>
      <c r="AM970" s="448"/>
      <c r="AN970" s="448"/>
      <c r="AP970" s="448"/>
      <c r="AQ970" s="448"/>
      <c r="AR970" s="448"/>
      <c r="AS970" s="448"/>
      <c r="AT970" s="448"/>
      <c r="AU970" s="448"/>
      <c r="AV970" s="448"/>
      <c r="AW970" s="448"/>
      <c r="AX970" s="448"/>
    </row>
    <row r="971" spans="1:50" x14ac:dyDescent="0.4">
      <c r="A971" s="442" t="str">
        <f t="shared" si="179"/>
        <v>72006</v>
      </c>
      <c r="B971" s="442">
        <v>38899</v>
      </c>
      <c r="C971" s="455">
        <v>6.1999999999999998E-3</v>
      </c>
      <c r="D971" s="438">
        <v>5.1109000000000002E-2</v>
      </c>
      <c r="E971" s="438">
        <v>4.4999999999999997E-3</v>
      </c>
      <c r="F971" s="438">
        <v>4.875E-3</v>
      </c>
      <c r="G971" s="438">
        <v>5.0666666666666672E-3</v>
      </c>
      <c r="H971" s="438">
        <v>4.9708333333333332E-3</v>
      </c>
      <c r="I971" s="438">
        <v>5.3083333333333342E-3</v>
      </c>
      <c r="J971" s="438">
        <f t="shared" si="180"/>
        <v>1.7000000000000001E-3</v>
      </c>
      <c r="K971" s="438">
        <f t="shared" si="172"/>
        <v>1.2291666666666666E-3</v>
      </c>
      <c r="L971" s="438">
        <f t="shared" si="173"/>
        <v>4.580066666666667E-2</v>
      </c>
      <c r="M971" s="446">
        <f t="shared" si="169"/>
        <v>5.372430217069124E-2</v>
      </c>
      <c r="N971" s="446">
        <f t="shared" si="170"/>
        <v>5.3999999999999992E-2</v>
      </c>
      <c r="O971" s="446">
        <f t="shared" si="174"/>
        <v>5.9649999999999995E-2</v>
      </c>
      <c r="P971" s="447">
        <f t="shared" si="171"/>
        <v>-2.7569782930875197E-4</v>
      </c>
      <c r="Q971" s="446">
        <f t="shared" si="175"/>
        <v>-5.9256978293087542E-3</v>
      </c>
      <c r="R971" s="446">
        <f t="shared" si="176"/>
        <v>8.6527275640517987E-2</v>
      </c>
      <c r="S971" s="446">
        <f t="shared" si="177"/>
        <v>6.3700000000000007E-2</v>
      </c>
      <c r="T971" s="447">
        <f t="shared" si="178"/>
        <v>2.282727564051798E-2</v>
      </c>
      <c r="V971" s="448"/>
      <c r="W971" s="448"/>
      <c r="X971" s="448"/>
      <c r="Y971" s="448"/>
      <c r="Z971" s="448"/>
      <c r="AA971" s="448"/>
      <c r="AB971" s="448"/>
      <c r="AC971" s="448"/>
      <c r="AD971" s="448"/>
      <c r="AF971" s="448"/>
      <c r="AG971" s="448"/>
      <c r="AH971" s="448"/>
      <c r="AI971" s="448"/>
      <c r="AJ971" s="448"/>
      <c r="AK971" s="448"/>
      <c r="AL971" s="448"/>
      <c r="AM971" s="448"/>
      <c r="AN971" s="448"/>
      <c r="AP971" s="448"/>
      <c r="AQ971" s="448"/>
      <c r="AR971" s="448"/>
      <c r="AS971" s="448"/>
      <c r="AT971" s="448"/>
      <c r="AU971" s="448"/>
      <c r="AV971" s="448"/>
      <c r="AW971" s="448"/>
      <c r="AX971" s="448"/>
    </row>
    <row r="972" spans="1:50" x14ac:dyDescent="0.4">
      <c r="A972" s="442" t="str">
        <f t="shared" si="179"/>
        <v>82006</v>
      </c>
      <c r="B972" s="442">
        <v>38930</v>
      </c>
      <c r="C972" s="455">
        <v>2.3800000000000002E-2</v>
      </c>
      <c r="D972" s="438">
        <v>2.7122E-2</v>
      </c>
      <c r="E972" s="438">
        <v>4.3E-3</v>
      </c>
      <c r="F972" s="438">
        <v>4.7333333333333333E-3</v>
      </c>
      <c r="G972" s="438">
        <v>4.9249999999999997E-3</v>
      </c>
      <c r="H972" s="438">
        <v>4.8291666666666665E-3</v>
      </c>
      <c r="I972" s="438">
        <v>5.1666666666666675E-3</v>
      </c>
      <c r="J972" s="438">
        <f t="shared" si="180"/>
        <v>1.9500000000000003E-2</v>
      </c>
      <c r="K972" s="438">
        <f t="shared" si="172"/>
        <v>1.8970833333333336E-2</v>
      </c>
      <c r="L972" s="438">
        <f t="shared" si="173"/>
        <v>2.1955333333333334E-2</v>
      </c>
      <c r="M972" s="446">
        <f t="shared" si="169"/>
        <v>8.8710203413415289E-2</v>
      </c>
      <c r="N972" s="446">
        <f t="shared" si="170"/>
        <v>5.16E-2</v>
      </c>
      <c r="O972" s="446">
        <f t="shared" si="174"/>
        <v>5.7950000000000002E-2</v>
      </c>
      <c r="P972" s="447">
        <f t="shared" si="171"/>
        <v>3.7110203413415289E-2</v>
      </c>
      <c r="Q972" s="446">
        <f t="shared" si="175"/>
        <v>3.0760203413415288E-2</v>
      </c>
      <c r="R972" s="446">
        <f t="shared" si="176"/>
        <v>0.1079083375463521</v>
      </c>
      <c r="S972" s="446">
        <f t="shared" si="177"/>
        <v>6.2000000000000013E-2</v>
      </c>
      <c r="T972" s="447">
        <f t="shared" si="178"/>
        <v>4.5908337546352082E-2</v>
      </c>
      <c r="V972" s="448"/>
      <c r="W972" s="448"/>
      <c r="X972" s="448"/>
      <c r="Y972" s="448"/>
      <c r="Z972" s="448"/>
      <c r="AA972" s="448"/>
      <c r="AB972" s="448"/>
      <c r="AC972" s="448"/>
      <c r="AD972" s="448"/>
      <c r="AF972" s="448"/>
      <c r="AG972" s="448"/>
      <c r="AH972" s="448"/>
      <c r="AI972" s="448"/>
      <c r="AJ972" s="448"/>
      <c r="AK972" s="448"/>
      <c r="AL972" s="448"/>
      <c r="AM972" s="448"/>
      <c r="AN972" s="448"/>
      <c r="AP972" s="448"/>
      <c r="AQ972" s="448"/>
      <c r="AR972" s="448"/>
      <c r="AS972" s="448"/>
      <c r="AT972" s="448"/>
      <c r="AU972" s="448"/>
      <c r="AV972" s="448"/>
      <c r="AW972" s="448"/>
      <c r="AX972" s="448"/>
    </row>
    <row r="973" spans="1:50" x14ac:dyDescent="0.4">
      <c r="A973" s="442" t="str">
        <f t="shared" si="179"/>
        <v>92006</v>
      </c>
      <c r="B973" s="442">
        <v>38961</v>
      </c>
      <c r="C973" s="455">
        <v>2.58E-2</v>
      </c>
      <c r="D973" s="438">
        <v>-1.7362000000000002E-2</v>
      </c>
      <c r="E973" s="438">
        <v>3.8999999999999994E-3</v>
      </c>
      <c r="F973" s="438">
        <v>4.5916666666666666E-3</v>
      </c>
      <c r="G973" s="438">
        <v>4.7916666666666672E-3</v>
      </c>
      <c r="H973" s="438">
        <v>4.6916666666666669E-3</v>
      </c>
      <c r="I973" s="438">
        <v>5.0000000000000001E-3</v>
      </c>
      <c r="J973" s="438">
        <f t="shared" si="180"/>
        <v>2.1899999999999999E-2</v>
      </c>
      <c r="K973" s="438">
        <f t="shared" si="172"/>
        <v>2.1108333333333333E-2</v>
      </c>
      <c r="L973" s="438">
        <f t="shared" si="173"/>
        <v>-2.2362000000000003E-2</v>
      </c>
      <c r="M973" s="446">
        <f t="shared" si="169"/>
        <v>0.10782553978919007</v>
      </c>
      <c r="N973" s="446">
        <f t="shared" si="170"/>
        <v>4.6799999999999994E-2</v>
      </c>
      <c r="O973" s="446">
        <f t="shared" si="174"/>
        <v>5.6300000000000003E-2</v>
      </c>
      <c r="P973" s="447">
        <f t="shared" si="171"/>
        <v>6.1025539789190078E-2</v>
      </c>
      <c r="Q973" s="446">
        <f t="shared" si="175"/>
        <v>5.152553978919007E-2</v>
      </c>
      <c r="R973" s="446">
        <f t="shared" si="176"/>
        <v>4.6599531811067019E-2</v>
      </c>
      <c r="S973" s="446">
        <f t="shared" si="177"/>
        <v>0.06</v>
      </c>
      <c r="T973" s="447">
        <f t="shared" si="178"/>
        <v>-1.3400468188932979E-2</v>
      </c>
      <c r="V973" s="448"/>
      <c r="W973" s="448"/>
      <c r="X973" s="448"/>
      <c r="Y973" s="448"/>
      <c r="Z973" s="448"/>
      <c r="AA973" s="448"/>
      <c r="AB973" s="448"/>
      <c r="AC973" s="448"/>
      <c r="AD973" s="448"/>
      <c r="AF973" s="448"/>
      <c r="AG973" s="448"/>
      <c r="AH973" s="448"/>
      <c r="AI973" s="448"/>
      <c r="AJ973" s="448"/>
      <c r="AK973" s="448"/>
      <c r="AL973" s="448"/>
      <c r="AM973" s="448"/>
      <c r="AN973" s="448"/>
      <c r="AP973" s="448"/>
      <c r="AQ973" s="448"/>
      <c r="AR973" s="448"/>
      <c r="AS973" s="448"/>
      <c r="AT973" s="448"/>
      <c r="AU973" s="448"/>
      <c r="AV973" s="448"/>
      <c r="AW973" s="448"/>
      <c r="AX973" s="448"/>
    </row>
    <row r="974" spans="1:50" x14ac:dyDescent="0.4">
      <c r="A974" s="442" t="str">
        <f t="shared" si="179"/>
        <v>102006</v>
      </c>
      <c r="B974" s="442">
        <v>38991</v>
      </c>
      <c r="C974" s="455">
        <v>3.2599999999999997E-2</v>
      </c>
      <c r="D974" s="438">
        <v>5.6025999999999999E-2</v>
      </c>
      <c r="E974" s="438">
        <v>4.1999999999999997E-3</v>
      </c>
      <c r="F974" s="438">
        <v>4.5916666666666666E-3</v>
      </c>
      <c r="G974" s="438">
        <v>4.783333333333333E-3</v>
      </c>
      <c r="H974" s="438">
        <v>4.6874999999999998E-3</v>
      </c>
      <c r="I974" s="438">
        <v>4.9833333333333335E-3</v>
      </c>
      <c r="J974" s="438">
        <f t="shared" si="180"/>
        <v>2.8399999999999998E-2</v>
      </c>
      <c r="K974" s="438">
        <f t="shared" si="172"/>
        <v>2.7912499999999996E-2</v>
      </c>
      <c r="L974" s="438">
        <f t="shared" si="173"/>
        <v>5.1042666666666667E-2</v>
      </c>
      <c r="M974" s="446">
        <f t="shared" si="169"/>
        <v>0.16336891323738167</v>
      </c>
      <c r="N974" s="446">
        <f t="shared" si="170"/>
        <v>5.04E-2</v>
      </c>
      <c r="O974" s="446">
        <f t="shared" si="174"/>
        <v>5.6249999999999994E-2</v>
      </c>
      <c r="P974" s="447">
        <f t="shared" si="171"/>
        <v>0.11296891323738167</v>
      </c>
      <c r="Q974" s="446">
        <f t="shared" si="175"/>
        <v>0.10711891323738168</v>
      </c>
      <c r="R974" s="446">
        <f t="shared" si="176"/>
        <v>0.17791358539946067</v>
      </c>
      <c r="S974" s="446">
        <f t="shared" si="177"/>
        <v>5.9800000000000006E-2</v>
      </c>
      <c r="T974" s="447">
        <f t="shared" si="178"/>
        <v>0.11811358539946067</v>
      </c>
      <c r="V974" s="448"/>
      <c r="W974" s="448"/>
      <c r="X974" s="448"/>
      <c r="Y974" s="448"/>
      <c r="Z974" s="448"/>
      <c r="AA974" s="448"/>
      <c r="AB974" s="448"/>
      <c r="AC974" s="448"/>
      <c r="AD974" s="448"/>
      <c r="AF974" s="448"/>
      <c r="AG974" s="448"/>
      <c r="AH974" s="448"/>
      <c r="AI974" s="448"/>
      <c r="AJ974" s="448"/>
      <c r="AK974" s="448"/>
      <c r="AL974" s="448"/>
      <c r="AM974" s="448"/>
      <c r="AN974" s="448"/>
      <c r="AP974" s="448"/>
      <c r="AQ974" s="448"/>
      <c r="AR974" s="448"/>
      <c r="AS974" s="448"/>
      <c r="AT974" s="448"/>
      <c r="AU974" s="448"/>
      <c r="AV974" s="448"/>
      <c r="AW974" s="448"/>
      <c r="AX974" s="448"/>
    </row>
    <row r="975" spans="1:50" x14ac:dyDescent="0.4">
      <c r="A975" s="442" t="str">
        <f t="shared" si="179"/>
        <v>112006</v>
      </c>
      <c r="B975" s="442">
        <v>39022</v>
      </c>
      <c r="C975" s="455">
        <v>1.9E-2</v>
      </c>
      <c r="D975" s="438">
        <v>2.1404999999999997E-2</v>
      </c>
      <c r="E975" s="438">
        <v>3.8999999999999994E-3</v>
      </c>
      <c r="F975" s="438">
        <v>4.4416666666666667E-3</v>
      </c>
      <c r="G975" s="438">
        <v>4.6416666666666663E-3</v>
      </c>
      <c r="H975" s="438">
        <v>4.5416666666666669E-3</v>
      </c>
      <c r="I975" s="438">
        <v>4.8333333333333336E-3</v>
      </c>
      <c r="J975" s="438">
        <f t="shared" si="180"/>
        <v>1.5100000000000001E-2</v>
      </c>
      <c r="K975" s="438">
        <f t="shared" si="172"/>
        <v>1.4458333333333333E-2</v>
      </c>
      <c r="L975" s="438">
        <f t="shared" si="173"/>
        <v>1.6571666666666665E-2</v>
      </c>
      <c r="M975" s="446">
        <f t="shared" si="169"/>
        <v>0.14229420176227814</v>
      </c>
      <c r="N975" s="446">
        <f t="shared" si="170"/>
        <v>4.6799999999999994E-2</v>
      </c>
      <c r="O975" s="446">
        <f t="shared" si="174"/>
        <v>5.4500000000000007E-2</v>
      </c>
      <c r="P975" s="447">
        <f t="shared" si="171"/>
        <v>9.5494201762278144E-2</v>
      </c>
      <c r="Q975" s="446">
        <f t="shared" si="175"/>
        <v>8.7794201762278132E-2</v>
      </c>
      <c r="R975" s="446">
        <f t="shared" si="176"/>
        <v>0.20783739152187164</v>
      </c>
      <c r="S975" s="446">
        <f t="shared" si="177"/>
        <v>5.8000000000000003E-2</v>
      </c>
      <c r="T975" s="447">
        <f t="shared" si="178"/>
        <v>0.14983739152187164</v>
      </c>
      <c r="V975" s="448"/>
      <c r="W975" s="448"/>
      <c r="X975" s="448"/>
      <c r="Y975" s="448"/>
      <c r="Z975" s="448"/>
      <c r="AA975" s="448"/>
      <c r="AB975" s="448"/>
      <c r="AC975" s="448"/>
      <c r="AD975" s="448"/>
      <c r="AF975" s="448"/>
      <c r="AG975" s="448"/>
      <c r="AH975" s="448"/>
      <c r="AI975" s="448"/>
      <c r="AJ975" s="448"/>
      <c r="AK975" s="448"/>
      <c r="AL975" s="448"/>
      <c r="AM975" s="448"/>
      <c r="AN975" s="448"/>
      <c r="AP975" s="448"/>
      <c r="AQ975" s="448"/>
      <c r="AR975" s="448"/>
      <c r="AS975" s="448"/>
      <c r="AT975" s="448"/>
      <c r="AU975" s="448"/>
      <c r="AV975" s="448"/>
      <c r="AW975" s="448"/>
      <c r="AX975" s="448"/>
    </row>
    <row r="976" spans="1:50" x14ac:dyDescent="0.4">
      <c r="A976" s="442" t="str">
        <f t="shared" si="179"/>
        <v>122006</v>
      </c>
      <c r="B976" s="442">
        <v>39052</v>
      </c>
      <c r="C976" s="455">
        <v>1.4E-2</v>
      </c>
      <c r="D976" s="438">
        <v>1.1817000000000001E-2</v>
      </c>
      <c r="E976" s="438">
        <v>3.5999999999999999E-3</v>
      </c>
      <c r="F976" s="438">
        <v>4.4083333333333335E-3</v>
      </c>
      <c r="G976" s="438">
        <v>4.6500000000000005E-3</v>
      </c>
      <c r="H976" s="438">
        <v>4.5291666666666666E-3</v>
      </c>
      <c r="I976" s="438">
        <v>4.8416666666666669E-3</v>
      </c>
      <c r="J976" s="438">
        <f t="shared" si="180"/>
        <v>1.04E-2</v>
      </c>
      <c r="K976" s="438">
        <f t="shared" si="172"/>
        <v>9.4708333333333346E-3</v>
      </c>
      <c r="L976" s="438">
        <f t="shared" si="173"/>
        <v>6.9753333333333343E-3</v>
      </c>
      <c r="M976" s="446">
        <f t="shared" ref="M976:M1039" si="181">((1+C965)*(1+C966)*(1+C967)*(1+C968)*(1+C969)*(1+C970)*(1+C971)*(1+C972)*(1+C973)*(1+C974)*(1+C975)*(1+C976))-1</f>
        <v>0.15793893890527766</v>
      </c>
      <c r="N976" s="446">
        <f t="shared" ref="N976:N1039" si="182">E976*12</f>
        <v>4.3200000000000002E-2</v>
      </c>
      <c r="O976" s="446">
        <f t="shared" si="174"/>
        <v>5.4349999999999996E-2</v>
      </c>
      <c r="P976" s="447">
        <f t="shared" ref="P976:P1039" si="183">M976-N976</f>
        <v>0.11473893890527766</v>
      </c>
      <c r="Q976" s="446">
        <f t="shared" si="175"/>
        <v>0.10358893890527766</v>
      </c>
      <c r="R976" s="446">
        <f t="shared" si="176"/>
        <v>0.2088134579401435</v>
      </c>
      <c r="S976" s="446">
        <f t="shared" si="177"/>
        <v>5.8099999999999999E-2</v>
      </c>
      <c r="T976" s="447">
        <f t="shared" si="178"/>
        <v>0.15071345794014351</v>
      </c>
      <c r="V976" s="448"/>
      <c r="W976" s="448"/>
      <c r="X976" s="448"/>
      <c r="Y976" s="448"/>
      <c r="Z976" s="448"/>
      <c r="AA976" s="448"/>
      <c r="AB976" s="448"/>
      <c r="AC976" s="448"/>
      <c r="AD976" s="448"/>
      <c r="AF976" s="448"/>
      <c r="AG976" s="448"/>
      <c r="AH976" s="448"/>
      <c r="AI976" s="448"/>
      <c r="AJ976" s="448"/>
      <c r="AK976" s="448"/>
      <c r="AL976" s="448"/>
      <c r="AM976" s="448"/>
      <c r="AN976" s="448"/>
      <c r="AP976" s="448"/>
      <c r="AQ976" s="448"/>
      <c r="AR976" s="448"/>
      <c r="AS976" s="448"/>
      <c r="AT976" s="448"/>
      <c r="AU976" s="448"/>
      <c r="AV976" s="448"/>
      <c r="AW976" s="448"/>
      <c r="AX976" s="448"/>
    </row>
    <row r="977" spans="1:50" x14ac:dyDescent="0.4">
      <c r="A977" s="442" t="str">
        <f t="shared" si="179"/>
        <v>12007</v>
      </c>
      <c r="B977" s="442">
        <v>39083</v>
      </c>
      <c r="C977" s="455">
        <v>1.5100000000000001E-2</v>
      </c>
      <c r="D977" s="438">
        <v>-1.134E-3</v>
      </c>
      <c r="E977" s="438">
        <v>4.3E-3</v>
      </c>
      <c r="F977" s="438">
        <v>4.5000000000000005E-3</v>
      </c>
      <c r="G977" s="438">
        <v>4.7916666666666672E-3</v>
      </c>
      <c r="H977" s="438">
        <v>4.6458333333333334E-3</v>
      </c>
      <c r="I977" s="438">
        <v>4.9666666666666661E-3</v>
      </c>
      <c r="J977" s="438">
        <f t="shared" si="180"/>
        <v>1.0800000000000001E-2</v>
      </c>
      <c r="K977" s="438">
        <f t="shared" si="172"/>
        <v>1.0454166666666667E-2</v>
      </c>
      <c r="L977" s="438">
        <f t="shared" si="173"/>
        <v>-6.1006666666666657E-3</v>
      </c>
      <c r="M977" s="446">
        <f t="shared" si="181"/>
        <v>0.14507921761592502</v>
      </c>
      <c r="N977" s="446">
        <f t="shared" si="182"/>
        <v>5.16E-2</v>
      </c>
      <c r="O977" s="446">
        <f t="shared" si="174"/>
        <v>5.5750000000000001E-2</v>
      </c>
      <c r="P977" s="447">
        <f t="shared" si="183"/>
        <v>9.3479217615925009E-2</v>
      </c>
      <c r="Q977" s="446">
        <f t="shared" si="175"/>
        <v>8.9329217615925022E-2</v>
      </c>
      <c r="R977" s="446">
        <f t="shared" si="176"/>
        <v>0.1764456728895456</v>
      </c>
      <c r="S977" s="446">
        <f t="shared" si="177"/>
        <v>5.9599999999999993E-2</v>
      </c>
      <c r="T977" s="447">
        <f t="shared" si="178"/>
        <v>0.11684567288954562</v>
      </c>
      <c r="V977" s="448"/>
      <c r="W977" s="448"/>
      <c r="X977" s="448"/>
      <c r="Y977" s="448"/>
      <c r="Z977" s="448"/>
      <c r="AA977" s="448"/>
      <c r="AB977" s="448"/>
      <c r="AC977" s="448"/>
      <c r="AD977" s="448"/>
      <c r="AF977" s="448"/>
      <c r="AG977" s="448"/>
      <c r="AH977" s="448"/>
      <c r="AI977" s="448"/>
      <c r="AJ977" s="448"/>
      <c r="AK977" s="448"/>
      <c r="AL977" s="448"/>
      <c r="AM977" s="448"/>
      <c r="AN977" s="448"/>
      <c r="AP977" s="448"/>
      <c r="AQ977" s="448"/>
      <c r="AR977" s="448"/>
      <c r="AS977" s="448"/>
      <c r="AT977" s="448"/>
      <c r="AU977" s="448"/>
      <c r="AV977" s="448"/>
      <c r="AW977" s="448"/>
      <c r="AX977" s="448"/>
    </row>
    <row r="978" spans="1:50" x14ac:dyDescent="0.4">
      <c r="A978" s="442" t="str">
        <f t="shared" si="179"/>
        <v>22007</v>
      </c>
      <c r="B978" s="442">
        <v>39114</v>
      </c>
      <c r="C978" s="455">
        <v>-1.9599999999999999E-2</v>
      </c>
      <c r="D978" s="438">
        <v>5.0340999999999997E-2</v>
      </c>
      <c r="E978" s="438">
        <v>3.8E-3</v>
      </c>
      <c r="F978" s="438">
        <v>4.4916666666666664E-3</v>
      </c>
      <c r="G978" s="438">
        <v>4.7666666666666664E-3</v>
      </c>
      <c r="H978" s="438">
        <v>4.6291666666666668E-3</v>
      </c>
      <c r="I978" s="438">
        <v>4.9166666666666673E-3</v>
      </c>
      <c r="J978" s="438">
        <f t="shared" si="180"/>
        <v>-2.3400000000000001E-2</v>
      </c>
      <c r="K978" s="438">
        <f t="shared" si="172"/>
        <v>-2.4229166666666666E-2</v>
      </c>
      <c r="L978" s="438">
        <f t="shared" si="173"/>
        <v>4.542433333333333E-2</v>
      </c>
      <c r="M978" s="446">
        <f t="shared" si="181"/>
        <v>0.11961271063194712</v>
      </c>
      <c r="N978" s="446">
        <f t="shared" si="182"/>
        <v>4.5600000000000002E-2</v>
      </c>
      <c r="O978" s="446">
        <f t="shared" si="174"/>
        <v>5.5550000000000002E-2</v>
      </c>
      <c r="P978" s="447">
        <f t="shared" si="183"/>
        <v>7.4012710631947115E-2</v>
      </c>
      <c r="Q978" s="446">
        <f t="shared" si="175"/>
        <v>6.4062710631947115E-2</v>
      </c>
      <c r="R978" s="446">
        <f t="shared" si="176"/>
        <v>0.22400800028971823</v>
      </c>
      <c r="S978" s="446">
        <f t="shared" si="177"/>
        <v>5.9000000000000011E-2</v>
      </c>
      <c r="T978" s="447">
        <f t="shared" si="178"/>
        <v>0.16500800028971824</v>
      </c>
      <c r="V978" s="448"/>
      <c r="W978" s="448"/>
      <c r="X978" s="448"/>
      <c r="Y978" s="448"/>
      <c r="Z978" s="448"/>
      <c r="AA978" s="448"/>
      <c r="AB978" s="448"/>
      <c r="AC978" s="448"/>
      <c r="AD978" s="448"/>
      <c r="AF978" s="448"/>
      <c r="AG978" s="448"/>
      <c r="AH978" s="448"/>
      <c r="AI978" s="448"/>
      <c r="AJ978" s="448"/>
      <c r="AK978" s="448"/>
      <c r="AL978" s="448"/>
      <c r="AM978" s="448"/>
      <c r="AN978" s="448"/>
      <c r="AP978" s="448"/>
      <c r="AQ978" s="448"/>
      <c r="AR978" s="448"/>
      <c r="AS978" s="448"/>
      <c r="AT978" s="448"/>
      <c r="AU978" s="448"/>
      <c r="AV978" s="448"/>
      <c r="AW978" s="448"/>
      <c r="AX978" s="448"/>
    </row>
    <row r="979" spans="1:50" x14ac:dyDescent="0.4">
      <c r="A979" s="442" t="str">
        <f t="shared" si="179"/>
        <v>32007</v>
      </c>
      <c r="B979" s="442">
        <v>39142</v>
      </c>
      <c r="C979" s="455">
        <v>1.12E-2</v>
      </c>
      <c r="D979" s="438">
        <v>4.1373E-2</v>
      </c>
      <c r="E979" s="438">
        <v>3.8999999999999994E-3</v>
      </c>
      <c r="F979" s="438">
        <v>4.4166666666666668E-3</v>
      </c>
      <c r="G979" s="438">
        <v>4.7166666666666668E-3</v>
      </c>
      <c r="H979" s="438">
        <v>4.5666666666666668E-3</v>
      </c>
      <c r="I979" s="438">
        <v>4.8750000000000009E-3</v>
      </c>
      <c r="J979" s="438">
        <f t="shared" si="180"/>
        <v>7.3000000000000009E-3</v>
      </c>
      <c r="K979" s="438">
        <f t="shared" si="172"/>
        <v>6.6333333333333331E-3</v>
      </c>
      <c r="L979" s="438">
        <f t="shared" si="173"/>
        <v>3.6498000000000003E-2</v>
      </c>
      <c r="M979" s="446">
        <f t="shared" si="181"/>
        <v>0.11828563116458413</v>
      </c>
      <c r="N979" s="446">
        <f t="shared" si="182"/>
        <v>4.6799999999999994E-2</v>
      </c>
      <c r="O979" s="446">
        <f t="shared" si="174"/>
        <v>5.4800000000000001E-2</v>
      </c>
      <c r="P979" s="447">
        <f t="shared" si="183"/>
        <v>7.1485631164584132E-2</v>
      </c>
      <c r="Q979" s="446">
        <f t="shared" si="175"/>
        <v>6.3485631164584125E-2</v>
      </c>
      <c r="R979" s="446">
        <f t="shared" si="176"/>
        <v>0.33659329976323193</v>
      </c>
      <c r="S979" s="446">
        <f t="shared" si="177"/>
        <v>5.850000000000001E-2</v>
      </c>
      <c r="T979" s="447">
        <f t="shared" si="178"/>
        <v>0.27809329976323194</v>
      </c>
      <c r="V979" s="448"/>
      <c r="W979" s="448"/>
      <c r="X979" s="448"/>
      <c r="Y979" s="448"/>
      <c r="Z979" s="448"/>
      <c r="AA979" s="448"/>
      <c r="AB979" s="448"/>
      <c r="AC979" s="448"/>
      <c r="AD979" s="448"/>
      <c r="AF979" s="448"/>
      <c r="AG979" s="448"/>
      <c r="AH979" s="448"/>
      <c r="AI979" s="448"/>
      <c r="AJ979" s="448"/>
      <c r="AK979" s="448"/>
      <c r="AL979" s="448"/>
      <c r="AM979" s="448"/>
      <c r="AN979" s="448"/>
      <c r="AP979" s="448"/>
      <c r="AQ979" s="448"/>
      <c r="AR979" s="448"/>
      <c r="AS979" s="448"/>
      <c r="AT979" s="448"/>
      <c r="AU979" s="448"/>
      <c r="AV979" s="448"/>
      <c r="AW979" s="448"/>
      <c r="AX979" s="448"/>
    </row>
    <row r="980" spans="1:50" x14ac:dyDescent="0.4">
      <c r="A980" s="442" t="str">
        <f t="shared" si="179"/>
        <v>42007</v>
      </c>
      <c r="B980" s="442">
        <v>39173</v>
      </c>
      <c r="C980" s="455">
        <v>4.4299999999999999E-2</v>
      </c>
      <c r="D980" s="438">
        <v>4.3758999999999999E-2</v>
      </c>
      <c r="E980" s="438">
        <v>4.1999999999999997E-3</v>
      </c>
      <c r="F980" s="438">
        <v>4.5583333333333335E-3</v>
      </c>
      <c r="G980" s="438">
        <v>4.8583333333333334E-3</v>
      </c>
      <c r="H980" s="438">
        <v>4.7083333333333335E-3</v>
      </c>
      <c r="I980" s="438">
        <v>4.9750000000000003E-3</v>
      </c>
      <c r="J980" s="438">
        <f t="shared" si="180"/>
        <v>4.0099999999999997E-2</v>
      </c>
      <c r="K980" s="438">
        <f t="shared" si="172"/>
        <v>3.9591666666666664E-2</v>
      </c>
      <c r="L980" s="438">
        <f t="shared" si="173"/>
        <v>3.8783999999999999E-2</v>
      </c>
      <c r="M980" s="446">
        <f t="shared" si="181"/>
        <v>0.15238374247599684</v>
      </c>
      <c r="N980" s="446">
        <f t="shared" si="182"/>
        <v>5.04E-2</v>
      </c>
      <c r="O980" s="446">
        <f t="shared" si="174"/>
        <v>5.6500000000000002E-2</v>
      </c>
      <c r="P980" s="447">
        <f t="shared" si="183"/>
        <v>0.10198374247599684</v>
      </c>
      <c r="Q980" s="446">
        <f t="shared" si="175"/>
        <v>9.5883742475996847E-2</v>
      </c>
      <c r="R980" s="446">
        <f t="shared" si="176"/>
        <v>0.37153612530446933</v>
      </c>
      <c r="S980" s="446">
        <f t="shared" si="177"/>
        <v>5.9700000000000003E-2</v>
      </c>
      <c r="T980" s="447">
        <f t="shared" si="178"/>
        <v>0.31183612530446936</v>
      </c>
      <c r="V980" s="448"/>
      <c r="W980" s="448"/>
      <c r="X980" s="448"/>
      <c r="Y980" s="448"/>
      <c r="Z980" s="448"/>
      <c r="AA980" s="448"/>
      <c r="AB980" s="448"/>
      <c r="AC980" s="448"/>
      <c r="AD980" s="448"/>
      <c r="AF980" s="448"/>
      <c r="AG980" s="448"/>
      <c r="AH980" s="448"/>
      <c r="AI980" s="448"/>
      <c r="AJ980" s="448"/>
      <c r="AK980" s="448"/>
      <c r="AL980" s="448"/>
      <c r="AM980" s="448"/>
      <c r="AN980" s="448"/>
      <c r="AP980" s="448"/>
      <c r="AQ980" s="448"/>
      <c r="AR980" s="448"/>
      <c r="AS980" s="448"/>
      <c r="AT980" s="448"/>
      <c r="AU980" s="448"/>
      <c r="AV980" s="448"/>
      <c r="AW980" s="448"/>
      <c r="AX980" s="448"/>
    </row>
    <row r="981" spans="1:50" x14ac:dyDescent="0.4">
      <c r="A981" s="442" t="str">
        <f t="shared" si="179"/>
        <v>52007</v>
      </c>
      <c r="B981" s="442">
        <v>39203</v>
      </c>
      <c r="C981" s="455">
        <v>3.49E-2</v>
      </c>
      <c r="D981" s="438">
        <v>5.1450000000000003E-3</v>
      </c>
      <c r="E981" s="438">
        <v>4.1000000000000003E-3</v>
      </c>
      <c r="F981" s="438">
        <v>4.5583333333333335E-3</v>
      </c>
      <c r="G981" s="438">
        <v>4.875E-3</v>
      </c>
      <c r="H981" s="438">
        <v>4.7166666666666668E-3</v>
      </c>
      <c r="I981" s="438">
        <v>4.9916666666666668E-3</v>
      </c>
      <c r="J981" s="438">
        <f t="shared" si="180"/>
        <v>3.0800000000000001E-2</v>
      </c>
      <c r="K981" s="438">
        <f t="shared" si="172"/>
        <v>3.0183333333333333E-2</v>
      </c>
      <c r="L981" s="438">
        <f t="shared" si="173"/>
        <v>1.5333333333333345E-4</v>
      </c>
      <c r="M981" s="446">
        <f t="shared" si="181"/>
        <v>0.22796739609597338</v>
      </c>
      <c r="N981" s="446">
        <f t="shared" si="182"/>
        <v>4.9200000000000008E-2</v>
      </c>
      <c r="O981" s="446">
        <f t="shared" si="174"/>
        <v>5.6599999999999998E-2</v>
      </c>
      <c r="P981" s="447">
        <f t="shared" si="183"/>
        <v>0.17876739609597336</v>
      </c>
      <c r="Q981" s="446">
        <f t="shared" si="175"/>
        <v>0.1713673960959734</v>
      </c>
      <c r="R981" s="446">
        <f t="shared" si="176"/>
        <v>0.35918219770375348</v>
      </c>
      <c r="S981" s="446">
        <f t="shared" si="177"/>
        <v>5.9900000000000002E-2</v>
      </c>
      <c r="T981" s="447">
        <f t="shared" si="178"/>
        <v>0.29928219770375347</v>
      </c>
      <c r="V981" s="448"/>
      <c r="W981" s="448"/>
      <c r="X981" s="448"/>
      <c r="Y981" s="448"/>
      <c r="Z981" s="448"/>
      <c r="AA981" s="448"/>
      <c r="AB981" s="448"/>
      <c r="AC981" s="448"/>
      <c r="AD981" s="448"/>
      <c r="AF981" s="448"/>
      <c r="AG981" s="448"/>
      <c r="AH981" s="448"/>
      <c r="AI981" s="448"/>
      <c r="AJ981" s="448"/>
      <c r="AK981" s="448"/>
      <c r="AL981" s="448"/>
      <c r="AM981" s="448"/>
      <c r="AN981" s="448"/>
      <c r="AP981" s="448"/>
      <c r="AQ981" s="448"/>
      <c r="AR981" s="448"/>
      <c r="AS981" s="448"/>
      <c r="AT981" s="448"/>
      <c r="AU981" s="448"/>
      <c r="AV981" s="448"/>
      <c r="AW981" s="448"/>
      <c r="AX981" s="448"/>
    </row>
    <row r="982" spans="1:50" x14ac:dyDescent="0.4">
      <c r="A982" s="442" t="str">
        <f t="shared" si="179"/>
        <v>62007</v>
      </c>
      <c r="B982" s="442">
        <v>39234</v>
      </c>
      <c r="C982" s="455">
        <v>-1.66E-2</v>
      </c>
      <c r="D982" s="438">
        <v>-5.0620999999999999E-2</v>
      </c>
      <c r="E982" s="438">
        <v>4.0000000000000001E-3</v>
      </c>
      <c r="F982" s="438">
        <v>4.8249999999999996E-4</v>
      </c>
      <c r="G982" s="438">
        <v>5.1416666666666668E-3</v>
      </c>
      <c r="H982" s="438">
        <v>2.8120833333333335E-3</v>
      </c>
      <c r="I982" s="438">
        <v>5.2500000000000003E-3</v>
      </c>
      <c r="J982" s="438">
        <f t="shared" si="180"/>
        <v>-2.06E-2</v>
      </c>
      <c r="K982" s="438">
        <f t="shared" si="172"/>
        <v>-1.9412083333333333E-2</v>
      </c>
      <c r="L982" s="438">
        <f t="shared" si="173"/>
        <v>-5.5870999999999997E-2</v>
      </c>
      <c r="M982" s="446">
        <f t="shared" si="181"/>
        <v>0.20589488448250481</v>
      </c>
      <c r="N982" s="446">
        <f t="shared" si="182"/>
        <v>4.8000000000000001E-2</v>
      </c>
      <c r="O982" s="446">
        <f t="shared" si="174"/>
        <v>3.3745000000000004E-2</v>
      </c>
      <c r="P982" s="447">
        <f t="shared" si="183"/>
        <v>0.15789488448250483</v>
      </c>
      <c r="Q982" s="446">
        <f t="shared" si="175"/>
        <v>0.17214988448250482</v>
      </c>
      <c r="R982" s="446">
        <f t="shared" si="176"/>
        <v>0.25994137200880307</v>
      </c>
      <c r="S982" s="446">
        <f t="shared" si="177"/>
        <v>6.3E-2</v>
      </c>
      <c r="T982" s="447">
        <f t="shared" si="178"/>
        <v>0.19694137200880307</v>
      </c>
      <c r="V982" s="448"/>
      <c r="W982" s="448"/>
      <c r="X982" s="448"/>
      <c r="Y982" s="448"/>
      <c r="Z982" s="448"/>
      <c r="AA982" s="448"/>
      <c r="AB982" s="448"/>
      <c r="AC982" s="448"/>
      <c r="AD982" s="448"/>
      <c r="AF982" s="448"/>
      <c r="AG982" s="448"/>
      <c r="AH982" s="448"/>
      <c r="AI982" s="448"/>
      <c r="AJ982" s="448"/>
      <c r="AK982" s="448"/>
      <c r="AL982" s="448"/>
      <c r="AM982" s="448"/>
      <c r="AN982" s="448"/>
      <c r="AP982" s="448"/>
      <c r="AQ982" s="448"/>
      <c r="AR982" s="448"/>
      <c r="AS982" s="448"/>
      <c r="AT982" s="448"/>
      <c r="AU982" s="448"/>
      <c r="AV982" s="448"/>
      <c r="AW982" s="448"/>
      <c r="AX982" s="448"/>
    </row>
    <row r="983" spans="1:50" x14ac:dyDescent="0.4">
      <c r="A983" s="442" t="str">
        <f t="shared" si="179"/>
        <v>72007</v>
      </c>
      <c r="B983" s="442">
        <v>39264</v>
      </c>
      <c r="C983" s="455">
        <v>-3.1E-2</v>
      </c>
      <c r="D983" s="438">
        <v>-3.5666000000000003E-2</v>
      </c>
      <c r="E983" s="438">
        <v>4.5999999999999999E-3</v>
      </c>
      <c r="F983" s="438">
        <v>4.7750000000000006E-3</v>
      </c>
      <c r="G983" s="438">
        <v>5.0749999999999997E-3</v>
      </c>
      <c r="H983" s="438">
        <v>4.9249999999999997E-3</v>
      </c>
      <c r="I983" s="438">
        <v>5.2083333333333339E-3</v>
      </c>
      <c r="J983" s="438">
        <f t="shared" si="180"/>
        <v>-3.56E-2</v>
      </c>
      <c r="K983" s="438">
        <f t="shared" si="172"/>
        <v>-3.5924999999999999E-2</v>
      </c>
      <c r="L983" s="438">
        <f t="shared" si="173"/>
        <v>-4.0874333333333339E-2</v>
      </c>
      <c r="M983" s="446">
        <f t="shared" si="181"/>
        <v>0.16131200861016359</v>
      </c>
      <c r="N983" s="446">
        <f t="shared" si="182"/>
        <v>5.5199999999999999E-2</v>
      </c>
      <c r="O983" s="446">
        <f t="shared" si="174"/>
        <v>5.91E-2</v>
      </c>
      <c r="P983" s="447">
        <f t="shared" si="183"/>
        <v>0.10611200861016359</v>
      </c>
      <c r="Q983" s="446">
        <f t="shared" si="175"/>
        <v>0.10221200861016359</v>
      </c>
      <c r="R983" s="446">
        <f t="shared" si="176"/>
        <v>0.15592607715730455</v>
      </c>
      <c r="S983" s="446">
        <f t="shared" si="177"/>
        <v>6.25E-2</v>
      </c>
      <c r="T983" s="447">
        <f t="shared" si="178"/>
        <v>9.3426077157304555E-2</v>
      </c>
      <c r="V983" s="448"/>
      <c r="W983" s="448"/>
      <c r="X983" s="448"/>
      <c r="Y983" s="448"/>
      <c r="Z983" s="448"/>
      <c r="AA983" s="448"/>
      <c r="AB983" s="448"/>
      <c r="AC983" s="448"/>
      <c r="AD983" s="448"/>
      <c r="AF983" s="448"/>
      <c r="AG983" s="448"/>
      <c r="AH983" s="448"/>
      <c r="AI983" s="448"/>
      <c r="AJ983" s="448"/>
      <c r="AK983" s="448"/>
      <c r="AL983" s="448"/>
      <c r="AM983" s="448"/>
      <c r="AN983" s="448"/>
      <c r="AP983" s="448"/>
      <c r="AQ983" s="448"/>
      <c r="AR983" s="448"/>
      <c r="AS983" s="448"/>
      <c r="AT983" s="448"/>
      <c r="AU983" s="448"/>
      <c r="AV983" s="448"/>
      <c r="AW983" s="448"/>
      <c r="AX983" s="448"/>
    </row>
    <row r="984" spans="1:50" x14ac:dyDescent="0.4">
      <c r="A984" s="442" t="str">
        <f t="shared" si="179"/>
        <v>82007</v>
      </c>
      <c r="B984" s="442">
        <v>39295</v>
      </c>
      <c r="C984" s="455">
        <v>1.4999999999999999E-2</v>
      </c>
      <c r="D984" s="438">
        <v>2.0955999999999995E-2</v>
      </c>
      <c r="E984" s="438">
        <v>4.1999999999999997E-3</v>
      </c>
      <c r="F984" s="438">
        <v>4.8249999999999994E-3</v>
      </c>
      <c r="G984" s="438">
        <v>5.0499999999999998E-3</v>
      </c>
      <c r="H984" s="438">
        <v>4.9375E-3</v>
      </c>
      <c r="I984" s="438">
        <v>5.1999999999999998E-3</v>
      </c>
      <c r="J984" s="438">
        <f t="shared" si="180"/>
        <v>1.0800000000000001E-2</v>
      </c>
      <c r="K984" s="438">
        <f t="shared" si="172"/>
        <v>1.0062499999999999E-2</v>
      </c>
      <c r="L984" s="438">
        <f t="shared" si="173"/>
        <v>1.5755999999999996E-2</v>
      </c>
      <c r="M984" s="446">
        <f t="shared" si="181"/>
        <v>0.15133003393174094</v>
      </c>
      <c r="N984" s="446">
        <f t="shared" si="182"/>
        <v>5.04E-2</v>
      </c>
      <c r="O984" s="446">
        <f t="shared" si="174"/>
        <v>5.9249999999999997E-2</v>
      </c>
      <c r="P984" s="447">
        <f t="shared" si="183"/>
        <v>0.10093003393174094</v>
      </c>
      <c r="Q984" s="446">
        <f t="shared" si="175"/>
        <v>9.208003393174094E-2</v>
      </c>
      <c r="R984" s="446">
        <f t="shared" si="176"/>
        <v>0.14898684287768416</v>
      </c>
      <c r="S984" s="446">
        <f t="shared" si="177"/>
        <v>6.2399999999999997E-2</v>
      </c>
      <c r="T984" s="447">
        <f t="shared" si="178"/>
        <v>8.6586842877684159E-2</v>
      </c>
      <c r="V984" s="448"/>
      <c r="W984" s="448"/>
      <c r="X984" s="448"/>
      <c r="Y984" s="448"/>
      <c r="Z984" s="448"/>
      <c r="AA984" s="448"/>
      <c r="AB984" s="448"/>
      <c r="AC984" s="448"/>
      <c r="AD984" s="448"/>
      <c r="AF984" s="448"/>
      <c r="AG984" s="448"/>
      <c r="AH984" s="448"/>
      <c r="AI984" s="448"/>
      <c r="AJ984" s="448"/>
      <c r="AK984" s="448"/>
      <c r="AL984" s="448"/>
      <c r="AM984" s="448"/>
      <c r="AN984" s="448"/>
      <c r="AP984" s="448"/>
      <c r="AQ984" s="448"/>
      <c r="AR984" s="448"/>
      <c r="AS984" s="448"/>
      <c r="AT984" s="448"/>
      <c r="AU984" s="448"/>
      <c r="AV984" s="448"/>
      <c r="AW984" s="448"/>
      <c r="AX984" s="448"/>
    </row>
    <row r="985" spans="1:50" x14ac:dyDescent="0.4">
      <c r="A985" s="442" t="str">
        <f t="shared" si="179"/>
        <v>92007</v>
      </c>
      <c r="B985" s="442">
        <v>39326</v>
      </c>
      <c r="C985" s="455">
        <v>3.7400000000000003E-2</v>
      </c>
      <c r="D985" s="438">
        <v>3.5427E-2</v>
      </c>
      <c r="E985" s="438">
        <v>3.7000000000000002E-3</v>
      </c>
      <c r="F985" s="438">
        <v>4.783333333333333E-3</v>
      </c>
      <c r="G985" s="438">
        <v>5.0166666666666658E-3</v>
      </c>
      <c r="H985" s="438">
        <v>4.8999999999999998E-3</v>
      </c>
      <c r="I985" s="438">
        <v>5.1500000000000001E-3</v>
      </c>
      <c r="J985" s="438">
        <f t="shared" si="180"/>
        <v>3.3700000000000001E-2</v>
      </c>
      <c r="K985" s="438">
        <f t="shared" si="172"/>
        <v>3.2500000000000001E-2</v>
      </c>
      <c r="L985" s="438">
        <f t="shared" si="173"/>
        <v>3.0276999999999998E-2</v>
      </c>
      <c r="M985" s="446">
        <f t="shared" si="181"/>
        <v>0.16434955858918698</v>
      </c>
      <c r="N985" s="446">
        <f t="shared" si="182"/>
        <v>4.4400000000000002E-2</v>
      </c>
      <c r="O985" s="446">
        <f t="shared" si="174"/>
        <v>5.8799999999999998E-2</v>
      </c>
      <c r="P985" s="447">
        <f t="shared" si="183"/>
        <v>0.11994955858918699</v>
      </c>
      <c r="Q985" s="446">
        <f t="shared" si="175"/>
        <v>0.10554955858918699</v>
      </c>
      <c r="R985" s="446">
        <f t="shared" si="176"/>
        <v>0.21071238824502192</v>
      </c>
      <c r="S985" s="446">
        <f t="shared" si="177"/>
        <v>6.1800000000000001E-2</v>
      </c>
      <c r="T985" s="447">
        <f t="shared" si="178"/>
        <v>0.14891238824502193</v>
      </c>
      <c r="V985" s="448"/>
      <c r="W985" s="448"/>
      <c r="X985" s="448"/>
      <c r="Y985" s="448"/>
      <c r="Z985" s="448"/>
      <c r="AA985" s="448"/>
      <c r="AB985" s="448"/>
      <c r="AC985" s="448"/>
      <c r="AD985" s="448"/>
      <c r="AF985" s="448"/>
      <c r="AG985" s="448"/>
      <c r="AH985" s="448"/>
      <c r="AI985" s="448"/>
      <c r="AJ985" s="448"/>
      <c r="AK985" s="448"/>
      <c r="AL985" s="448"/>
      <c r="AM985" s="448"/>
      <c r="AN985" s="448"/>
      <c r="AP985" s="448"/>
      <c r="AQ985" s="448"/>
      <c r="AR985" s="448"/>
      <c r="AS985" s="448"/>
      <c r="AT985" s="448"/>
      <c r="AU985" s="448"/>
      <c r="AV985" s="448"/>
      <c r="AW985" s="448"/>
      <c r="AX985" s="448"/>
    </row>
    <row r="986" spans="1:50" x14ac:dyDescent="0.4">
      <c r="A986" s="442" t="str">
        <f t="shared" si="179"/>
        <v>102007</v>
      </c>
      <c r="B986" s="442">
        <v>39356</v>
      </c>
      <c r="C986" s="455">
        <v>1.5900000000000001E-2</v>
      </c>
      <c r="D986" s="438">
        <v>6.8641000000000008E-2</v>
      </c>
      <c r="E986" s="438">
        <v>4.3E-3</v>
      </c>
      <c r="F986" s="438">
        <v>4.7166666666666668E-3</v>
      </c>
      <c r="G986" s="438">
        <v>4.9500000000000004E-3</v>
      </c>
      <c r="H986" s="438">
        <v>4.8333333333333336E-3</v>
      </c>
      <c r="I986" s="438">
        <v>5.0916666666666662E-3</v>
      </c>
      <c r="J986" s="438">
        <f t="shared" si="180"/>
        <v>1.1600000000000001E-2</v>
      </c>
      <c r="K986" s="438">
        <f t="shared" si="172"/>
        <v>1.1066666666666667E-2</v>
      </c>
      <c r="L986" s="438">
        <f t="shared" si="173"/>
        <v>6.3549333333333347E-2</v>
      </c>
      <c r="M986" s="446">
        <f t="shared" si="181"/>
        <v>0.14551880357423475</v>
      </c>
      <c r="N986" s="446">
        <f t="shared" si="182"/>
        <v>5.16E-2</v>
      </c>
      <c r="O986" s="446">
        <f t="shared" si="174"/>
        <v>5.8000000000000003E-2</v>
      </c>
      <c r="P986" s="447">
        <f t="shared" si="183"/>
        <v>9.3918803574234738E-2</v>
      </c>
      <c r="Q986" s="446">
        <f t="shared" si="175"/>
        <v>8.7518803574234749E-2</v>
      </c>
      <c r="R986" s="446">
        <f t="shared" si="176"/>
        <v>0.22517522985849681</v>
      </c>
      <c r="S986" s="446">
        <f t="shared" si="177"/>
        <v>6.1099999999999995E-2</v>
      </c>
      <c r="T986" s="447">
        <f t="shared" si="178"/>
        <v>0.16407522985849682</v>
      </c>
      <c r="V986" s="448"/>
      <c r="W986" s="448"/>
      <c r="X986" s="448"/>
      <c r="Y986" s="448"/>
      <c r="Z986" s="448"/>
      <c r="AA986" s="448"/>
      <c r="AB986" s="448"/>
      <c r="AC986" s="448"/>
      <c r="AD986" s="448"/>
      <c r="AF986" s="448"/>
      <c r="AG986" s="448"/>
      <c r="AH986" s="448"/>
      <c r="AI986" s="448"/>
      <c r="AJ986" s="448"/>
      <c r="AK986" s="448"/>
      <c r="AL986" s="448"/>
      <c r="AM986" s="448"/>
      <c r="AN986" s="448"/>
      <c r="AP986" s="448"/>
      <c r="AQ986" s="448"/>
      <c r="AR986" s="448"/>
      <c r="AS986" s="448"/>
      <c r="AT986" s="448"/>
      <c r="AU986" s="448"/>
      <c r="AV986" s="448"/>
      <c r="AW986" s="448"/>
      <c r="AX986" s="448"/>
    </row>
    <row r="987" spans="1:50" x14ac:dyDescent="0.4">
      <c r="A987" s="442" t="str">
        <f t="shared" si="179"/>
        <v>112007</v>
      </c>
      <c r="B987" s="442">
        <v>39387</v>
      </c>
      <c r="C987" s="455">
        <v>-4.1799999999999997E-2</v>
      </c>
      <c r="D987" s="438">
        <v>3.405E-3</v>
      </c>
      <c r="E987" s="438">
        <v>3.8999999999999994E-3</v>
      </c>
      <c r="F987" s="438">
        <v>4.5333333333333337E-3</v>
      </c>
      <c r="G987" s="438">
        <v>4.816666666666667E-3</v>
      </c>
      <c r="H987" s="438">
        <v>4.6750000000000003E-3</v>
      </c>
      <c r="I987" s="438">
        <v>4.9750000000000003E-3</v>
      </c>
      <c r="J987" s="438">
        <f t="shared" si="180"/>
        <v>-4.5699999999999998E-2</v>
      </c>
      <c r="K987" s="438">
        <f t="shared" si="172"/>
        <v>-4.6474999999999995E-2</v>
      </c>
      <c r="L987" s="438">
        <f t="shared" si="173"/>
        <v>-1.5700000000000002E-3</v>
      </c>
      <c r="M987" s="446">
        <f t="shared" si="181"/>
        <v>7.7169889680895443E-2</v>
      </c>
      <c r="N987" s="446">
        <f t="shared" si="182"/>
        <v>4.6799999999999994E-2</v>
      </c>
      <c r="O987" s="446">
        <f t="shared" si="174"/>
        <v>5.6100000000000004E-2</v>
      </c>
      <c r="P987" s="447">
        <f t="shared" si="183"/>
        <v>3.0369889680895448E-2</v>
      </c>
      <c r="Q987" s="446">
        <f t="shared" si="175"/>
        <v>2.1069889680895439E-2</v>
      </c>
      <c r="R987" s="446">
        <f t="shared" si="176"/>
        <v>0.2035842310505287</v>
      </c>
      <c r="S987" s="446">
        <f t="shared" si="177"/>
        <v>5.9700000000000003E-2</v>
      </c>
      <c r="T987" s="447">
        <f t="shared" si="178"/>
        <v>0.14388423105052869</v>
      </c>
      <c r="V987" s="448"/>
      <c r="W987" s="448"/>
      <c r="X987" s="448"/>
      <c r="Y987" s="448"/>
      <c r="Z987" s="448"/>
      <c r="AA987" s="448"/>
      <c r="AB987" s="448"/>
      <c r="AC987" s="448"/>
      <c r="AD987" s="448"/>
      <c r="AF987" s="448"/>
      <c r="AG987" s="448"/>
      <c r="AH987" s="448"/>
      <c r="AI987" s="448"/>
      <c r="AJ987" s="448"/>
      <c r="AK987" s="448"/>
      <c r="AL987" s="448"/>
      <c r="AM987" s="448"/>
      <c r="AN987" s="448"/>
      <c r="AP987" s="448"/>
      <c r="AQ987" s="448"/>
      <c r="AR987" s="448"/>
      <c r="AS987" s="448"/>
      <c r="AT987" s="448"/>
      <c r="AU987" s="448"/>
      <c r="AV987" s="448"/>
      <c r="AW987" s="448"/>
      <c r="AX987" s="448"/>
    </row>
    <row r="988" spans="1:50" x14ac:dyDescent="0.4">
      <c r="A988" s="442" t="str">
        <f t="shared" si="179"/>
        <v>122007</v>
      </c>
      <c r="B988" s="442">
        <v>39417</v>
      </c>
      <c r="C988" s="455">
        <v>-6.8999999999999999E-3</v>
      </c>
      <c r="D988" s="438">
        <v>2.7539999999999999E-3</v>
      </c>
      <c r="E988" s="438">
        <v>3.7000000000000002E-3</v>
      </c>
      <c r="F988" s="438">
        <v>4.5750000000000001E-3</v>
      </c>
      <c r="G988" s="438">
        <v>4.9249999999999997E-3</v>
      </c>
      <c r="H988" s="438">
        <v>4.7499999999999999E-3</v>
      </c>
      <c r="I988" s="438">
        <v>5.1333333333333335E-3</v>
      </c>
      <c r="J988" s="438">
        <f t="shared" si="180"/>
        <v>-1.06E-2</v>
      </c>
      <c r="K988" s="438">
        <f t="shared" si="172"/>
        <v>-1.1650000000000001E-2</v>
      </c>
      <c r="L988" s="438">
        <f t="shared" si="173"/>
        <v>-2.3793333333333336E-3</v>
      </c>
      <c r="M988" s="446">
        <f t="shared" si="181"/>
        <v>5.4967867299897888E-2</v>
      </c>
      <c r="N988" s="446">
        <f t="shared" si="182"/>
        <v>4.4400000000000002E-2</v>
      </c>
      <c r="O988" s="446">
        <f t="shared" si="174"/>
        <v>5.6999999999999995E-2</v>
      </c>
      <c r="P988" s="447">
        <f t="shared" si="183"/>
        <v>1.0567867299897886E-2</v>
      </c>
      <c r="Q988" s="446">
        <f t="shared" si="175"/>
        <v>-2.0321327001021072E-3</v>
      </c>
      <c r="R988" s="446">
        <f t="shared" si="176"/>
        <v>0.19280354256040533</v>
      </c>
      <c r="S988" s="446">
        <f t="shared" si="177"/>
        <v>6.1600000000000002E-2</v>
      </c>
      <c r="T988" s="447">
        <f t="shared" si="178"/>
        <v>0.13120354256040534</v>
      </c>
      <c r="V988" s="448"/>
      <c r="W988" s="448"/>
      <c r="X988" s="448"/>
      <c r="Y988" s="448"/>
      <c r="Z988" s="448"/>
      <c r="AA988" s="448"/>
      <c r="AB988" s="448"/>
      <c r="AC988" s="448"/>
      <c r="AD988" s="448"/>
      <c r="AF988" s="448"/>
      <c r="AG988" s="448"/>
      <c r="AH988" s="448"/>
      <c r="AI988" s="448"/>
      <c r="AJ988" s="448"/>
      <c r="AK988" s="448"/>
      <c r="AL988" s="448"/>
      <c r="AM988" s="448"/>
      <c r="AN988" s="448"/>
      <c r="AP988" s="448"/>
      <c r="AQ988" s="448"/>
      <c r="AR988" s="448"/>
      <c r="AS988" s="448"/>
      <c r="AT988" s="448"/>
      <c r="AU988" s="448"/>
      <c r="AV988" s="448"/>
      <c r="AW988" s="448"/>
      <c r="AX988" s="448"/>
    </row>
    <row r="989" spans="1:50" x14ac:dyDescent="0.4">
      <c r="A989" s="442" t="str">
        <f t="shared" si="179"/>
        <v>12008</v>
      </c>
      <c r="B989" s="442">
        <v>39448</v>
      </c>
      <c r="C989" s="455">
        <v>-0.06</v>
      </c>
      <c r="D989" s="438">
        <v>-6.8132999999999999E-2</v>
      </c>
      <c r="E989" s="438">
        <v>4.0000000000000001E-3</v>
      </c>
      <c r="F989" s="438">
        <v>4.4416666666666667E-3</v>
      </c>
      <c r="G989" s="438">
        <v>4.816666666666667E-3</v>
      </c>
      <c r="H989" s="438">
        <v>4.6291666666666668E-3</v>
      </c>
      <c r="I989" s="438">
        <v>5.0166666666666658E-3</v>
      </c>
      <c r="J989" s="438">
        <f t="shared" si="180"/>
        <v>-6.4000000000000001E-2</v>
      </c>
      <c r="K989" s="438">
        <f t="shared" ref="K989:K1052" si="184">C989-H989</f>
        <v>-6.4629166666666668E-2</v>
      </c>
      <c r="L989" s="438">
        <f t="shared" ref="L989:L1052" si="185">$D989-I989</f>
        <v>-7.3149666666666668E-2</v>
      </c>
      <c r="M989" s="446">
        <f t="shared" si="181"/>
        <v>-2.3081671498468737E-2</v>
      </c>
      <c r="N989" s="446">
        <f t="shared" si="182"/>
        <v>4.8000000000000001E-2</v>
      </c>
      <c r="O989" s="446">
        <f t="shared" si="174"/>
        <v>5.5550000000000002E-2</v>
      </c>
      <c r="P989" s="447">
        <f t="shared" si="183"/>
        <v>-7.1081671498468738E-2</v>
      </c>
      <c r="Q989" s="446">
        <f t="shared" si="175"/>
        <v>-7.8631671498468739E-2</v>
      </c>
      <c r="R989" s="446">
        <f t="shared" si="176"/>
        <v>0.11279616965152228</v>
      </c>
      <c r="S989" s="446">
        <f t="shared" si="177"/>
        <v>6.019999999999999E-2</v>
      </c>
      <c r="T989" s="447">
        <f t="shared" si="178"/>
        <v>5.2596169651522293E-2</v>
      </c>
      <c r="V989" s="448"/>
      <c r="W989" s="448"/>
      <c r="X989" s="448"/>
      <c r="Y989" s="448"/>
      <c r="Z989" s="448"/>
      <c r="AA989" s="448"/>
      <c r="AB989" s="448"/>
      <c r="AC989" s="448"/>
      <c r="AD989" s="448"/>
      <c r="AF989" s="448"/>
      <c r="AG989" s="448"/>
      <c r="AH989" s="448"/>
      <c r="AI989" s="448"/>
      <c r="AJ989" s="448"/>
      <c r="AK989" s="448"/>
      <c r="AL989" s="448"/>
      <c r="AM989" s="448"/>
      <c r="AN989" s="448"/>
      <c r="AP989" s="448"/>
      <c r="AQ989" s="448"/>
      <c r="AR989" s="448"/>
      <c r="AS989" s="448"/>
      <c r="AT989" s="448"/>
      <c r="AU989" s="448"/>
      <c r="AV989" s="448"/>
      <c r="AW989" s="448"/>
      <c r="AX989" s="448"/>
    </row>
    <row r="990" spans="1:50" x14ac:dyDescent="0.4">
      <c r="A990" s="442" t="str">
        <f t="shared" si="179"/>
        <v>22008</v>
      </c>
      <c r="B990" s="442">
        <v>39479</v>
      </c>
      <c r="C990" s="455">
        <v>-3.2500000000000001E-2</v>
      </c>
      <c r="D990" s="438">
        <v>-4.9955999999999993E-2</v>
      </c>
      <c r="E990" s="438">
        <v>3.3999999999999998E-3</v>
      </c>
      <c r="F990" s="438">
        <v>4.6083333333333341E-3</v>
      </c>
      <c r="G990" s="438">
        <v>4.9750000000000003E-3</v>
      </c>
      <c r="H990" s="438">
        <v>4.7916666666666672E-3</v>
      </c>
      <c r="I990" s="438">
        <v>5.1749999999999999E-3</v>
      </c>
      <c r="J990" s="438">
        <f t="shared" si="180"/>
        <v>-3.5900000000000001E-2</v>
      </c>
      <c r="K990" s="438">
        <f t="shared" si="184"/>
        <v>-3.7291666666666667E-2</v>
      </c>
      <c r="L990" s="438">
        <f t="shared" si="185"/>
        <v>-5.5130999999999993E-2</v>
      </c>
      <c r="M990" s="446">
        <f t="shared" si="181"/>
        <v>-3.5935860031383715E-2</v>
      </c>
      <c r="N990" s="446">
        <f t="shared" si="182"/>
        <v>4.0799999999999996E-2</v>
      </c>
      <c r="O990" s="446">
        <f t="shared" si="174"/>
        <v>5.7500000000000009E-2</v>
      </c>
      <c r="P990" s="447">
        <f t="shared" si="183"/>
        <v>-7.6735860031383718E-2</v>
      </c>
      <c r="Q990" s="446">
        <f t="shared" si="175"/>
        <v>-9.3435860031383725E-2</v>
      </c>
      <c r="R990" s="446">
        <f t="shared" si="176"/>
        <v>6.5353291934815427E-3</v>
      </c>
      <c r="S990" s="446">
        <f t="shared" si="177"/>
        <v>6.2100000000000002E-2</v>
      </c>
      <c r="T990" s="447">
        <f t="shared" si="178"/>
        <v>-5.556467080651846E-2</v>
      </c>
      <c r="V990" s="448"/>
      <c r="W990" s="448"/>
      <c r="X990" s="448"/>
      <c r="Y990" s="448"/>
      <c r="Z990" s="448"/>
      <c r="AA990" s="448"/>
      <c r="AB990" s="448"/>
      <c r="AC990" s="448"/>
      <c r="AD990" s="448"/>
      <c r="AF990" s="448"/>
      <c r="AG990" s="448"/>
      <c r="AH990" s="448"/>
      <c r="AI990" s="448"/>
      <c r="AJ990" s="448"/>
      <c r="AK990" s="448"/>
      <c r="AL990" s="448"/>
      <c r="AM990" s="448"/>
      <c r="AN990" s="448"/>
      <c r="AP990" s="448"/>
      <c r="AQ990" s="448"/>
      <c r="AR990" s="448"/>
      <c r="AS990" s="448"/>
      <c r="AT990" s="448"/>
      <c r="AU990" s="448"/>
      <c r="AV990" s="448"/>
      <c r="AW990" s="448"/>
      <c r="AX990" s="448"/>
    </row>
    <row r="991" spans="1:50" x14ac:dyDescent="0.4">
      <c r="A991" s="442" t="str">
        <f t="shared" si="179"/>
        <v>32008</v>
      </c>
      <c r="B991" s="442">
        <v>39508</v>
      </c>
      <c r="C991" s="455">
        <v>-4.3E-3</v>
      </c>
      <c r="D991" s="438">
        <v>1.7056000000000002E-2</v>
      </c>
      <c r="E991" s="438">
        <v>3.7000000000000002E-3</v>
      </c>
      <c r="F991" s="438">
        <v>4.5916666666666666E-3</v>
      </c>
      <c r="G991" s="438">
        <v>4.9166666666666673E-3</v>
      </c>
      <c r="H991" s="438">
        <v>4.754166666666667E-3</v>
      </c>
      <c r="I991" s="438">
        <v>5.1749999999999999E-3</v>
      </c>
      <c r="J991" s="438">
        <f t="shared" si="180"/>
        <v>-8.0000000000000002E-3</v>
      </c>
      <c r="K991" s="438">
        <f t="shared" si="184"/>
        <v>-9.054166666666667E-3</v>
      </c>
      <c r="L991" s="438">
        <f t="shared" si="185"/>
        <v>1.1881000000000003E-2</v>
      </c>
      <c r="M991" s="446">
        <f t="shared" si="181"/>
        <v>-5.0713346354082867E-2</v>
      </c>
      <c r="N991" s="446">
        <f t="shared" si="182"/>
        <v>4.4400000000000002E-2</v>
      </c>
      <c r="O991" s="446">
        <f t="shared" si="174"/>
        <v>5.7050000000000003E-2</v>
      </c>
      <c r="P991" s="447">
        <f t="shared" si="183"/>
        <v>-9.5113346354082862E-2</v>
      </c>
      <c r="Q991" s="446">
        <f t="shared" si="175"/>
        <v>-0.10776334635408287</v>
      </c>
      <c r="R991" s="446">
        <f t="shared" si="176"/>
        <v>-1.6968179731752575E-2</v>
      </c>
      <c r="S991" s="446">
        <f t="shared" si="177"/>
        <v>6.2100000000000002E-2</v>
      </c>
      <c r="T991" s="447">
        <f t="shared" si="178"/>
        <v>-7.9068179731752578E-2</v>
      </c>
      <c r="V991" s="448"/>
      <c r="W991" s="448"/>
      <c r="X991" s="448"/>
      <c r="Y991" s="448"/>
      <c r="Z991" s="448"/>
      <c r="AA991" s="448"/>
      <c r="AB991" s="448"/>
      <c r="AC991" s="448"/>
      <c r="AD991" s="448"/>
      <c r="AF991" s="448"/>
      <c r="AG991" s="448"/>
      <c r="AH991" s="448"/>
      <c r="AI991" s="448"/>
      <c r="AJ991" s="448"/>
      <c r="AK991" s="448"/>
      <c r="AL991" s="448"/>
      <c r="AM991" s="448"/>
      <c r="AN991" s="448"/>
      <c r="AP991" s="448"/>
      <c r="AQ991" s="448"/>
      <c r="AR991" s="448"/>
      <c r="AS991" s="448"/>
      <c r="AT991" s="448"/>
      <c r="AU991" s="448"/>
      <c r="AV991" s="448"/>
      <c r="AW991" s="448"/>
      <c r="AX991" s="448"/>
    </row>
    <row r="992" spans="1:50" x14ac:dyDescent="0.4">
      <c r="A992" s="442" t="str">
        <f t="shared" si="179"/>
        <v>42008</v>
      </c>
      <c r="B992" s="442">
        <v>39539</v>
      </c>
      <c r="C992" s="455">
        <v>4.87E-2</v>
      </c>
      <c r="D992" s="438">
        <v>5.5163000000000004E-2</v>
      </c>
      <c r="E992" s="438">
        <v>3.5000000000000005E-3</v>
      </c>
      <c r="F992" s="438">
        <v>4.6249999999999998E-3</v>
      </c>
      <c r="G992" s="438">
        <v>4.9416666666666663E-3</v>
      </c>
      <c r="H992" s="438">
        <v>4.783333333333333E-3</v>
      </c>
      <c r="I992" s="438">
        <v>5.241666666666667E-3</v>
      </c>
      <c r="J992" s="438">
        <f t="shared" si="180"/>
        <v>4.5199999999999997E-2</v>
      </c>
      <c r="K992" s="438">
        <f t="shared" si="184"/>
        <v>4.3916666666666666E-2</v>
      </c>
      <c r="L992" s="438">
        <f t="shared" si="185"/>
        <v>4.9921333333333338E-2</v>
      </c>
      <c r="M992" s="446">
        <f t="shared" si="181"/>
        <v>-4.6713670709113364E-2</v>
      </c>
      <c r="N992" s="446">
        <f t="shared" si="182"/>
        <v>4.200000000000001E-2</v>
      </c>
      <c r="O992" s="446">
        <f t="shared" si="174"/>
        <v>5.7399999999999993E-2</v>
      </c>
      <c r="P992" s="447">
        <f t="shared" si="183"/>
        <v>-8.8713670709113374E-2</v>
      </c>
      <c r="Q992" s="446">
        <f t="shared" si="175"/>
        <v>-0.10411367070911336</v>
      </c>
      <c r="R992" s="446">
        <f t="shared" si="176"/>
        <v>-6.2276784490435944E-3</v>
      </c>
      <c r="S992" s="446">
        <f t="shared" si="177"/>
        <v>6.2900000000000011E-2</v>
      </c>
      <c r="T992" s="447">
        <f t="shared" si="178"/>
        <v>-6.9127678449043606E-2</v>
      </c>
      <c r="V992" s="448"/>
      <c r="W992" s="448"/>
      <c r="X992" s="448"/>
      <c r="Y992" s="448"/>
      <c r="Z992" s="448"/>
      <c r="AA992" s="448"/>
      <c r="AB992" s="448"/>
      <c r="AC992" s="448"/>
      <c r="AD992" s="448"/>
      <c r="AF992" s="448"/>
      <c r="AG992" s="448"/>
      <c r="AH992" s="448"/>
      <c r="AI992" s="448"/>
      <c r="AJ992" s="448"/>
      <c r="AK992" s="448"/>
      <c r="AL992" s="448"/>
      <c r="AM992" s="448"/>
      <c r="AN992" s="448"/>
      <c r="AP992" s="448"/>
      <c r="AQ992" s="448"/>
      <c r="AR992" s="448"/>
      <c r="AS992" s="448"/>
      <c r="AT992" s="448"/>
      <c r="AU992" s="448"/>
      <c r="AV992" s="448"/>
      <c r="AW992" s="448"/>
      <c r="AX992" s="448"/>
    </row>
    <row r="993" spans="1:50" x14ac:dyDescent="0.4">
      <c r="A993" s="442" t="str">
        <f t="shared" si="179"/>
        <v>52008</v>
      </c>
      <c r="B993" s="442">
        <v>39569</v>
      </c>
      <c r="C993" s="455">
        <v>1.2999999999999999E-2</v>
      </c>
      <c r="D993" s="438">
        <v>3.1987000000000002E-2</v>
      </c>
      <c r="E993" s="438">
        <v>3.7000000000000002E-3</v>
      </c>
      <c r="F993" s="438">
        <v>4.6416666666666663E-3</v>
      </c>
      <c r="G993" s="438">
        <v>5.0000000000000001E-3</v>
      </c>
      <c r="H993" s="438">
        <v>4.8208333333333332E-3</v>
      </c>
      <c r="I993" s="438">
        <v>5.2249999999999996E-3</v>
      </c>
      <c r="J993" s="438">
        <f t="shared" si="180"/>
        <v>9.2999999999999992E-3</v>
      </c>
      <c r="K993" s="438">
        <f t="shared" si="184"/>
        <v>8.1791666666666662E-3</v>
      </c>
      <c r="L993" s="438">
        <f t="shared" si="185"/>
        <v>2.6762000000000001E-2</v>
      </c>
      <c r="M993" s="446">
        <f t="shared" si="181"/>
        <v>-6.6886605883014316E-2</v>
      </c>
      <c r="N993" s="446">
        <f t="shared" si="182"/>
        <v>4.4400000000000002E-2</v>
      </c>
      <c r="O993" s="446">
        <f t="shared" si="174"/>
        <v>5.7849999999999999E-2</v>
      </c>
      <c r="P993" s="447">
        <f t="shared" si="183"/>
        <v>-0.11128660588301431</v>
      </c>
      <c r="Q993" s="446">
        <f t="shared" si="175"/>
        <v>-0.12473660588301431</v>
      </c>
      <c r="R993" s="446">
        <f t="shared" si="176"/>
        <v>2.0310618667363167E-2</v>
      </c>
      <c r="S993" s="446">
        <f t="shared" si="177"/>
        <v>6.2699999999999992E-2</v>
      </c>
      <c r="T993" s="447">
        <f t="shared" si="178"/>
        <v>-4.2389381332636825E-2</v>
      </c>
      <c r="V993" s="448"/>
      <c r="W993" s="448"/>
      <c r="X993" s="448"/>
      <c r="Y993" s="448"/>
      <c r="Z993" s="448"/>
      <c r="AA993" s="448"/>
      <c r="AB993" s="448"/>
      <c r="AC993" s="448"/>
      <c r="AD993" s="448"/>
      <c r="AF993" s="448"/>
      <c r="AG993" s="448"/>
      <c r="AH993" s="448"/>
      <c r="AI993" s="448"/>
      <c r="AJ993" s="448"/>
      <c r="AK993" s="448"/>
      <c r="AL993" s="448"/>
      <c r="AM993" s="448"/>
      <c r="AN993" s="448"/>
      <c r="AP993" s="448"/>
      <c r="AQ993" s="448"/>
      <c r="AR993" s="448"/>
      <c r="AS993" s="448"/>
      <c r="AT993" s="448"/>
      <c r="AU993" s="448"/>
      <c r="AV993" s="448"/>
      <c r="AW993" s="448"/>
      <c r="AX993" s="448"/>
    </row>
    <row r="994" spans="1:50" x14ac:dyDescent="0.4">
      <c r="A994" s="442" t="str">
        <f t="shared" si="179"/>
        <v>62008</v>
      </c>
      <c r="B994" s="442">
        <v>39600</v>
      </c>
      <c r="C994" s="455">
        <v>-8.43E-2</v>
      </c>
      <c r="D994" s="438">
        <v>-8.6680000000000004E-3</v>
      </c>
      <c r="E994" s="438">
        <v>4.0000000000000001E-3</v>
      </c>
      <c r="F994" s="438">
        <v>4.7333333333333333E-3</v>
      </c>
      <c r="G994" s="438">
        <v>5.0916666666666662E-3</v>
      </c>
      <c r="H994" s="438">
        <v>4.9124999999999993E-3</v>
      </c>
      <c r="I994" s="438">
        <v>5.3166666666666666E-3</v>
      </c>
      <c r="J994" s="438">
        <f t="shared" si="180"/>
        <v>-8.8300000000000003E-2</v>
      </c>
      <c r="K994" s="438">
        <f t="shared" si="184"/>
        <v>-8.92125E-2</v>
      </c>
      <c r="L994" s="438">
        <f t="shared" si="185"/>
        <v>-1.3984666666666666E-2</v>
      </c>
      <c r="M994" s="446">
        <f t="shared" si="181"/>
        <v>-0.13112473561834059</v>
      </c>
      <c r="N994" s="446">
        <f t="shared" si="182"/>
        <v>4.8000000000000001E-2</v>
      </c>
      <c r="O994" s="446">
        <f t="shared" si="174"/>
        <v>5.8949999999999989E-2</v>
      </c>
      <c r="P994" s="447">
        <f t="shared" si="183"/>
        <v>-0.17912473561834058</v>
      </c>
      <c r="Q994" s="446">
        <f t="shared" si="175"/>
        <v>-0.1900747356183406</v>
      </c>
      <c r="R994" s="446">
        <f t="shared" si="176"/>
        <v>6.5398082562132309E-2</v>
      </c>
      <c r="S994" s="446">
        <f t="shared" si="177"/>
        <v>6.3799999999999996E-2</v>
      </c>
      <c r="T994" s="447">
        <f t="shared" si="178"/>
        <v>1.5980825621323136E-3</v>
      </c>
      <c r="V994" s="448"/>
      <c r="W994" s="448"/>
      <c r="X994" s="448"/>
      <c r="Y994" s="448"/>
      <c r="Z994" s="448"/>
      <c r="AA994" s="448"/>
      <c r="AB994" s="448"/>
      <c r="AC994" s="448"/>
      <c r="AD994" s="448"/>
      <c r="AF994" s="448"/>
      <c r="AG994" s="448"/>
      <c r="AH994" s="448"/>
      <c r="AI994" s="448"/>
      <c r="AJ994" s="448"/>
      <c r="AK994" s="448"/>
      <c r="AL994" s="448"/>
      <c r="AM994" s="448"/>
      <c r="AN994" s="448"/>
      <c r="AP994" s="448"/>
      <c r="AQ994" s="448"/>
      <c r="AR994" s="448"/>
      <c r="AS994" s="448"/>
      <c r="AT994" s="448"/>
      <c r="AU994" s="448"/>
      <c r="AV994" s="448"/>
      <c r="AW994" s="448"/>
      <c r="AX994" s="448"/>
    </row>
    <row r="995" spans="1:50" x14ac:dyDescent="0.4">
      <c r="A995" s="442" t="str">
        <f t="shared" si="179"/>
        <v>72008</v>
      </c>
      <c r="B995" s="442">
        <v>39630</v>
      </c>
      <c r="C995" s="455">
        <v>-8.3999999999999995E-3</v>
      </c>
      <c r="D995" s="438">
        <v>-6.1108000000000003E-2</v>
      </c>
      <c r="E995" s="438">
        <v>3.8999999999999994E-3</v>
      </c>
      <c r="F995" s="438">
        <v>4.725E-3</v>
      </c>
      <c r="G995" s="438">
        <v>5.0416666666666665E-3</v>
      </c>
      <c r="H995" s="438">
        <v>4.8833333333333333E-3</v>
      </c>
      <c r="I995" s="438">
        <v>5.3333333333333332E-3</v>
      </c>
      <c r="J995" s="438">
        <f t="shared" si="180"/>
        <v>-1.2299999999999998E-2</v>
      </c>
      <c r="K995" s="438">
        <f t="shared" si="184"/>
        <v>-1.3283333333333333E-2</v>
      </c>
      <c r="L995" s="438">
        <f t="shared" si="185"/>
        <v>-6.6441333333333338E-2</v>
      </c>
      <c r="M995" s="446">
        <f t="shared" si="181"/>
        <v>-0.11085994617043016</v>
      </c>
      <c r="N995" s="446">
        <f t="shared" si="182"/>
        <v>4.6799999999999994E-2</v>
      </c>
      <c r="O995" s="446">
        <f t="shared" si="174"/>
        <v>5.8599999999999999E-2</v>
      </c>
      <c r="P995" s="447">
        <f t="shared" si="183"/>
        <v>-0.15765994617043017</v>
      </c>
      <c r="Q995" s="446">
        <f t="shared" si="175"/>
        <v>-0.16945994617043014</v>
      </c>
      <c r="R995" s="446">
        <f t="shared" si="176"/>
        <v>3.7289711378967638E-2</v>
      </c>
      <c r="S995" s="446">
        <f t="shared" si="177"/>
        <v>6.4000000000000001E-2</v>
      </c>
      <c r="T995" s="447">
        <f t="shared" si="178"/>
        <v>-2.6710288621032363E-2</v>
      </c>
      <c r="V995" s="448"/>
      <c r="W995" s="448"/>
      <c r="X995" s="448"/>
      <c r="Y995" s="448"/>
      <c r="Z995" s="448"/>
      <c r="AA995" s="448"/>
      <c r="AB995" s="448"/>
      <c r="AC995" s="448"/>
      <c r="AD995" s="448"/>
      <c r="AF995" s="448"/>
      <c r="AG995" s="448"/>
      <c r="AH995" s="448"/>
      <c r="AI995" s="448"/>
      <c r="AJ995" s="448"/>
      <c r="AK995" s="448"/>
      <c r="AL995" s="448"/>
      <c r="AM995" s="448"/>
      <c r="AN995" s="448"/>
      <c r="AP995" s="448"/>
      <c r="AQ995" s="448"/>
      <c r="AR995" s="448"/>
      <c r="AS995" s="448"/>
      <c r="AT995" s="448"/>
      <c r="AU995" s="448"/>
      <c r="AV995" s="448"/>
      <c r="AW995" s="448"/>
      <c r="AX995" s="448"/>
    </row>
    <row r="996" spans="1:50" x14ac:dyDescent="0.4">
      <c r="A996" s="442" t="str">
        <f t="shared" si="179"/>
        <v>82008</v>
      </c>
      <c r="B996" s="442">
        <v>39661</v>
      </c>
      <c r="C996" s="455">
        <v>1.4500000000000001E-2</v>
      </c>
      <c r="D996" s="438">
        <v>-1.6601999999999999E-2</v>
      </c>
      <c r="E996" s="438">
        <v>3.5999999999999999E-3</v>
      </c>
      <c r="F996" s="438">
        <v>4.6999999999999993E-3</v>
      </c>
      <c r="G996" s="438">
        <v>5.0083333333333334E-3</v>
      </c>
      <c r="H996" s="438">
        <v>4.8541666666666664E-3</v>
      </c>
      <c r="I996" s="438">
        <v>5.3083333333333342E-3</v>
      </c>
      <c r="J996" s="438">
        <f t="shared" si="180"/>
        <v>1.09E-2</v>
      </c>
      <c r="K996" s="438">
        <f t="shared" si="184"/>
        <v>9.6458333333333344E-3</v>
      </c>
      <c r="L996" s="438">
        <f t="shared" si="185"/>
        <v>-2.1910333333333334E-2</v>
      </c>
      <c r="M996" s="446">
        <f t="shared" si="181"/>
        <v>-0.11129794619694688</v>
      </c>
      <c r="N996" s="446">
        <f t="shared" si="182"/>
        <v>4.3200000000000002E-2</v>
      </c>
      <c r="O996" s="446">
        <f t="shared" si="174"/>
        <v>5.8249999999999996E-2</v>
      </c>
      <c r="P996" s="447">
        <f t="shared" si="183"/>
        <v>-0.1544979461969469</v>
      </c>
      <c r="Q996" s="446">
        <f t="shared" si="175"/>
        <v>-0.16954794619694688</v>
      </c>
      <c r="R996" s="446">
        <f t="shared" si="176"/>
        <v>-8.6915832743617027E-4</v>
      </c>
      <c r="S996" s="446">
        <f t="shared" si="177"/>
        <v>6.3700000000000007E-2</v>
      </c>
      <c r="T996" s="447">
        <f t="shared" si="178"/>
        <v>-6.4569158327436177E-2</v>
      </c>
      <c r="V996" s="448"/>
      <c r="W996" s="448"/>
      <c r="X996" s="448"/>
      <c r="Y996" s="448"/>
      <c r="Z996" s="448"/>
      <c r="AA996" s="448"/>
      <c r="AB996" s="448"/>
      <c r="AC996" s="448"/>
      <c r="AD996" s="448"/>
      <c r="AF996" s="448"/>
      <c r="AG996" s="448"/>
      <c r="AH996" s="448"/>
      <c r="AI996" s="448"/>
      <c r="AJ996" s="448"/>
      <c r="AK996" s="448"/>
      <c r="AL996" s="448"/>
      <c r="AM996" s="448"/>
      <c r="AN996" s="448"/>
      <c r="AP996" s="448"/>
      <c r="AQ996" s="448"/>
      <c r="AR996" s="448"/>
      <c r="AS996" s="448"/>
      <c r="AT996" s="448"/>
      <c r="AU996" s="448"/>
      <c r="AV996" s="448"/>
      <c r="AW996" s="448"/>
      <c r="AX996" s="448"/>
    </row>
    <row r="997" spans="1:50" x14ac:dyDescent="0.4">
      <c r="A997" s="442" t="str">
        <f t="shared" si="179"/>
        <v>92008</v>
      </c>
      <c r="B997" s="442">
        <v>39692</v>
      </c>
      <c r="C997" s="455">
        <v>-8.9099999999999999E-2</v>
      </c>
      <c r="D997" s="438">
        <v>-0.11482300000000001</v>
      </c>
      <c r="E997" s="438">
        <v>3.8999999999999994E-3</v>
      </c>
      <c r="F997" s="438">
        <v>4.7083333333333335E-3</v>
      </c>
      <c r="G997" s="438">
        <v>5.0250000000000008E-3</v>
      </c>
      <c r="H997" s="438">
        <v>4.8666666666666667E-3</v>
      </c>
      <c r="I997" s="438">
        <v>5.4083333333333336E-3</v>
      </c>
      <c r="J997" s="438">
        <f t="shared" si="180"/>
        <v>-9.2999999999999999E-2</v>
      </c>
      <c r="K997" s="438">
        <f t="shared" si="184"/>
        <v>-9.3966666666666671E-2</v>
      </c>
      <c r="L997" s="438">
        <f t="shared" si="185"/>
        <v>-0.12023133333333334</v>
      </c>
      <c r="M997" s="446">
        <f t="shared" si="181"/>
        <v>-0.21966579833313959</v>
      </c>
      <c r="N997" s="446">
        <f t="shared" si="182"/>
        <v>4.6799999999999994E-2</v>
      </c>
      <c r="O997" s="446">
        <f t="shared" si="174"/>
        <v>5.8400000000000001E-2</v>
      </c>
      <c r="P997" s="447">
        <f t="shared" si="183"/>
        <v>-0.2664657983331396</v>
      </c>
      <c r="Q997" s="446">
        <f t="shared" si="175"/>
        <v>-0.2780657983331396</v>
      </c>
      <c r="R997" s="446">
        <f t="shared" si="176"/>
        <v>-0.14585225125557366</v>
      </c>
      <c r="S997" s="446">
        <f t="shared" si="177"/>
        <v>6.4899999999999999E-2</v>
      </c>
      <c r="T997" s="447">
        <f t="shared" si="178"/>
        <v>-0.21075225125557367</v>
      </c>
      <c r="V997" s="448"/>
      <c r="W997" s="448"/>
      <c r="X997" s="448"/>
      <c r="Y997" s="448"/>
      <c r="Z997" s="448"/>
      <c r="AA997" s="448"/>
      <c r="AB997" s="448"/>
      <c r="AC997" s="448"/>
      <c r="AD997" s="448"/>
      <c r="AF997" s="448"/>
      <c r="AG997" s="448"/>
      <c r="AH997" s="448"/>
      <c r="AI997" s="448"/>
      <c r="AJ997" s="448"/>
      <c r="AK997" s="448"/>
      <c r="AL997" s="448"/>
      <c r="AM997" s="448"/>
      <c r="AN997" s="448"/>
      <c r="AP997" s="448"/>
      <c r="AQ997" s="448"/>
      <c r="AR997" s="448"/>
      <c r="AS997" s="448"/>
      <c r="AT997" s="448"/>
      <c r="AU997" s="448"/>
      <c r="AV997" s="448"/>
      <c r="AW997" s="448"/>
      <c r="AX997" s="448"/>
    </row>
    <row r="998" spans="1:50" x14ac:dyDescent="0.4">
      <c r="A998" s="442" t="str">
        <f t="shared" si="179"/>
        <v>102008</v>
      </c>
      <c r="B998" s="442">
        <v>39722</v>
      </c>
      <c r="C998" s="455">
        <v>-0.16789999999999999</v>
      </c>
      <c r="D998" s="438">
        <v>-0.116128</v>
      </c>
      <c r="E998" s="438">
        <v>3.7000000000000002E-3</v>
      </c>
      <c r="F998" s="438">
        <v>5.2333333333333329E-3</v>
      </c>
      <c r="G998" s="438">
        <v>5.6583333333333329E-3</v>
      </c>
      <c r="H998" s="438">
        <v>5.4458333333333329E-3</v>
      </c>
      <c r="I998" s="438">
        <v>6.3E-3</v>
      </c>
      <c r="J998" s="438">
        <f t="shared" si="180"/>
        <v>-0.1716</v>
      </c>
      <c r="K998" s="438">
        <f t="shared" si="184"/>
        <v>-0.17334583333333334</v>
      </c>
      <c r="L998" s="438">
        <f t="shared" si="185"/>
        <v>-0.122428</v>
      </c>
      <c r="M998" s="446">
        <f t="shared" si="181"/>
        <v>-0.36084645220297829</v>
      </c>
      <c r="N998" s="446">
        <f t="shared" si="182"/>
        <v>4.4400000000000002E-2</v>
      </c>
      <c r="O998" s="446">
        <f t="shared" si="174"/>
        <v>6.5349999999999991E-2</v>
      </c>
      <c r="P998" s="447">
        <f t="shared" si="183"/>
        <v>-0.40524645220297828</v>
      </c>
      <c r="Q998" s="446">
        <f t="shared" si="175"/>
        <v>-0.4261964522029783</v>
      </c>
      <c r="R998" s="446">
        <f t="shared" si="176"/>
        <v>-0.29353517319826439</v>
      </c>
      <c r="S998" s="446">
        <f t="shared" si="177"/>
        <v>7.5600000000000001E-2</v>
      </c>
      <c r="T998" s="447">
        <f t="shared" si="178"/>
        <v>-0.36913517319826439</v>
      </c>
      <c r="V998" s="448"/>
      <c r="W998" s="448"/>
      <c r="X998" s="448"/>
      <c r="Y998" s="448"/>
      <c r="Z998" s="448"/>
      <c r="AA998" s="448"/>
      <c r="AB998" s="448"/>
      <c r="AC998" s="448"/>
      <c r="AD998" s="448"/>
      <c r="AF998" s="448"/>
      <c r="AG998" s="448"/>
      <c r="AH998" s="448"/>
      <c r="AI998" s="448"/>
      <c r="AJ998" s="448"/>
      <c r="AK998" s="448"/>
      <c r="AL998" s="448"/>
      <c r="AM998" s="448"/>
      <c r="AN998" s="448"/>
      <c r="AP998" s="448"/>
      <c r="AQ998" s="448"/>
      <c r="AR998" s="448"/>
      <c r="AS998" s="448"/>
      <c r="AT998" s="448"/>
      <c r="AU998" s="448"/>
      <c r="AV998" s="448"/>
      <c r="AW998" s="448"/>
      <c r="AX998" s="448"/>
    </row>
    <row r="999" spans="1:50" x14ac:dyDescent="0.4">
      <c r="A999" s="442" t="str">
        <f t="shared" si="179"/>
        <v>112008</v>
      </c>
      <c r="B999" s="442">
        <v>39753</v>
      </c>
      <c r="C999" s="455">
        <v>-7.1800000000000003E-2</v>
      </c>
      <c r="D999" s="438">
        <v>2.7894000000000002E-2</v>
      </c>
      <c r="E999" s="438">
        <v>3.5999999999999999E-3</v>
      </c>
      <c r="F999" s="438">
        <v>5.1000000000000004E-3</v>
      </c>
      <c r="G999" s="438">
        <v>5.6083333333333341E-3</v>
      </c>
      <c r="H999" s="438">
        <v>5.3541666666666668E-3</v>
      </c>
      <c r="I999" s="438">
        <v>6.3333333333333332E-3</v>
      </c>
      <c r="J999" s="438">
        <f t="shared" si="180"/>
        <v>-7.5400000000000009E-2</v>
      </c>
      <c r="K999" s="438">
        <f t="shared" si="184"/>
        <v>-7.7154166666666663E-2</v>
      </c>
      <c r="L999" s="438">
        <f t="shared" si="185"/>
        <v>2.1560666666666669E-2</v>
      </c>
      <c r="M999" s="446">
        <f t="shared" si="181"/>
        <v>-0.38085752132624129</v>
      </c>
      <c r="N999" s="446">
        <f t="shared" si="182"/>
        <v>4.3200000000000002E-2</v>
      </c>
      <c r="O999" s="446">
        <f t="shared" si="174"/>
        <v>6.4250000000000002E-2</v>
      </c>
      <c r="P999" s="447">
        <f t="shared" si="183"/>
        <v>-0.4240575213262413</v>
      </c>
      <c r="Q999" s="446">
        <f t="shared" si="175"/>
        <v>-0.44510752132624132</v>
      </c>
      <c r="R999" s="446">
        <f t="shared" si="176"/>
        <v>-0.27629326475297289</v>
      </c>
      <c r="S999" s="446">
        <f t="shared" si="177"/>
        <v>7.5999999999999998E-2</v>
      </c>
      <c r="T999" s="447">
        <f t="shared" si="178"/>
        <v>-0.3522932647529729</v>
      </c>
      <c r="V999" s="448"/>
      <c r="W999" s="448"/>
      <c r="X999" s="448"/>
      <c r="Y999" s="448"/>
      <c r="Z999" s="448"/>
      <c r="AA999" s="448"/>
      <c r="AB999" s="448"/>
      <c r="AC999" s="448"/>
      <c r="AD999" s="448"/>
      <c r="AF999" s="448"/>
      <c r="AG999" s="448"/>
      <c r="AH999" s="448"/>
      <c r="AI999" s="448"/>
      <c r="AJ999" s="448"/>
      <c r="AK999" s="448"/>
      <c r="AL999" s="448"/>
      <c r="AM999" s="448"/>
      <c r="AN999" s="448"/>
      <c r="AP999" s="448"/>
      <c r="AQ999" s="448"/>
      <c r="AR999" s="448"/>
      <c r="AS999" s="448"/>
      <c r="AT999" s="448"/>
      <c r="AU999" s="448"/>
      <c r="AV999" s="448"/>
      <c r="AW999" s="448"/>
      <c r="AX999" s="448"/>
    </row>
    <row r="1000" spans="1:50" x14ac:dyDescent="0.4">
      <c r="A1000" s="442" t="str">
        <f t="shared" si="179"/>
        <v>122008</v>
      </c>
      <c r="B1000" s="442">
        <v>39783</v>
      </c>
      <c r="C1000" s="455">
        <v>1.06E-2</v>
      </c>
      <c r="D1000" s="438">
        <v>-1.6796999999999999E-2</v>
      </c>
      <c r="E1000" s="438">
        <v>3.3E-3</v>
      </c>
      <c r="F1000" s="438">
        <v>4.2166666666666663E-3</v>
      </c>
      <c r="G1000" s="438">
        <v>4.841666666666666E-3</v>
      </c>
      <c r="H1000" s="438">
        <v>4.5291666666666666E-3</v>
      </c>
      <c r="I1000" s="438">
        <v>5.45E-3</v>
      </c>
      <c r="J1000" s="438">
        <f t="shared" si="180"/>
        <v>7.3000000000000001E-3</v>
      </c>
      <c r="K1000" s="438">
        <f t="shared" si="184"/>
        <v>6.0708333333333335E-3</v>
      </c>
      <c r="L1000" s="438">
        <f t="shared" si="185"/>
        <v>-2.2246999999999999E-2</v>
      </c>
      <c r="M1000" s="446">
        <f t="shared" si="181"/>
        <v>-0.36994724705699267</v>
      </c>
      <c r="N1000" s="446">
        <f t="shared" si="182"/>
        <v>3.9599999999999996E-2</v>
      </c>
      <c r="O1000" s="446">
        <f t="shared" ref="O1000:O1063" si="186">H1000*12</f>
        <v>5.4349999999999996E-2</v>
      </c>
      <c r="P1000" s="447">
        <f t="shared" si="183"/>
        <v>-0.40954724705699264</v>
      </c>
      <c r="Q1000" s="446">
        <f t="shared" ref="Q1000:Q1063" si="187">M1000-O1000</f>
        <v>-0.42429724705699268</v>
      </c>
      <c r="R1000" s="446">
        <f t="shared" ref="R1000:R1063" si="188">((1+D989)*(1+D990)*(1+D991)*(1+D992)*(1+D993)*(1+D994)*(1+D995)*(1+D996)*(1+D997)*(1+D998)*(1+D999)*(1+D1000))-1</f>
        <v>-0.29040359528350634</v>
      </c>
      <c r="S1000" s="446">
        <f t="shared" ref="S1000:S1063" si="189">I1000*12</f>
        <v>6.54E-2</v>
      </c>
      <c r="T1000" s="447">
        <f t="shared" ref="T1000:T1063" si="190">R1000-S1000</f>
        <v>-0.35580359528350636</v>
      </c>
      <c r="V1000" s="448"/>
      <c r="W1000" s="448"/>
      <c r="X1000" s="448"/>
      <c r="Y1000" s="448"/>
      <c r="Z1000" s="448"/>
      <c r="AA1000" s="448"/>
      <c r="AB1000" s="448"/>
      <c r="AC1000" s="448"/>
      <c r="AD1000" s="448"/>
      <c r="AF1000" s="448"/>
      <c r="AG1000" s="448"/>
      <c r="AH1000" s="448"/>
      <c r="AI1000" s="448"/>
      <c r="AJ1000" s="448"/>
      <c r="AK1000" s="448"/>
      <c r="AL1000" s="448"/>
      <c r="AM1000" s="448"/>
      <c r="AN1000" s="448"/>
      <c r="AP1000" s="448"/>
      <c r="AQ1000" s="448"/>
      <c r="AR1000" s="448"/>
      <c r="AS1000" s="448"/>
      <c r="AT1000" s="448"/>
      <c r="AU1000" s="448"/>
      <c r="AV1000" s="448"/>
      <c r="AW1000" s="448"/>
      <c r="AX1000" s="448"/>
    </row>
    <row r="1001" spans="1:50" x14ac:dyDescent="0.4">
      <c r="A1001" s="442" t="str">
        <f t="shared" ref="A1001:A1064" si="191">MONTH(B1001)&amp;YEAR(B1001)</f>
        <v>12009</v>
      </c>
      <c r="B1001" s="442">
        <v>39814</v>
      </c>
      <c r="C1001" s="455">
        <v>-8.43E-2</v>
      </c>
      <c r="D1001" s="438">
        <v>-4.5409999999999999E-3</v>
      </c>
      <c r="E1001" s="438">
        <v>2.3999999999999998E-3</v>
      </c>
      <c r="F1001" s="438">
        <v>4.208333333333333E-3</v>
      </c>
      <c r="G1001" s="438">
        <v>4.8666666666666667E-3</v>
      </c>
      <c r="H1001" s="438">
        <v>4.5374999999999999E-3</v>
      </c>
      <c r="I1001" s="438">
        <v>5.3249999999999999E-3</v>
      </c>
      <c r="J1001" s="438">
        <f t="shared" si="180"/>
        <v>-8.6699999999999999E-2</v>
      </c>
      <c r="K1001" s="438">
        <f t="shared" si="184"/>
        <v>-8.88375E-2</v>
      </c>
      <c r="L1001" s="438">
        <f t="shared" si="185"/>
        <v>-9.8659999999999998E-3</v>
      </c>
      <c r="M1001" s="446">
        <f t="shared" si="181"/>
        <v>-0.38623478098945541</v>
      </c>
      <c r="N1001" s="446">
        <f t="shared" si="182"/>
        <v>2.8799999999999999E-2</v>
      </c>
      <c r="O1001" s="446">
        <f t="shared" si="186"/>
        <v>5.4449999999999998E-2</v>
      </c>
      <c r="P1001" s="447">
        <f t="shared" si="183"/>
        <v>-0.4150347809894554</v>
      </c>
      <c r="Q1001" s="446">
        <f t="shared" si="187"/>
        <v>-0.4406847809894554</v>
      </c>
      <c r="R1001" s="446">
        <f t="shared" si="188"/>
        <v>-0.24197967366300555</v>
      </c>
      <c r="S1001" s="446">
        <f t="shared" si="189"/>
        <v>6.3899999999999998E-2</v>
      </c>
      <c r="T1001" s="447">
        <f t="shared" si="190"/>
        <v>-0.30587967366300556</v>
      </c>
      <c r="V1001" s="448"/>
      <c r="W1001" s="448"/>
      <c r="X1001" s="448"/>
      <c r="Y1001" s="448"/>
      <c r="Z1001" s="448"/>
      <c r="AA1001" s="448"/>
      <c r="AB1001" s="448"/>
      <c r="AC1001" s="448"/>
      <c r="AD1001" s="448"/>
      <c r="AF1001" s="448"/>
      <c r="AG1001" s="448"/>
      <c r="AH1001" s="448"/>
      <c r="AI1001" s="448"/>
      <c r="AJ1001" s="448"/>
      <c r="AK1001" s="448"/>
      <c r="AL1001" s="448"/>
      <c r="AM1001" s="448"/>
      <c r="AN1001" s="448"/>
      <c r="AP1001" s="448"/>
      <c r="AQ1001" s="448"/>
      <c r="AR1001" s="448"/>
      <c r="AS1001" s="448"/>
      <c r="AT1001" s="448"/>
      <c r="AU1001" s="448"/>
      <c r="AV1001" s="448"/>
      <c r="AW1001" s="448"/>
      <c r="AX1001" s="448"/>
    </row>
    <row r="1002" spans="1:50" x14ac:dyDescent="0.4">
      <c r="A1002" s="442" t="str">
        <f t="shared" si="191"/>
        <v>22009</v>
      </c>
      <c r="B1002" s="442">
        <v>39845</v>
      </c>
      <c r="C1002" s="455">
        <v>-0.1065</v>
      </c>
      <c r="D1002" s="438">
        <v>-0.12570800000000001</v>
      </c>
      <c r="E1002" s="438">
        <v>3.0000000000000001E-3</v>
      </c>
      <c r="F1002" s="438">
        <v>4.3916666666666661E-3</v>
      </c>
      <c r="G1002" s="438">
        <v>5.0166666666666658E-3</v>
      </c>
      <c r="H1002" s="438">
        <v>4.7041666666666655E-3</v>
      </c>
      <c r="I1002" s="438">
        <v>5.2500000000000003E-3</v>
      </c>
      <c r="J1002" s="438">
        <f t="shared" si="180"/>
        <v>-0.1095</v>
      </c>
      <c r="K1002" s="438">
        <f t="shared" si="184"/>
        <v>-0.11120416666666666</v>
      </c>
      <c r="L1002" s="438">
        <f t="shared" si="185"/>
        <v>-0.13095800000000002</v>
      </c>
      <c r="M1002" s="446">
        <f t="shared" si="181"/>
        <v>-0.43317909748225158</v>
      </c>
      <c r="N1002" s="446">
        <f t="shared" si="182"/>
        <v>3.6000000000000004E-2</v>
      </c>
      <c r="O1002" s="446">
        <f t="shared" si="186"/>
        <v>5.6449999999999986E-2</v>
      </c>
      <c r="P1002" s="447">
        <f t="shared" si="183"/>
        <v>-0.46917909748225162</v>
      </c>
      <c r="Q1002" s="446">
        <f t="shared" si="187"/>
        <v>-0.48962909748225159</v>
      </c>
      <c r="R1002" s="446">
        <f t="shared" si="188"/>
        <v>-0.30242061719896807</v>
      </c>
      <c r="S1002" s="446">
        <f t="shared" si="189"/>
        <v>6.3E-2</v>
      </c>
      <c r="T1002" s="447">
        <f t="shared" si="190"/>
        <v>-0.36542061719896807</v>
      </c>
      <c r="V1002" s="448"/>
      <c r="W1002" s="448"/>
      <c r="X1002" s="448"/>
      <c r="Y1002" s="448"/>
      <c r="Z1002" s="448"/>
      <c r="AA1002" s="448"/>
      <c r="AB1002" s="448"/>
      <c r="AC1002" s="448"/>
      <c r="AD1002" s="448"/>
      <c r="AF1002" s="448"/>
      <c r="AG1002" s="448"/>
      <c r="AH1002" s="448"/>
      <c r="AI1002" s="448"/>
      <c r="AJ1002" s="448"/>
      <c r="AK1002" s="448"/>
      <c r="AL1002" s="448"/>
      <c r="AM1002" s="448"/>
      <c r="AN1002" s="448"/>
      <c r="AP1002" s="448"/>
      <c r="AQ1002" s="448"/>
      <c r="AR1002" s="448"/>
      <c r="AS1002" s="448"/>
      <c r="AT1002" s="448"/>
      <c r="AU1002" s="448"/>
      <c r="AV1002" s="448"/>
      <c r="AW1002" s="448"/>
      <c r="AX1002" s="448"/>
    </row>
    <row r="1003" spans="1:50" x14ac:dyDescent="0.4">
      <c r="A1003" s="442" t="str">
        <f t="shared" si="191"/>
        <v>32009</v>
      </c>
      <c r="B1003" s="442">
        <v>39873</v>
      </c>
      <c r="C1003" s="455">
        <v>8.7599999999999997E-2</v>
      </c>
      <c r="D1003" s="438">
        <v>2.5255E-2</v>
      </c>
      <c r="E1003" s="438">
        <v>3.5000000000000005E-3</v>
      </c>
      <c r="F1003" s="438">
        <v>4.5833333333333334E-3</v>
      </c>
      <c r="G1003" s="438">
        <v>5.0916666666666662E-3</v>
      </c>
      <c r="H1003" s="438">
        <v>4.8374999999999998E-3</v>
      </c>
      <c r="I1003" s="438">
        <v>5.3500000000000006E-3</v>
      </c>
      <c r="J1003" s="438">
        <f t="shared" si="180"/>
        <v>8.4099999999999994E-2</v>
      </c>
      <c r="K1003" s="438">
        <f t="shared" si="184"/>
        <v>8.2762500000000003E-2</v>
      </c>
      <c r="L1003" s="438">
        <f t="shared" si="185"/>
        <v>1.9904999999999999E-2</v>
      </c>
      <c r="M1003" s="446">
        <f t="shared" si="181"/>
        <v>-0.38086329860570167</v>
      </c>
      <c r="N1003" s="446">
        <f t="shared" si="182"/>
        <v>4.200000000000001E-2</v>
      </c>
      <c r="O1003" s="446">
        <f t="shared" si="186"/>
        <v>5.8049999999999997E-2</v>
      </c>
      <c r="P1003" s="447">
        <f t="shared" si="183"/>
        <v>-0.42286329860570171</v>
      </c>
      <c r="Q1003" s="446">
        <f t="shared" si="187"/>
        <v>-0.43891329860570166</v>
      </c>
      <c r="R1003" s="446">
        <f t="shared" si="188"/>
        <v>-0.29679707890846518</v>
      </c>
      <c r="S1003" s="446">
        <f t="shared" si="189"/>
        <v>6.4200000000000007E-2</v>
      </c>
      <c r="T1003" s="447">
        <f t="shared" si="190"/>
        <v>-0.36099707890846522</v>
      </c>
      <c r="V1003" s="448"/>
      <c r="W1003" s="448"/>
      <c r="X1003" s="448"/>
      <c r="Y1003" s="448"/>
      <c r="Z1003" s="448"/>
      <c r="AA1003" s="448"/>
      <c r="AB1003" s="448"/>
      <c r="AC1003" s="448"/>
      <c r="AD1003" s="448"/>
      <c r="AF1003" s="448"/>
      <c r="AG1003" s="448"/>
      <c r="AH1003" s="448"/>
      <c r="AI1003" s="448"/>
      <c r="AJ1003" s="448"/>
      <c r="AK1003" s="448"/>
      <c r="AL1003" s="448"/>
      <c r="AM1003" s="448"/>
      <c r="AN1003" s="448"/>
      <c r="AP1003" s="448"/>
      <c r="AQ1003" s="448"/>
      <c r="AR1003" s="448"/>
      <c r="AS1003" s="448"/>
      <c r="AT1003" s="448"/>
      <c r="AU1003" s="448"/>
      <c r="AV1003" s="448"/>
      <c r="AW1003" s="448"/>
      <c r="AX1003" s="448"/>
    </row>
    <row r="1004" spans="1:50" x14ac:dyDescent="0.4">
      <c r="A1004" s="442" t="str">
        <f t="shared" si="191"/>
        <v>42009</v>
      </c>
      <c r="B1004" s="442">
        <v>39904</v>
      </c>
      <c r="C1004" s="455">
        <v>9.5699999999999993E-2</v>
      </c>
      <c r="D1004" s="438">
        <v>8.4620000000000008E-3</v>
      </c>
      <c r="E1004" s="438">
        <v>2.8999999999999998E-3</v>
      </c>
      <c r="F1004" s="438">
        <v>4.4916666666666664E-3</v>
      </c>
      <c r="G1004" s="438">
        <v>5.1416666666666668E-3</v>
      </c>
      <c r="H1004" s="438">
        <v>4.816666666666667E-3</v>
      </c>
      <c r="I1004" s="438">
        <v>5.4000000000000003E-3</v>
      </c>
      <c r="J1004" s="438">
        <f t="shared" si="180"/>
        <v>9.2799999999999994E-2</v>
      </c>
      <c r="K1004" s="438">
        <f t="shared" si="184"/>
        <v>9.088333333333333E-2</v>
      </c>
      <c r="L1004" s="438">
        <f t="shared" si="185"/>
        <v>3.0620000000000005E-3</v>
      </c>
      <c r="M1004" s="446">
        <f t="shared" si="181"/>
        <v>-0.35311520576167366</v>
      </c>
      <c r="N1004" s="446">
        <f t="shared" si="182"/>
        <v>3.4799999999999998E-2</v>
      </c>
      <c r="O1004" s="446">
        <f t="shared" si="186"/>
        <v>5.7800000000000004E-2</v>
      </c>
      <c r="P1004" s="447">
        <f t="shared" si="183"/>
        <v>-0.38791520576167365</v>
      </c>
      <c r="Q1004" s="446">
        <f t="shared" si="187"/>
        <v>-0.41091520576167367</v>
      </c>
      <c r="R1004" s="446">
        <f t="shared" si="188"/>
        <v>-0.32792049739252505</v>
      </c>
      <c r="S1004" s="446">
        <f t="shared" si="189"/>
        <v>6.4799999999999996E-2</v>
      </c>
      <c r="T1004" s="447">
        <f t="shared" si="190"/>
        <v>-0.39272049739252501</v>
      </c>
      <c r="V1004" s="448"/>
      <c r="W1004" s="448"/>
      <c r="X1004" s="448"/>
      <c r="Y1004" s="448"/>
      <c r="Z1004" s="448"/>
      <c r="AA1004" s="448"/>
      <c r="AB1004" s="448"/>
      <c r="AC1004" s="448"/>
      <c r="AD1004" s="448"/>
      <c r="AF1004" s="448"/>
      <c r="AG1004" s="448"/>
      <c r="AH1004" s="448"/>
      <c r="AI1004" s="448"/>
      <c r="AJ1004" s="448"/>
      <c r="AK1004" s="448"/>
      <c r="AL1004" s="448"/>
      <c r="AM1004" s="448"/>
      <c r="AN1004" s="448"/>
      <c r="AP1004" s="448"/>
      <c r="AQ1004" s="448"/>
      <c r="AR1004" s="448"/>
      <c r="AS1004" s="448"/>
      <c r="AT1004" s="448"/>
      <c r="AU1004" s="448"/>
      <c r="AV1004" s="448"/>
      <c r="AW1004" s="448"/>
      <c r="AX1004" s="448"/>
    </row>
    <row r="1005" spans="1:50" x14ac:dyDescent="0.4">
      <c r="A1005" s="442" t="str">
        <f t="shared" si="191"/>
        <v>52009</v>
      </c>
      <c r="B1005" s="442">
        <v>39934</v>
      </c>
      <c r="C1005" s="455">
        <v>5.5899999999999998E-2</v>
      </c>
      <c r="D1005" s="438">
        <v>3.5286999999999999E-2</v>
      </c>
      <c r="E1005" s="438">
        <v>3.3E-3</v>
      </c>
      <c r="F1005" s="438">
        <v>4.6166666666666665E-3</v>
      </c>
      <c r="G1005" s="438">
        <v>5.1999999999999998E-3</v>
      </c>
      <c r="H1005" s="438">
        <v>4.9083333333333331E-3</v>
      </c>
      <c r="I1005" s="438">
        <v>5.4083333333333336E-3</v>
      </c>
      <c r="J1005" s="438">
        <f t="shared" si="180"/>
        <v>5.2600000000000001E-2</v>
      </c>
      <c r="K1005" s="438">
        <f t="shared" si="184"/>
        <v>5.0991666666666664E-2</v>
      </c>
      <c r="L1005" s="438">
        <f t="shared" si="185"/>
        <v>2.9878666666666664E-2</v>
      </c>
      <c r="M1005" s="446">
        <f t="shared" si="181"/>
        <v>-0.32571998594644724</v>
      </c>
      <c r="N1005" s="446">
        <f t="shared" si="182"/>
        <v>3.9599999999999996E-2</v>
      </c>
      <c r="O1005" s="446">
        <f t="shared" si="186"/>
        <v>5.8899999999999994E-2</v>
      </c>
      <c r="P1005" s="447">
        <f t="shared" si="183"/>
        <v>-0.36531998594644721</v>
      </c>
      <c r="Q1005" s="446">
        <f t="shared" si="187"/>
        <v>-0.38461998594644725</v>
      </c>
      <c r="R1005" s="446">
        <f t="shared" si="188"/>
        <v>-0.32577137888753915</v>
      </c>
      <c r="S1005" s="446">
        <f t="shared" si="189"/>
        <v>6.4899999999999999E-2</v>
      </c>
      <c r="T1005" s="447">
        <f t="shared" si="190"/>
        <v>-0.39067137888753917</v>
      </c>
      <c r="V1005" s="448"/>
      <c r="W1005" s="448"/>
      <c r="X1005" s="448"/>
      <c r="Y1005" s="448"/>
      <c r="Z1005" s="448"/>
      <c r="AA1005" s="448"/>
      <c r="AB1005" s="448"/>
      <c r="AC1005" s="448"/>
      <c r="AD1005" s="448"/>
      <c r="AF1005" s="448"/>
      <c r="AG1005" s="448"/>
      <c r="AH1005" s="448"/>
      <c r="AI1005" s="448"/>
      <c r="AJ1005" s="448"/>
      <c r="AK1005" s="448"/>
      <c r="AL1005" s="448"/>
      <c r="AM1005" s="448"/>
      <c r="AN1005" s="448"/>
      <c r="AP1005" s="448"/>
      <c r="AQ1005" s="448"/>
      <c r="AR1005" s="448"/>
      <c r="AS1005" s="448"/>
      <c r="AT1005" s="448"/>
      <c r="AU1005" s="448"/>
      <c r="AV1005" s="448"/>
      <c r="AW1005" s="448"/>
      <c r="AX1005" s="448"/>
    </row>
    <row r="1006" spans="1:50" x14ac:dyDescent="0.4">
      <c r="A1006" s="442" t="str">
        <f t="shared" si="191"/>
        <v>62009</v>
      </c>
      <c r="B1006" s="442">
        <v>39965</v>
      </c>
      <c r="C1006" s="455">
        <v>2E-3</v>
      </c>
      <c r="D1006" s="438">
        <v>5.5202000000000001E-2</v>
      </c>
      <c r="E1006" s="438">
        <v>3.8E-3</v>
      </c>
      <c r="F1006" s="438">
        <v>4.6750000000000003E-3</v>
      </c>
      <c r="G1006" s="438">
        <v>5.1000000000000004E-3</v>
      </c>
      <c r="H1006" s="438">
        <v>4.8875000000000004E-3</v>
      </c>
      <c r="I1006" s="438">
        <v>5.1666666666666675E-3</v>
      </c>
      <c r="J1006" s="438">
        <f t="shared" si="180"/>
        <v>-1.8E-3</v>
      </c>
      <c r="K1006" s="438">
        <f t="shared" si="184"/>
        <v>-2.8875000000000003E-3</v>
      </c>
      <c r="L1006" s="438">
        <f t="shared" si="185"/>
        <v>5.0035333333333334E-2</v>
      </c>
      <c r="M1006" s="446">
        <f t="shared" si="181"/>
        <v>-0.26217257389793625</v>
      </c>
      <c r="N1006" s="446">
        <f t="shared" si="182"/>
        <v>4.5600000000000002E-2</v>
      </c>
      <c r="O1006" s="446">
        <f t="shared" si="186"/>
        <v>5.8650000000000008E-2</v>
      </c>
      <c r="P1006" s="447">
        <f t="shared" si="183"/>
        <v>-0.30777257389793622</v>
      </c>
      <c r="Q1006" s="446">
        <f t="shared" si="187"/>
        <v>-0.32082257389793623</v>
      </c>
      <c r="R1006" s="446">
        <f t="shared" si="188"/>
        <v>-0.28233186313453951</v>
      </c>
      <c r="S1006" s="446">
        <f t="shared" si="189"/>
        <v>6.2000000000000013E-2</v>
      </c>
      <c r="T1006" s="447">
        <f t="shared" si="190"/>
        <v>-0.34433186313453951</v>
      </c>
      <c r="V1006" s="448"/>
      <c r="W1006" s="448"/>
      <c r="X1006" s="448"/>
      <c r="Y1006" s="448"/>
      <c r="Z1006" s="448"/>
      <c r="AA1006" s="448"/>
      <c r="AB1006" s="448"/>
      <c r="AC1006" s="448"/>
      <c r="AD1006" s="448"/>
      <c r="AF1006" s="448"/>
      <c r="AG1006" s="448"/>
      <c r="AH1006" s="448"/>
      <c r="AI1006" s="448"/>
      <c r="AJ1006" s="448"/>
      <c r="AK1006" s="448"/>
      <c r="AL1006" s="448"/>
      <c r="AM1006" s="448"/>
      <c r="AN1006" s="448"/>
      <c r="AP1006" s="448"/>
      <c r="AQ1006" s="448"/>
      <c r="AR1006" s="448"/>
      <c r="AS1006" s="448"/>
      <c r="AT1006" s="448"/>
      <c r="AU1006" s="448"/>
      <c r="AV1006" s="448"/>
      <c r="AW1006" s="448"/>
      <c r="AX1006" s="448"/>
    </row>
    <row r="1007" spans="1:50" x14ac:dyDescent="0.4">
      <c r="A1007" s="442" t="str">
        <f t="shared" si="191"/>
        <v>72009</v>
      </c>
      <c r="B1007" s="442">
        <v>39995</v>
      </c>
      <c r="C1007" s="455">
        <v>7.5600000000000001E-2</v>
      </c>
      <c r="D1007" s="438">
        <v>4.0755E-2</v>
      </c>
      <c r="E1007" s="438">
        <v>3.5999999999999999E-3</v>
      </c>
      <c r="F1007" s="438">
        <v>4.5083333333333338E-3</v>
      </c>
      <c r="G1007" s="438">
        <v>4.7583333333333332E-3</v>
      </c>
      <c r="H1007" s="438">
        <v>4.6333333333333339E-3</v>
      </c>
      <c r="I1007" s="438">
        <v>4.9750000000000003E-3</v>
      </c>
      <c r="J1007" s="438">
        <f t="shared" si="180"/>
        <v>7.1999999999999995E-2</v>
      </c>
      <c r="K1007" s="438">
        <f t="shared" si="184"/>
        <v>7.0966666666666664E-2</v>
      </c>
      <c r="L1007" s="438">
        <f t="shared" si="185"/>
        <v>3.5779999999999999E-2</v>
      </c>
      <c r="M1007" s="446">
        <f t="shared" si="181"/>
        <v>-0.19967004889534123</v>
      </c>
      <c r="N1007" s="446">
        <f t="shared" si="182"/>
        <v>4.3200000000000002E-2</v>
      </c>
      <c r="O1007" s="446">
        <f t="shared" si="186"/>
        <v>5.5600000000000011E-2</v>
      </c>
      <c r="P1007" s="447">
        <f t="shared" si="183"/>
        <v>-0.24287004889534125</v>
      </c>
      <c r="Q1007" s="446">
        <f t="shared" si="187"/>
        <v>-0.25527004889534122</v>
      </c>
      <c r="R1007" s="446">
        <f t="shared" si="188"/>
        <v>-0.20447005429441045</v>
      </c>
      <c r="S1007" s="446">
        <f t="shared" si="189"/>
        <v>5.9700000000000003E-2</v>
      </c>
      <c r="T1007" s="447">
        <f t="shared" si="190"/>
        <v>-0.26417005429441043</v>
      </c>
      <c r="V1007" s="448"/>
      <c r="W1007" s="448"/>
      <c r="X1007" s="448"/>
      <c r="Y1007" s="448"/>
      <c r="Z1007" s="448"/>
      <c r="AA1007" s="448"/>
      <c r="AB1007" s="448"/>
      <c r="AC1007" s="448"/>
      <c r="AD1007" s="448"/>
      <c r="AF1007" s="448"/>
      <c r="AG1007" s="448"/>
      <c r="AH1007" s="448"/>
      <c r="AI1007" s="448"/>
      <c r="AJ1007" s="448"/>
      <c r="AK1007" s="448"/>
      <c r="AL1007" s="448"/>
      <c r="AM1007" s="448"/>
      <c r="AN1007" s="448"/>
      <c r="AP1007" s="448"/>
      <c r="AQ1007" s="448"/>
      <c r="AR1007" s="448"/>
      <c r="AS1007" s="448"/>
      <c r="AT1007" s="448"/>
      <c r="AU1007" s="448"/>
      <c r="AV1007" s="448"/>
      <c r="AW1007" s="448"/>
      <c r="AX1007" s="448"/>
    </row>
    <row r="1008" spans="1:50" x14ac:dyDescent="0.4">
      <c r="A1008" s="442" t="str">
        <f t="shared" si="191"/>
        <v>82009</v>
      </c>
      <c r="B1008" s="442">
        <v>40026</v>
      </c>
      <c r="C1008" s="455">
        <v>3.61E-2</v>
      </c>
      <c r="D1008" s="438">
        <v>5.4599999999999996E-3</v>
      </c>
      <c r="E1008" s="438">
        <v>3.5999999999999999E-3</v>
      </c>
      <c r="F1008" s="438">
        <v>4.3833333333333328E-3</v>
      </c>
      <c r="G1008" s="438">
        <v>4.5416666666666669E-3</v>
      </c>
      <c r="H1008" s="438">
        <v>4.4624999999999995E-3</v>
      </c>
      <c r="I1008" s="438">
        <v>4.7583333333333332E-3</v>
      </c>
      <c r="J1008" s="438">
        <f t="shared" si="180"/>
        <v>3.2500000000000001E-2</v>
      </c>
      <c r="K1008" s="438">
        <f t="shared" si="184"/>
        <v>3.1637499999999999E-2</v>
      </c>
      <c r="L1008" s="438">
        <f t="shared" si="185"/>
        <v>7.0166666666666641E-4</v>
      </c>
      <c r="M1008" s="446">
        <f t="shared" si="181"/>
        <v>-0.18263000262243756</v>
      </c>
      <c r="N1008" s="446">
        <f t="shared" si="182"/>
        <v>4.3200000000000002E-2</v>
      </c>
      <c r="O1008" s="446">
        <f t="shared" si="186"/>
        <v>5.3549999999999993E-2</v>
      </c>
      <c r="P1008" s="447">
        <f t="shared" si="183"/>
        <v>-0.22583000262243758</v>
      </c>
      <c r="Q1008" s="446">
        <f t="shared" si="187"/>
        <v>-0.23618000262243755</v>
      </c>
      <c r="R1008" s="446">
        <f t="shared" si="188"/>
        <v>-0.18662277205247291</v>
      </c>
      <c r="S1008" s="446">
        <f t="shared" si="189"/>
        <v>5.7099999999999998E-2</v>
      </c>
      <c r="T1008" s="447">
        <f t="shared" si="190"/>
        <v>-0.24372277205247289</v>
      </c>
      <c r="V1008" s="448"/>
      <c r="W1008" s="448"/>
      <c r="X1008" s="448"/>
      <c r="Y1008" s="448"/>
      <c r="Z1008" s="448"/>
      <c r="AA1008" s="448"/>
      <c r="AB1008" s="448"/>
      <c r="AC1008" s="448"/>
      <c r="AD1008" s="448"/>
      <c r="AF1008" s="448"/>
      <c r="AG1008" s="448"/>
      <c r="AH1008" s="448"/>
      <c r="AI1008" s="448"/>
      <c r="AJ1008" s="448"/>
      <c r="AK1008" s="448"/>
      <c r="AL1008" s="448"/>
      <c r="AM1008" s="448"/>
      <c r="AN1008" s="448"/>
      <c r="AP1008" s="448"/>
      <c r="AQ1008" s="448"/>
      <c r="AR1008" s="448"/>
      <c r="AS1008" s="448"/>
      <c r="AT1008" s="448"/>
      <c r="AU1008" s="448"/>
      <c r="AV1008" s="448"/>
      <c r="AW1008" s="448"/>
      <c r="AX1008" s="448"/>
    </row>
    <row r="1009" spans="1:50" x14ac:dyDescent="0.4">
      <c r="A1009" s="442" t="str">
        <f t="shared" si="191"/>
        <v>92009</v>
      </c>
      <c r="B1009" s="442">
        <v>40057</v>
      </c>
      <c r="C1009" s="455">
        <v>3.73E-2</v>
      </c>
      <c r="D1009" s="438">
        <v>1.4283999999999998E-2</v>
      </c>
      <c r="E1009" s="438">
        <v>3.3999999999999998E-3</v>
      </c>
      <c r="F1009" s="438">
        <v>4.2750000000000002E-3</v>
      </c>
      <c r="G1009" s="438">
        <v>4.3416666666666664E-3</v>
      </c>
      <c r="H1009" s="438">
        <v>4.3083333333333333E-3</v>
      </c>
      <c r="I1009" s="438">
        <v>4.6083333333333341E-3</v>
      </c>
      <c r="J1009" s="438">
        <f t="shared" si="180"/>
        <v>3.39E-2</v>
      </c>
      <c r="K1009" s="438">
        <f t="shared" si="184"/>
        <v>3.2991666666666669E-2</v>
      </c>
      <c r="L1009" s="438">
        <f t="shared" si="185"/>
        <v>9.675666666666664E-3</v>
      </c>
      <c r="M1009" s="446">
        <f t="shared" si="181"/>
        <v>-6.9208586804538674E-2</v>
      </c>
      <c r="N1009" s="446">
        <f t="shared" si="182"/>
        <v>4.0799999999999996E-2</v>
      </c>
      <c r="O1009" s="446">
        <f t="shared" si="186"/>
        <v>5.1699999999999996E-2</v>
      </c>
      <c r="P1009" s="447">
        <f t="shared" si="183"/>
        <v>-0.11000858680453868</v>
      </c>
      <c r="Q1009" s="446">
        <f t="shared" si="187"/>
        <v>-0.12090858680453867</v>
      </c>
      <c r="R1009" s="446">
        <f t="shared" si="188"/>
        <v>-6.7988087951302956E-2</v>
      </c>
      <c r="S1009" s="446">
        <f t="shared" si="189"/>
        <v>5.5300000000000009E-2</v>
      </c>
      <c r="T1009" s="447">
        <f t="shared" si="190"/>
        <v>-0.12328808795130297</v>
      </c>
      <c r="V1009" s="448"/>
      <c r="W1009" s="448"/>
      <c r="X1009" s="448"/>
      <c r="Y1009" s="448"/>
      <c r="Z1009" s="448"/>
      <c r="AA1009" s="448"/>
      <c r="AB1009" s="448"/>
      <c r="AC1009" s="448"/>
      <c r="AD1009" s="448"/>
      <c r="AF1009" s="448"/>
      <c r="AG1009" s="448"/>
      <c r="AH1009" s="448"/>
      <c r="AI1009" s="448"/>
      <c r="AJ1009" s="448"/>
      <c r="AK1009" s="448"/>
      <c r="AL1009" s="448"/>
      <c r="AM1009" s="448"/>
      <c r="AN1009" s="448"/>
      <c r="AP1009" s="448"/>
      <c r="AQ1009" s="448"/>
      <c r="AR1009" s="448"/>
      <c r="AS1009" s="448"/>
      <c r="AT1009" s="448"/>
      <c r="AU1009" s="448"/>
      <c r="AV1009" s="448"/>
      <c r="AW1009" s="448"/>
      <c r="AX1009" s="448"/>
    </row>
    <row r="1010" spans="1:50" x14ac:dyDescent="0.4">
      <c r="A1010" s="442" t="str">
        <f t="shared" si="191"/>
        <v>102009</v>
      </c>
      <c r="B1010" s="442">
        <v>40087</v>
      </c>
      <c r="C1010" s="455">
        <v>-1.8599999999999998E-2</v>
      </c>
      <c r="D1010" s="438">
        <v>-2.8427000000000001E-2</v>
      </c>
      <c r="E1010" s="438">
        <v>3.3E-3</v>
      </c>
      <c r="F1010" s="438">
        <v>4.2916666666666667E-3</v>
      </c>
      <c r="G1010" s="438">
        <v>4.3666666666666671E-3</v>
      </c>
      <c r="H1010" s="438">
        <v>4.3291666666666669E-3</v>
      </c>
      <c r="I1010" s="438">
        <v>4.6249999999999998E-3</v>
      </c>
      <c r="J1010" s="438">
        <f t="shared" si="180"/>
        <v>-2.1899999999999999E-2</v>
      </c>
      <c r="K1010" s="438">
        <f t="shared" si="184"/>
        <v>-2.2929166666666667E-2</v>
      </c>
      <c r="L1010" s="438">
        <f t="shared" si="185"/>
        <v>-3.3051999999999998E-2</v>
      </c>
      <c r="M1010" s="446">
        <f t="shared" si="181"/>
        <v>9.779917426995044E-2</v>
      </c>
      <c r="N1010" s="446">
        <f t="shared" si="182"/>
        <v>3.9599999999999996E-2</v>
      </c>
      <c r="O1010" s="446">
        <f t="shared" si="186"/>
        <v>5.1950000000000003E-2</v>
      </c>
      <c r="P1010" s="447">
        <f t="shared" si="183"/>
        <v>5.8199174269950443E-2</v>
      </c>
      <c r="Q1010" s="446">
        <f t="shared" si="187"/>
        <v>4.5849174269950436E-2</v>
      </c>
      <c r="R1010" s="446">
        <f t="shared" si="188"/>
        <v>2.4489529507540464E-2</v>
      </c>
      <c r="S1010" s="446">
        <f t="shared" si="189"/>
        <v>5.5499999999999994E-2</v>
      </c>
      <c r="T1010" s="447">
        <f t="shared" si="190"/>
        <v>-3.101047049245953E-2</v>
      </c>
      <c r="V1010" s="448"/>
      <c r="W1010" s="448"/>
      <c r="X1010" s="448"/>
      <c r="Y1010" s="448"/>
      <c r="Z1010" s="448"/>
      <c r="AA1010" s="448"/>
      <c r="AB1010" s="448"/>
      <c r="AC1010" s="448"/>
      <c r="AD1010" s="448"/>
      <c r="AF1010" s="448"/>
      <c r="AG1010" s="448"/>
      <c r="AH1010" s="448"/>
      <c r="AI1010" s="448"/>
      <c r="AJ1010" s="448"/>
      <c r="AK1010" s="448"/>
      <c r="AL1010" s="448"/>
      <c r="AM1010" s="448"/>
      <c r="AN1010" s="448"/>
      <c r="AP1010" s="448"/>
      <c r="AQ1010" s="448"/>
      <c r="AR1010" s="448"/>
      <c r="AS1010" s="448"/>
      <c r="AT1010" s="448"/>
      <c r="AU1010" s="448"/>
      <c r="AV1010" s="448"/>
      <c r="AW1010" s="448"/>
      <c r="AX1010" s="448"/>
    </row>
    <row r="1011" spans="1:50" x14ac:dyDescent="0.4">
      <c r="A1011" s="442" t="str">
        <f t="shared" si="191"/>
        <v>112009</v>
      </c>
      <c r="B1011" s="442">
        <v>40118</v>
      </c>
      <c r="C1011" s="455">
        <v>0.06</v>
      </c>
      <c r="D1011" s="438">
        <v>4.5586000000000002E-2</v>
      </c>
      <c r="E1011" s="438">
        <v>3.5000000000000005E-3</v>
      </c>
      <c r="F1011" s="438">
        <v>4.3250000000000007E-3</v>
      </c>
      <c r="G1011" s="438">
        <v>4.4083333333333335E-3</v>
      </c>
      <c r="H1011" s="438">
        <v>4.3666666666666671E-3</v>
      </c>
      <c r="I1011" s="438">
        <v>4.6999999999999993E-3</v>
      </c>
      <c r="J1011" s="438">
        <f t="shared" si="180"/>
        <v>5.6499999999999995E-2</v>
      </c>
      <c r="K1011" s="438">
        <f t="shared" si="184"/>
        <v>5.5633333333333333E-2</v>
      </c>
      <c r="L1011" s="438">
        <f t="shared" si="185"/>
        <v>4.0886000000000006E-2</v>
      </c>
      <c r="M1011" s="446">
        <f t="shared" si="181"/>
        <v>0.25368145305553491</v>
      </c>
      <c r="N1011" s="446">
        <f t="shared" si="182"/>
        <v>4.200000000000001E-2</v>
      </c>
      <c r="O1011" s="446">
        <f t="shared" si="186"/>
        <v>5.2400000000000002E-2</v>
      </c>
      <c r="P1011" s="447">
        <f t="shared" si="183"/>
        <v>0.2116814530555349</v>
      </c>
      <c r="Q1011" s="446">
        <f t="shared" si="187"/>
        <v>0.20128145305553491</v>
      </c>
      <c r="R1011" s="446">
        <f t="shared" si="188"/>
        <v>4.2122932130814084E-2</v>
      </c>
      <c r="S1011" s="446">
        <f t="shared" si="189"/>
        <v>5.6399999999999992E-2</v>
      </c>
      <c r="T1011" s="447">
        <f t="shared" si="190"/>
        <v>-1.4277067869185908E-2</v>
      </c>
      <c r="V1011" s="448"/>
      <c r="W1011" s="448"/>
      <c r="X1011" s="448"/>
      <c r="Y1011" s="448"/>
      <c r="Z1011" s="448"/>
      <c r="AA1011" s="448"/>
      <c r="AB1011" s="448"/>
      <c r="AC1011" s="448"/>
      <c r="AD1011" s="448"/>
      <c r="AF1011" s="448"/>
      <c r="AG1011" s="448"/>
      <c r="AH1011" s="448"/>
      <c r="AI1011" s="448"/>
      <c r="AJ1011" s="448"/>
      <c r="AK1011" s="448"/>
      <c r="AL1011" s="448"/>
      <c r="AM1011" s="448"/>
      <c r="AN1011" s="448"/>
      <c r="AP1011" s="448"/>
      <c r="AQ1011" s="448"/>
      <c r="AR1011" s="448"/>
      <c r="AS1011" s="448"/>
      <c r="AT1011" s="448"/>
      <c r="AU1011" s="448"/>
      <c r="AV1011" s="448"/>
      <c r="AW1011" s="448"/>
      <c r="AX1011" s="448"/>
    </row>
    <row r="1012" spans="1:50" x14ac:dyDescent="0.4">
      <c r="A1012" s="442" t="str">
        <f t="shared" si="191"/>
        <v>122009</v>
      </c>
      <c r="B1012" s="442">
        <v>40148</v>
      </c>
      <c r="C1012" s="455">
        <v>1.9300000000000001E-2</v>
      </c>
      <c r="D1012" s="438">
        <v>5.5813000000000008E-2</v>
      </c>
      <c r="E1012" s="438">
        <v>3.3999999999999998E-3</v>
      </c>
      <c r="F1012" s="438">
        <v>4.3833333333333328E-3</v>
      </c>
      <c r="G1012" s="438">
        <v>4.5333333333333337E-3</v>
      </c>
      <c r="H1012" s="438">
        <v>4.4583333333333332E-3</v>
      </c>
      <c r="I1012" s="438">
        <v>4.8249999999999994E-3</v>
      </c>
      <c r="J1012" s="438">
        <f t="shared" si="180"/>
        <v>1.5900000000000001E-2</v>
      </c>
      <c r="K1012" s="438">
        <f t="shared" si="184"/>
        <v>1.4841666666666668E-2</v>
      </c>
      <c r="L1012" s="438">
        <f t="shared" si="185"/>
        <v>5.0988000000000006E-2</v>
      </c>
      <c r="M1012" s="446">
        <f t="shared" si="181"/>
        <v>0.26447407985306426</v>
      </c>
      <c r="N1012" s="446">
        <f t="shared" si="182"/>
        <v>4.0799999999999996E-2</v>
      </c>
      <c r="O1012" s="446">
        <f t="shared" si="186"/>
        <v>5.3499999999999999E-2</v>
      </c>
      <c r="P1012" s="447">
        <f t="shared" si="183"/>
        <v>0.22367407985306426</v>
      </c>
      <c r="Q1012" s="446">
        <f t="shared" si="187"/>
        <v>0.21097407985306427</v>
      </c>
      <c r="R1012" s="446">
        <f t="shared" si="188"/>
        <v>0.11908419659198688</v>
      </c>
      <c r="S1012" s="446">
        <f t="shared" si="189"/>
        <v>5.7899999999999993E-2</v>
      </c>
      <c r="T1012" s="447">
        <f t="shared" si="190"/>
        <v>6.1184196591986886E-2</v>
      </c>
      <c r="V1012" s="448"/>
      <c r="W1012" s="448"/>
      <c r="X1012" s="448"/>
      <c r="Y1012" s="448"/>
      <c r="Z1012" s="448"/>
      <c r="AA1012" s="448"/>
      <c r="AB1012" s="448"/>
      <c r="AC1012" s="448"/>
      <c r="AD1012" s="448"/>
      <c r="AF1012" s="448"/>
      <c r="AG1012" s="448"/>
      <c r="AH1012" s="448"/>
      <c r="AI1012" s="448"/>
      <c r="AJ1012" s="448"/>
      <c r="AK1012" s="448"/>
      <c r="AL1012" s="448"/>
      <c r="AM1012" s="448"/>
      <c r="AN1012" s="448"/>
      <c r="AP1012" s="448"/>
      <c r="AQ1012" s="448"/>
      <c r="AR1012" s="448"/>
      <c r="AS1012" s="448"/>
      <c r="AT1012" s="448"/>
      <c r="AU1012" s="448"/>
      <c r="AV1012" s="448"/>
      <c r="AW1012" s="448"/>
      <c r="AX1012" s="448"/>
    </row>
    <row r="1013" spans="1:50" x14ac:dyDescent="0.4">
      <c r="A1013" s="442" t="str">
        <f t="shared" si="191"/>
        <v>12010</v>
      </c>
      <c r="B1013" s="442">
        <v>40179</v>
      </c>
      <c r="C1013" s="455">
        <v>-3.5999999999999997E-2</v>
      </c>
      <c r="D1013" s="438">
        <v>-4.7493E-2</v>
      </c>
      <c r="E1013" s="438">
        <v>3.5999999999999999E-3</v>
      </c>
      <c r="F1013" s="438">
        <v>4.3833333333333328E-3</v>
      </c>
      <c r="G1013" s="438">
        <v>4.5833333333333334E-3</v>
      </c>
      <c r="H1013" s="438">
        <v>4.4833333333333331E-3</v>
      </c>
      <c r="I1013" s="438">
        <v>4.8083333333333329E-3</v>
      </c>
      <c r="J1013" s="438">
        <f t="shared" si="180"/>
        <v>-3.9599999999999996E-2</v>
      </c>
      <c r="K1013" s="438">
        <f t="shared" si="184"/>
        <v>-4.048333333333333E-2</v>
      </c>
      <c r="L1013" s="438">
        <f t="shared" si="185"/>
        <v>-5.2301333333333332E-2</v>
      </c>
      <c r="M1013" s="446">
        <f t="shared" si="181"/>
        <v>0.33117070326346387</v>
      </c>
      <c r="N1013" s="446">
        <f t="shared" si="182"/>
        <v>4.3200000000000002E-2</v>
      </c>
      <c r="O1013" s="446">
        <f t="shared" si="186"/>
        <v>5.3800000000000001E-2</v>
      </c>
      <c r="P1013" s="447">
        <f t="shared" si="183"/>
        <v>0.28797070326346386</v>
      </c>
      <c r="Q1013" s="446">
        <f t="shared" si="187"/>
        <v>0.27737070326346386</v>
      </c>
      <c r="R1013" s="446">
        <f t="shared" si="188"/>
        <v>7.0798024673284665E-2</v>
      </c>
      <c r="S1013" s="446">
        <f t="shared" si="189"/>
        <v>5.7699999999999994E-2</v>
      </c>
      <c r="T1013" s="447">
        <f t="shared" si="190"/>
        <v>1.3098024673284671E-2</v>
      </c>
      <c r="V1013" s="448"/>
      <c r="W1013" s="448"/>
      <c r="X1013" s="448"/>
      <c r="Y1013" s="448"/>
      <c r="Z1013" s="448"/>
      <c r="AA1013" s="448"/>
      <c r="AB1013" s="448"/>
      <c r="AC1013" s="448"/>
      <c r="AD1013" s="448"/>
      <c r="AF1013" s="448"/>
      <c r="AG1013" s="448"/>
      <c r="AH1013" s="448"/>
      <c r="AI1013" s="448"/>
      <c r="AJ1013" s="448"/>
      <c r="AK1013" s="448"/>
      <c r="AL1013" s="448"/>
      <c r="AM1013" s="448"/>
      <c r="AN1013" s="448"/>
      <c r="AP1013" s="448"/>
      <c r="AQ1013" s="448"/>
      <c r="AR1013" s="448"/>
      <c r="AS1013" s="448"/>
      <c r="AT1013" s="448"/>
      <c r="AU1013" s="448"/>
      <c r="AV1013" s="448"/>
      <c r="AW1013" s="448"/>
      <c r="AX1013" s="448"/>
    </row>
    <row r="1014" spans="1:50" x14ac:dyDescent="0.4">
      <c r="A1014" s="442" t="str">
        <f t="shared" si="191"/>
        <v>22010</v>
      </c>
      <c r="B1014" s="442">
        <v>40210</v>
      </c>
      <c r="C1014" s="455">
        <v>3.1E-2</v>
      </c>
      <c r="D1014" s="438">
        <v>-1.4896E-2</v>
      </c>
      <c r="E1014" s="438">
        <v>3.3E-3</v>
      </c>
      <c r="F1014" s="438">
        <v>4.4583333333333332E-3</v>
      </c>
      <c r="G1014" s="438">
        <v>4.6833333333333336E-3</v>
      </c>
      <c r="H1014" s="438">
        <v>4.570833333333333E-3</v>
      </c>
      <c r="I1014" s="438">
        <v>4.8916666666666666E-3</v>
      </c>
      <c r="J1014" s="438">
        <f t="shared" si="180"/>
        <v>2.7699999999999999E-2</v>
      </c>
      <c r="K1014" s="438">
        <f t="shared" si="184"/>
        <v>2.6429166666666667E-2</v>
      </c>
      <c r="L1014" s="438">
        <f t="shared" si="185"/>
        <v>-1.9787666666666665E-2</v>
      </c>
      <c r="M1014" s="446">
        <f t="shared" si="181"/>
        <v>0.53602349755414846</v>
      </c>
      <c r="N1014" s="446">
        <f t="shared" si="182"/>
        <v>3.9599999999999996E-2</v>
      </c>
      <c r="O1014" s="446">
        <f t="shared" si="186"/>
        <v>5.4849999999999996E-2</v>
      </c>
      <c r="P1014" s="447">
        <f t="shared" si="183"/>
        <v>0.4964234975541485</v>
      </c>
      <c r="Q1014" s="446">
        <f t="shared" si="187"/>
        <v>0.48117349755414845</v>
      </c>
      <c r="R1014" s="446">
        <f t="shared" si="188"/>
        <v>0.20651614940746565</v>
      </c>
      <c r="S1014" s="446">
        <f t="shared" si="189"/>
        <v>5.8700000000000002E-2</v>
      </c>
      <c r="T1014" s="447">
        <f t="shared" si="190"/>
        <v>0.14781614940746565</v>
      </c>
      <c r="V1014" s="448"/>
      <c r="W1014" s="448"/>
      <c r="X1014" s="448"/>
      <c r="Y1014" s="448"/>
      <c r="Z1014" s="448"/>
      <c r="AA1014" s="448"/>
      <c r="AB1014" s="448"/>
      <c r="AC1014" s="448"/>
      <c r="AD1014" s="448"/>
      <c r="AF1014" s="448"/>
      <c r="AG1014" s="448"/>
      <c r="AH1014" s="448"/>
      <c r="AI1014" s="448"/>
      <c r="AJ1014" s="448"/>
      <c r="AK1014" s="448"/>
      <c r="AL1014" s="448"/>
      <c r="AM1014" s="448"/>
      <c r="AN1014" s="448"/>
      <c r="AP1014" s="448"/>
      <c r="AQ1014" s="448"/>
      <c r="AR1014" s="448"/>
      <c r="AS1014" s="448"/>
      <c r="AT1014" s="448"/>
      <c r="AU1014" s="448"/>
      <c r="AV1014" s="448"/>
      <c r="AW1014" s="448"/>
      <c r="AX1014" s="448"/>
    </row>
    <row r="1015" spans="1:50" x14ac:dyDescent="0.4">
      <c r="A1015" s="442" t="str">
        <f t="shared" si="191"/>
        <v>32010</v>
      </c>
      <c r="B1015" s="442">
        <v>40238</v>
      </c>
      <c r="C1015" s="455">
        <v>6.0299999999999999E-2</v>
      </c>
      <c r="D1015" s="438">
        <v>2.7978000000000006E-2</v>
      </c>
      <c r="E1015" s="438">
        <v>4.0000000000000001E-3</v>
      </c>
      <c r="F1015" s="438">
        <v>4.3916666666666661E-3</v>
      </c>
      <c r="G1015" s="438">
        <v>4.6416666666666663E-3</v>
      </c>
      <c r="H1015" s="438">
        <v>4.5166666666666662E-3</v>
      </c>
      <c r="I1015" s="438">
        <v>4.8666666666666667E-3</v>
      </c>
      <c r="J1015" s="438">
        <f t="shared" si="180"/>
        <v>5.6300000000000003E-2</v>
      </c>
      <c r="K1015" s="438">
        <f t="shared" si="184"/>
        <v>5.5783333333333331E-2</v>
      </c>
      <c r="L1015" s="438">
        <f t="shared" si="185"/>
        <v>2.3111333333333338E-2</v>
      </c>
      <c r="M1015" s="446">
        <f t="shared" si="181"/>
        <v>0.4974675565066784</v>
      </c>
      <c r="N1015" s="446">
        <f t="shared" si="182"/>
        <v>4.8000000000000001E-2</v>
      </c>
      <c r="O1015" s="446">
        <f t="shared" si="186"/>
        <v>5.4199999999999998E-2</v>
      </c>
      <c r="P1015" s="447">
        <f t="shared" si="183"/>
        <v>0.44946755650667841</v>
      </c>
      <c r="Q1015" s="446">
        <f t="shared" si="187"/>
        <v>0.44326755650667837</v>
      </c>
      <c r="R1015" s="446">
        <f t="shared" si="188"/>
        <v>0.20972056535748429</v>
      </c>
      <c r="S1015" s="446">
        <f t="shared" si="189"/>
        <v>5.8400000000000001E-2</v>
      </c>
      <c r="T1015" s="447">
        <f t="shared" si="190"/>
        <v>0.15132056535748428</v>
      </c>
      <c r="V1015" s="448"/>
      <c r="W1015" s="448"/>
      <c r="X1015" s="448"/>
      <c r="Y1015" s="448"/>
      <c r="Z1015" s="448"/>
      <c r="AA1015" s="448"/>
      <c r="AB1015" s="448"/>
      <c r="AC1015" s="448"/>
      <c r="AD1015" s="448"/>
      <c r="AF1015" s="448"/>
      <c r="AG1015" s="448"/>
      <c r="AH1015" s="448"/>
      <c r="AI1015" s="448"/>
      <c r="AJ1015" s="448"/>
      <c r="AK1015" s="448"/>
      <c r="AL1015" s="448"/>
      <c r="AM1015" s="448"/>
      <c r="AN1015" s="448"/>
      <c r="AP1015" s="448"/>
      <c r="AQ1015" s="448"/>
      <c r="AR1015" s="448"/>
      <c r="AS1015" s="448"/>
      <c r="AT1015" s="448"/>
      <c r="AU1015" s="448"/>
      <c r="AV1015" s="448"/>
      <c r="AW1015" s="448"/>
      <c r="AX1015" s="448"/>
    </row>
    <row r="1016" spans="1:50" x14ac:dyDescent="0.4">
      <c r="A1016" s="442" t="str">
        <f t="shared" si="191"/>
        <v>42010</v>
      </c>
      <c r="B1016" s="442">
        <v>40269</v>
      </c>
      <c r="C1016" s="455">
        <v>1.5800000000000002E-2</v>
      </c>
      <c r="D1016" s="438">
        <v>2.8058E-2</v>
      </c>
      <c r="E1016" s="438">
        <v>3.8E-3</v>
      </c>
      <c r="F1016" s="438">
        <v>4.4083333333333335E-3</v>
      </c>
      <c r="G1016" s="438">
        <v>4.6416666666666663E-3</v>
      </c>
      <c r="H1016" s="438">
        <v>4.5250000000000004E-3</v>
      </c>
      <c r="I1016" s="438">
        <v>4.841666666666666E-3</v>
      </c>
      <c r="J1016" s="438">
        <f t="shared" si="180"/>
        <v>1.2000000000000002E-2</v>
      </c>
      <c r="K1016" s="438">
        <f t="shared" si="184"/>
        <v>1.1275E-2</v>
      </c>
      <c r="L1016" s="438">
        <f t="shared" si="185"/>
        <v>2.3216333333333332E-2</v>
      </c>
      <c r="M1016" s="446">
        <f t="shared" si="181"/>
        <v>0.38827009573741367</v>
      </c>
      <c r="N1016" s="446">
        <f t="shared" si="182"/>
        <v>4.5600000000000002E-2</v>
      </c>
      <c r="O1016" s="446">
        <f t="shared" si="186"/>
        <v>5.4300000000000001E-2</v>
      </c>
      <c r="P1016" s="447">
        <f t="shared" si="183"/>
        <v>0.34267009573741369</v>
      </c>
      <c r="Q1016" s="446">
        <f t="shared" si="187"/>
        <v>0.33397009573741365</v>
      </c>
      <c r="R1016" s="446">
        <f t="shared" si="188"/>
        <v>0.23322733526923689</v>
      </c>
      <c r="S1016" s="446">
        <f t="shared" si="189"/>
        <v>5.8099999999999992E-2</v>
      </c>
      <c r="T1016" s="447">
        <f t="shared" si="190"/>
        <v>0.17512733526923691</v>
      </c>
      <c r="V1016" s="448"/>
      <c r="W1016" s="448"/>
      <c r="X1016" s="448"/>
      <c r="Y1016" s="448"/>
      <c r="Z1016" s="448"/>
      <c r="AA1016" s="448"/>
      <c r="AB1016" s="448"/>
      <c r="AC1016" s="448"/>
      <c r="AD1016" s="448"/>
      <c r="AF1016" s="448"/>
      <c r="AG1016" s="448"/>
      <c r="AH1016" s="448"/>
      <c r="AI1016" s="448"/>
      <c r="AJ1016" s="448"/>
      <c r="AK1016" s="448"/>
      <c r="AL1016" s="448"/>
      <c r="AM1016" s="448"/>
      <c r="AN1016" s="448"/>
      <c r="AP1016" s="448"/>
      <c r="AQ1016" s="448"/>
      <c r="AR1016" s="448"/>
      <c r="AS1016" s="448"/>
      <c r="AT1016" s="448"/>
      <c r="AU1016" s="448"/>
      <c r="AV1016" s="448"/>
      <c r="AW1016" s="448"/>
      <c r="AX1016" s="448"/>
    </row>
    <row r="1017" spans="1:50" x14ac:dyDescent="0.4">
      <c r="A1017" s="442" t="str">
        <f t="shared" si="191"/>
        <v>52010</v>
      </c>
      <c r="B1017" s="442">
        <v>40299</v>
      </c>
      <c r="C1017" s="455">
        <v>-7.9899999999999999E-2</v>
      </c>
      <c r="D1017" s="438">
        <v>-5.7599999999999998E-2</v>
      </c>
      <c r="E1017" s="438">
        <v>3.3999999999999998E-3</v>
      </c>
      <c r="F1017" s="438">
        <v>4.1333333333333335E-3</v>
      </c>
      <c r="G1017" s="438">
        <v>4.3750000000000004E-3</v>
      </c>
      <c r="H1017" s="438">
        <v>4.2541666666666665E-3</v>
      </c>
      <c r="I1017" s="438">
        <v>4.5833333333333334E-3</v>
      </c>
      <c r="J1017" s="438">
        <f t="shared" si="180"/>
        <v>-8.3299999999999999E-2</v>
      </c>
      <c r="K1017" s="438">
        <f t="shared" si="184"/>
        <v>-8.4154166666666669E-2</v>
      </c>
      <c r="L1017" s="438">
        <f t="shared" si="185"/>
        <v>-6.2183333333333334E-2</v>
      </c>
      <c r="M1017" s="446">
        <f t="shared" si="181"/>
        <v>0.20972375706789848</v>
      </c>
      <c r="N1017" s="446">
        <f t="shared" si="182"/>
        <v>4.0799999999999996E-2</v>
      </c>
      <c r="O1017" s="446">
        <f t="shared" si="186"/>
        <v>5.1049999999999998E-2</v>
      </c>
      <c r="P1017" s="447">
        <f t="shared" si="183"/>
        <v>0.16892375706789847</v>
      </c>
      <c r="Q1017" s="446">
        <f t="shared" si="187"/>
        <v>0.15867375706789849</v>
      </c>
      <c r="R1017" s="446">
        <f t="shared" si="188"/>
        <v>0.12258092756668293</v>
      </c>
      <c r="S1017" s="446">
        <f t="shared" si="189"/>
        <v>5.5E-2</v>
      </c>
      <c r="T1017" s="447">
        <f t="shared" si="190"/>
        <v>6.7580927566682936E-2</v>
      </c>
      <c r="V1017" s="448"/>
      <c r="W1017" s="448"/>
      <c r="X1017" s="448"/>
      <c r="Y1017" s="448"/>
      <c r="Z1017" s="448"/>
      <c r="AA1017" s="448"/>
      <c r="AB1017" s="448"/>
      <c r="AC1017" s="448"/>
      <c r="AD1017" s="448"/>
      <c r="AF1017" s="448"/>
      <c r="AG1017" s="448"/>
      <c r="AH1017" s="448"/>
      <c r="AI1017" s="448"/>
      <c r="AJ1017" s="448"/>
      <c r="AK1017" s="448"/>
      <c r="AL1017" s="448"/>
      <c r="AM1017" s="448"/>
      <c r="AN1017" s="448"/>
      <c r="AP1017" s="448"/>
      <c r="AQ1017" s="448"/>
      <c r="AR1017" s="448"/>
      <c r="AS1017" s="448"/>
      <c r="AT1017" s="448"/>
      <c r="AU1017" s="448"/>
      <c r="AV1017" s="448"/>
      <c r="AW1017" s="448"/>
      <c r="AX1017" s="448"/>
    </row>
    <row r="1018" spans="1:50" x14ac:dyDescent="0.4">
      <c r="A1018" s="442" t="str">
        <f t="shared" si="191"/>
        <v>62010</v>
      </c>
      <c r="B1018" s="442">
        <v>40330</v>
      </c>
      <c r="C1018" s="455">
        <v>-5.2299999999999999E-2</v>
      </c>
      <c r="D1018" s="438">
        <v>-6.3599999999999993E-3</v>
      </c>
      <c r="E1018" s="438">
        <v>3.7000000000000002E-3</v>
      </c>
      <c r="F1018" s="438">
        <v>4.0666666666666663E-3</v>
      </c>
      <c r="G1018" s="438">
        <v>4.3E-3</v>
      </c>
      <c r="H1018" s="438">
        <v>4.1833333333333332E-3</v>
      </c>
      <c r="I1018" s="438">
        <v>4.5500000000000002E-3</v>
      </c>
      <c r="J1018" s="438">
        <f t="shared" si="180"/>
        <v>-5.6000000000000001E-2</v>
      </c>
      <c r="K1018" s="438">
        <f t="shared" si="184"/>
        <v>-5.648333333333333E-2</v>
      </c>
      <c r="L1018" s="438">
        <f t="shared" si="185"/>
        <v>-1.091E-2</v>
      </c>
      <c r="M1018" s="446">
        <f t="shared" si="181"/>
        <v>0.14416687083158441</v>
      </c>
      <c r="N1018" s="446">
        <f t="shared" si="182"/>
        <v>4.4400000000000002E-2</v>
      </c>
      <c r="O1018" s="446">
        <f t="shared" si="186"/>
        <v>5.0199999999999995E-2</v>
      </c>
      <c r="P1018" s="447">
        <f t="shared" si="183"/>
        <v>9.976687083158442E-2</v>
      </c>
      <c r="Q1018" s="446">
        <f t="shared" si="187"/>
        <v>9.396687083158442E-2</v>
      </c>
      <c r="R1018" s="446">
        <f t="shared" si="188"/>
        <v>5.7087944173114469E-2</v>
      </c>
      <c r="S1018" s="446">
        <f t="shared" si="189"/>
        <v>5.4600000000000003E-2</v>
      </c>
      <c r="T1018" s="447">
        <f t="shared" si="190"/>
        <v>2.4879441731144661E-3</v>
      </c>
      <c r="V1018" s="448"/>
      <c r="W1018" s="448"/>
      <c r="X1018" s="448"/>
      <c r="Y1018" s="448"/>
      <c r="Z1018" s="448"/>
      <c r="AA1018" s="448"/>
      <c r="AB1018" s="448"/>
      <c r="AC1018" s="448"/>
      <c r="AD1018" s="448"/>
      <c r="AF1018" s="448"/>
      <c r="AG1018" s="448"/>
      <c r="AH1018" s="448"/>
      <c r="AI1018" s="448"/>
      <c r="AJ1018" s="448"/>
      <c r="AK1018" s="448"/>
      <c r="AL1018" s="448"/>
      <c r="AM1018" s="448"/>
      <c r="AN1018" s="448"/>
      <c r="AP1018" s="448"/>
      <c r="AQ1018" s="448"/>
      <c r="AR1018" s="448"/>
      <c r="AS1018" s="448"/>
      <c r="AT1018" s="448"/>
      <c r="AU1018" s="448"/>
      <c r="AV1018" s="448"/>
      <c r="AW1018" s="448"/>
      <c r="AX1018" s="448"/>
    </row>
    <row r="1019" spans="1:50" x14ac:dyDescent="0.4">
      <c r="A1019" s="442" t="str">
        <f t="shared" si="191"/>
        <v>72010</v>
      </c>
      <c r="B1019" s="442">
        <v>40360</v>
      </c>
      <c r="C1019" s="455">
        <v>7.0099999999999996E-2</v>
      </c>
      <c r="D1019" s="438">
        <v>7.741300000000001E-2</v>
      </c>
      <c r="E1019" s="438">
        <v>3.0999999999999999E-3</v>
      </c>
      <c r="F1019" s="438">
        <v>3.933333333333333E-3</v>
      </c>
      <c r="G1019" s="438">
        <v>4.1333333333333335E-3</v>
      </c>
      <c r="H1019" s="438">
        <v>4.0333333333333332E-3</v>
      </c>
      <c r="I1019" s="438">
        <v>4.3833333333333328E-3</v>
      </c>
      <c r="J1019" s="438">
        <f t="shared" si="180"/>
        <v>6.699999999999999E-2</v>
      </c>
      <c r="K1019" s="438">
        <f t="shared" si="184"/>
        <v>6.6066666666666662E-2</v>
      </c>
      <c r="L1019" s="438">
        <f t="shared" si="185"/>
        <v>7.3029666666666673E-2</v>
      </c>
      <c r="M1019" s="446">
        <f t="shared" si="181"/>
        <v>0.13831625927564017</v>
      </c>
      <c r="N1019" s="446">
        <f t="shared" si="182"/>
        <v>3.7199999999999997E-2</v>
      </c>
      <c r="O1019" s="446">
        <f t="shared" si="186"/>
        <v>4.8399999999999999E-2</v>
      </c>
      <c r="P1019" s="447">
        <f t="shared" si="183"/>
        <v>0.10111625927564018</v>
      </c>
      <c r="Q1019" s="446">
        <f t="shared" si="187"/>
        <v>8.9916259275640176E-2</v>
      </c>
      <c r="R1019" s="446">
        <f t="shared" si="188"/>
        <v>9.4321231409301376E-2</v>
      </c>
      <c r="S1019" s="446">
        <f t="shared" si="189"/>
        <v>5.2599999999999994E-2</v>
      </c>
      <c r="T1019" s="447">
        <f t="shared" si="190"/>
        <v>4.1721231409301382E-2</v>
      </c>
      <c r="V1019" s="448"/>
      <c r="W1019" s="448"/>
      <c r="X1019" s="448"/>
      <c r="Y1019" s="448"/>
      <c r="Z1019" s="448"/>
      <c r="AA1019" s="448"/>
      <c r="AB1019" s="448"/>
      <c r="AC1019" s="448"/>
      <c r="AD1019" s="448"/>
      <c r="AF1019" s="448"/>
      <c r="AG1019" s="448"/>
      <c r="AH1019" s="448"/>
      <c r="AI1019" s="448"/>
      <c r="AJ1019" s="448"/>
      <c r="AK1019" s="448"/>
      <c r="AL1019" s="448"/>
      <c r="AM1019" s="448"/>
      <c r="AN1019" s="448"/>
      <c r="AP1019" s="448"/>
      <c r="AQ1019" s="448"/>
      <c r="AR1019" s="448"/>
      <c r="AS1019" s="448"/>
      <c r="AT1019" s="448"/>
      <c r="AU1019" s="448"/>
      <c r="AV1019" s="448"/>
      <c r="AW1019" s="448"/>
      <c r="AX1019" s="448"/>
    </row>
    <row r="1020" spans="1:50" x14ac:dyDescent="0.4">
      <c r="A1020" s="442" t="str">
        <f t="shared" si="191"/>
        <v>82010</v>
      </c>
      <c r="B1020" s="442">
        <v>40391</v>
      </c>
      <c r="C1020" s="455">
        <v>-4.5100000000000001E-2</v>
      </c>
      <c r="D1020" s="438">
        <v>1.2496E-2</v>
      </c>
      <c r="E1020" s="438">
        <v>3.2000000000000002E-3</v>
      </c>
      <c r="F1020" s="438">
        <v>3.741666666666667E-3</v>
      </c>
      <c r="G1020" s="438">
        <v>3.933333333333333E-3</v>
      </c>
      <c r="H1020" s="438">
        <v>3.8375000000000002E-3</v>
      </c>
      <c r="I1020" s="438">
        <v>4.1749999999999999E-3</v>
      </c>
      <c r="J1020" s="438">
        <f t="shared" si="180"/>
        <v>-4.8300000000000003E-2</v>
      </c>
      <c r="K1020" s="438">
        <f t="shared" si="184"/>
        <v>-4.8937500000000002E-2</v>
      </c>
      <c r="L1020" s="438">
        <f t="shared" si="185"/>
        <v>8.3210000000000003E-3</v>
      </c>
      <c r="M1020" s="446">
        <f t="shared" si="181"/>
        <v>4.9105487870195086E-2</v>
      </c>
      <c r="N1020" s="446">
        <f t="shared" si="182"/>
        <v>3.8400000000000004E-2</v>
      </c>
      <c r="O1020" s="446">
        <f t="shared" si="186"/>
        <v>4.6050000000000001E-2</v>
      </c>
      <c r="P1020" s="447">
        <f t="shared" si="183"/>
        <v>1.0705487870195082E-2</v>
      </c>
      <c r="Q1020" s="446">
        <f t="shared" si="187"/>
        <v>3.0554878701950852E-3</v>
      </c>
      <c r="R1020" s="446">
        <f t="shared" si="188"/>
        <v>0.10197906382848876</v>
      </c>
      <c r="S1020" s="446">
        <f t="shared" si="189"/>
        <v>5.0099999999999999E-2</v>
      </c>
      <c r="T1020" s="447">
        <f t="shared" si="190"/>
        <v>5.187906382848876E-2</v>
      </c>
      <c r="V1020" s="448"/>
      <c r="W1020" s="448"/>
      <c r="X1020" s="448"/>
      <c r="Y1020" s="448"/>
      <c r="Z1020" s="448"/>
      <c r="AA1020" s="448"/>
      <c r="AB1020" s="448"/>
      <c r="AC1020" s="448"/>
      <c r="AD1020" s="448"/>
      <c r="AF1020" s="448"/>
      <c r="AG1020" s="448"/>
      <c r="AH1020" s="448"/>
      <c r="AI1020" s="448"/>
      <c r="AJ1020" s="448"/>
      <c r="AK1020" s="448"/>
      <c r="AL1020" s="448"/>
      <c r="AM1020" s="448"/>
      <c r="AN1020" s="448"/>
      <c r="AP1020" s="448"/>
      <c r="AQ1020" s="448"/>
      <c r="AR1020" s="448"/>
      <c r="AS1020" s="448"/>
      <c r="AT1020" s="448"/>
      <c r="AU1020" s="448"/>
      <c r="AV1020" s="448"/>
      <c r="AW1020" s="448"/>
      <c r="AX1020" s="448"/>
    </row>
    <row r="1021" spans="1:50" x14ac:dyDescent="0.4">
      <c r="A1021" s="442" t="str">
        <f t="shared" si="191"/>
        <v>92010</v>
      </c>
      <c r="B1021" s="442">
        <v>40422</v>
      </c>
      <c r="C1021" s="455">
        <v>8.9200000000000002E-2</v>
      </c>
      <c r="D1021" s="438">
        <v>2.9575000000000001E-2</v>
      </c>
      <c r="E1021" s="438">
        <v>2.5999999999999999E-3</v>
      </c>
      <c r="F1021" s="438">
        <v>3.7750000000000001E-3</v>
      </c>
      <c r="G1021" s="438">
        <v>3.933333333333333E-3</v>
      </c>
      <c r="H1021" s="438">
        <v>3.8541666666666663E-3</v>
      </c>
      <c r="I1021" s="438">
        <v>4.1749999999999999E-3</v>
      </c>
      <c r="J1021" s="438">
        <f t="shared" si="180"/>
        <v>8.6599999999999996E-2</v>
      </c>
      <c r="K1021" s="438">
        <f t="shared" si="184"/>
        <v>8.5345833333333329E-2</v>
      </c>
      <c r="L1021" s="438">
        <f t="shared" si="185"/>
        <v>2.5399999999999999E-2</v>
      </c>
      <c r="M1021" s="446">
        <f t="shared" si="181"/>
        <v>0.10159616059791388</v>
      </c>
      <c r="N1021" s="446">
        <f t="shared" si="182"/>
        <v>3.1199999999999999E-2</v>
      </c>
      <c r="O1021" s="446">
        <f t="shared" si="186"/>
        <v>4.6249999999999999E-2</v>
      </c>
      <c r="P1021" s="447">
        <f t="shared" si="183"/>
        <v>7.039616059791387E-2</v>
      </c>
      <c r="Q1021" s="446">
        <f t="shared" si="187"/>
        <v>5.5346160597913877E-2</v>
      </c>
      <c r="R1021" s="446">
        <f t="shared" si="188"/>
        <v>0.11859212473155045</v>
      </c>
      <c r="S1021" s="446">
        <f t="shared" si="189"/>
        <v>5.0099999999999999E-2</v>
      </c>
      <c r="T1021" s="447">
        <f t="shared" si="190"/>
        <v>6.8492124731550447E-2</v>
      </c>
      <c r="V1021" s="448"/>
      <c r="W1021" s="448"/>
      <c r="X1021" s="448"/>
      <c r="Y1021" s="448"/>
      <c r="Z1021" s="448"/>
      <c r="AA1021" s="448"/>
      <c r="AB1021" s="448"/>
      <c r="AC1021" s="448"/>
      <c r="AD1021" s="448"/>
      <c r="AF1021" s="448"/>
      <c r="AG1021" s="448"/>
      <c r="AH1021" s="448"/>
      <c r="AI1021" s="448"/>
      <c r="AJ1021" s="448"/>
      <c r="AK1021" s="448"/>
      <c r="AL1021" s="448"/>
      <c r="AM1021" s="448"/>
      <c r="AN1021" s="448"/>
      <c r="AP1021" s="448"/>
      <c r="AQ1021" s="448"/>
      <c r="AR1021" s="448"/>
      <c r="AS1021" s="448"/>
      <c r="AT1021" s="448"/>
      <c r="AU1021" s="448"/>
      <c r="AV1021" s="448"/>
      <c r="AW1021" s="448"/>
      <c r="AX1021" s="448"/>
    </row>
    <row r="1022" spans="1:50" x14ac:dyDescent="0.4">
      <c r="A1022" s="442" t="str">
        <f t="shared" si="191"/>
        <v>102010</v>
      </c>
      <c r="B1022" s="442">
        <v>40452</v>
      </c>
      <c r="C1022" s="455">
        <v>3.7999999999999999E-2</v>
      </c>
      <c r="D1022" s="438">
        <v>1.2868999999999998E-2</v>
      </c>
      <c r="E1022" s="438">
        <v>2.7000000000000001E-3</v>
      </c>
      <c r="F1022" s="438">
        <v>3.8999999999999994E-3</v>
      </c>
      <c r="G1022" s="438">
        <v>4.0249999999999999E-3</v>
      </c>
      <c r="H1022" s="438">
        <v>3.9624999999999999E-3</v>
      </c>
      <c r="I1022" s="438">
        <v>4.2500000000000003E-3</v>
      </c>
      <c r="J1022" s="438">
        <f t="shared" si="180"/>
        <v>3.5299999999999998E-2</v>
      </c>
      <c r="K1022" s="438">
        <f t="shared" si="184"/>
        <v>3.4037499999999998E-2</v>
      </c>
      <c r="L1022" s="438">
        <f t="shared" si="185"/>
        <v>8.6189999999999982E-3</v>
      </c>
      <c r="M1022" s="446">
        <f t="shared" si="181"/>
        <v>0.16512819920586352</v>
      </c>
      <c r="N1022" s="446">
        <f t="shared" si="182"/>
        <v>3.2399999999999998E-2</v>
      </c>
      <c r="O1022" s="446">
        <f t="shared" si="186"/>
        <v>4.7549999999999995E-2</v>
      </c>
      <c r="P1022" s="447">
        <f t="shared" si="183"/>
        <v>0.13272819920586354</v>
      </c>
      <c r="Q1022" s="446">
        <f t="shared" si="187"/>
        <v>0.11757819920586353</v>
      </c>
      <c r="R1022" s="446">
        <f t="shared" si="188"/>
        <v>0.16613706513532267</v>
      </c>
      <c r="S1022" s="446">
        <f t="shared" si="189"/>
        <v>5.1000000000000004E-2</v>
      </c>
      <c r="T1022" s="447">
        <f t="shared" si="190"/>
        <v>0.11513706513532267</v>
      </c>
      <c r="V1022" s="448"/>
      <c r="W1022" s="448"/>
      <c r="X1022" s="448"/>
      <c r="Y1022" s="448"/>
      <c r="Z1022" s="448"/>
      <c r="AA1022" s="448"/>
      <c r="AB1022" s="448"/>
      <c r="AC1022" s="448"/>
      <c r="AD1022" s="448"/>
      <c r="AF1022" s="448"/>
      <c r="AG1022" s="448"/>
      <c r="AH1022" s="448"/>
      <c r="AI1022" s="448"/>
      <c r="AJ1022" s="448"/>
      <c r="AK1022" s="448"/>
      <c r="AL1022" s="448"/>
      <c r="AM1022" s="448"/>
      <c r="AN1022" s="448"/>
      <c r="AP1022" s="448"/>
      <c r="AQ1022" s="448"/>
      <c r="AR1022" s="448"/>
      <c r="AS1022" s="448"/>
      <c r="AT1022" s="448"/>
      <c r="AU1022" s="448"/>
      <c r="AV1022" s="448"/>
      <c r="AW1022" s="448"/>
      <c r="AX1022" s="448"/>
    </row>
    <row r="1023" spans="1:50" x14ac:dyDescent="0.4">
      <c r="A1023" s="442" t="str">
        <f t="shared" si="191"/>
        <v>112010</v>
      </c>
      <c r="B1023" s="442">
        <v>40483</v>
      </c>
      <c r="C1023" s="455">
        <v>1E-4</v>
      </c>
      <c r="D1023" s="438">
        <v>-3.2323000000000005E-2</v>
      </c>
      <c r="E1023" s="438">
        <v>3.2000000000000002E-3</v>
      </c>
      <c r="F1023" s="438">
        <v>4.0583333333333331E-3</v>
      </c>
      <c r="G1023" s="438">
        <v>4.2250000000000005E-3</v>
      </c>
      <c r="H1023" s="438">
        <v>4.1416666666666668E-3</v>
      </c>
      <c r="I1023" s="438">
        <v>4.4749999999999998E-3</v>
      </c>
      <c r="J1023" s="438">
        <f t="shared" si="180"/>
        <v>-3.1000000000000003E-3</v>
      </c>
      <c r="K1023" s="438">
        <f t="shared" si="184"/>
        <v>-4.0416666666666665E-3</v>
      </c>
      <c r="L1023" s="438">
        <f t="shared" si="185"/>
        <v>-3.6798000000000004E-2</v>
      </c>
      <c r="M1023" s="446">
        <f t="shared" si="181"/>
        <v>9.9287464175267681E-2</v>
      </c>
      <c r="N1023" s="446">
        <f t="shared" si="182"/>
        <v>3.8400000000000004E-2</v>
      </c>
      <c r="O1023" s="446">
        <f t="shared" si="186"/>
        <v>4.9700000000000001E-2</v>
      </c>
      <c r="P1023" s="447">
        <f t="shared" si="183"/>
        <v>6.0887464175267678E-2</v>
      </c>
      <c r="Q1023" s="446">
        <f t="shared" si="187"/>
        <v>4.958746417526768E-2</v>
      </c>
      <c r="R1023" s="446">
        <f t="shared" si="188"/>
        <v>7.9245530046264667E-2</v>
      </c>
      <c r="S1023" s="446">
        <f t="shared" si="189"/>
        <v>5.3699999999999998E-2</v>
      </c>
      <c r="T1023" s="447">
        <f t="shared" si="190"/>
        <v>2.5545530046264669E-2</v>
      </c>
      <c r="V1023" s="448"/>
      <c r="W1023" s="448"/>
      <c r="X1023" s="448"/>
      <c r="Y1023" s="448"/>
      <c r="Z1023" s="448"/>
      <c r="AA1023" s="448"/>
      <c r="AB1023" s="448"/>
      <c r="AC1023" s="448"/>
      <c r="AD1023" s="448"/>
      <c r="AF1023" s="448"/>
      <c r="AG1023" s="448"/>
      <c r="AH1023" s="448"/>
      <c r="AI1023" s="448"/>
      <c r="AJ1023" s="448"/>
      <c r="AK1023" s="448"/>
      <c r="AL1023" s="448"/>
      <c r="AM1023" s="448"/>
      <c r="AN1023" s="448"/>
      <c r="AP1023" s="448"/>
      <c r="AQ1023" s="448"/>
      <c r="AR1023" s="448"/>
      <c r="AS1023" s="448"/>
      <c r="AT1023" s="448"/>
      <c r="AU1023" s="448"/>
      <c r="AV1023" s="448"/>
      <c r="AW1023" s="448"/>
      <c r="AX1023" s="448"/>
    </row>
    <row r="1024" spans="1:50" x14ac:dyDescent="0.4">
      <c r="A1024" s="442" t="str">
        <f t="shared" si="191"/>
        <v>122010</v>
      </c>
      <c r="B1024" s="442">
        <v>40513</v>
      </c>
      <c r="C1024" s="455">
        <v>6.6799999999999998E-2</v>
      </c>
      <c r="D1024" s="438">
        <v>3.1150999999999998E-2</v>
      </c>
      <c r="E1024" s="438">
        <v>3.2000000000000002E-3</v>
      </c>
      <c r="F1024" s="438">
        <v>4.1833333333333332E-3</v>
      </c>
      <c r="G1024" s="438">
        <v>4.3833333333333328E-3</v>
      </c>
      <c r="H1024" s="438">
        <v>4.2833333333333326E-3</v>
      </c>
      <c r="I1024" s="438">
        <v>4.6333333333333331E-3</v>
      </c>
      <c r="J1024" s="438">
        <f t="shared" si="180"/>
        <v>6.3600000000000004E-2</v>
      </c>
      <c r="K1024" s="438">
        <f t="shared" si="184"/>
        <v>6.2516666666666665E-2</v>
      </c>
      <c r="L1024" s="438">
        <f t="shared" si="185"/>
        <v>2.6517666666666665E-2</v>
      </c>
      <c r="M1024" s="446">
        <f t="shared" si="181"/>
        <v>0.15051492865905569</v>
      </c>
      <c r="N1024" s="446">
        <f t="shared" si="182"/>
        <v>3.8400000000000004E-2</v>
      </c>
      <c r="O1024" s="446">
        <f t="shared" si="186"/>
        <v>5.1399999999999987E-2</v>
      </c>
      <c r="P1024" s="447">
        <f t="shared" si="183"/>
        <v>0.11211492865905569</v>
      </c>
      <c r="Q1024" s="446">
        <f t="shared" si="187"/>
        <v>9.9114928659055704E-2</v>
      </c>
      <c r="R1024" s="446">
        <f t="shared" si="188"/>
        <v>5.4036185908617806E-2</v>
      </c>
      <c r="S1024" s="446">
        <f t="shared" si="189"/>
        <v>5.5599999999999997E-2</v>
      </c>
      <c r="T1024" s="447">
        <f t="shared" si="190"/>
        <v>-1.5638140913821902E-3</v>
      </c>
      <c r="V1024" s="448"/>
      <c r="W1024" s="448"/>
      <c r="X1024" s="448"/>
      <c r="Y1024" s="448"/>
      <c r="Z1024" s="448"/>
      <c r="AA1024" s="448"/>
      <c r="AB1024" s="448"/>
      <c r="AC1024" s="448"/>
      <c r="AD1024" s="448"/>
      <c r="AF1024" s="448"/>
      <c r="AG1024" s="448"/>
      <c r="AH1024" s="448"/>
      <c r="AI1024" s="448"/>
      <c r="AJ1024" s="448"/>
      <c r="AK1024" s="448"/>
      <c r="AL1024" s="448"/>
      <c r="AM1024" s="448"/>
      <c r="AN1024" s="448"/>
      <c r="AP1024" s="448"/>
      <c r="AQ1024" s="448"/>
      <c r="AR1024" s="448"/>
      <c r="AS1024" s="448"/>
      <c r="AT1024" s="448"/>
      <c r="AU1024" s="448"/>
      <c r="AV1024" s="448"/>
      <c r="AW1024" s="448"/>
      <c r="AX1024" s="448"/>
    </row>
    <row r="1025" spans="1:50" x14ac:dyDescent="0.4">
      <c r="A1025" s="442" t="str">
        <f t="shared" si="191"/>
        <v>12011</v>
      </c>
      <c r="B1025" s="442">
        <v>40544</v>
      </c>
      <c r="C1025" s="438">
        <v>2.3699999999999999E-2</v>
      </c>
      <c r="D1025" s="438">
        <v>1.4241E-2</v>
      </c>
      <c r="E1025" s="438">
        <v>3.5000000000000001E-3</v>
      </c>
      <c r="F1025" s="438">
        <v>4.1999999999999997E-3</v>
      </c>
      <c r="G1025" s="438">
        <v>4.3833333333333328E-3</v>
      </c>
      <c r="H1025" s="438">
        <v>4.2916666666666667E-3</v>
      </c>
      <c r="I1025" s="438">
        <v>4.6416666666666663E-3</v>
      </c>
      <c r="J1025" s="438">
        <f t="shared" si="180"/>
        <v>2.0199999999999999E-2</v>
      </c>
      <c r="K1025" s="438">
        <f t="shared" si="184"/>
        <v>1.9408333333333333E-2</v>
      </c>
      <c r="L1025" s="438">
        <f t="shared" si="185"/>
        <v>9.5993333333333347E-3</v>
      </c>
      <c r="M1025" s="446">
        <f t="shared" si="181"/>
        <v>0.2217656975811988</v>
      </c>
      <c r="N1025" s="446">
        <f t="shared" si="182"/>
        <v>4.2000000000000003E-2</v>
      </c>
      <c r="O1025" s="446">
        <f t="shared" si="186"/>
        <v>5.1500000000000004E-2</v>
      </c>
      <c r="P1025" s="447">
        <f t="shared" si="183"/>
        <v>0.17976569758119879</v>
      </c>
      <c r="Q1025" s="446">
        <f t="shared" si="187"/>
        <v>0.1702656975811988</v>
      </c>
      <c r="R1025" s="446">
        <f t="shared" si="188"/>
        <v>0.12235050790402879</v>
      </c>
      <c r="S1025" s="446">
        <f t="shared" si="189"/>
        <v>5.57E-2</v>
      </c>
      <c r="T1025" s="447">
        <f t="shared" si="190"/>
        <v>6.6650507904028794E-2</v>
      </c>
      <c r="V1025" s="448"/>
      <c r="W1025" s="448"/>
      <c r="X1025" s="448"/>
      <c r="Y1025" s="448"/>
      <c r="Z1025" s="448"/>
      <c r="AA1025" s="448"/>
      <c r="AB1025" s="448"/>
      <c r="AC1025" s="448"/>
      <c r="AD1025" s="448"/>
      <c r="AF1025" s="448"/>
      <c r="AG1025" s="448"/>
      <c r="AH1025" s="448"/>
      <c r="AI1025" s="448"/>
      <c r="AJ1025" s="448"/>
      <c r="AK1025" s="448"/>
      <c r="AL1025" s="448"/>
      <c r="AM1025" s="448"/>
      <c r="AN1025" s="448"/>
      <c r="AP1025" s="448"/>
      <c r="AQ1025" s="448"/>
      <c r="AR1025" s="448"/>
      <c r="AS1025" s="448"/>
      <c r="AT1025" s="448"/>
      <c r="AU1025" s="448"/>
      <c r="AV1025" s="448"/>
      <c r="AW1025" s="448"/>
      <c r="AX1025" s="448"/>
    </row>
    <row r="1026" spans="1:50" x14ac:dyDescent="0.4">
      <c r="A1026" s="442" t="str">
        <f t="shared" si="191"/>
        <v>22011</v>
      </c>
      <c r="B1026" s="442">
        <v>40575</v>
      </c>
      <c r="C1026" s="438">
        <v>3.4299999999999997E-2</v>
      </c>
      <c r="D1026" s="438">
        <v>1.1235E-2</v>
      </c>
      <c r="E1026" s="438">
        <v>3.2000000000000002E-3</v>
      </c>
      <c r="F1026" s="438">
        <v>4.3499999999999997E-3</v>
      </c>
      <c r="G1026" s="438">
        <v>4.4749999999999998E-3</v>
      </c>
      <c r="H1026" s="438">
        <v>4.4125000000000006E-3</v>
      </c>
      <c r="I1026" s="438">
        <v>4.7333333333333333E-3</v>
      </c>
      <c r="J1026" s="438">
        <f t="shared" si="180"/>
        <v>3.1099999999999996E-2</v>
      </c>
      <c r="K1026" s="438">
        <f t="shared" si="184"/>
        <v>2.9887499999999997E-2</v>
      </c>
      <c r="L1026" s="438">
        <f t="shared" si="185"/>
        <v>6.5016666666666669E-3</v>
      </c>
      <c r="M1026" s="446">
        <f t="shared" si="181"/>
        <v>0.22567629583727844</v>
      </c>
      <c r="N1026" s="446">
        <f t="shared" si="182"/>
        <v>3.8400000000000004E-2</v>
      </c>
      <c r="O1026" s="446">
        <f t="shared" si="186"/>
        <v>5.2950000000000011E-2</v>
      </c>
      <c r="P1026" s="447">
        <f t="shared" si="183"/>
        <v>0.18727629583727845</v>
      </c>
      <c r="Q1026" s="446">
        <f t="shared" si="187"/>
        <v>0.17272629583727844</v>
      </c>
      <c r="R1026" s="446">
        <f t="shared" si="188"/>
        <v>0.15212212706509232</v>
      </c>
      <c r="S1026" s="446">
        <f t="shared" si="189"/>
        <v>5.6800000000000003E-2</v>
      </c>
      <c r="T1026" s="447">
        <f t="shared" si="190"/>
        <v>9.5322127065092313E-2</v>
      </c>
      <c r="V1026" s="448"/>
      <c r="W1026" s="448"/>
      <c r="X1026" s="448"/>
      <c r="Y1026" s="448"/>
      <c r="Z1026" s="448"/>
      <c r="AA1026" s="448"/>
      <c r="AB1026" s="448"/>
      <c r="AC1026" s="448"/>
      <c r="AD1026" s="448"/>
      <c r="AF1026" s="448"/>
      <c r="AG1026" s="448"/>
      <c r="AH1026" s="448"/>
      <c r="AI1026" s="448"/>
      <c r="AJ1026" s="448"/>
      <c r="AK1026" s="448"/>
      <c r="AL1026" s="448"/>
      <c r="AM1026" s="448"/>
      <c r="AN1026" s="448"/>
      <c r="AP1026" s="448"/>
      <c r="AQ1026" s="448"/>
      <c r="AR1026" s="448"/>
      <c r="AS1026" s="448"/>
      <c r="AT1026" s="448"/>
      <c r="AU1026" s="448"/>
      <c r="AV1026" s="448"/>
      <c r="AW1026" s="448"/>
      <c r="AX1026" s="448"/>
    </row>
    <row r="1027" spans="1:50" x14ac:dyDescent="0.4">
      <c r="A1027" s="442" t="str">
        <f t="shared" si="191"/>
        <v>32011</v>
      </c>
      <c r="B1027" s="442">
        <v>40603</v>
      </c>
      <c r="C1027" s="438">
        <v>4.0000000000000002E-4</v>
      </c>
      <c r="D1027" s="438">
        <v>1.474E-3</v>
      </c>
      <c r="E1027" s="438">
        <v>3.5999999999999999E-3</v>
      </c>
      <c r="F1027" s="438">
        <v>4.2750000000000002E-3</v>
      </c>
      <c r="G1027" s="438">
        <v>4.4000000000000003E-3</v>
      </c>
      <c r="H1027" s="438">
        <v>4.3374999999999993E-3</v>
      </c>
      <c r="I1027" s="438">
        <v>4.6333333333333331E-3</v>
      </c>
      <c r="J1027" s="438">
        <f t="shared" si="180"/>
        <v>-3.1999999999999997E-3</v>
      </c>
      <c r="K1027" s="438">
        <f t="shared" si="184"/>
        <v>-3.9374999999999992E-3</v>
      </c>
      <c r="L1027" s="438">
        <f t="shared" si="185"/>
        <v>-3.159333333333333E-3</v>
      </c>
      <c r="M1027" s="446">
        <f t="shared" si="181"/>
        <v>0.15643361912252507</v>
      </c>
      <c r="N1027" s="446">
        <f t="shared" si="182"/>
        <v>4.3200000000000002E-2</v>
      </c>
      <c r="O1027" s="446">
        <f t="shared" si="186"/>
        <v>5.2049999999999992E-2</v>
      </c>
      <c r="P1027" s="447">
        <f t="shared" si="183"/>
        <v>0.11323361912252507</v>
      </c>
      <c r="Q1027" s="446">
        <f t="shared" si="187"/>
        <v>0.10438361912252508</v>
      </c>
      <c r="R1027" s="446">
        <f t="shared" si="188"/>
        <v>0.12241736212291121</v>
      </c>
      <c r="S1027" s="446">
        <f t="shared" si="189"/>
        <v>5.5599999999999997E-2</v>
      </c>
      <c r="T1027" s="447">
        <f t="shared" si="190"/>
        <v>6.6817362122911214E-2</v>
      </c>
      <c r="V1027" s="448"/>
      <c r="W1027" s="448"/>
      <c r="X1027" s="448"/>
      <c r="Y1027" s="448"/>
      <c r="Z1027" s="448"/>
      <c r="AA1027" s="448"/>
      <c r="AB1027" s="448"/>
      <c r="AC1027" s="448"/>
      <c r="AD1027" s="448"/>
      <c r="AF1027" s="448"/>
      <c r="AG1027" s="448"/>
      <c r="AH1027" s="448"/>
      <c r="AI1027" s="448"/>
      <c r="AJ1027" s="448"/>
      <c r="AK1027" s="448"/>
      <c r="AL1027" s="448"/>
      <c r="AM1027" s="448"/>
      <c r="AN1027" s="448"/>
      <c r="AP1027" s="448"/>
      <c r="AQ1027" s="448"/>
      <c r="AR1027" s="448"/>
      <c r="AS1027" s="448"/>
      <c r="AT1027" s="448"/>
      <c r="AU1027" s="448"/>
      <c r="AV1027" s="448"/>
      <c r="AW1027" s="448"/>
      <c r="AX1027" s="448"/>
    </row>
    <row r="1028" spans="1:50" x14ac:dyDescent="0.4">
      <c r="A1028" s="442" t="str">
        <f t="shared" si="191"/>
        <v>42011</v>
      </c>
      <c r="B1028" s="442">
        <v>40634</v>
      </c>
      <c r="C1028" s="438">
        <v>2.9600000000000001E-2</v>
      </c>
      <c r="D1028" s="438">
        <v>4.1877999999999999E-2</v>
      </c>
      <c r="E1028" s="438">
        <v>3.3999999999999998E-3</v>
      </c>
      <c r="F1028" s="438">
        <v>4.3E-3</v>
      </c>
      <c r="G1028" s="438">
        <v>4.4083333333333335E-3</v>
      </c>
      <c r="H1028" s="438">
        <v>4.3541666666666668E-3</v>
      </c>
      <c r="I1028" s="438">
        <v>4.6249999999999998E-3</v>
      </c>
      <c r="J1028" s="438">
        <f t="shared" si="180"/>
        <v>2.6200000000000001E-2</v>
      </c>
      <c r="K1028" s="438">
        <f t="shared" si="184"/>
        <v>2.5245833333333335E-2</v>
      </c>
      <c r="L1028" s="438">
        <f t="shared" si="185"/>
        <v>3.7253000000000001E-2</v>
      </c>
      <c r="M1028" s="446">
        <f t="shared" si="181"/>
        <v>0.17214417626358691</v>
      </c>
      <c r="N1028" s="446">
        <f t="shared" si="182"/>
        <v>4.0799999999999996E-2</v>
      </c>
      <c r="O1028" s="446">
        <f t="shared" si="186"/>
        <v>5.2250000000000005E-2</v>
      </c>
      <c r="P1028" s="447">
        <f t="shared" si="183"/>
        <v>0.13134417626358691</v>
      </c>
      <c r="Q1028" s="446">
        <f t="shared" si="187"/>
        <v>0.11989417626358691</v>
      </c>
      <c r="R1028" s="446">
        <f t="shared" si="188"/>
        <v>0.13750581816774399</v>
      </c>
      <c r="S1028" s="446">
        <f t="shared" si="189"/>
        <v>5.5499999999999994E-2</v>
      </c>
      <c r="T1028" s="447">
        <f t="shared" si="190"/>
        <v>8.2005818167743993E-2</v>
      </c>
      <c r="V1028" s="448"/>
      <c r="W1028" s="448"/>
      <c r="X1028" s="448"/>
      <c r="Y1028" s="448"/>
      <c r="Z1028" s="448"/>
      <c r="AA1028" s="448"/>
      <c r="AB1028" s="448"/>
      <c r="AC1028" s="448"/>
      <c r="AD1028" s="448"/>
      <c r="AF1028" s="448"/>
      <c r="AG1028" s="448"/>
      <c r="AH1028" s="448"/>
      <c r="AI1028" s="448"/>
      <c r="AJ1028" s="448"/>
      <c r="AK1028" s="448"/>
      <c r="AL1028" s="448"/>
      <c r="AM1028" s="448"/>
      <c r="AN1028" s="448"/>
      <c r="AP1028" s="448"/>
      <c r="AQ1028" s="448"/>
      <c r="AR1028" s="448"/>
      <c r="AS1028" s="448"/>
      <c r="AT1028" s="448"/>
      <c r="AU1028" s="448"/>
      <c r="AV1028" s="448"/>
      <c r="AW1028" s="448"/>
      <c r="AX1028" s="448"/>
    </row>
    <row r="1029" spans="1:50" x14ac:dyDescent="0.4">
      <c r="A1029" s="442" t="str">
        <f t="shared" si="191"/>
        <v>52011</v>
      </c>
      <c r="B1029" s="442">
        <v>40664</v>
      </c>
      <c r="C1029" s="438">
        <v>-1.1299999999999999E-2</v>
      </c>
      <c r="D1029" s="438">
        <v>1.9754000000000001E-2</v>
      </c>
      <c r="E1029" s="438">
        <v>3.5999999999999999E-3</v>
      </c>
      <c r="F1029" s="438">
        <v>4.1333333333333335E-3</v>
      </c>
      <c r="G1029" s="438">
        <v>4.2166666666666663E-3</v>
      </c>
      <c r="H1029" s="438">
        <v>4.1749999999999999E-3</v>
      </c>
      <c r="I1029" s="438">
        <v>4.4333333333333334E-3</v>
      </c>
      <c r="J1029" s="438">
        <f t="shared" si="180"/>
        <v>-1.49E-2</v>
      </c>
      <c r="K1029" s="438">
        <f t="shared" si="184"/>
        <v>-1.5474999999999999E-2</v>
      </c>
      <c r="L1029" s="438">
        <f t="shared" si="185"/>
        <v>1.5320666666666666E-2</v>
      </c>
      <c r="M1029" s="446">
        <f t="shared" si="181"/>
        <v>0.25953586248430383</v>
      </c>
      <c r="N1029" s="446">
        <f t="shared" si="182"/>
        <v>4.3200000000000002E-2</v>
      </c>
      <c r="O1029" s="446">
        <f t="shared" si="186"/>
        <v>5.0099999999999999E-2</v>
      </c>
      <c r="P1029" s="447">
        <f t="shared" si="183"/>
        <v>0.21633586248430381</v>
      </c>
      <c r="Q1029" s="446">
        <f t="shared" si="187"/>
        <v>0.20943586248430382</v>
      </c>
      <c r="R1029" s="446">
        <f t="shared" si="188"/>
        <v>0.23087447803462391</v>
      </c>
      <c r="S1029" s="446">
        <f t="shared" si="189"/>
        <v>5.3199999999999997E-2</v>
      </c>
      <c r="T1029" s="447">
        <f t="shared" si="190"/>
        <v>0.17767447803462391</v>
      </c>
      <c r="V1029" s="448"/>
      <c r="W1029" s="448"/>
      <c r="X1029" s="448"/>
      <c r="Y1029" s="448"/>
      <c r="Z1029" s="448"/>
      <c r="AA1029" s="448"/>
      <c r="AB1029" s="448"/>
      <c r="AC1029" s="448"/>
      <c r="AD1029" s="448"/>
      <c r="AF1029" s="448"/>
      <c r="AG1029" s="448"/>
      <c r="AH1029" s="448"/>
      <c r="AI1029" s="448"/>
      <c r="AJ1029" s="448"/>
      <c r="AK1029" s="448"/>
      <c r="AL1029" s="448"/>
      <c r="AM1029" s="448"/>
      <c r="AN1029" s="448"/>
      <c r="AP1029" s="448"/>
      <c r="AQ1029" s="448"/>
      <c r="AR1029" s="448"/>
      <c r="AS1029" s="448"/>
      <c r="AT1029" s="448"/>
      <c r="AU1029" s="448"/>
      <c r="AV1029" s="448"/>
      <c r="AW1029" s="448"/>
      <c r="AX1029" s="448"/>
    </row>
    <row r="1030" spans="1:50" x14ac:dyDescent="0.4">
      <c r="A1030" s="442" t="str">
        <f t="shared" si="191"/>
        <v>62011</v>
      </c>
      <c r="B1030" s="442">
        <v>40695</v>
      </c>
      <c r="C1030" s="438">
        <v>-1.67E-2</v>
      </c>
      <c r="D1030" s="438">
        <v>-1.2830000000000003E-3</v>
      </c>
      <c r="E1030" s="438">
        <v>3.2000000000000002E-3</v>
      </c>
      <c r="F1030" s="438">
        <v>4.1583333333333333E-3</v>
      </c>
      <c r="G1030" s="438">
        <v>4.1999999999999997E-3</v>
      </c>
      <c r="H1030" s="438">
        <v>4.179166666666667E-3</v>
      </c>
      <c r="I1030" s="438">
        <v>4.3833333333333328E-3</v>
      </c>
      <c r="J1030" s="438">
        <f t="shared" ref="J1030:J1093" si="192">C1030-E1030</f>
        <v>-1.9900000000000001E-2</v>
      </c>
      <c r="K1030" s="438">
        <f t="shared" si="184"/>
        <v>-2.0879166666666667E-2</v>
      </c>
      <c r="L1030" s="438">
        <f t="shared" si="185"/>
        <v>-5.6663333333333331E-3</v>
      </c>
      <c r="M1030" s="446">
        <f t="shared" si="181"/>
        <v>0.30684986132828573</v>
      </c>
      <c r="N1030" s="446">
        <f t="shared" si="182"/>
        <v>3.8400000000000004E-2</v>
      </c>
      <c r="O1030" s="446">
        <f t="shared" si="186"/>
        <v>5.015E-2</v>
      </c>
      <c r="P1030" s="447">
        <f t="shared" si="183"/>
        <v>0.26844986132828574</v>
      </c>
      <c r="Q1030" s="446">
        <f t="shared" si="187"/>
        <v>0.25669986132828571</v>
      </c>
      <c r="R1030" s="446">
        <f t="shared" si="188"/>
        <v>0.2371636267454067</v>
      </c>
      <c r="S1030" s="446">
        <f t="shared" si="189"/>
        <v>5.2599999999999994E-2</v>
      </c>
      <c r="T1030" s="447">
        <f t="shared" si="190"/>
        <v>0.18456362674540672</v>
      </c>
      <c r="V1030" s="448"/>
      <c r="W1030" s="448"/>
      <c r="X1030" s="448"/>
      <c r="Y1030" s="448"/>
      <c r="Z1030" s="448"/>
      <c r="AA1030" s="448"/>
      <c r="AB1030" s="448"/>
      <c r="AC1030" s="448"/>
      <c r="AD1030" s="448"/>
      <c r="AF1030" s="448"/>
      <c r="AG1030" s="448"/>
      <c r="AH1030" s="448"/>
      <c r="AI1030" s="448"/>
      <c r="AJ1030" s="448"/>
      <c r="AK1030" s="448"/>
      <c r="AL1030" s="448"/>
      <c r="AM1030" s="448"/>
      <c r="AN1030" s="448"/>
      <c r="AP1030" s="448"/>
      <c r="AQ1030" s="448"/>
      <c r="AR1030" s="448"/>
      <c r="AS1030" s="448"/>
      <c r="AT1030" s="448"/>
      <c r="AU1030" s="448"/>
      <c r="AV1030" s="448"/>
      <c r="AW1030" s="448"/>
      <c r="AX1030" s="448"/>
    </row>
    <row r="1031" spans="1:50" x14ac:dyDescent="0.4">
      <c r="A1031" s="442" t="str">
        <f t="shared" si="191"/>
        <v>72011</v>
      </c>
      <c r="B1031" s="442">
        <v>40725</v>
      </c>
      <c r="C1031" s="438">
        <v>-2.0299999999999999E-2</v>
      </c>
      <c r="D1031" s="438">
        <v>-7.5380000000000013E-3</v>
      </c>
      <c r="E1031" s="438">
        <v>3.2000000000000002E-3</v>
      </c>
      <c r="F1031" s="438">
        <v>4.1083333333333336E-3</v>
      </c>
      <c r="G1031" s="438">
        <v>4.1916666666666665E-3</v>
      </c>
      <c r="H1031" s="438">
        <v>4.15E-3</v>
      </c>
      <c r="I1031" s="438">
        <v>4.3916666666666661E-3</v>
      </c>
      <c r="J1031" s="438">
        <f t="shared" si="192"/>
        <v>-2.35E-2</v>
      </c>
      <c r="K1031" s="438">
        <f t="shared" si="184"/>
        <v>-2.445E-2</v>
      </c>
      <c r="L1031" s="438">
        <f t="shared" si="185"/>
        <v>-1.1929666666666668E-2</v>
      </c>
      <c r="M1031" s="446">
        <f t="shared" si="181"/>
        <v>0.19644968614458613</v>
      </c>
      <c r="N1031" s="446">
        <f t="shared" si="182"/>
        <v>3.8400000000000004E-2</v>
      </c>
      <c r="O1031" s="446">
        <f t="shared" si="186"/>
        <v>4.9799999999999997E-2</v>
      </c>
      <c r="P1031" s="447">
        <f t="shared" si="183"/>
        <v>0.15804968614458614</v>
      </c>
      <c r="Q1031" s="446">
        <f t="shared" si="187"/>
        <v>0.14664968614458612</v>
      </c>
      <c r="R1031" s="446">
        <f t="shared" si="188"/>
        <v>0.13961673687527432</v>
      </c>
      <c r="S1031" s="446">
        <f t="shared" si="189"/>
        <v>5.2699999999999997E-2</v>
      </c>
      <c r="T1031" s="447">
        <f t="shared" si="190"/>
        <v>8.691673687527432E-2</v>
      </c>
      <c r="V1031" s="448"/>
      <c r="W1031" s="448"/>
      <c r="X1031" s="448"/>
      <c r="Y1031" s="448"/>
      <c r="Z1031" s="448"/>
      <c r="AA1031" s="448"/>
      <c r="AB1031" s="448"/>
      <c r="AC1031" s="448"/>
      <c r="AD1031" s="448"/>
      <c r="AF1031" s="448"/>
      <c r="AG1031" s="448"/>
      <c r="AH1031" s="448"/>
      <c r="AI1031" s="448"/>
      <c r="AJ1031" s="448"/>
      <c r="AK1031" s="448"/>
      <c r="AL1031" s="448"/>
      <c r="AM1031" s="448"/>
      <c r="AN1031" s="448"/>
      <c r="AP1031" s="448"/>
      <c r="AQ1031" s="448"/>
      <c r="AR1031" s="448"/>
      <c r="AS1031" s="448"/>
      <c r="AT1031" s="448"/>
      <c r="AU1031" s="448"/>
      <c r="AV1031" s="448"/>
      <c r="AW1031" s="448"/>
      <c r="AX1031" s="448"/>
    </row>
    <row r="1032" spans="1:50" x14ac:dyDescent="0.4">
      <c r="A1032" s="442" t="str">
        <f t="shared" si="191"/>
        <v>82011</v>
      </c>
      <c r="B1032" s="442">
        <v>40756</v>
      </c>
      <c r="C1032" s="438">
        <v>-5.4300000000000001E-2</v>
      </c>
      <c r="D1032" s="438">
        <v>2.0388E-2</v>
      </c>
      <c r="E1032" s="438">
        <v>3.3999999999999998E-3</v>
      </c>
      <c r="F1032" s="438">
        <v>3.6416666666666667E-3</v>
      </c>
      <c r="G1032" s="438">
        <v>3.725E-3</v>
      </c>
      <c r="H1032" s="438">
        <v>3.6833333333333336E-3</v>
      </c>
      <c r="I1032" s="438">
        <v>3.908333333333334E-3</v>
      </c>
      <c r="J1032" s="438">
        <f t="shared" si="192"/>
        <v>-5.7700000000000001E-2</v>
      </c>
      <c r="K1032" s="438">
        <f t="shared" si="184"/>
        <v>-5.7983333333333331E-2</v>
      </c>
      <c r="L1032" s="438">
        <f t="shared" si="185"/>
        <v>1.6479666666666667E-2</v>
      </c>
      <c r="M1032" s="446">
        <f t="shared" si="181"/>
        <v>0.18492247165874409</v>
      </c>
      <c r="N1032" s="446">
        <f t="shared" si="182"/>
        <v>4.0799999999999996E-2</v>
      </c>
      <c r="O1032" s="446">
        <f t="shared" si="186"/>
        <v>4.4200000000000003E-2</v>
      </c>
      <c r="P1032" s="447">
        <f t="shared" si="183"/>
        <v>0.14412247165874409</v>
      </c>
      <c r="Q1032" s="446">
        <f t="shared" si="187"/>
        <v>0.14072247165874407</v>
      </c>
      <c r="R1032" s="446">
        <f t="shared" si="188"/>
        <v>0.14849959200499274</v>
      </c>
      <c r="S1032" s="446">
        <f t="shared" si="189"/>
        <v>4.6900000000000011E-2</v>
      </c>
      <c r="T1032" s="447">
        <f t="shared" si="190"/>
        <v>0.10159959200499273</v>
      </c>
      <c r="V1032" s="448"/>
      <c r="W1032" s="448"/>
      <c r="X1032" s="448"/>
      <c r="Y1032" s="448"/>
      <c r="Z1032" s="448"/>
      <c r="AA1032" s="448"/>
      <c r="AB1032" s="448"/>
      <c r="AC1032" s="448"/>
      <c r="AD1032" s="448"/>
      <c r="AF1032" s="448"/>
      <c r="AG1032" s="448"/>
      <c r="AH1032" s="448"/>
      <c r="AI1032" s="448"/>
      <c r="AJ1032" s="448"/>
      <c r="AK1032" s="448"/>
      <c r="AL1032" s="448"/>
      <c r="AM1032" s="448"/>
      <c r="AN1032" s="448"/>
      <c r="AP1032" s="448"/>
      <c r="AQ1032" s="448"/>
      <c r="AR1032" s="448"/>
      <c r="AS1032" s="448"/>
      <c r="AT1032" s="448"/>
      <c r="AU1032" s="448"/>
      <c r="AV1032" s="448"/>
      <c r="AW1032" s="448"/>
      <c r="AX1032" s="448"/>
    </row>
    <row r="1033" spans="1:50" x14ac:dyDescent="0.4">
      <c r="A1033" s="442" t="str">
        <f t="shared" si="191"/>
        <v>92011</v>
      </c>
      <c r="B1033" s="442">
        <v>40787</v>
      </c>
      <c r="C1033" s="438">
        <v>-7.0300000000000001E-2</v>
      </c>
      <c r="D1033" s="438">
        <v>2.271E-3</v>
      </c>
      <c r="E1033" s="438">
        <v>2.5999999999999999E-3</v>
      </c>
      <c r="F1033" s="438">
        <v>3.4083333333333331E-3</v>
      </c>
      <c r="G1033" s="438">
        <v>3.5250000000000004E-3</v>
      </c>
      <c r="H1033" s="438">
        <v>3.4666666666666669E-3</v>
      </c>
      <c r="I1033" s="438">
        <v>3.7333333333333333E-3</v>
      </c>
      <c r="J1033" s="438">
        <f t="shared" si="192"/>
        <v>-7.2900000000000006E-2</v>
      </c>
      <c r="K1033" s="438">
        <f t="shared" si="184"/>
        <v>-7.3766666666666675E-2</v>
      </c>
      <c r="L1033" s="438">
        <f t="shared" si="185"/>
        <v>-1.4623333333333333E-3</v>
      </c>
      <c r="M1033" s="446">
        <f t="shared" si="181"/>
        <v>1.1405088047314438E-2</v>
      </c>
      <c r="N1033" s="446">
        <f t="shared" si="182"/>
        <v>3.1199999999999999E-2</v>
      </c>
      <c r="O1033" s="446">
        <f t="shared" si="186"/>
        <v>4.1600000000000005E-2</v>
      </c>
      <c r="P1033" s="447">
        <f t="shared" si="183"/>
        <v>-1.9794911952685561E-2</v>
      </c>
      <c r="Q1033" s="446">
        <f t="shared" si="187"/>
        <v>-3.0194911952685567E-2</v>
      </c>
      <c r="R1033" s="446">
        <f t="shared" si="188"/>
        <v>0.11804174982729365</v>
      </c>
      <c r="S1033" s="446">
        <f t="shared" si="189"/>
        <v>4.48E-2</v>
      </c>
      <c r="T1033" s="447">
        <f t="shared" si="190"/>
        <v>7.3241749827293645E-2</v>
      </c>
      <c r="V1033" s="448"/>
      <c r="W1033" s="448"/>
      <c r="X1033" s="448"/>
      <c r="Y1033" s="448"/>
      <c r="Z1033" s="448"/>
      <c r="AA1033" s="448"/>
      <c r="AB1033" s="448"/>
      <c r="AC1033" s="448"/>
      <c r="AD1033" s="448"/>
      <c r="AF1033" s="448"/>
      <c r="AG1033" s="448"/>
      <c r="AH1033" s="448"/>
      <c r="AI1033" s="448"/>
      <c r="AJ1033" s="448"/>
      <c r="AK1033" s="448"/>
      <c r="AL1033" s="448"/>
      <c r="AM1033" s="448"/>
      <c r="AN1033" s="448"/>
      <c r="AP1033" s="448"/>
      <c r="AQ1033" s="448"/>
      <c r="AR1033" s="448"/>
      <c r="AS1033" s="448"/>
      <c r="AT1033" s="448"/>
      <c r="AU1033" s="448"/>
      <c r="AV1033" s="448"/>
      <c r="AW1033" s="448"/>
      <c r="AX1033" s="448"/>
    </row>
    <row r="1034" spans="1:50" x14ac:dyDescent="0.4">
      <c r="A1034" s="442" t="str">
        <f t="shared" si="191"/>
        <v>102011</v>
      </c>
      <c r="B1034" s="442">
        <v>40817</v>
      </c>
      <c r="C1034" s="438">
        <v>0.10929999999999999</v>
      </c>
      <c r="D1034" s="438">
        <v>3.8747000000000004E-2</v>
      </c>
      <c r="E1034" s="438">
        <v>2.2000000000000001E-3</v>
      </c>
      <c r="F1034" s="438">
        <v>3.3166666666666665E-3</v>
      </c>
      <c r="G1034" s="438">
        <v>3.4666666666666669E-3</v>
      </c>
      <c r="H1034" s="438">
        <v>3.3916666666666665E-3</v>
      </c>
      <c r="I1034" s="438">
        <v>3.7666666666666664E-3</v>
      </c>
      <c r="J1034" s="438">
        <f t="shared" si="192"/>
        <v>0.1071</v>
      </c>
      <c r="K1034" s="438">
        <f t="shared" si="184"/>
        <v>0.10590833333333333</v>
      </c>
      <c r="L1034" s="438">
        <f t="shared" si="185"/>
        <v>3.4980333333333335E-2</v>
      </c>
      <c r="M1034" s="446">
        <f t="shared" si="181"/>
        <v>8.0878289181970597E-2</v>
      </c>
      <c r="N1034" s="446">
        <f t="shared" si="182"/>
        <v>2.64E-2</v>
      </c>
      <c r="O1034" s="446">
        <f t="shared" si="186"/>
        <v>4.07E-2</v>
      </c>
      <c r="P1034" s="447">
        <f t="shared" si="183"/>
        <v>5.4478289181970597E-2</v>
      </c>
      <c r="Q1034" s="446">
        <f t="shared" si="187"/>
        <v>4.0178289181970597E-2</v>
      </c>
      <c r="R1034" s="446">
        <f t="shared" si="188"/>
        <v>0.1466068302098813</v>
      </c>
      <c r="S1034" s="446">
        <f t="shared" si="189"/>
        <v>4.5199999999999997E-2</v>
      </c>
      <c r="T1034" s="447">
        <f t="shared" si="190"/>
        <v>0.10140683020988131</v>
      </c>
      <c r="V1034" s="448"/>
      <c r="W1034" s="448"/>
      <c r="X1034" s="448"/>
      <c r="Y1034" s="448"/>
      <c r="Z1034" s="448"/>
      <c r="AA1034" s="448"/>
      <c r="AB1034" s="448"/>
      <c r="AC1034" s="448"/>
      <c r="AD1034" s="448"/>
      <c r="AF1034" s="448"/>
      <c r="AG1034" s="448"/>
      <c r="AH1034" s="448"/>
      <c r="AI1034" s="448"/>
      <c r="AJ1034" s="448"/>
      <c r="AK1034" s="448"/>
      <c r="AL1034" s="448"/>
      <c r="AM1034" s="448"/>
      <c r="AN1034" s="448"/>
      <c r="AP1034" s="448"/>
      <c r="AQ1034" s="448"/>
      <c r="AR1034" s="448"/>
      <c r="AS1034" s="448"/>
      <c r="AT1034" s="448"/>
      <c r="AU1034" s="448"/>
      <c r="AV1034" s="448"/>
      <c r="AW1034" s="448"/>
      <c r="AX1034" s="448"/>
    </row>
    <row r="1035" spans="1:50" x14ac:dyDescent="0.4">
      <c r="A1035" s="442" t="str">
        <f t="shared" si="191"/>
        <v>112011</v>
      </c>
      <c r="B1035" s="442">
        <v>40848</v>
      </c>
      <c r="C1035" s="438">
        <v>-2.2000000000000001E-3</v>
      </c>
      <c r="D1035" s="438">
        <v>8.0140000000000003E-3</v>
      </c>
      <c r="E1035" s="438">
        <v>2.3999999999999998E-3</v>
      </c>
      <c r="F1035" s="438">
        <v>3.225E-3</v>
      </c>
      <c r="G1035" s="438">
        <v>3.3083333333333337E-3</v>
      </c>
      <c r="H1035" s="438">
        <v>3.2666666666666664E-3</v>
      </c>
      <c r="I1035" s="438">
        <v>3.5416666666666669E-3</v>
      </c>
      <c r="J1035" s="438">
        <f t="shared" si="192"/>
        <v>-4.5999999999999999E-3</v>
      </c>
      <c r="K1035" s="438">
        <f t="shared" si="184"/>
        <v>-5.4666666666666665E-3</v>
      </c>
      <c r="L1035" s="438">
        <f t="shared" si="185"/>
        <v>4.4723333333333334E-3</v>
      </c>
      <c r="M1035" s="446">
        <f t="shared" si="181"/>
        <v>7.8392517694001018E-2</v>
      </c>
      <c r="N1035" s="446">
        <f t="shared" si="182"/>
        <v>2.8799999999999999E-2</v>
      </c>
      <c r="O1035" s="446">
        <f t="shared" si="186"/>
        <v>3.9199999999999999E-2</v>
      </c>
      <c r="P1035" s="447">
        <f t="shared" si="183"/>
        <v>4.9592517694001019E-2</v>
      </c>
      <c r="Q1035" s="446">
        <f t="shared" si="187"/>
        <v>3.9192517694001019E-2</v>
      </c>
      <c r="R1035" s="446">
        <f t="shared" si="188"/>
        <v>0.19440240632688721</v>
      </c>
      <c r="S1035" s="446">
        <f t="shared" si="189"/>
        <v>4.2500000000000003E-2</v>
      </c>
      <c r="T1035" s="447">
        <f t="shared" si="190"/>
        <v>0.1519024063268872</v>
      </c>
      <c r="V1035" s="448"/>
      <c r="W1035" s="448"/>
      <c r="X1035" s="448"/>
      <c r="Y1035" s="448"/>
      <c r="Z1035" s="448"/>
      <c r="AA1035" s="448"/>
      <c r="AB1035" s="448"/>
      <c r="AC1035" s="448"/>
      <c r="AD1035" s="448"/>
      <c r="AF1035" s="448"/>
      <c r="AG1035" s="448"/>
      <c r="AH1035" s="448"/>
      <c r="AI1035" s="448"/>
      <c r="AJ1035" s="448"/>
      <c r="AK1035" s="448"/>
      <c r="AL1035" s="448"/>
      <c r="AM1035" s="448"/>
      <c r="AN1035" s="448"/>
      <c r="AP1035" s="448"/>
      <c r="AQ1035" s="448"/>
      <c r="AR1035" s="448"/>
      <c r="AS1035" s="448"/>
      <c r="AT1035" s="448"/>
      <c r="AU1035" s="448"/>
      <c r="AV1035" s="448"/>
      <c r="AW1035" s="448"/>
      <c r="AX1035" s="448"/>
    </row>
    <row r="1036" spans="1:50" x14ac:dyDescent="0.4">
      <c r="A1036" s="442" t="str">
        <f t="shared" si="191"/>
        <v>122011</v>
      </c>
      <c r="B1036" s="442">
        <v>40878</v>
      </c>
      <c r="C1036" s="438">
        <v>1.0200000000000001E-2</v>
      </c>
      <c r="D1036" s="438">
        <v>3.3766999999999998E-2</v>
      </c>
      <c r="E1036" s="438">
        <v>2.2000000000000001E-3</v>
      </c>
      <c r="F1036" s="438">
        <v>3.2750000000000001E-3</v>
      </c>
      <c r="G1036" s="438">
        <v>3.3583333333333338E-3</v>
      </c>
      <c r="H1036" s="438">
        <v>3.3166666666666665E-3</v>
      </c>
      <c r="I1036" s="438">
        <v>3.6083333333333332E-3</v>
      </c>
      <c r="J1036" s="438">
        <f t="shared" si="192"/>
        <v>8.0000000000000002E-3</v>
      </c>
      <c r="K1036" s="438">
        <f t="shared" si="184"/>
        <v>6.8833333333333342E-3</v>
      </c>
      <c r="L1036" s="438">
        <f t="shared" si="185"/>
        <v>3.0158666666666667E-2</v>
      </c>
      <c r="M1036" s="446">
        <f t="shared" si="181"/>
        <v>2.1177466605249329E-2</v>
      </c>
      <c r="N1036" s="446">
        <f t="shared" si="182"/>
        <v>2.64E-2</v>
      </c>
      <c r="O1036" s="446">
        <f t="shared" si="186"/>
        <v>3.9800000000000002E-2</v>
      </c>
      <c r="P1036" s="447">
        <f t="shared" si="183"/>
        <v>-5.2225333947506711E-3</v>
      </c>
      <c r="Q1036" s="446">
        <f t="shared" si="187"/>
        <v>-1.8622533394750673E-2</v>
      </c>
      <c r="R1036" s="446">
        <f t="shared" si="188"/>
        <v>0.19743257038137663</v>
      </c>
      <c r="S1036" s="446">
        <f t="shared" si="189"/>
        <v>4.3299999999999998E-2</v>
      </c>
      <c r="T1036" s="447">
        <f t="shared" si="190"/>
        <v>0.15413257038137662</v>
      </c>
      <c r="V1036" s="448"/>
      <c r="W1036" s="448"/>
      <c r="X1036" s="448"/>
      <c r="Y1036" s="448"/>
      <c r="Z1036" s="448"/>
      <c r="AA1036" s="448"/>
      <c r="AB1036" s="448"/>
      <c r="AC1036" s="448"/>
      <c r="AD1036" s="448"/>
      <c r="AF1036" s="448"/>
      <c r="AG1036" s="448"/>
      <c r="AH1036" s="448"/>
      <c r="AI1036" s="448"/>
      <c r="AJ1036" s="448"/>
      <c r="AK1036" s="448"/>
      <c r="AL1036" s="448"/>
      <c r="AM1036" s="448"/>
      <c r="AN1036" s="448"/>
      <c r="AP1036" s="448"/>
      <c r="AQ1036" s="448"/>
      <c r="AR1036" s="448"/>
      <c r="AS1036" s="448"/>
      <c r="AT1036" s="448"/>
      <c r="AU1036" s="448"/>
      <c r="AV1036" s="448"/>
      <c r="AW1036" s="448"/>
      <c r="AX1036" s="448"/>
    </row>
    <row r="1037" spans="1:50" x14ac:dyDescent="0.4">
      <c r="A1037" s="442" t="str">
        <f t="shared" si="191"/>
        <v>12012</v>
      </c>
      <c r="B1037" s="442">
        <v>40909</v>
      </c>
      <c r="C1037" s="438">
        <v>4.48E-2</v>
      </c>
      <c r="D1037" s="438">
        <v>-3.3237000000000003E-2</v>
      </c>
      <c r="E1037" s="438">
        <v>2.0999999999999999E-3</v>
      </c>
      <c r="F1037" s="438">
        <v>3.3416666666666668E-3</v>
      </c>
      <c r="G1037" s="438">
        <v>3.3416666666666668E-3</v>
      </c>
      <c r="H1037" s="438">
        <v>3.3416666666666668E-3</v>
      </c>
      <c r="I1037" s="438">
        <v>3.6166666666666665E-3</v>
      </c>
      <c r="J1037" s="438">
        <f t="shared" si="192"/>
        <v>4.2700000000000002E-2</v>
      </c>
      <c r="K1037" s="438">
        <f t="shared" si="184"/>
        <v>4.1458333333333333E-2</v>
      </c>
      <c r="L1037" s="438">
        <f t="shared" si="185"/>
        <v>-3.6853666666666667E-2</v>
      </c>
      <c r="M1037" s="446">
        <f t="shared" si="181"/>
        <v>4.2225473389825297E-2</v>
      </c>
      <c r="N1037" s="446">
        <f t="shared" si="182"/>
        <v>2.52E-2</v>
      </c>
      <c r="O1037" s="446">
        <f t="shared" si="186"/>
        <v>4.0100000000000004E-2</v>
      </c>
      <c r="P1037" s="447">
        <f t="shared" si="183"/>
        <v>1.7025473389825296E-2</v>
      </c>
      <c r="Q1037" s="446">
        <f t="shared" si="187"/>
        <v>2.1254733898252928E-3</v>
      </c>
      <c r="R1037" s="446">
        <f t="shared" si="188"/>
        <v>0.14137912393564389</v>
      </c>
      <c r="S1037" s="446">
        <f t="shared" si="189"/>
        <v>4.3399999999999994E-2</v>
      </c>
      <c r="T1037" s="447">
        <f t="shared" si="190"/>
        <v>9.7979123935643897E-2</v>
      </c>
      <c r="V1037" s="448"/>
      <c r="W1037" s="448"/>
      <c r="X1037" s="448"/>
      <c r="Y1037" s="448"/>
      <c r="Z1037" s="448"/>
      <c r="AA1037" s="448"/>
      <c r="AB1037" s="448"/>
      <c r="AC1037" s="448"/>
      <c r="AD1037" s="448"/>
      <c r="AF1037" s="448"/>
      <c r="AG1037" s="448"/>
      <c r="AH1037" s="448"/>
      <c r="AI1037" s="448"/>
      <c r="AJ1037" s="448"/>
      <c r="AK1037" s="448"/>
      <c r="AL1037" s="448"/>
      <c r="AM1037" s="448"/>
      <c r="AN1037" s="448"/>
      <c r="AP1037" s="448"/>
      <c r="AQ1037" s="448"/>
      <c r="AR1037" s="448"/>
      <c r="AS1037" s="448"/>
      <c r="AT1037" s="448"/>
      <c r="AU1037" s="448"/>
      <c r="AV1037" s="448"/>
      <c r="AW1037" s="448"/>
      <c r="AX1037" s="448"/>
    </row>
    <row r="1038" spans="1:50" x14ac:dyDescent="0.4">
      <c r="A1038" s="442" t="str">
        <f t="shared" si="191"/>
        <v>22012</v>
      </c>
      <c r="B1038" s="442">
        <v>40940</v>
      </c>
      <c r="C1038" s="438">
        <v>4.3200000000000002E-2</v>
      </c>
      <c r="D1038" s="438">
        <v>3.4509999999999996E-3</v>
      </c>
      <c r="E1038" s="438">
        <v>2E-3</v>
      </c>
      <c r="F1038" s="438">
        <v>3.3250000000000003E-3</v>
      </c>
      <c r="G1038" s="438">
        <v>3.3250000000000003E-3</v>
      </c>
      <c r="H1038" s="438">
        <v>3.3250000000000003E-3</v>
      </c>
      <c r="I1038" s="438">
        <v>3.6333333333333335E-3</v>
      </c>
      <c r="J1038" s="438">
        <f t="shared" si="192"/>
        <v>4.1200000000000001E-2</v>
      </c>
      <c r="K1038" s="438">
        <f t="shared" si="184"/>
        <v>3.9875000000000001E-2</v>
      </c>
      <c r="L1038" s="438">
        <f t="shared" si="185"/>
        <v>-1.8233333333333383E-4</v>
      </c>
      <c r="M1038" s="446">
        <f t="shared" si="181"/>
        <v>5.1193670927454082E-2</v>
      </c>
      <c r="N1038" s="446">
        <f t="shared" si="182"/>
        <v>2.4E-2</v>
      </c>
      <c r="O1038" s="446">
        <f t="shared" si="186"/>
        <v>3.9900000000000005E-2</v>
      </c>
      <c r="P1038" s="447">
        <f t="shared" si="183"/>
        <v>2.7193670927454082E-2</v>
      </c>
      <c r="Q1038" s="446">
        <f t="shared" si="187"/>
        <v>1.1293670927454078E-2</v>
      </c>
      <c r="R1038" s="446">
        <f t="shared" si="188"/>
        <v>0.13259333714947141</v>
      </c>
      <c r="S1038" s="446">
        <f t="shared" si="189"/>
        <v>4.36E-2</v>
      </c>
      <c r="T1038" s="447">
        <f t="shared" si="190"/>
        <v>8.8993337149471413E-2</v>
      </c>
      <c r="V1038" s="448"/>
      <c r="W1038" s="448"/>
      <c r="X1038" s="448"/>
      <c r="Y1038" s="448"/>
      <c r="Z1038" s="448"/>
      <c r="AA1038" s="448"/>
      <c r="AB1038" s="448"/>
      <c r="AC1038" s="448"/>
      <c r="AD1038" s="448"/>
      <c r="AF1038" s="448"/>
      <c r="AG1038" s="448"/>
      <c r="AH1038" s="448"/>
      <c r="AI1038" s="448"/>
      <c r="AJ1038" s="448"/>
      <c r="AK1038" s="448"/>
      <c r="AL1038" s="448"/>
      <c r="AM1038" s="448"/>
      <c r="AN1038" s="448"/>
      <c r="AP1038" s="448"/>
      <c r="AQ1038" s="448"/>
      <c r="AR1038" s="448"/>
      <c r="AS1038" s="448"/>
      <c r="AT1038" s="448"/>
      <c r="AU1038" s="448"/>
      <c r="AV1038" s="448"/>
      <c r="AW1038" s="448"/>
      <c r="AX1038" s="448"/>
    </row>
    <row r="1039" spans="1:50" x14ac:dyDescent="0.4">
      <c r="A1039" s="442" t="str">
        <f t="shared" si="191"/>
        <v>32012</v>
      </c>
      <c r="B1039" s="442">
        <v>40969</v>
      </c>
      <c r="C1039" s="438">
        <v>3.2899999999999999E-2</v>
      </c>
      <c r="D1039" s="438">
        <v>1.372E-2</v>
      </c>
      <c r="E1039" s="438">
        <v>2.2000000000000001E-3</v>
      </c>
      <c r="F1039" s="438">
        <v>3.3249999999999998E-3</v>
      </c>
      <c r="G1039" s="438">
        <v>3.4499999999999999E-3</v>
      </c>
      <c r="H1039" s="438">
        <v>3.3874999999999999E-3</v>
      </c>
      <c r="I1039" s="438">
        <v>3.7333333333333333E-3</v>
      </c>
      <c r="J1039" s="438">
        <f t="shared" si="192"/>
        <v>3.0699999999999998E-2</v>
      </c>
      <c r="K1039" s="438">
        <f t="shared" si="184"/>
        <v>2.9512499999999997E-2</v>
      </c>
      <c r="L1039" s="438">
        <f t="shared" si="185"/>
        <v>9.9866666666666663E-3</v>
      </c>
      <c r="M1039" s="446">
        <f t="shared" si="181"/>
        <v>8.5343805178895948E-2</v>
      </c>
      <c r="N1039" s="446">
        <f t="shared" si="182"/>
        <v>2.64E-2</v>
      </c>
      <c r="O1039" s="446">
        <f t="shared" si="186"/>
        <v>4.0649999999999999E-2</v>
      </c>
      <c r="P1039" s="447">
        <f t="shared" si="183"/>
        <v>5.8943805178895949E-2</v>
      </c>
      <c r="Q1039" s="446">
        <f t="shared" si="187"/>
        <v>4.469380517889595E-2</v>
      </c>
      <c r="R1039" s="446">
        <f t="shared" si="188"/>
        <v>0.1464426612524754</v>
      </c>
      <c r="S1039" s="446">
        <f t="shared" si="189"/>
        <v>4.48E-2</v>
      </c>
      <c r="T1039" s="447">
        <f t="shared" si="190"/>
        <v>0.1016426612524754</v>
      </c>
      <c r="V1039" s="448"/>
      <c r="W1039" s="448"/>
      <c r="X1039" s="448"/>
      <c r="Y1039" s="448"/>
      <c r="Z1039" s="448"/>
      <c r="AA1039" s="448"/>
      <c r="AB1039" s="448"/>
      <c r="AC1039" s="448"/>
      <c r="AD1039" s="448"/>
      <c r="AF1039" s="448"/>
      <c r="AG1039" s="448"/>
      <c r="AH1039" s="448"/>
      <c r="AI1039" s="448"/>
      <c r="AJ1039" s="448"/>
      <c r="AK1039" s="448"/>
      <c r="AL1039" s="448"/>
      <c r="AM1039" s="448"/>
      <c r="AN1039" s="448"/>
      <c r="AP1039" s="448"/>
      <c r="AQ1039" s="448"/>
      <c r="AR1039" s="448"/>
      <c r="AS1039" s="448"/>
      <c r="AT1039" s="448"/>
      <c r="AU1039" s="448"/>
      <c r="AV1039" s="448"/>
      <c r="AW1039" s="448"/>
      <c r="AX1039" s="448"/>
    </row>
    <row r="1040" spans="1:50" x14ac:dyDescent="0.4">
      <c r="A1040" s="442" t="str">
        <f t="shared" si="191"/>
        <v>42012</v>
      </c>
      <c r="B1040" s="442">
        <v>41000</v>
      </c>
      <c r="C1040" s="438">
        <v>-6.3E-3</v>
      </c>
      <c r="D1040" s="438">
        <v>2.1237000000000002E-2</v>
      </c>
      <c r="E1040" s="438">
        <v>2.5000000000000001E-3</v>
      </c>
      <c r="F1040" s="438">
        <v>3.3000000000000004E-3</v>
      </c>
      <c r="G1040" s="438">
        <v>3.4000000000000002E-3</v>
      </c>
      <c r="H1040" s="438">
        <v>3.3500000000000005E-3</v>
      </c>
      <c r="I1040" s="438">
        <v>3.6666666666666666E-3</v>
      </c>
      <c r="J1040" s="438">
        <f t="shared" si="192"/>
        <v>-8.8000000000000005E-3</v>
      </c>
      <c r="K1040" s="438">
        <f t="shared" si="184"/>
        <v>-9.6500000000000006E-3</v>
      </c>
      <c r="L1040" s="438">
        <f t="shared" si="185"/>
        <v>1.7570333333333337E-2</v>
      </c>
      <c r="M1040" s="446">
        <f t="shared" ref="M1040:M1103" si="193">((1+C1029)*(1+C1030)*(1+C1031)*(1+C1032)*(1+C1033)*(1+C1034)*(1+C1035)*(1+C1036)*(1+C1037)*(1+C1038)*(1+C1039)*(1+C1040))-1</f>
        <v>4.750013520422347E-2</v>
      </c>
      <c r="N1040" s="446">
        <f t="shared" ref="N1040:N1103" si="194">E1040*12</f>
        <v>0.03</v>
      </c>
      <c r="O1040" s="446">
        <f t="shared" si="186"/>
        <v>4.0200000000000007E-2</v>
      </c>
      <c r="P1040" s="447">
        <f t="shared" ref="P1040:P1103" si="195">M1040-N1040</f>
        <v>1.7500135204223471E-2</v>
      </c>
      <c r="Q1040" s="446">
        <f t="shared" si="187"/>
        <v>7.3001352042234638E-3</v>
      </c>
      <c r="R1040" s="446">
        <f t="shared" si="188"/>
        <v>0.12373009512581556</v>
      </c>
      <c r="S1040" s="446">
        <f t="shared" si="189"/>
        <v>4.3999999999999997E-2</v>
      </c>
      <c r="T1040" s="447">
        <f t="shared" si="190"/>
        <v>7.9730095125815567E-2</v>
      </c>
      <c r="V1040" s="448"/>
      <c r="W1040" s="448"/>
      <c r="X1040" s="448"/>
      <c r="Y1040" s="448"/>
      <c r="Z1040" s="448"/>
      <c r="AA1040" s="448"/>
      <c r="AB1040" s="448"/>
      <c r="AC1040" s="448"/>
      <c r="AD1040" s="448"/>
      <c r="AF1040" s="448"/>
      <c r="AG1040" s="448"/>
      <c r="AH1040" s="448"/>
      <c r="AI1040" s="448"/>
      <c r="AJ1040" s="448"/>
      <c r="AK1040" s="448"/>
      <c r="AL1040" s="448"/>
      <c r="AM1040" s="448"/>
      <c r="AN1040" s="448"/>
      <c r="AP1040" s="448"/>
      <c r="AQ1040" s="448"/>
      <c r="AR1040" s="448"/>
      <c r="AS1040" s="448"/>
      <c r="AT1040" s="448"/>
      <c r="AU1040" s="448"/>
      <c r="AV1040" s="448"/>
      <c r="AW1040" s="448"/>
      <c r="AX1040" s="448"/>
    </row>
    <row r="1041" spans="1:50" x14ac:dyDescent="0.4">
      <c r="A1041" s="442" t="str">
        <f t="shared" si="191"/>
        <v>52012</v>
      </c>
      <c r="B1041" s="442">
        <v>41030</v>
      </c>
      <c r="C1041" s="438">
        <v>-6.0100000000000001E-2</v>
      </c>
      <c r="D1041" s="438">
        <v>2.1609999999999997E-3</v>
      </c>
      <c r="E1041" s="438">
        <v>2.3E-3</v>
      </c>
      <c r="F1041" s="438">
        <v>3.1666666666666666E-3</v>
      </c>
      <c r="G1041" s="438">
        <v>3.2583333333333336E-3</v>
      </c>
      <c r="H1041" s="438">
        <v>3.2125000000000001E-3</v>
      </c>
      <c r="I1041" s="438">
        <v>3.5000000000000001E-3</v>
      </c>
      <c r="J1041" s="438">
        <f t="shared" si="192"/>
        <v>-6.2399999999999997E-2</v>
      </c>
      <c r="K1041" s="438">
        <f t="shared" si="184"/>
        <v>-6.3312499999999994E-2</v>
      </c>
      <c r="L1041" s="438">
        <f t="shared" si="185"/>
        <v>-1.3390000000000003E-3</v>
      </c>
      <c r="M1041" s="446">
        <f t="shared" si="193"/>
        <v>-4.2021067275717083E-3</v>
      </c>
      <c r="N1041" s="446">
        <f t="shared" si="194"/>
        <v>2.76E-2</v>
      </c>
      <c r="O1041" s="446">
        <f t="shared" si="186"/>
        <v>3.8550000000000001E-2</v>
      </c>
      <c r="P1041" s="447">
        <f t="shared" si="195"/>
        <v>-3.1802106727571708E-2</v>
      </c>
      <c r="Q1041" s="446">
        <f t="shared" si="187"/>
        <v>-4.2752106727571709E-2</v>
      </c>
      <c r="R1041" s="446">
        <f t="shared" si="188"/>
        <v>0.10434327873328542</v>
      </c>
      <c r="S1041" s="446">
        <f t="shared" si="189"/>
        <v>4.2000000000000003E-2</v>
      </c>
      <c r="T1041" s="447">
        <f t="shared" si="190"/>
        <v>6.2343278733285414E-2</v>
      </c>
      <c r="V1041" s="448"/>
      <c r="W1041" s="448"/>
      <c r="X1041" s="448"/>
      <c r="Y1041" s="448"/>
      <c r="Z1041" s="448"/>
      <c r="AA1041" s="448"/>
      <c r="AB1041" s="448"/>
      <c r="AC1041" s="448"/>
      <c r="AD1041" s="448"/>
      <c r="AF1041" s="448"/>
      <c r="AG1041" s="448"/>
      <c r="AH1041" s="448"/>
      <c r="AI1041" s="448"/>
      <c r="AJ1041" s="448"/>
      <c r="AK1041" s="448"/>
      <c r="AL1041" s="448"/>
      <c r="AM1041" s="448"/>
      <c r="AN1041" s="448"/>
      <c r="AP1041" s="448"/>
      <c r="AQ1041" s="448"/>
      <c r="AR1041" s="448"/>
      <c r="AS1041" s="448"/>
      <c r="AT1041" s="448"/>
      <c r="AU1041" s="448"/>
      <c r="AV1041" s="448"/>
      <c r="AW1041" s="448"/>
      <c r="AX1041" s="448"/>
    </row>
    <row r="1042" spans="1:50" x14ac:dyDescent="0.4">
      <c r="A1042" s="442" t="str">
        <f t="shared" si="191"/>
        <v>62012</v>
      </c>
      <c r="B1042" s="442">
        <v>41061</v>
      </c>
      <c r="C1042" s="438">
        <v>4.1200000000000001E-2</v>
      </c>
      <c r="D1042" s="438">
        <v>4.1003999999999999E-2</v>
      </c>
      <c r="E1042" s="438">
        <v>1.8E-3</v>
      </c>
      <c r="F1042" s="438">
        <v>3.0333333333333336E-3</v>
      </c>
      <c r="G1042" s="438">
        <v>3.15E-3</v>
      </c>
      <c r="H1042" s="438">
        <v>3.091666666666667E-3</v>
      </c>
      <c r="I1042" s="438">
        <v>3.4000000000000002E-3</v>
      </c>
      <c r="J1042" s="438">
        <f t="shared" si="192"/>
        <v>3.9399999999999998E-2</v>
      </c>
      <c r="K1042" s="438">
        <f t="shared" si="184"/>
        <v>3.8108333333333334E-2</v>
      </c>
      <c r="L1042" s="438">
        <f t="shared" si="185"/>
        <v>3.7603999999999999E-2</v>
      </c>
      <c r="M1042" s="446">
        <f t="shared" si="193"/>
        <v>5.4433811120972342E-2</v>
      </c>
      <c r="N1042" s="446">
        <f t="shared" si="194"/>
        <v>2.1600000000000001E-2</v>
      </c>
      <c r="O1042" s="446">
        <f t="shared" si="186"/>
        <v>3.7100000000000008E-2</v>
      </c>
      <c r="P1042" s="447">
        <f t="shared" si="195"/>
        <v>3.2833811120972341E-2</v>
      </c>
      <c r="Q1042" s="446">
        <f t="shared" si="187"/>
        <v>1.7333811120972334E-2</v>
      </c>
      <c r="R1042" s="446">
        <f t="shared" si="188"/>
        <v>0.15110263521544609</v>
      </c>
      <c r="S1042" s="446">
        <f t="shared" si="189"/>
        <v>4.0800000000000003E-2</v>
      </c>
      <c r="T1042" s="447">
        <f t="shared" si="190"/>
        <v>0.11030263521544609</v>
      </c>
      <c r="V1042" s="448"/>
      <c r="W1042" s="448"/>
      <c r="X1042" s="448"/>
      <c r="Y1042" s="448"/>
      <c r="Z1042" s="448"/>
      <c r="AA1042" s="448"/>
      <c r="AB1042" s="448"/>
      <c r="AC1042" s="448"/>
      <c r="AD1042" s="448"/>
      <c r="AF1042" s="448"/>
      <c r="AG1042" s="448"/>
      <c r="AH1042" s="448"/>
      <c r="AI1042" s="448"/>
      <c r="AJ1042" s="448"/>
      <c r="AK1042" s="448"/>
      <c r="AL1042" s="448"/>
      <c r="AM1042" s="448"/>
      <c r="AN1042" s="448"/>
      <c r="AP1042" s="448"/>
      <c r="AQ1042" s="448"/>
      <c r="AR1042" s="448"/>
      <c r="AS1042" s="448"/>
      <c r="AT1042" s="448"/>
      <c r="AU1042" s="448"/>
      <c r="AV1042" s="448"/>
      <c r="AW1042" s="448"/>
      <c r="AX1042" s="448"/>
    </row>
    <row r="1043" spans="1:50" x14ac:dyDescent="0.4">
      <c r="A1043" s="442" t="str">
        <f t="shared" si="191"/>
        <v>72012</v>
      </c>
      <c r="B1043" s="442">
        <v>41091</v>
      </c>
      <c r="C1043" s="438">
        <v>1.3899999999999999E-2</v>
      </c>
      <c r="D1043" s="438">
        <v>2.8439000000000002E-2</v>
      </c>
      <c r="E1043" s="438">
        <v>2E-3</v>
      </c>
      <c r="F1043" s="438">
        <v>2.8333333333333335E-3</v>
      </c>
      <c r="G1043" s="438">
        <v>2.9499999999999999E-3</v>
      </c>
      <c r="H1043" s="438">
        <v>2.8916666666666665E-3</v>
      </c>
      <c r="I1043" s="438">
        <v>3.2750000000000001E-3</v>
      </c>
      <c r="J1043" s="438">
        <f t="shared" si="192"/>
        <v>1.1899999999999999E-2</v>
      </c>
      <c r="K1043" s="438">
        <f t="shared" si="184"/>
        <v>1.1008333333333332E-2</v>
      </c>
      <c r="L1043" s="438">
        <f t="shared" si="185"/>
        <v>2.5164000000000002E-2</v>
      </c>
      <c r="M1043" s="446">
        <f t="shared" si="193"/>
        <v>9.124266724053709E-2</v>
      </c>
      <c r="N1043" s="446">
        <f t="shared" si="194"/>
        <v>2.4E-2</v>
      </c>
      <c r="O1043" s="446">
        <f t="shared" si="186"/>
        <v>3.4699999999999995E-2</v>
      </c>
      <c r="P1043" s="447">
        <f t="shared" si="195"/>
        <v>6.7242667240537096E-2</v>
      </c>
      <c r="Q1043" s="446">
        <f t="shared" si="187"/>
        <v>5.6542667240537095E-2</v>
      </c>
      <c r="R1043" s="446">
        <f t="shared" si="188"/>
        <v>0.19283039860300799</v>
      </c>
      <c r="S1043" s="446">
        <f t="shared" si="189"/>
        <v>3.9300000000000002E-2</v>
      </c>
      <c r="T1043" s="447">
        <f t="shared" si="190"/>
        <v>0.15353039860300799</v>
      </c>
      <c r="V1043" s="448"/>
      <c r="W1043" s="448"/>
      <c r="X1043" s="448"/>
      <c r="Y1043" s="448"/>
      <c r="Z1043" s="448"/>
      <c r="AA1043" s="448"/>
      <c r="AB1043" s="448"/>
      <c r="AC1043" s="448"/>
      <c r="AD1043" s="448"/>
      <c r="AF1043" s="448"/>
      <c r="AG1043" s="448"/>
      <c r="AH1043" s="448"/>
      <c r="AI1043" s="448"/>
      <c r="AJ1043" s="448"/>
      <c r="AK1043" s="448"/>
      <c r="AL1043" s="448"/>
      <c r="AM1043" s="448"/>
      <c r="AN1043" s="448"/>
      <c r="AP1043" s="448"/>
      <c r="AQ1043" s="448"/>
      <c r="AR1043" s="448"/>
      <c r="AS1043" s="448"/>
      <c r="AT1043" s="448"/>
      <c r="AU1043" s="448"/>
      <c r="AV1043" s="448"/>
      <c r="AW1043" s="448"/>
      <c r="AX1043" s="448"/>
    </row>
    <row r="1044" spans="1:50" x14ac:dyDescent="0.4">
      <c r="A1044" s="442" t="str">
        <f t="shared" si="191"/>
        <v>82012</v>
      </c>
      <c r="B1044" s="442">
        <v>41122</v>
      </c>
      <c r="C1044" s="438">
        <v>2.2499999999999999E-2</v>
      </c>
      <c r="D1044" s="438">
        <v>-4.4720999999999997E-2</v>
      </c>
      <c r="E1044" s="438">
        <v>1.8E-3</v>
      </c>
      <c r="F1044" s="438">
        <v>2.8999999999999998E-3</v>
      </c>
      <c r="G1044" s="438">
        <v>3.0083333333333333E-3</v>
      </c>
      <c r="H1044" s="438">
        <v>2.9541666666666666E-3</v>
      </c>
      <c r="I1044" s="438">
        <v>3.3333333333333335E-3</v>
      </c>
      <c r="J1044" s="438">
        <f t="shared" si="192"/>
        <v>2.07E-2</v>
      </c>
      <c r="K1044" s="438">
        <f t="shared" si="184"/>
        <v>1.9545833333333332E-2</v>
      </c>
      <c r="L1044" s="438">
        <f t="shared" si="185"/>
        <v>-4.8054333333333331E-2</v>
      </c>
      <c r="M1044" s="446">
        <f t="shared" si="193"/>
        <v>0.17986214153901736</v>
      </c>
      <c r="N1044" s="446">
        <f t="shared" si="194"/>
        <v>2.1600000000000001E-2</v>
      </c>
      <c r="O1044" s="446">
        <f t="shared" si="186"/>
        <v>3.5449999999999995E-2</v>
      </c>
      <c r="P1044" s="447">
        <f t="shared" si="195"/>
        <v>0.15826214153901735</v>
      </c>
      <c r="Q1044" s="446">
        <f t="shared" si="187"/>
        <v>0.14441214153901738</v>
      </c>
      <c r="R1044" s="446">
        <f t="shared" si="188"/>
        <v>0.11671818009138035</v>
      </c>
      <c r="S1044" s="446">
        <f t="shared" si="189"/>
        <v>0.04</v>
      </c>
      <c r="T1044" s="447">
        <f t="shared" si="190"/>
        <v>7.6718180091380345E-2</v>
      </c>
      <c r="V1044" s="448"/>
      <c r="W1044" s="448"/>
      <c r="X1044" s="448"/>
      <c r="Y1044" s="448"/>
      <c r="Z1044" s="448"/>
      <c r="AA1044" s="448"/>
      <c r="AB1044" s="448"/>
      <c r="AC1044" s="448"/>
      <c r="AD1044" s="448"/>
      <c r="AF1044" s="448"/>
      <c r="AG1044" s="448"/>
      <c r="AH1044" s="448"/>
      <c r="AI1044" s="448"/>
      <c r="AJ1044" s="448"/>
      <c r="AK1044" s="448"/>
      <c r="AL1044" s="448"/>
      <c r="AM1044" s="448"/>
      <c r="AN1044" s="448"/>
      <c r="AP1044" s="448"/>
      <c r="AQ1044" s="448"/>
      <c r="AR1044" s="448"/>
      <c r="AS1044" s="448"/>
      <c r="AT1044" s="448"/>
      <c r="AU1044" s="448"/>
      <c r="AV1044" s="448"/>
      <c r="AW1044" s="448"/>
      <c r="AX1044" s="448"/>
    </row>
    <row r="1045" spans="1:50" x14ac:dyDescent="0.4">
      <c r="A1045" s="442" t="str">
        <f t="shared" si="191"/>
        <v>92012</v>
      </c>
      <c r="B1045" s="442">
        <v>41153</v>
      </c>
      <c r="C1045" s="438">
        <v>2.58E-2</v>
      </c>
      <c r="D1045" s="438">
        <v>1.2281E-2</v>
      </c>
      <c r="E1045" s="438">
        <v>1.6999999999999999E-3</v>
      </c>
      <c r="F1045" s="438">
        <v>2.9083333333333335E-3</v>
      </c>
      <c r="G1045" s="438">
        <v>3.0666666666666668E-3</v>
      </c>
      <c r="H1045" s="438">
        <v>2.9875000000000001E-3</v>
      </c>
      <c r="I1045" s="438">
        <v>3.3500000000000001E-3</v>
      </c>
      <c r="J1045" s="438">
        <f t="shared" si="192"/>
        <v>2.41E-2</v>
      </c>
      <c r="K1045" s="438">
        <f t="shared" si="184"/>
        <v>2.2812499999999999E-2</v>
      </c>
      <c r="L1045" s="438">
        <f t="shared" si="185"/>
        <v>8.9309999999999997E-3</v>
      </c>
      <c r="M1045" s="446">
        <f t="shared" si="193"/>
        <v>0.30182057092688419</v>
      </c>
      <c r="N1045" s="446">
        <f t="shared" si="194"/>
        <v>2.0399999999999998E-2</v>
      </c>
      <c r="O1045" s="446">
        <f t="shared" si="186"/>
        <v>3.585E-2</v>
      </c>
      <c r="P1045" s="447">
        <f t="shared" si="195"/>
        <v>0.28142057092688422</v>
      </c>
      <c r="Q1045" s="446">
        <f t="shared" si="187"/>
        <v>0.2659705709268842</v>
      </c>
      <c r="R1045" s="446">
        <f t="shared" si="188"/>
        <v>0.12787120056459966</v>
      </c>
      <c r="S1045" s="446">
        <f t="shared" si="189"/>
        <v>4.02E-2</v>
      </c>
      <c r="T1045" s="447">
        <f t="shared" si="190"/>
        <v>8.7671200564599663E-2</v>
      </c>
      <c r="V1045" s="448"/>
      <c r="W1045" s="448"/>
      <c r="X1045" s="448"/>
      <c r="Y1045" s="448"/>
      <c r="Z1045" s="448"/>
      <c r="AA1045" s="448"/>
      <c r="AB1045" s="448"/>
      <c r="AC1045" s="448"/>
      <c r="AD1045" s="448"/>
      <c r="AF1045" s="448"/>
      <c r="AG1045" s="448"/>
      <c r="AH1045" s="448"/>
      <c r="AI1045" s="448"/>
      <c r="AJ1045" s="448"/>
      <c r="AK1045" s="448"/>
      <c r="AL1045" s="448"/>
      <c r="AM1045" s="448"/>
      <c r="AN1045" s="448"/>
      <c r="AP1045" s="448"/>
      <c r="AQ1045" s="448"/>
      <c r="AR1045" s="448"/>
      <c r="AS1045" s="448"/>
      <c r="AT1045" s="448"/>
      <c r="AU1045" s="448"/>
      <c r="AV1045" s="448"/>
      <c r="AW1045" s="448"/>
      <c r="AX1045" s="448"/>
    </row>
    <row r="1046" spans="1:50" x14ac:dyDescent="0.4">
      <c r="A1046" s="442" t="str">
        <f t="shared" si="191"/>
        <v>102012</v>
      </c>
      <c r="B1046" s="442">
        <v>41183</v>
      </c>
      <c r="C1046" s="438">
        <v>-1.8499999999999999E-2</v>
      </c>
      <c r="D1046" s="438">
        <v>1.7240000000000002E-2</v>
      </c>
      <c r="E1046" s="438">
        <v>2.0999999999999999E-3</v>
      </c>
      <c r="F1046" s="438">
        <v>2.891666666666667E-3</v>
      </c>
      <c r="G1046" s="438">
        <v>3.0249999999999999E-3</v>
      </c>
      <c r="H1046" s="438">
        <v>2.9583333333333336E-3</v>
      </c>
      <c r="I1046" s="438">
        <v>3.2583333333333336E-3</v>
      </c>
      <c r="J1046" s="438">
        <f t="shared" si="192"/>
        <v>-2.06E-2</v>
      </c>
      <c r="K1046" s="438">
        <f t="shared" si="184"/>
        <v>-2.1458333333333333E-2</v>
      </c>
      <c r="L1046" s="438">
        <f t="shared" si="185"/>
        <v>1.3981666666666668E-2</v>
      </c>
      <c r="M1046" s="446">
        <f t="shared" si="193"/>
        <v>0.15184070167198871</v>
      </c>
      <c r="N1046" s="446">
        <f t="shared" si="194"/>
        <v>2.52E-2</v>
      </c>
      <c r="O1046" s="446">
        <f t="shared" si="186"/>
        <v>3.5500000000000004E-2</v>
      </c>
      <c r="P1046" s="447">
        <f t="shared" si="195"/>
        <v>0.12664070167198871</v>
      </c>
      <c r="Q1046" s="446">
        <f t="shared" si="187"/>
        <v>0.11634070167198871</v>
      </c>
      <c r="R1046" s="446">
        <f t="shared" si="188"/>
        <v>0.10451890601112068</v>
      </c>
      <c r="S1046" s="446">
        <f t="shared" si="189"/>
        <v>3.9100000000000003E-2</v>
      </c>
      <c r="T1046" s="447">
        <f t="shared" si="190"/>
        <v>6.5418906011120687E-2</v>
      </c>
      <c r="V1046" s="448"/>
      <c r="W1046" s="448"/>
      <c r="X1046" s="448"/>
      <c r="Y1046" s="448"/>
      <c r="Z1046" s="448"/>
      <c r="AA1046" s="448"/>
      <c r="AB1046" s="448"/>
      <c r="AC1046" s="448"/>
      <c r="AD1046" s="448"/>
      <c r="AF1046" s="448"/>
      <c r="AG1046" s="448"/>
      <c r="AH1046" s="448"/>
      <c r="AI1046" s="448"/>
      <c r="AJ1046" s="448"/>
      <c r="AK1046" s="448"/>
      <c r="AL1046" s="448"/>
      <c r="AM1046" s="448"/>
      <c r="AN1046" s="448"/>
      <c r="AP1046" s="448"/>
      <c r="AQ1046" s="448"/>
      <c r="AR1046" s="448"/>
      <c r="AS1046" s="448"/>
      <c r="AT1046" s="448"/>
      <c r="AU1046" s="448"/>
      <c r="AV1046" s="448"/>
      <c r="AW1046" s="448"/>
      <c r="AX1046" s="448"/>
    </row>
    <row r="1047" spans="1:50" x14ac:dyDescent="0.4">
      <c r="A1047" s="442" t="str">
        <f t="shared" si="191"/>
        <v>112012</v>
      </c>
      <c r="B1047" s="442">
        <v>41214</v>
      </c>
      <c r="C1047" s="438">
        <v>5.7999999999999996E-3</v>
      </c>
      <c r="D1047" s="438">
        <v>-4.6427999999999997E-2</v>
      </c>
      <c r="E1047" s="438">
        <v>1.9E-3</v>
      </c>
      <c r="F1047" s="438">
        <v>2.9166666666666668E-3</v>
      </c>
      <c r="G1047" s="438">
        <v>2.9750000000000002E-3</v>
      </c>
      <c r="H1047" s="438">
        <v>2.9458333333333333E-3</v>
      </c>
      <c r="I1047" s="438">
        <v>3.1999999999999997E-3</v>
      </c>
      <c r="J1047" s="438">
        <f t="shared" si="192"/>
        <v>3.8999999999999998E-3</v>
      </c>
      <c r="K1047" s="438">
        <f t="shared" si="184"/>
        <v>2.8541666666666663E-3</v>
      </c>
      <c r="L1047" s="438">
        <f t="shared" si="185"/>
        <v>-4.9627999999999999E-2</v>
      </c>
      <c r="M1047" s="446">
        <f t="shared" si="193"/>
        <v>0.16107574437932048</v>
      </c>
      <c r="N1047" s="446">
        <f t="shared" si="194"/>
        <v>2.2800000000000001E-2</v>
      </c>
      <c r="O1047" s="446">
        <f t="shared" si="186"/>
        <v>3.5349999999999999E-2</v>
      </c>
      <c r="P1047" s="447">
        <f t="shared" si="195"/>
        <v>0.1382757443793205</v>
      </c>
      <c r="Q1047" s="446">
        <f t="shared" si="187"/>
        <v>0.12572574437932049</v>
      </c>
      <c r="R1047" s="446">
        <f t="shared" si="188"/>
        <v>4.4864756087550584E-2</v>
      </c>
      <c r="S1047" s="446">
        <f t="shared" si="189"/>
        <v>3.8399999999999997E-2</v>
      </c>
      <c r="T1047" s="447">
        <f t="shared" si="190"/>
        <v>6.4647560875505869E-3</v>
      </c>
      <c r="V1047" s="448"/>
      <c r="W1047" s="448"/>
      <c r="X1047" s="448"/>
      <c r="Y1047" s="448"/>
      <c r="Z1047" s="448"/>
      <c r="AA1047" s="448"/>
      <c r="AB1047" s="448"/>
      <c r="AC1047" s="448"/>
      <c r="AD1047" s="448"/>
      <c r="AF1047" s="448"/>
      <c r="AG1047" s="448"/>
      <c r="AH1047" s="448"/>
      <c r="AI1047" s="448"/>
      <c r="AJ1047" s="448"/>
      <c r="AK1047" s="448"/>
      <c r="AL1047" s="448"/>
      <c r="AM1047" s="448"/>
      <c r="AN1047" s="448"/>
      <c r="AP1047" s="448"/>
      <c r="AQ1047" s="448"/>
      <c r="AR1047" s="448"/>
      <c r="AS1047" s="448"/>
      <c r="AT1047" s="448"/>
      <c r="AU1047" s="448"/>
      <c r="AV1047" s="448"/>
      <c r="AW1047" s="448"/>
      <c r="AX1047" s="448"/>
    </row>
    <row r="1048" spans="1:50" x14ac:dyDescent="0.4">
      <c r="A1048" s="442" t="str">
        <f t="shared" si="191"/>
        <v>122012</v>
      </c>
      <c r="B1048" s="442">
        <v>41244</v>
      </c>
      <c r="C1048" s="438">
        <v>9.1000000000000004E-3</v>
      </c>
      <c r="D1048" s="438">
        <v>1.108E-3</v>
      </c>
      <c r="E1048" s="438">
        <v>1.9E-3</v>
      </c>
      <c r="F1048" s="438">
        <v>3.0416666666666665E-3</v>
      </c>
      <c r="G1048" s="438">
        <v>3.0833333333333333E-3</v>
      </c>
      <c r="H1048" s="438">
        <v>3.0625000000000001E-3</v>
      </c>
      <c r="I1048" s="438">
        <v>3.3333333333333335E-3</v>
      </c>
      <c r="J1048" s="438">
        <f t="shared" si="192"/>
        <v>7.2000000000000007E-3</v>
      </c>
      <c r="K1048" s="438">
        <f t="shared" si="184"/>
        <v>6.0375000000000003E-3</v>
      </c>
      <c r="L1048" s="438">
        <f t="shared" si="185"/>
        <v>-2.2253333333333335E-3</v>
      </c>
      <c r="M1048" s="446">
        <f t="shared" si="193"/>
        <v>0.15981145679387554</v>
      </c>
      <c r="N1048" s="446">
        <f t="shared" si="194"/>
        <v>2.2800000000000001E-2</v>
      </c>
      <c r="O1048" s="446">
        <f t="shared" si="186"/>
        <v>3.6750000000000005E-2</v>
      </c>
      <c r="P1048" s="447">
        <f t="shared" si="195"/>
        <v>0.13701145679387555</v>
      </c>
      <c r="Q1048" s="446">
        <f t="shared" si="187"/>
        <v>0.12306145679387553</v>
      </c>
      <c r="R1048" s="446">
        <f t="shared" si="188"/>
        <v>1.1855153276604913E-2</v>
      </c>
      <c r="S1048" s="446">
        <f t="shared" si="189"/>
        <v>0.04</v>
      </c>
      <c r="T1048" s="447">
        <f t="shared" si="190"/>
        <v>-2.8144846723395088E-2</v>
      </c>
      <c r="V1048" s="448"/>
      <c r="W1048" s="448"/>
      <c r="X1048" s="448"/>
      <c r="Y1048" s="448"/>
      <c r="Z1048" s="448"/>
      <c r="AA1048" s="448"/>
      <c r="AB1048" s="448"/>
      <c r="AC1048" s="448"/>
      <c r="AD1048" s="448"/>
      <c r="AF1048" s="448"/>
      <c r="AG1048" s="448"/>
      <c r="AH1048" s="448"/>
      <c r="AI1048" s="448"/>
      <c r="AJ1048" s="448"/>
      <c r="AK1048" s="448"/>
      <c r="AL1048" s="448"/>
      <c r="AM1048" s="448"/>
      <c r="AN1048" s="448"/>
      <c r="AP1048" s="448"/>
      <c r="AQ1048" s="448"/>
      <c r="AR1048" s="448"/>
      <c r="AS1048" s="448"/>
      <c r="AT1048" s="448"/>
      <c r="AU1048" s="448"/>
      <c r="AV1048" s="448"/>
      <c r="AW1048" s="448"/>
      <c r="AX1048" s="448"/>
    </row>
    <row r="1049" spans="1:50" x14ac:dyDescent="0.4">
      <c r="A1049" s="442" t="str">
        <f t="shared" si="191"/>
        <v>12013</v>
      </c>
      <c r="B1049" s="442">
        <v>41275</v>
      </c>
      <c r="C1049" s="438">
        <v>5.1799999999999999E-2</v>
      </c>
      <c r="D1049" s="438">
        <v>3.5099999999999999E-2</v>
      </c>
      <c r="E1049" s="438">
        <v>2.2000000000000001E-3</v>
      </c>
      <c r="F1049" s="438">
        <v>3.1666666666666666E-3</v>
      </c>
      <c r="G1049" s="438">
        <v>3.225E-3</v>
      </c>
      <c r="H1049" s="438">
        <v>3.1958333333333335E-3</v>
      </c>
      <c r="I1049" s="438">
        <v>3.4583333333333337E-3</v>
      </c>
      <c r="J1049" s="438">
        <f t="shared" si="192"/>
        <v>4.9599999999999998E-2</v>
      </c>
      <c r="K1049" s="438">
        <f t="shared" si="184"/>
        <v>4.8604166666666664E-2</v>
      </c>
      <c r="L1049" s="438">
        <f t="shared" si="185"/>
        <v>3.1641666666666665E-2</v>
      </c>
      <c r="M1049" s="446">
        <f t="shared" si="193"/>
        <v>0.1675820159416137</v>
      </c>
      <c r="N1049" s="446">
        <f t="shared" si="194"/>
        <v>2.64E-2</v>
      </c>
      <c r="O1049" s="446">
        <f t="shared" si="186"/>
        <v>3.8350000000000002E-2</v>
      </c>
      <c r="P1049" s="447">
        <f t="shared" si="195"/>
        <v>0.1411820159416137</v>
      </c>
      <c r="Q1049" s="446">
        <f t="shared" si="187"/>
        <v>0.12923201594161371</v>
      </c>
      <c r="R1049" s="446">
        <f t="shared" si="188"/>
        <v>8.3379555440799002E-2</v>
      </c>
      <c r="S1049" s="446">
        <f t="shared" si="189"/>
        <v>4.1500000000000002E-2</v>
      </c>
      <c r="T1049" s="447">
        <f t="shared" si="190"/>
        <v>4.1879555440799E-2</v>
      </c>
      <c r="V1049" s="448"/>
      <c r="W1049" s="448"/>
      <c r="X1049" s="448"/>
      <c r="Y1049" s="448"/>
      <c r="Z1049" s="448"/>
      <c r="AA1049" s="448"/>
      <c r="AB1049" s="448"/>
      <c r="AC1049" s="448"/>
      <c r="AD1049" s="448"/>
      <c r="AF1049" s="448"/>
      <c r="AG1049" s="448"/>
      <c r="AH1049" s="448"/>
      <c r="AI1049" s="448"/>
      <c r="AJ1049" s="448"/>
      <c r="AK1049" s="448"/>
      <c r="AL1049" s="448"/>
      <c r="AM1049" s="448"/>
      <c r="AN1049" s="448"/>
      <c r="AP1049" s="448"/>
      <c r="AQ1049" s="448"/>
      <c r="AR1049" s="448"/>
      <c r="AS1049" s="448"/>
      <c r="AT1049" s="448"/>
      <c r="AU1049" s="448"/>
      <c r="AV1049" s="448"/>
      <c r="AW1049" s="448"/>
      <c r="AX1049" s="448"/>
    </row>
    <row r="1050" spans="1:50" x14ac:dyDescent="0.4">
      <c r="A1050" s="442" t="str">
        <f t="shared" si="191"/>
        <v>22013</v>
      </c>
      <c r="B1050" s="442">
        <v>41306</v>
      </c>
      <c r="C1050" s="438">
        <v>1.3599999999999999E-2</v>
      </c>
      <c r="D1050" s="438">
        <v>3.39E-2</v>
      </c>
      <c r="E1050" s="438">
        <v>2.2000000000000001E-3</v>
      </c>
      <c r="F1050" s="438">
        <v>3.2499999999999999E-3</v>
      </c>
      <c r="G1050" s="438">
        <v>3.2916666666666667E-3</v>
      </c>
      <c r="H1050" s="438">
        <v>3.2708333333333331E-3</v>
      </c>
      <c r="I1050" s="438">
        <v>3.4833333333333331E-3</v>
      </c>
      <c r="J1050" s="438">
        <f t="shared" si="192"/>
        <v>1.1399999999999999E-2</v>
      </c>
      <c r="K1050" s="438">
        <f t="shared" si="184"/>
        <v>1.0329166666666667E-2</v>
      </c>
      <c r="L1050" s="438">
        <f t="shared" si="185"/>
        <v>3.0416666666666668E-2</v>
      </c>
      <c r="M1050" s="446">
        <f t="shared" si="193"/>
        <v>0.13445277162425207</v>
      </c>
      <c r="N1050" s="446">
        <f t="shared" si="194"/>
        <v>2.64E-2</v>
      </c>
      <c r="O1050" s="446">
        <f t="shared" si="186"/>
        <v>3.9249999999999993E-2</v>
      </c>
      <c r="P1050" s="447">
        <f t="shared" si="195"/>
        <v>0.10805277162425206</v>
      </c>
      <c r="Q1050" s="446">
        <f t="shared" si="187"/>
        <v>9.5202771624252072E-2</v>
      </c>
      <c r="R1050" s="446">
        <f t="shared" si="188"/>
        <v>0.11625393005761309</v>
      </c>
      <c r="S1050" s="446">
        <f t="shared" si="189"/>
        <v>4.1799999999999997E-2</v>
      </c>
      <c r="T1050" s="447">
        <f t="shared" si="190"/>
        <v>7.4453930057613082E-2</v>
      </c>
      <c r="V1050" s="448"/>
      <c r="W1050" s="448"/>
      <c r="X1050" s="448"/>
      <c r="Y1050" s="448"/>
      <c r="Z1050" s="448"/>
      <c r="AA1050" s="448"/>
      <c r="AB1050" s="448"/>
      <c r="AC1050" s="448"/>
      <c r="AD1050" s="448"/>
      <c r="AF1050" s="448"/>
      <c r="AG1050" s="448"/>
      <c r="AH1050" s="448"/>
      <c r="AI1050" s="448"/>
      <c r="AJ1050" s="448"/>
      <c r="AK1050" s="448"/>
      <c r="AL1050" s="448"/>
      <c r="AM1050" s="448"/>
      <c r="AN1050" s="448"/>
      <c r="AP1050" s="448"/>
      <c r="AQ1050" s="448"/>
      <c r="AR1050" s="448"/>
      <c r="AS1050" s="448"/>
      <c r="AT1050" s="448"/>
      <c r="AU1050" s="448"/>
      <c r="AV1050" s="448"/>
      <c r="AW1050" s="448"/>
      <c r="AX1050" s="448"/>
    </row>
    <row r="1051" spans="1:50" x14ac:dyDescent="0.4">
      <c r="A1051" s="442" t="str">
        <f t="shared" si="191"/>
        <v>32013</v>
      </c>
      <c r="B1051" s="442">
        <v>41334</v>
      </c>
      <c r="C1051" s="438">
        <v>3.7499999999999999E-2</v>
      </c>
      <c r="D1051" s="438">
        <v>5.3999999999999999E-2</v>
      </c>
      <c r="E1051" s="438">
        <v>2.0999999999999999E-3</v>
      </c>
      <c r="F1051" s="438">
        <v>3.1666666666666666E-3</v>
      </c>
      <c r="G1051" s="438">
        <v>3.225E-3</v>
      </c>
      <c r="H1051" s="438">
        <v>3.1958333333333335E-3</v>
      </c>
      <c r="I1051" s="438">
        <v>3.4583333333333337E-3</v>
      </c>
      <c r="J1051" s="438">
        <f t="shared" si="192"/>
        <v>3.5400000000000001E-2</v>
      </c>
      <c r="K1051" s="438">
        <f t="shared" si="184"/>
        <v>3.4304166666666663E-2</v>
      </c>
      <c r="L1051" s="438">
        <f t="shared" si="185"/>
        <v>5.0541666666666665E-2</v>
      </c>
      <c r="M1051" s="446">
        <f t="shared" si="193"/>
        <v>0.1395050349115714</v>
      </c>
      <c r="N1051" s="446">
        <f t="shared" si="194"/>
        <v>2.52E-2</v>
      </c>
      <c r="O1051" s="446">
        <f t="shared" si="186"/>
        <v>3.8350000000000002E-2</v>
      </c>
      <c r="P1051" s="447">
        <f t="shared" si="195"/>
        <v>0.1143050349115714</v>
      </c>
      <c r="Q1051" s="446">
        <f t="shared" si="187"/>
        <v>0.10115503491157141</v>
      </c>
      <c r="R1051" s="446">
        <f t="shared" si="188"/>
        <v>0.1606080991602461</v>
      </c>
      <c r="S1051" s="446">
        <f t="shared" si="189"/>
        <v>4.1500000000000002E-2</v>
      </c>
      <c r="T1051" s="447">
        <f t="shared" si="190"/>
        <v>0.11910809916024609</v>
      </c>
      <c r="V1051" s="448"/>
      <c r="W1051" s="448"/>
      <c r="X1051" s="448"/>
      <c r="Y1051" s="448"/>
      <c r="Z1051" s="448"/>
      <c r="AA1051" s="448"/>
      <c r="AB1051" s="448"/>
      <c r="AC1051" s="448"/>
      <c r="AD1051" s="448"/>
      <c r="AF1051" s="448"/>
      <c r="AG1051" s="448"/>
      <c r="AH1051" s="448"/>
      <c r="AI1051" s="448"/>
      <c r="AJ1051" s="448"/>
      <c r="AK1051" s="448"/>
      <c r="AL1051" s="448"/>
      <c r="AM1051" s="448"/>
      <c r="AN1051" s="448"/>
      <c r="AP1051" s="448"/>
      <c r="AQ1051" s="448"/>
      <c r="AR1051" s="448"/>
      <c r="AS1051" s="448"/>
      <c r="AT1051" s="448"/>
      <c r="AU1051" s="448"/>
      <c r="AV1051" s="448"/>
      <c r="AW1051" s="448"/>
      <c r="AX1051" s="448"/>
    </row>
    <row r="1052" spans="1:50" x14ac:dyDescent="0.4">
      <c r="A1052" s="442" t="str">
        <f t="shared" si="191"/>
        <v>42013</v>
      </c>
      <c r="B1052" s="442">
        <v>41365</v>
      </c>
      <c r="C1052" s="438">
        <v>1.9300000000000001E-2</v>
      </c>
      <c r="D1052" s="438">
        <v>5.8999999999999997E-2</v>
      </c>
      <c r="E1052" s="438">
        <v>2.5999999999999999E-3</v>
      </c>
      <c r="F1052" s="438">
        <v>3.1083333333333332E-3</v>
      </c>
      <c r="G1052" s="438">
        <v>3.1416666666666663E-3</v>
      </c>
      <c r="H1052" s="438">
        <v>3.1249999999999997E-3</v>
      </c>
      <c r="I1052" s="438">
        <v>3.3333333333333335E-3</v>
      </c>
      <c r="J1052" s="438">
        <f t="shared" si="192"/>
        <v>1.67E-2</v>
      </c>
      <c r="K1052" s="438">
        <f t="shared" si="184"/>
        <v>1.6175000000000002E-2</v>
      </c>
      <c r="L1052" s="438">
        <f t="shared" si="185"/>
        <v>5.5666666666666663E-2</v>
      </c>
      <c r="M1052" s="446">
        <f t="shared" si="193"/>
        <v>0.16886130832782986</v>
      </c>
      <c r="N1052" s="446">
        <f t="shared" si="194"/>
        <v>3.1199999999999999E-2</v>
      </c>
      <c r="O1052" s="446">
        <f t="shared" si="186"/>
        <v>3.7499999999999999E-2</v>
      </c>
      <c r="P1052" s="447">
        <f t="shared" si="195"/>
        <v>0.13766130832782986</v>
      </c>
      <c r="Q1052" s="446">
        <f t="shared" si="187"/>
        <v>0.13136130832782986</v>
      </c>
      <c r="R1052" s="446">
        <f t="shared" si="188"/>
        <v>0.20352472247940545</v>
      </c>
      <c r="S1052" s="446">
        <f t="shared" si="189"/>
        <v>0.04</v>
      </c>
      <c r="T1052" s="447">
        <f t="shared" si="190"/>
        <v>0.16352472247940544</v>
      </c>
      <c r="V1052" s="448"/>
      <c r="W1052" s="448"/>
      <c r="X1052" s="448"/>
      <c r="Y1052" s="448"/>
      <c r="Z1052" s="448"/>
      <c r="AA1052" s="448"/>
      <c r="AB1052" s="448"/>
      <c r="AC1052" s="448"/>
      <c r="AD1052" s="448"/>
      <c r="AF1052" s="448"/>
      <c r="AG1052" s="448"/>
      <c r="AH1052" s="448"/>
      <c r="AI1052" s="448"/>
      <c r="AJ1052" s="448"/>
      <c r="AK1052" s="448"/>
      <c r="AL1052" s="448"/>
      <c r="AM1052" s="448"/>
      <c r="AN1052" s="448"/>
      <c r="AP1052" s="448"/>
      <c r="AQ1052" s="448"/>
      <c r="AR1052" s="448"/>
      <c r="AS1052" s="448"/>
      <c r="AT1052" s="448"/>
      <c r="AU1052" s="448"/>
      <c r="AV1052" s="448"/>
      <c r="AW1052" s="448"/>
      <c r="AX1052" s="448"/>
    </row>
    <row r="1053" spans="1:50" x14ac:dyDescent="0.4">
      <c r="A1053" s="442" t="str">
        <f t="shared" si="191"/>
        <v>52013</v>
      </c>
      <c r="B1053" s="442">
        <v>41395</v>
      </c>
      <c r="C1053" s="438">
        <v>2.3400000000000001E-2</v>
      </c>
      <c r="D1053" s="438">
        <v>-8.9599999999999999E-2</v>
      </c>
      <c r="E1053" s="438">
        <v>2.3E-3</v>
      </c>
      <c r="F1053" s="438">
        <v>3.2416666666666666E-3</v>
      </c>
      <c r="G1053" s="438">
        <v>3.283333333333333E-3</v>
      </c>
      <c r="H1053" s="438">
        <v>3.2624999999999998E-3</v>
      </c>
      <c r="I1053" s="438">
        <v>3.4750000000000002E-3</v>
      </c>
      <c r="J1053" s="438">
        <f t="shared" si="192"/>
        <v>2.1100000000000001E-2</v>
      </c>
      <c r="K1053" s="438">
        <f t="shared" ref="K1053:L1120" si="196">C1053-H1053</f>
        <v>2.0137500000000003E-2</v>
      </c>
      <c r="L1053" s="438">
        <f t="shared" ref="L1053:L1077" si="197">$D1053-I1053</f>
        <v>-9.3075000000000005E-2</v>
      </c>
      <c r="M1053" s="446">
        <f t="shared" si="193"/>
        <v>0.27270205654080359</v>
      </c>
      <c r="N1053" s="446">
        <f t="shared" si="194"/>
        <v>2.76E-2</v>
      </c>
      <c r="O1053" s="446">
        <f t="shared" si="186"/>
        <v>3.9149999999999997E-2</v>
      </c>
      <c r="P1053" s="447">
        <f t="shared" si="195"/>
        <v>0.24510205654080358</v>
      </c>
      <c r="Q1053" s="446">
        <f t="shared" si="187"/>
        <v>0.2335520565408036</v>
      </c>
      <c r="R1053" s="446">
        <f t="shared" si="188"/>
        <v>9.3326229363595914E-2</v>
      </c>
      <c r="S1053" s="446">
        <f t="shared" si="189"/>
        <v>4.1700000000000001E-2</v>
      </c>
      <c r="T1053" s="447">
        <f t="shared" si="190"/>
        <v>5.1626229363595913E-2</v>
      </c>
      <c r="V1053" s="448"/>
      <c r="W1053" s="448"/>
      <c r="X1053" s="448"/>
      <c r="Y1053" s="448"/>
      <c r="Z1053" s="448"/>
      <c r="AA1053" s="448"/>
      <c r="AB1053" s="448"/>
      <c r="AC1053" s="448"/>
      <c r="AD1053" s="448"/>
      <c r="AF1053" s="448"/>
      <c r="AG1053" s="448"/>
      <c r="AH1053" s="448"/>
      <c r="AI1053" s="448"/>
      <c r="AJ1053" s="448"/>
      <c r="AK1053" s="448"/>
      <c r="AL1053" s="448"/>
      <c r="AM1053" s="448"/>
      <c r="AN1053" s="448"/>
      <c r="AP1053" s="448"/>
      <c r="AQ1053" s="448"/>
      <c r="AR1053" s="448"/>
      <c r="AS1053" s="448"/>
      <c r="AT1053" s="448"/>
      <c r="AU1053" s="448"/>
      <c r="AV1053" s="448"/>
      <c r="AW1053" s="448"/>
      <c r="AX1053" s="448"/>
    </row>
    <row r="1054" spans="1:50" x14ac:dyDescent="0.4">
      <c r="A1054" s="442" t="str">
        <f t="shared" si="191"/>
        <v>62013</v>
      </c>
      <c r="B1054" s="442">
        <v>41426</v>
      </c>
      <c r="C1054" s="438">
        <v>-1.34E-2</v>
      </c>
      <c r="D1054" s="438">
        <v>1.14E-2</v>
      </c>
      <c r="E1054" s="438">
        <v>2.3999999999999998E-3</v>
      </c>
      <c r="F1054" s="438">
        <v>3.5583333333333335E-3</v>
      </c>
      <c r="G1054" s="438">
        <v>3.6000000000000003E-3</v>
      </c>
      <c r="H1054" s="438">
        <v>3.5791666666666671E-3</v>
      </c>
      <c r="I1054" s="438">
        <v>3.7750000000000001E-3</v>
      </c>
      <c r="J1054" s="438">
        <f t="shared" si="192"/>
        <v>-1.5800000000000002E-2</v>
      </c>
      <c r="K1054" s="438">
        <f t="shared" si="196"/>
        <v>-1.6979166666666667E-2</v>
      </c>
      <c r="L1054" s="438">
        <f t="shared" si="197"/>
        <v>7.6249999999999998E-3</v>
      </c>
      <c r="M1054" s="446">
        <f t="shared" si="193"/>
        <v>0.20596220609215976</v>
      </c>
      <c r="N1054" s="446">
        <f t="shared" si="194"/>
        <v>2.8799999999999999E-2</v>
      </c>
      <c r="O1054" s="446">
        <f t="shared" si="186"/>
        <v>4.2950000000000002E-2</v>
      </c>
      <c r="P1054" s="447">
        <f t="shared" si="195"/>
        <v>0.17716220609215977</v>
      </c>
      <c r="Q1054" s="446">
        <f t="shared" si="187"/>
        <v>0.16301220609215977</v>
      </c>
      <c r="R1054" s="446">
        <f t="shared" si="188"/>
        <v>6.223429341130382E-2</v>
      </c>
      <c r="S1054" s="446">
        <f t="shared" si="189"/>
        <v>4.53E-2</v>
      </c>
      <c r="T1054" s="447">
        <f t="shared" si="190"/>
        <v>1.693429341130382E-2</v>
      </c>
      <c r="V1054" s="448"/>
      <c r="W1054" s="448"/>
      <c r="X1054" s="448"/>
      <c r="Y1054" s="448"/>
      <c r="Z1054" s="448"/>
      <c r="AA1054" s="448"/>
      <c r="AB1054" s="448"/>
      <c r="AC1054" s="448"/>
      <c r="AD1054" s="448"/>
      <c r="AF1054" s="448"/>
      <c r="AG1054" s="448"/>
      <c r="AH1054" s="448"/>
      <c r="AI1054" s="448"/>
      <c r="AJ1054" s="448"/>
      <c r="AK1054" s="448"/>
      <c r="AL1054" s="448"/>
      <c r="AM1054" s="448"/>
      <c r="AN1054" s="448"/>
      <c r="AP1054" s="448"/>
      <c r="AQ1054" s="448"/>
      <c r="AR1054" s="448"/>
      <c r="AS1054" s="448"/>
      <c r="AT1054" s="448"/>
      <c r="AU1054" s="448"/>
      <c r="AV1054" s="448"/>
      <c r="AW1054" s="448"/>
      <c r="AX1054" s="448"/>
    </row>
    <row r="1055" spans="1:50" x14ac:dyDescent="0.4">
      <c r="A1055" s="442" t="str">
        <f t="shared" si="191"/>
        <v>72013</v>
      </c>
      <c r="B1055" s="442">
        <v>41456</v>
      </c>
      <c r="C1055" s="438">
        <v>5.0900000000000001E-2</v>
      </c>
      <c r="D1055" s="438">
        <v>3.85E-2</v>
      </c>
      <c r="E1055" s="438">
        <v>3.0000000000000001E-3</v>
      </c>
      <c r="F1055" s="438">
        <v>3.6166666666666669E-3</v>
      </c>
      <c r="G1055" s="438">
        <v>3.7166666666666667E-3</v>
      </c>
      <c r="H1055" s="438">
        <v>3.666666666666667E-3</v>
      </c>
      <c r="I1055" s="438">
        <v>3.9000000000000003E-3</v>
      </c>
      <c r="J1055" s="438">
        <f t="shared" si="192"/>
        <v>4.7899999999999998E-2</v>
      </c>
      <c r="K1055" s="438">
        <f t="shared" si="196"/>
        <v>4.7233333333333336E-2</v>
      </c>
      <c r="L1055" s="438">
        <f t="shared" si="197"/>
        <v>3.4599999999999999E-2</v>
      </c>
      <c r="M1055" s="446">
        <f t="shared" si="193"/>
        <v>0.24997108431033732</v>
      </c>
      <c r="N1055" s="446">
        <f t="shared" si="194"/>
        <v>3.6000000000000004E-2</v>
      </c>
      <c r="O1055" s="446">
        <f t="shared" si="186"/>
        <v>4.4000000000000004E-2</v>
      </c>
      <c r="P1055" s="447">
        <f t="shared" si="195"/>
        <v>0.21397108431033732</v>
      </c>
      <c r="Q1055" s="446">
        <f t="shared" si="187"/>
        <v>0.20597108431033731</v>
      </c>
      <c r="R1055" s="446">
        <f t="shared" si="188"/>
        <v>7.2625905578881156E-2</v>
      </c>
      <c r="S1055" s="446">
        <f t="shared" si="189"/>
        <v>4.6800000000000001E-2</v>
      </c>
      <c r="T1055" s="447">
        <f t="shared" si="190"/>
        <v>2.5825905578881155E-2</v>
      </c>
      <c r="V1055" s="448"/>
      <c r="W1055" s="448"/>
      <c r="X1055" s="448"/>
      <c r="Y1055" s="448"/>
      <c r="Z1055" s="448"/>
      <c r="AA1055" s="448"/>
      <c r="AB1055" s="448"/>
      <c r="AC1055" s="448"/>
      <c r="AD1055" s="448"/>
      <c r="AF1055" s="448"/>
      <c r="AG1055" s="448"/>
      <c r="AH1055" s="448"/>
      <c r="AI1055" s="448"/>
      <c r="AJ1055" s="448"/>
      <c r="AK1055" s="448"/>
      <c r="AL1055" s="448"/>
      <c r="AM1055" s="448"/>
      <c r="AN1055" s="448"/>
      <c r="AP1055" s="448"/>
      <c r="AQ1055" s="448"/>
      <c r="AR1055" s="448"/>
      <c r="AS1055" s="448"/>
      <c r="AT1055" s="448"/>
      <c r="AU1055" s="448"/>
      <c r="AV1055" s="448"/>
      <c r="AW1055" s="448"/>
      <c r="AX1055" s="448"/>
    </row>
    <row r="1056" spans="1:50" x14ac:dyDescent="0.4">
      <c r="A1056" s="442" t="str">
        <f t="shared" si="191"/>
        <v>82013</v>
      </c>
      <c r="B1056" s="442">
        <v>41487</v>
      </c>
      <c r="C1056" s="438">
        <v>-2.9000000000000001E-2</v>
      </c>
      <c r="D1056" s="438">
        <v>-0.05</v>
      </c>
      <c r="E1056" s="438">
        <v>2.8E-3</v>
      </c>
      <c r="F1056" s="438">
        <v>3.7833333333333334E-3</v>
      </c>
      <c r="G1056" s="438">
        <v>3.8583333333333334E-3</v>
      </c>
      <c r="H1056" s="438">
        <v>3.8208333333333332E-3</v>
      </c>
      <c r="I1056" s="438">
        <v>3.9416666666666671E-3</v>
      </c>
      <c r="J1056" s="438">
        <f t="shared" si="192"/>
        <v>-3.1800000000000002E-2</v>
      </c>
      <c r="K1056" s="438">
        <f t="shared" si="196"/>
        <v>-3.2820833333333334E-2</v>
      </c>
      <c r="L1056" s="438">
        <f t="shared" si="197"/>
        <v>-5.3941666666666672E-2</v>
      </c>
      <c r="M1056" s="446">
        <f t="shared" si="193"/>
        <v>0.18701410549177222</v>
      </c>
      <c r="N1056" s="446">
        <f t="shared" si="194"/>
        <v>3.3599999999999998E-2</v>
      </c>
      <c r="O1056" s="446">
        <f t="shared" si="186"/>
        <v>4.5850000000000002E-2</v>
      </c>
      <c r="P1056" s="447">
        <f t="shared" si="195"/>
        <v>0.15341410549177223</v>
      </c>
      <c r="Q1056" s="446">
        <f t="shared" si="187"/>
        <v>0.14116410549177222</v>
      </c>
      <c r="R1056" s="446">
        <f t="shared" si="188"/>
        <v>6.6698430824855048E-2</v>
      </c>
      <c r="S1056" s="446">
        <f t="shared" si="189"/>
        <v>4.7300000000000009E-2</v>
      </c>
      <c r="T1056" s="447">
        <f t="shared" si="190"/>
        <v>1.939843082485504E-2</v>
      </c>
      <c r="V1056" s="448"/>
      <c r="W1056" s="448"/>
      <c r="X1056" s="448"/>
      <c r="Y1056" s="448"/>
      <c r="Z1056" s="448"/>
      <c r="AA1056" s="448"/>
      <c r="AB1056" s="448"/>
      <c r="AC1056" s="448"/>
      <c r="AD1056" s="448"/>
      <c r="AF1056" s="448"/>
      <c r="AG1056" s="448"/>
      <c r="AH1056" s="448"/>
      <c r="AI1056" s="448"/>
      <c r="AJ1056" s="448"/>
      <c r="AK1056" s="448"/>
      <c r="AL1056" s="448"/>
      <c r="AM1056" s="448"/>
      <c r="AN1056" s="448"/>
      <c r="AP1056" s="448"/>
      <c r="AQ1056" s="448"/>
      <c r="AR1056" s="448"/>
      <c r="AS1056" s="448"/>
      <c r="AT1056" s="448"/>
      <c r="AU1056" s="448"/>
      <c r="AV1056" s="448"/>
      <c r="AW1056" s="448"/>
      <c r="AX1056" s="448"/>
    </row>
    <row r="1057" spans="1:50" x14ac:dyDescent="0.4">
      <c r="A1057" s="442" t="str">
        <f t="shared" si="191"/>
        <v>92013</v>
      </c>
      <c r="B1057" s="442">
        <v>41518</v>
      </c>
      <c r="C1057" s="438">
        <v>3.1399999999999997E-2</v>
      </c>
      <c r="D1057" s="438">
        <v>1.0800000000000001E-2</v>
      </c>
      <c r="E1057" s="438">
        <v>2.8999999999999998E-3</v>
      </c>
      <c r="F1057" s="438">
        <v>3.8666666666666663E-3</v>
      </c>
      <c r="G1057" s="438">
        <v>3.9083333333333331E-3</v>
      </c>
      <c r="H1057" s="438">
        <v>3.8874999999999995E-3</v>
      </c>
      <c r="I1057" s="438">
        <v>4.0000000000000001E-3</v>
      </c>
      <c r="J1057" s="438">
        <f t="shared" si="192"/>
        <v>2.8499999999999998E-2</v>
      </c>
      <c r="K1057" s="438">
        <f t="shared" si="196"/>
        <v>2.7512499999999999E-2</v>
      </c>
      <c r="L1057" s="438">
        <f t="shared" si="197"/>
        <v>6.8000000000000005E-3</v>
      </c>
      <c r="M1057" s="446">
        <f t="shared" si="193"/>
        <v>0.19349419809340396</v>
      </c>
      <c r="N1057" s="446">
        <f t="shared" si="194"/>
        <v>3.4799999999999998E-2</v>
      </c>
      <c r="O1057" s="446">
        <f t="shared" si="186"/>
        <v>4.6649999999999997E-2</v>
      </c>
      <c r="P1057" s="447">
        <f t="shared" si="195"/>
        <v>0.15869419809340396</v>
      </c>
      <c r="Q1057" s="446">
        <f t="shared" si="187"/>
        <v>0.14684419809340396</v>
      </c>
      <c r="R1057" s="446">
        <f t="shared" si="188"/>
        <v>6.5137816355106626E-2</v>
      </c>
      <c r="S1057" s="446">
        <f t="shared" si="189"/>
        <v>4.8000000000000001E-2</v>
      </c>
      <c r="T1057" s="447">
        <f t="shared" si="190"/>
        <v>1.7137816355106625E-2</v>
      </c>
      <c r="V1057" s="448"/>
      <c r="W1057" s="448"/>
      <c r="X1057" s="448"/>
      <c r="Y1057" s="448"/>
      <c r="Z1057" s="448"/>
      <c r="AA1057" s="448"/>
      <c r="AB1057" s="448"/>
      <c r="AC1057" s="448"/>
      <c r="AD1057" s="448"/>
      <c r="AF1057" s="448"/>
      <c r="AG1057" s="448"/>
      <c r="AH1057" s="448"/>
      <c r="AI1057" s="448"/>
      <c r="AJ1057" s="448"/>
      <c r="AK1057" s="448"/>
      <c r="AL1057" s="448"/>
      <c r="AM1057" s="448"/>
      <c r="AN1057" s="448"/>
      <c r="AP1057" s="448"/>
      <c r="AQ1057" s="448"/>
      <c r="AR1057" s="448"/>
      <c r="AS1057" s="448"/>
      <c r="AT1057" s="448"/>
      <c r="AU1057" s="448"/>
      <c r="AV1057" s="448"/>
      <c r="AW1057" s="448"/>
      <c r="AX1057" s="448"/>
    </row>
    <row r="1058" spans="1:50" x14ac:dyDescent="0.4">
      <c r="A1058" s="442" t="str">
        <f t="shared" si="191"/>
        <v>102013</v>
      </c>
      <c r="B1058" s="442">
        <v>41548</v>
      </c>
      <c r="C1058" s="438">
        <v>4.5999999999999999E-2</v>
      </c>
      <c r="D1058" s="438">
        <v>3.7699999999999997E-2</v>
      </c>
      <c r="E1058" s="438">
        <v>2.8999999999999998E-3</v>
      </c>
      <c r="F1058" s="438">
        <v>3.7750000000000001E-3</v>
      </c>
      <c r="G1058" s="438">
        <v>3.8250000000000003E-3</v>
      </c>
      <c r="H1058" s="438">
        <v>3.8000000000000004E-3</v>
      </c>
      <c r="I1058" s="438">
        <v>3.9166666666666664E-3</v>
      </c>
      <c r="J1058" s="438">
        <f t="shared" si="192"/>
        <v>4.3099999999999999E-2</v>
      </c>
      <c r="K1058" s="438">
        <f t="shared" si="196"/>
        <v>4.2200000000000001E-2</v>
      </c>
      <c r="L1058" s="438">
        <f t="shared" si="197"/>
        <v>3.3783333333333332E-2</v>
      </c>
      <c r="M1058" s="446">
        <f t="shared" si="193"/>
        <v>0.27192555395384743</v>
      </c>
      <c r="N1058" s="446">
        <f t="shared" si="194"/>
        <v>3.4799999999999998E-2</v>
      </c>
      <c r="O1058" s="446">
        <f t="shared" si="186"/>
        <v>4.5600000000000002E-2</v>
      </c>
      <c r="P1058" s="447">
        <f t="shared" si="195"/>
        <v>0.23712555395384743</v>
      </c>
      <c r="Q1058" s="446">
        <f t="shared" si="187"/>
        <v>0.22632555395384743</v>
      </c>
      <c r="R1058" s="446">
        <f t="shared" si="188"/>
        <v>8.6561196995492251E-2</v>
      </c>
      <c r="S1058" s="446">
        <f t="shared" si="189"/>
        <v>4.7E-2</v>
      </c>
      <c r="T1058" s="447">
        <f t="shared" si="190"/>
        <v>3.9561196995492251E-2</v>
      </c>
      <c r="V1058" s="448"/>
      <c r="W1058" s="448"/>
      <c r="X1058" s="448"/>
      <c r="Y1058" s="448"/>
      <c r="Z1058" s="448"/>
      <c r="AA1058" s="448"/>
      <c r="AB1058" s="448"/>
      <c r="AC1058" s="448"/>
      <c r="AD1058" s="448"/>
      <c r="AF1058" s="448"/>
      <c r="AG1058" s="448"/>
      <c r="AH1058" s="448"/>
      <c r="AI1058" s="448"/>
      <c r="AJ1058" s="448"/>
      <c r="AK1058" s="448"/>
      <c r="AL1058" s="448"/>
      <c r="AM1058" s="448"/>
      <c r="AN1058" s="448"/>
      <c r="AP1058" s="448"/>
      <c r="AQ1058" s="448"/>
      <c r="AR1058" s="448"/>
      <c r="AS1058" s="448"/>
      <c r="AT1058" s="448"/>
      <c r="AU1058" s="448"/>
      <c r="AV1058" s="448"/>
      <c r="AW1058" s="448"/>
      <c r="AX1058" s="448"/>
    </row>
    <row r="1059" spans="1:50" x14ac:dyDescent="0.4">
      <c r="A1059" s="442" t="str">
        <f t="shared" si="191"/>
        <v>112013</v>
      </c>
      <c r="B1059" s="442">
        <v>41579</v>
      </c>
      <c r="C1059" s="438">
        <v>3.0499999999999999E-2</v>
      </c>
      <c r="D1059" s="438">
        <v>-1.9900000000000001E-2</v>
      </c>
      <c r="E1059" s="438">
        <v>2.7000000000000001E-3</v>
      </c>
      <c r="F1059" s="438">
        <v>3.8583333333333334E-3</v>
      </c>
      <c r="G1059" s="438">
        <v>3.8916666666666665E-3</v>
      </c>
      <c r="H1059" s="438">
        <v>3.875E-3</v>
      </c>
      <c r="I1059" s="438">
        <v>3.9750000000000002E-3</v>
      </c>
      <c r="J1059" s="438">
        <f t="shared" si="192"/>
        <v>2.7799999999999998E-2</v>
      </c>
      <c r="K1059" s="438">
        <f t="shared" si="196"/>
        <v>2.6624999999999999E-2</v>
      </c>
      <c r="L1059" s="438">
        <f t="shared" si="197"/>
        <v>-2.3875E-2</v>
      </c>
      <c r="M1059" s="446">
        <f t="shared" si="193"/>
        <v>0.3031609498403649</v>
      </c>
      <c r="N1059" s="446">
        <f t="shared" si="194"/>
        <v>3.2399999999999998E-2</v>
      </c>
      <c r="O1059" s="446">
        <f t="shared" si="186"/>
        <v>4.65E-2</v>
      </c>
      <c r="P1059" s="447">
        <f t="shared" si="195"/>
        <v>0.27076094984036492</v>
      </c>
      <c r="Q1059" s="446">
        <f t="shared" si="187"/>
        <v>0.25666094984036492</v>
      </c>
      <c r="R1059" s="446">
        <f t="shared" si="188"/>
        <v>0.11678890443016532</v>
      </c>
      <c r="S1059" s="446">
        <f t="shared" si="189"/>
        <v>4.7700000000000006E-2</v>
      </c>
      <c r="T1059" s="447">
        <f t="shared" si="190"/>
        <v>6.9088904430165313E-2</v>
      </c>
      <c r="V1059" s="448"/>
      <c r="W1059" s="448"/>
      <c r="X1059" s="448"/>
      <c r="Y1059" s="448"/>
      <c r="Z1059" s="448"/>
      <c r="AA1059" s="448"/>
      <c r="AB1059" s="448"/>
      <c r="AC1059" s="448"/>
      <c r="AD1059" s="448"/>
      <c r="AF1059" s="448"/>
      <c r="AG1059" s="448"/>
      <c r="AH1059" s="448"/>
      <c r="AI1059" s="448"/>
      <c r="AJ1059" s="448"/>
      <c r="AK1059" s="448"/>
      <c r="AL1059" s="448"/>
      <c r="AM1059" s="448"/>
      <c r="AN1059" s="448"/>
      <c r="AP1059" s="448"/>
      <c r="AQ1059" s="448"/>
      <c r="AR1059" s="448"/>
      <c r="AS1059" s="448"/>
      <c r="AT1059" s="448"/>
      <c r="AU1059" s="448"/>
      <c r="AV1059" s="448"/>
      <c r="AW1059" s="448"/>
      <c r="AX1059" s="448"/>
    </row>
    <row r="1060" spans="1:50" x14ac:dyDescent="0.4">
      <c r="A1060" s="442" t="str">
        <f t="shared" si="191"/>
        <v>122013</v>
      </c>
      <c r="B1060" s="442">
        <v>41609</v>
      </c>
      <c r="C1060" s="438">
        <v>2.53E-2</v>
      </c>
      <c r="D1060" s="438">
        <v>7.6E-3</v>
      </c>
      <c r="E1060" s="438">
        <v>3.0999999999999999E-3</v>
      </c>
      <c r="F1060" s="438">
        <v>3.8499999999999997E-3</v>
      </c>
      <c r="G1060" s="438">
        <v>3.9000000000000003E-3</v>
      </c>
      <c r="H1060" s="438">
        <v>3.875E-3</v>
      </c>
      <c r="I1060" s="438">
        <v>4.0083333333333334E-3</v>
      </c>
      <c r="J1060" s="438">
        <f t="shared" si="192"/>
        <v>2.2200000000000001E-2</v>
      </c>
      <c r="K1060" s="438">
        <f t="shared" si="196"/>
        <v>2.1425E-2</v>
      </c>
      <c r="L1060" s="438">
        <f t="shared" si="197"/>
        <v>3.5916666666666666E-3</v>
      </c>
      <c r="M1060" s="446">
        <f t="shared" si="193"/>
        <v>0.3240817776943079</v>
      </c>
      <c r="N1060" s="446">
        <f t="shared" si="194"/>
        <v>3.7199999999999997E-2</v>
      </c>
      <c r="O1060" s="446">
        <f t="shared" si="186"/>
        <v>4.65E-2</v>
      </c>
      <c r="P1060" s="447">
        <f t="shared" si="195"/>
        <v>0.28688177769430789</v>
      </c>
      <c r="Q1060" s="446">
        <f t="shared" si="187"/>
        <v>0.27758177769430792</v>
      </c>
      <c r="R1060" s="446">
        <f t="shared" si="188"/>
        <v>0.12403107367420341</v>
      </c>
      <c r="S1060" s="446">
        <f t="shared" si="189"/>
        <v>4.8100000000000004E-2</v>
      </c>
      <c r="T1060" s="447">
        <f t="shared" si="190"/>
        <v>7.5931073674203403E-2</v>
      </c>
      <c r="V1060" s="448"/>
      <c r="W1060" s="448"/>
      <c r="X1060" s="448"/>
      <c r="Y1060" s="448"/>
      <c r="Z1060" s="448"/>
      <c r="AA1060" s="448"/>
      <c r="AB1060" s="448"/>
      <c r="AC1060" s="448"/>
      <c r="AD1060" s="448"/>
      <c r="AF1060" s="448"/>
      <c r="AG1060" s="448"/>
      <c r="AH1060" s="448"/>
      <c r="AI1060" s="448"/>
      <c r="AJ1060" s="448"/>
      <c r="AK1060" s="448"/>
      <c r="AL1060" s="448"/>
      <c r="AM1060" s="448"/>
      <c r="AN1060" s="448"/>
      <c r="AP1060" s="448"/>
      <c r="AQ1060" s="448"/>
      <c r="AR1060" s="448"/>
      <c r="AS1060" s="448"/>
      <c r="AT1060" s="448"/>
      <c r="AU1060" s="448"/>
      <c r="AV1060" s="448"/>
      <c r="AW1060" s="448"/>
      <c r="AX1060" s="448"/>
    </row>
    <row r="1061" spans="1:50" x14ac:dyDescent="0.4">
      <c r="A1061" s="442" t="str">
        <f t="shared" si="191"/>
        <v>12014</v>
      </c>
      <c r="B1061" s="442">
        <v>41640</v>
      </c>
      <c r="C1061" s="438">
        <v>-3.4599999999999999E-2</v>
      </c>
      <c r="D1061" s="438">
        <v>2.81E-2</v>
      </c>
      <c r="E1061" s="438">
        <v>3.2000000000000002E-3</v>
      </c>
      <c r="F1061" s="438">
        <v>3.741666666666667E-3</v>
      </c>
      <c r="G1061" s="438">
        <v>3.7750000000000001E-3</v>
      </c>
      <c r="H1061" s="438">
        <v>3.7583333333333336E-3</v>
      </c>
      <c r="I1061" s="438">
        <v>3.8583333333333334E-3</v>
      </c>
      <c r="J1061" s="438">
        <f t="shared" si="192"/>
        <v>-3.78E-2</v>
      </c>
      <c r="K1061" s="438">
        <f t="shared" si="196"/>
        <v>-3.8358333333333335E-2</v>
      </c>
      <c r="L1061" s="438">
        <f t="shared" si="197"/>
        <v>2.4241666666666668E-2</v>
      </c>
      <c r="M1061" s="446">
        <f t="shared" si="193"/>
        <v>0.2153152198004229</v>
      </c>
      <c r="N1061" s="446">
        <f t="shared" si="194"/>
        <v>3.8400000000000004E-2</v>
      </c>
      <c r="O1061" s="446">
        <f t="shared" si="186"/>
        <v>4.5100000000000001E-2</v>
      </c>
      <c r="P1061" s="447">
        <f t="shared" si="195"/>
        <v>0.17691521980042291</v>
      </c>
      <c r="Q1061" s="446">
        <f t="shared" si="187"/>
        <v>0.1702152198004229</v>
      </c>
      <c r="R1061" s="446">
        <f t="shared" si="188"/>
        <v>0.11642966558250278</v>
      </c>
      <c r="S1061" s="446">
        <f t="shared" si="189"/>
        <v>4.6300000000000001E-2</v>
      </c>
      <c r="T1061" s="447">
        <f t="shared" si="190"/>
        <v>7.0129665582502776E-2</v>
      </c>
      <c r="V1061" s="448"/>
      <c r="W1061" s="448"/>
      <c r="X1061" s="448"/>
      <c r="Y1061" s="448"/>
      <c r="Z1061" s="448"/>
      <c r="AA1061" s="448"/>
      <c r="AB1061" s="448"/>
      <c r="AC1061" s="448"/>
      <c r="AD1061" s="448"/>
      <c r="AF1061" s="448"/>
      <c r="AG1061" s="448"/>
      <c r="AH1061" s="448"/>
      <c r="AI1061" s="448"/>
      <c r="AJ1061" s="448"/>
      <c r="AK1061" s="448"/>
      <c r="AL1061" s="448"/>
      <c r="AM1061" s="448"/>
      <c r="AN1061" s="448"/>
      <c r="AP1061" s="448"/>
      <c r="AQ1061" s="448"/>
      <c r="AR1061" s="448"/>
      <c r="AS1061" s="448"/>
      <c r="AT1061" s="448"/>
      <c r="AU1061" s="448"/>
      <c r="AV1061" s="448"/>
      <c r="AW1061" s="448"/>
      <c r="AX1061" s="448"/>
    </row>
    <row r="1062" spans="1:50" x14ac:dyDescent="0.4">
      <c r="A1062" s="442" t="str">
        <f t="shared" si="191"/>
        <v>22014</v>
      </c>
      <c r="B1062" s="442">
        <v>41671</v>
      </c>
      <c r="C1062" s="438">
        <v>4.5699999999999998E-2</v>
      </c>
      <c r="D1062" s="438">
        <v>3.3500000000000002E-2</v>
      </c>
      <c r="E1062" s="438">
        <v>2.5999999999999999E-3</v>
      </c>
      <c r="F1062" s="438">
        <v>3.708333333333333E-3</v>
      </c>
      <c r="G1062" s="438">
        <v>3.7166666666666667E-3</v>
      </c>
      <c r="H1062" s="438">
        <v>3.7124999999999997E-3</v>
      </c>
      <c r="I1062" s="438">
        <v>3.7750000000000001E-3</v>
      </c>
      <c r="J1062" s="438">
        <f t="shared" si="192"/>
        <v>4.3099999999999999E-2</v>
      </c>
      <c r="K1062" s="438">
        <f t="shared" si="196"/>
        <v>4.1987499999999997E-2</v>
      </c>
      <c r="L1062" s="438">
        <f t="shared" si="197"/>
        <v>2.9725000000000001E-2</v>
      </c>
      <c r="M1062" s="446">
        <f t="shared" si="193"/>
        <v>0.2538033991173072</v>
      </c>
      <c r="N1062" s="446">
        <f t="shared" si="194"/>
        <v>3.1199999999999999E-2</v>
      </c>
      <c r="O1062" s="446">
        <f t="shared" si="186"/>
        <v>4.4549999999999992E-2</v>
      </c>
      <c r="P1062" s="447">
        <f t="shared" si="195"/>
        <v>0.2226033991173072</v>
      </c>
      <c r="Q1062" s="446">
        <f t="shared" si="187"/>
        <v>0.20925339911730723</v>
      </c>
      <c r="R1062" s="446">
        <f t="shared" si="188"/>
        <v>0.1159977361248834</v>
      </c>
      <c r="S1062" s="446">
        <f t="shared" si="189"/>
        <v>4.53E-2</v>
      </c>
      <c r="T1062" s="447">
        <f t="shared" si="190"/>
        <v>7.0697736124883392E-2</v>
      </c>
      <c r="V1062" s="448"/>
      <c r="W1062" s="448"/>
      <c r="X1062" s="448"/>
      <c r="Y1062" s="448"/>
      <c r="Z1062" s="448"/>
      <c r="AA1062" s="448"/>
      <c r="AB1062" s="448"/>
      <c r="AC1062" s="448"/>
      <c r="AD1062" s="448"/>
      <c r="AF1062" s="448"/>
      <c r="AG1062" s="448"/>
      <c r="AH1062" s="448"/>
      <c r="AI1062" s="448"/>
      <c r="AJ1062" s="448"/>
      <c r="AK1062" s="448"/>
      <c r="AL1062" s="448"/>
      <c r="AM1062" s="448"/>
      <c r="AN1062" s="448"/>
      <c r="AP1062" s="448"/>
      <c r="AQ1062" s="448"/>
      <c r="AR1062" s="448"/>
      <c r="AS1062" s="448"/>
      <c r="AT1062" s="448"/>
      <c r="AU1062" s="448"/>
      <c r="AV1062" s="448"/>
      <c r="AW1062" s="448"/>
      <c r="AX1062" s="448"/>
    </row>
    <row r="1063" spans="1:50" x14ac:dyDescent="0.4">
      <c r="A1063" s="442" t="str">
        <f t="shared" si="191"/>
        <v>32014</v>
      </c>
      <c r="B1063" s="442">
        <v>41699</v>
      </c>
      <c r="C1063" s="438">
        <v>8.3999999999999995E-3</v>
      </c>
      <c r="D1063" s="438">
        <v>3.3700000000000001E-2</v>
      </c>
      <c r="E1063" s="438">
        <v>2.8999999999999998E-3</v>
      </c>
      <c r="F1063" s="438">
        <v>3.65E-3</v>
      </c>
      <c r="G1063" s="438">
        <v>3.7000000000000002E-3</v>
      </c>
      <c r="H1063" s="438">
        <v>3.6750000000000003E-3</v>
      </c>
      <c r="I1063" s="455">
        <v>3.7583333333333336E-3</v>
      </c>
      <c r="J1063" s="438">
        <f t="shared" si="192"/>
        <v>5.4999999999999997E-3</v>
      </c>
      <c r="K1063" s="438">
        <f t="shared" si="196"/>
        <v>4.7249999999999992E-3</v>
      </c>
      <c r="L1063" s="438">
        <f t="shared" si="197"/>
        <v>2.9941666666666669E-2</v>
      </c>
      <c r="M1063" s="446">
        <f t="shared" si="193"/>
        <v>0.21863647968182387</v>
      </c>
      <c r="N1063" s="446">
        <f t="shared" si="194"/>
        <v>3.4799999999999998E-2</v>
      </c>
      <c r="O1063" s="446">
        <f t="shared" si="186"/>
        <v>4.41E-2</v>
      </c>
      <c r="P1063" s="447">
        <f t="shared" si="195"/>
        <v>0.18383647968182387</v>
      </c>
      <c r="Q1063" s="446">
        <f t="shared" si="187"/>
        <v>0.17453647968182387</v>
      </c>
      <c r="R1063" s="446">
        <f t="shared" si="188"/>
        <v>9.4503662079973294E-2</v>
      </c>
      <c r="S1063" s="446">
        <f t="shared" si="189"/>
        <v>4.5100000000000001E-2</v>
      </c>
      <c r="T1063" s="447">
        <f t="shared" si="190"/>
        <v>4.9403662079973293E-2</v>
      </c>
      <c r="V1063" s="448"/>
      <c r="W1063" s="448"/>
      <c r="X1063" s="448"/>
      <c r="Y1063" s="448"/>
      <c r="Z1063" s="448"/>
      <c r="AA1063" s="448"/>
      <c r="AB1063" s="448"/>
      <c r="AC1063" s="448"/>
      <c r="AD1063" s="376"/>
      <c r="AE1063" s="376"/>
      <c r="AF1063" s="376"/>
      <c r="AG1063" s="376"/>
      <c r="AH1063" s="376"/>
      <c r="AI1063" s="376"/>
      <c r="AJ1063" s="376"/>
      <c r="AK1063" s="376"/>
      <c r="AL1063" s="376"/>
      <c r="AM1063" s="376"/>
      <c r="AN1063" s="376"/>
      <c r="AO1063" s="376"/>
      <c r="AP1063" s="376"/>
      <c r="AQ1063" s="376"/>
      <c r="AR1063" s="376"/>
      <c r="AS1063" s="376"/>
      <c r="AT1063" s="376"/>
      <c r="AU1063" s="376"/>
      <c r="AV1063" s="448"/>
      <c r="AW1063" s="448"/>
      <c r="AX1063" s="448"/>
    </row>
    <row r="1064" spans="1:50" x14ac:dyDescent="0.4">
      <c r="A1064" s="442" t="str">
        <f t="shared" si="191"/>
        <v>42014</v>
      </c>
      <c r="B1064" s="442">
        <v>41730</v>
      </c>
      <c r="C1064" s="438">
        <v>7.4000000000000003E-3</v>
      </c>
      <c r="D1064" s="438">
        <v>4.2599999999999999E-2</v>
      </c>
      <c r="E1064" s="438">
        <v>2.8E-3</v>
      </c>
      <c r="F1064" s="438">
        <v>3.5333333333333332E-3</v>
      </c>
      <c r="G1064" s="438">
        <v>3.6083333333333332E-3</v>
      </c>
      <c r="H1064" s="438">
        <v>3.570833333333333E-3</v>
      </c>
      <c r="I1064" s="455">
        <v>3.6749999999999999E-3</v>
      </c>
      <c r="J1064" s="438">
        <f t="shared" si="192"/>
        <v>4.5999999999999999E-3</v>
      </c>
      <c r="K1064" s="438">
        <f t="shared" si="196"/>
        <v>3.8291666666666673E-3</v>
      </c>
      <c r="L1064" s="438">
        <f t="shared" si="197"/>
        <v>3.8925000000000001E-2</v>
      </c>
      <c r="M1064" s="446">
        <f t="shared" si="193"/>
        <v>0.20440929032813648</v>
      </c>
      <c r="N1064" s="446">
        <f t="shared" si="194"/>
        <v>3.3599999999999998E-2</v>
      </c>
      <c r="O1064" s="446">
        <f t="shared" ref="O1064:O1132" si="198">H1064*12</f>
        <v>4.2849999999999999E-2</v>
      </c>
      <c r="P1064" s="447">
        <f t="shared" si="195"/>
        <v>0.17080929032813649</v>
      </c>
      <c r="Q1064" s="446">
        <f t="shared" ref="Q1064:Q1127" si="199">M1064-O1064</f>
        <v>0.16155929032813648</v>
      </c>
      <c r="R1064" s="446">
        <f t="shared" ref="R1064:R1127" si="200">((1+D1053)*(1+D1054)*(1+D1055)*(1+D1056)*(1+D1057)*(1+D1058)*(1+D1059)*(1+D1060)*(1+D1061)*(1+D1062)*(1+D1063)*(1+D1064))-1</f>
        <v>7.755384143964128E-2</v>
      </c>
      <c r="S1064" s="446">
        <f t="shared" ref="S1064:S1132" si="201">I1064*12</f>
        <v>4.41E-2</v>
      </c>
      <c r="T1064" s="447">
        <f t="shared" ref="T1064:T1127" si="202">R1064-S1064</f>
        <v>3.345384143964128E-2</v>
      </c>
      <c r="V1064" s="448"/>
      <c r="W1064" s="448"/>
      <c r="X1064" s="448"/>
      <c r="Y1064" s="448"/>
      <c r="Z1064" s="448"/>
      <c r="AA1064" s="448"/>
      <c r="AB1064" s="448"/>
      <c r="AC1064" s="448"/>
      <c r="AD1064" s="376"/>
      <c r="AE1064" s="376"/>
      <c r="AF1064" s="376"/>
      <c r="AG1064" s="376"/>
      <c r="AH1064" s="376"/>
      <c r="AI1064" s="376"/>
      <c r="AJ1064" s="376"/>
      <c r="AK1064" s="376"/>
      <c r="AL1064" s="376"/>
      <c r="AM1064" s="376"/>
      <c r="AN1064" s="376"/>
      <c r="AO1064" s="376"/>
      <c r="AP1064" s="376"/>
      <c r="AQ1064" s="376"/>
      <c r="AR1064" s="376"/>
      <c r="AS1064" s="376"/>
      <c r="AT1064" s="376"/>
      <c r="AU1064" s="376"/>
      <c r="AV1064" s="448"/>
      <c r="AW1064" s="448"/>
      <c r="AX1064" s="448"/>
    </row>
    <row r="1065" spans="1:50" x14ac:dyDescent="0.4">
      <c r="A1065" s="442" t="str">
        <f t="shared" ref="A1065:A1128" si="203">MONTH(B1065)&amp;YEAR(B1065)</f>
        <v>52014</v>
      </c>
      <c r="B1065" s="458">
        <v>41760</v>
      </c>
      <c r="C1065" s="438">
        <v>2.35E-2</v>
      </c>
      <c r="D1065" s="438">
        <v>-1.0500000000000001E-2</v>
      </c>
      <c r="E1065" s="438">
        <v>2.8E-3</v>
      </c>
      <c r="F1065" s="438">
        <v>3.4666666666666665E-3</v>
      </c>
      <c r="G1065" s="438">
        <v>3.5000000000000001E-3</v>
      </c>
      <c r="H1065" s="438">
        <v>3.4833333333333331E-3</v>
      </c>
      <c r="I1065" s="455">
        <v>3.5499999999999998E-3</v>
      </c>
      <c r="J1065" s="438">
        <f t="shared" si="192"/>
        <v>2.07E-2</v>
      </c>
      <c r="K1065" s="438">
        <f t="shared" si="196"/>
        <v>2.0016666666666669E-2</v>
      </c>
      <c r="L1065" s="438">
        <f t="shared" si="197"/>
        <v>-1.405E-2</v>
      </c>
      <c r="M1065" s="446">
        <f t="shared" si="193"/>
        <v>0.20452697738015191</v>
      </c>
      <c r="N1065" s="446">
        <f t="shared" si="194"/>
        <v>3.3599999999999998E-2</v>
      </c>
      <c r="O1065" s="446">
        <f t="shared" si="198"/>
        <v>4.1799999999999997E-2</v>
      </c>
      <c r="P1065" s="447">
        <f t="shared" si="195"/>
        <v>0.17092697738015192</v>
      </c>
      <c r="Q1065" s="446">
        <f t="shared" si="199"/>
        <v>0.1627269773801519</v>
      </c>
      <c r="R1065" s="446">
        <f t="shared" si="200"/>
        <v>0.171176983858222</v>
      </c>
      <c r="S1065" s="446">
        <f t="shared" si="201"/>
        <v>4.2599999999999999E-2</v>
      </c>
      <c r="T1065" s="447">
        <f t="shared" si="202"/>
        <v>0.128576983858222</v>
      </c>
      <c r="V1065" s="448"/>
      <c r="W1065" s="448"/>
      <c r="X1065" s="448"/>
      <c r="Y1065" s="448"/>
      <c r="Z1065" s="448"/>
      <c r="AA1065" s="448"/>
      <c r="AB1065" s="448"/>
      <c r="AC1065" s="448"/>
      <c r="AD1065" s="376"/>
      <c r="AE1065" s="376"/>
      <c r="AF1065" s="376"/>
      <c r="AG1065" s="376"/>
      <c r="AH1065" s="376"/>
      <c r="AI1065" s="376"/>
      <c r="AJ1065" s="376"/>
      <c r="AK1065" s="376"/>
      <c r="AL1065" s="376"/>
      <c r="AM1065" s="376"/>
      <c r="AN1065" s="376"/>
      <c r="AO1065" s="376"/>
      <c r="AP1065" s="376"/>
      <c r="AQ1065" s="376"/>
      <c r="AR1065" s="376"/>
      <c r="AS1065" s="376"/>
      <c r="AT1065" s="376"/>
      <c r="AU1065" s="376"/>
      <c r="AV1065" s="448"/>
      <c r="AW1065" s="448"/>
      <c r="AX1065" s="448"/>
    </row>
    <row r="1066" spans="1:50" x14ac:dyDescent="0.4">
      <c r="A1066" s="442" t="str">
        <f t="shared" si="203"/>
        <v>62014</v>
      </c>
      <c r="B1066" s="458">
        <v>41791</v>
      </c>
      <c r="C1066" s="438">
        <v>2.07E-2</v>
      </c>
      <c r="D1066" s="438">
        <v>4.48E-2</v>
      </c>
      <c r="E1066" s="438">
        <v>2.5000000000000001E-3</v>
      </c>
      <c r="F1066" s="438">
        <v>3.5416666666666669E-3</v>
      </c>
      <c r="G1066" s="438">
        <v>3.5499999999999998E-3</v>
      </c>
      <c r="H1066" s="438">
        <v>3.5458333333333331E-3</v>
      </c>
      <c r="I1066" s="455">
        <v>3.5750000000000001E-3</v>
      </c>
      <c r="J1066" s="438">
        <f t="shared" si="192"/>
        <v>1.8200000000000001E-2</v>
      </c>
      <c r="K1066" s="438">
        <f t="shared" si="196"/>
        <v>1.7154166666666665E-2</v>
      </c>
      <c r="L1066" s="438">
        <f t="shared" si="197"/>
        <v>4.1224999999999998E-2</v>
      </c>
      <c r="M1066" s="446">
        <f t="shared" si="193"/>
        <v>0.24615921935122764</v>
      </c>
      <c r="N1066" s="446">
        <f t="shared" si="194"/>
        <v>0.03</v>
      </c>
      <c r="O1066" s="446">
        <f t="shared" si="198"/>
        <v>4.2549999999999998E-2</v>
      </c>
      <c r="P1066" s="447">
        <f t="shared" si="195"/>
        <v>0.21615921935122764</v>
      </c>
      <c r="Q1066" s="446">
        <f t="shared" si="199"/>
        <v>0.20360921935122764</v>
      </c>
      <c r="R1066" s="446">
        <f t="shared" si="200"/>
        <v>0.20985338415569554</v>
      </c>
      <c r="S1066" s="446">
        <f t="shared" si="201"/>
        <v>4.2900000000000001E-2</v>
      </c>
      <c r="T1066" s="447">
        <f t="shared" si="202"/>
        <v>0.16695338415569555</v>
      </c>
      <c r="V1066" s="448"/>
      <c r="W1066" s="448"/>
      <c r="X1066" s="448"/>
      <c r="Y1066" s="448"/>
      <c r="Z1066" s="448"/>
      <c r="AA1066" s="448"/>
      <c r="AB1066" s="448"/>
      <c r="AC1066" s="448"/>
      <c r="AD1066" s="376"/>
      <c r="AE1066" s="376"/>
      <c r="AF1066" s="376"/>
      <c r="AG1066" s="376"/>
      <c r="AH1066" s="376"/>
      <c r="AI1066" s="376"/>
      <c r="AJ1066" s="376"/>
      <c r="AK1066" s="376"/>
      <c r="AL1066" s="376"/>
      <c r="AM1066" s="376"/>
      <c r="AN1066" s="376"/>
      <c r="AO1066" s="376"/>
      <c r="AP1066" s="376"/>
      <c r="AQ1066" s="376"/>
      <c r="AR1066" s="376"/>
      <c r="AS1066" s="376"/>
      <c r="AT1066" s="376"/>
      <c r="AU1066" s="376"/>
      <c r="AV1066" s="448"/>
      <c r="AW1066" s="448"/>
      <c r="AX1066" s="448"/>
    </row>
    <row r="1067" spans="1:50" x14ac:dyDescent="0.4">
      <c r="A1067" s="442" t="str">
        <f t="shared" si="203"/>
        <v>72014</v>
      </c>
      <c r="B1067" s="458">
        <v>41821</v>
      </c>
      <c r="C1067" s="438">
        <v>-1.38E-2</v>
      </c>
      <c r="D1067" s="438">
        <v>-6.8000000000000005E-2</v>
      </c>
      <c r="E1067" s="438">
        <v>2.7000000000000001E-3</v>
      </c>
      <c r="F1067" s="438">
        <v>3.4666666666666665E-3</v>
      </c>
      <c r="G1067" s="438">
        <v>3.5000000000000001E-3</v>
      </c>
      <c r="H1067" s="438">
        <v>3.4833333333333331E-3</v>
      </c>
      <c r="I1067" s="455">
        <v>3.5249999999999999E-3</v>
      </c>
      <c r="J1067" s="438">
        <f t="shared" si="192"/>
        <v>-1.6500000000000001E-2</v>
      </c>
      <c r="K1067" s="438">
        <f t="shared" si="196"/>
        <v>-1.7283333333333331E-2</v>
      </c>
      <c r="L1067" s="438">
        <f t="shared" si="197"/>
        <v>-7.1525000000000005E-2</v>
      </c>
      <c r="M1067" s="446">
        <f t="shared" si="193"/>
        <v>0.16943783625861708</v>
      </c>
      <c r="N1067" s="446">
        <f t="shared" si="194"/>
        <v>3.2399999999999998E-2</v>
      </c>
      <c r="O1067" s="446">
        <f t="shared" si="198"/>
        <v>4.1799999999999997E-2</v>
      </c>
      <c r="P1067" s="447">
        <f t="shared" si="195"/>
        <v>0.1370378362586171</v>
      </c>
      <c r="Q1067" s="446">
        <f t="shared" si="199"/>
        <v>0.12763783625861708</v>
      </c>
      <c r="R1067" s="446">
        <f t="shared" si="200"/>
        <v>8.5780793483974938E-2</v>
      </c>
      <c r="S1067" s="446">
        <f t="shared" si="201"/>
        <v>4.2299999999999997E-2</v>
      </c>
      <c r="T1067" s="447">
        <f t="shared" si="202"/>
        <v>4.348079348397494E-2</v>
      </c>
      <c r="V1067" s="448"/>
      <c r="W1067" s="448"/>
      <c r="X1067" s="448"/>
      <c r="Y1067" s="448"/>
      <c r="Z1067" s="448"/>
      <c r="AA1067" s="448"/>
      <c r="AB1067" s="448"/>
      <c r="AC1067" s="448"/>
      <c r="AD1067" s="376"/>
      <c r="AE1067" s="376"/>
      <c r="AF1067" s="376"/>
      <c r="AG1067" s="376"/>
      <c r="AH1067" s="376"/>
      <c r="AI1067" s="376"/>
      <c r="AJ1067" s="376"/>
      <c r="AK1067" s="376"/>
      <c r="AL1067" s="376"/>
      <c r="AM1067" s="376"/>
      <c r="AN1067" s="376"/>
      <c r="AO1067" s="376"/>
      <c r="AP1067" s="376"/>
      <c r="AQ1067" s="376"/>
      <c r="AR1067" s="376"/>
      <c r="AS1067" s="376"/>
      <c r="AT1067" s="376"/>
      <c r="AU1067" s="376"/>
      <c r="AV1067" s="448"/>
      <c r="AW1067" s="448"/>
      <c r="AX1067" s="448"/>
    </row>
    <row r="1068" spans="1:50" x14ac:dyDescent="0.4">
      <c r="A1068" s="442" t="str">
        <f t="shared" si="203"/>
        <v>82014</v>
      </c>
      <c r="B1068" s="458">
        <v>41852</v>
      </c>
      <c r="C1068" s="438">
        <v>0.04</v>
      </c>
      <c r="D1068" s="438">
        <v>4.9500000000000002E-2</v>
      </c>
      <c r="E1068" s="438">
        <v>2.5999999999999999E-3</v>
      </c>
      <c r="F1068" s="438">
        <v>3.4000000000000002E-3</v>
      </c>
      <c r="G1068" s="438">
        <v>3.4166666666666668E-3</v>
      </c>
      <c r="H1068" s="438">
        <v>3.4083333333333335E-3</v>
      </c>
      <c r="I1068" s="455">
        <v>3.4416666666666671E-3</v>
      </c>
      <c r="J1068" s="438">
        <f t="shared" si="192"/>
        <v>3.7400000000000003E-2</v>
      </c>
      <c r="K1068" s="438">
        <f t="shared" si="196"/>
        <v>3.6591666666666668E-2</v>
      </c>
      <c r="L1068" s="438">
        <f t="shared" si="197"/>
        <v>4.6058333333333333E-2</v>
      </c>
      <c r="M1068" s="446">
        <f t="shared" si="193"/>
        <v>0.25253898013281373</v>
      </c>
      <c r="N1068" s="446">
        <f t="shared" si="194"/>
        <v>3.1199999999999999E-2</v>
      </c>
      <c r="O1068" s="446">
        <f t="shared" si="198"/>
        <v>4.0900000000000006E-2</v>
      </c>
      <c r="P1068" s="447">
        <f t="shared" si="195"/>
        <v>0.22133898013281372</v>
      </c>
      <c r="Q1068" s="446">
        <f t="shared" si="199"/>
        <v>0.21163898013281374</v>
      </c>
      <c r="R1068" s="446">
        <f t="shared" si="200"/>
        <v>0.1995020450120335</v>
      </c>
      <c r="S1068" s="446">
        <f t="shared" si="201"/>
        <v>4.1300000000000003E-2</v>
      </c>
      <c r="T1068" s="447">
        <f t="shared" si="202"/>
        <v>0.1582020450120335</v>
      </c>
      <c r="V1068" s="448"/>
      <c r="W1068" s="448"/>
      <c r="X1068" s="448"/>
      <c r="Y1068" s="448"/>
      <c r="Z1068" s="448"/>
      <c r="AA1068" s="448"/>
      <c r="AB1068" s="448"/>
      <c r="AC1068" s="448"/>
      <c r="AD1068" s="376"/>
      <c r="AE1068" s="376"/>
      <c r="AF1068" s="376"/>
      <c r="AG1068" s="376"/>
      <c r="AH1068" s="376"/>
      <c r="AI1068" s="376"/>
      <c r="AJ1068" s="376"/>
      <c r="AK1068" s="376"/>
      <c r="AL1068" s="376"/>
      <c r="AM1068" s="376"/>
      <c r="AN1068" s="376"/>
      <c r="AO1068" s="376"/>
      <c r="AP1068" s="376"/>
      <c r="AQ1068" s="376"/>
      <c r="AR1068" s="376"/>
      <c r="AS1068" s="376"/>
      <c r="AT1068" s="376"/>
      <c r="AU1068" s="376"/>
      <c r="AV1068" s="448"/>
      <c r="AW1068" s="448"/>
      <c r="AX1068" s="448"/>
    </row>
    <row r="1069" spans="1:50" x14ac:dyDescent="0.4">
      <c r="A1069" s="442" t="str">
        <f t="shared" si="203"/>
        <v>92014</v>
      </c>
      <c r="B1069" s="458">
        <v>41883</v>
      </c>
      <c r="C1069" s="438">
        <v>-1.4E-2</v>
      </c>
      <c r="D1069" s="438">
        <v>-1.8599999999999998E-2</v>
      </c>
      <c r="E1069" s="438">
        <v>2.3E-3</v>
      </c>
      <c r="F1069" s="438">
        <v>3.4249999999999997E-3</v>
      </c>
      <c r="G1069" s="438">
        <v>3.4916666666666668E-3</v>
      </c>
      <c r="H1069" s="438">
        <v>3.4583333333333332E-3</v>
      </c>
      <c r="I1069" s="455">
        <v>3.5333333333333332E-3</v>
      </c>
      <c r="J1069" s="438">
        <f t="shared" si="192"/>
        <v>-1.6300000000000002E-2</v>
      </c>
      <c r="K1069" s="438">
        <f t="shared" si="196"/>
        <v>-1.7458333333333333E-2</v>
      </c>
      <c r="L1069" s="438">
        <f t="shared" si="197"/>
        <v>-2.2133333333333331E-2</v>
      </c>
      <c r="M1069" s="446">
        <f t="shared" si="193"/>
        <v>0.19740491992529963</v>
      </c>
      <c r="N1069" s="446">
        <f t="shared" si="194"/>
        <v>2.76E-2</v>
      </c>
      <c r="O1069" s="446">
        <f t="shared" si="198"/>
        <v>4.1499999999999995E-2</v>
      </c>
      <c r="P1069" s="447">
        <f t="shared" si="195"/>
        <v>0.16980491992529961</v>
      </c>
      <c r="Q1069" s="446">
        <f t="shared" si="199"/>
        <v>0.15590491992529965</v>
      </c>
      <c r="R1069" s="446">
        <f t="shared" si="200"/>
        <v>0.16461348137594944</v>
      </c>
      <c r="S1069" s="446">
        <f t="shared" si="201"/>
        <v>4.24E-2</v>
      </c>
      <c r="T1069" s="447">
        <f t="shared" si="202"/>
        <v>0.12221348137594945</v>
      </c>
      <c r="V1069" s="448"/>
      <c r="W1069" s="448"/>
      <c r="X1069" s="448"/>
      <c r="Y1069" s="448"/>
      <c r="Z1069" s="448"/>
      <c r="AA1069" s="448"/>
      <c r="AB1069" s="448"/>
      <c r="AC1069" s="448"/>
      <c r="AD1069" s="376"/>
      <c r="AE1069" s="376"/>
      <c r="AF1069" s="376"/>
      <c r="AG1069" s="376"/>
      <c r="AH1069" s="376"/>
      <c r="AI1069" s="376"/>
      <c r="AJ1069" s="376"/>
      <c r="AK1069" s="376"/>
      <c r="AL1069" s="376"/>
      <c r="AM1069" s="376"/>
      <c r="AN1069" s="376"/>
      <c r="AO1069" s="376"/>
      <c r="AP1069" s="376"/>
      <c r="AQ1069" s="376"/>
      <c r="AR1069" s="376"/>
      <c r="AS1069" s="376"/>
      <c r="AT1069" s="376"/>
      <c r="AU1069" s="376"/>
      <c r="AV1069" s="448"/>
      <c r="AW1069" s="448"/>
      <c r="AX1069" s="448"/>
    </row>
    <row r="1070" spans="1:50" x14ac:dyDescent="0.4">
      <c r="A1070" s="442" t="str">
        <f t="shared" si="203"/>
        <v>102014</v>
      </c>
      <c r="B1070" s="458">
        <v>41913</v>
      </c>
      <c r="C1070" s="438">
        <v>2.4400000000000002E-2</v>
      </c>
      <c r="D1070" s="438">
        <v>8.0199999999999994E-2</v>
      </c>
      <c r="E1070" s="438">
        <v>2.5000000000000001E-3</v>
      </c>
      <c r="F1070" s="438">
        <v>3.2666666666666664E-3</v>
      </c>
      <c r="G1070" s="438">
        <v>3.3249999999999998E-3</v>
      </c>
      <c r="H1070" s="438">
        <v>3.2958333333333329E-3</v>
      </c>
      <c r="I1070" s="455">
        <v>3.3833333333333332E-3</v>
      </c>
      <c r="J1070" s="438">
        <f t="shared" si="192"/>
        <v>2.1900000000000003E-2</v>
      </c>
      <c r="K1070" s="438">
        <f t="shared" si="196"/>
        <v>2.1104166666666667E-2</v>
      </c>
      <c r="L1070" s="438">
        <f t="shared" si="197"/>
        <v>7.6816666666666658E-2</v>
      </c>
      <c r="M1070" s="446">
        <f t="shared" si="193"/>
        <v>0.17267839385418404</v>
      </c>
      <c r="N1070" s="446">
        <f t="shared" si="194"/>
        <v>0.03</v>
      </c>
      <c r="O1070" s="446">
        <f t="shared" si="198"/>
        <v>3.9549999999999995E-2</v>
      </c>
      <c r="P1070" s="447">
        <f t="shared" si="195"/>
        <v>0.14267839385418404</v>
      </c>
      <c r="Q1070" s="446">
        <f t="shared" si="199"/>
        <v>0.13312839385418404</v>
      </c>
      <c r="R1070" s="446">
        <f t="shared" si="200"/>
        <v>0.21231134488031334</v>
      </c>
      <c r="S1070" s="446">
        <f t="shared" si="201"/>
        <v>4.0599999999999997E-2</v>
      </c>
      <c r="T1070" s="447">
        <f t="shared" si="202"/>
        <v>0.17171134488031334</v>
      </c>
      <c r="V1070" s="448"/>
      <c r="W1070" s="448"/>
      <c r="X1070" s="448"/>
      <c r="Y1070" s="448"/>
      <c r="Z1070" s="448"/>
      <c r="AA1070" s="448"/>
      <c r="AB1070" s="448"/>
      <c r="AC1070" s="448"/>
      <c r="AD1070" s="376"/>
      <c r="AE1070" s="376"/>
      <c r="AF1070" s="376"/>
      <c r="AG1070" s="376"/>
      <c r="AH1070" s="376"/>
      <c r="AI1070" s="376"/>
      <c r="AJ1070" s="376"/>
      <c r="AK1070" s="376"/>
      <c r="AL1070" s="376"/>
      <c r="AM1070" s="376"/>
      <c r="AN1070" s="376"/>
      <c r="AO1070" s="376"/>
      <c r="AP1070" s="376"/>
      <c r="AQ1070" s="376"/>
      <c r="AR1070" s="376"/>
      <c r="AS1070" s="376"/>
      <c r="AT1070" s="376"/>
      <c r="AU1070" s="376"/>
    </row>
    <row r="1071" spans="1:50" x14ac:dyDescent="0.4">
      <c r="A1071" s="442" t="str">
        <f t="shared" si="203"/>
        <v>112014</v>
      </c>
      <c r="B1071" s="458">
        <v>41944</v>
      </c>
      <c r="C1071" s="438">
        <v>2.69E-2</v>
      </c>
      <c r="D1071" s="438">
        <v>1.2E-2</v>
      </c>
      <c r="E1071" s="438">
        <v>2.3E-3</v>
      </c>
      <c r="F1071" s="438">
        <v>3.2666666666666664E-3</v>
      </c>
      <c r="G1071" s="438">
        <v>3.3666666666666667E-3</v>
      </c>
      <c r="H1071" s="438">
        <v>3.3166666666666665E-3</v>
      </c>
      <c r="I1071" s="455">
        <v>3.4083333333333331E-3</v>
      </c>
      <c r="J1071" s="438">
        <f t="shared" si="192"/>
        <v>2.46E-2</v>
      </c>
      <c r="K1071" s="438">
        <f t="shared" si="196"/>
        <v>2.3583333333333335E-2</v>
      </c>
      <c r="L1071" s="438">
        <f t="shared" si="197"/>
        <v>8.5916666666666676E-3</v>
      </c>
      <c r="M1071" s="446">
        <f t="shared" si="193"/>
        <v>0.1685817007752175</v>
      </c>
      <c r="N1071" s="446">
        <f t="shared" si="194"/>
        <v>2.76E-2</v>
      </c>
      <c r="O1071" s="446">
        <f t="shared" si="198"/>
        <v>3.9800000000000002E-2</v>
      </c>
      <c r="P1071" s="447">
        <f t="shared" si="195"/>
        <v>0.14098170077521749</v>
      </c>
      <c r="Q1071" s="446">
        <f t="shared" si="199"/>
        <v>0.1287817007752175</v>
      </c>
      <c r="R1071" s="446">
        <f t="shared" si="200"/>
        <v>0.25176928988764069</v>
      </c>
      <c r="S1071" s="446">
        <f t="shared" si="201"/>
        <v>4.0899999999999999E-2</v>
      </c>
      <c r="T1071" s="447">
        <f t="shared" si="202"/>
        <v>0.2108692898876407</v>
      </c>
      <c r="V1071" s="448"/>
      <c r="W1071" s="448"/>
      <c r="X1071" s="448"/>
      <c r="Y1071" s="448"/>
      <c r="Z1071" s="448"/>
      <c r="AA1071" s="448"/>
      <c r="AB1071" s="448"/>
      <c r="AC1071" s="448"/>
      <c r="AD1071" s="376"/>
      <c r="AE1071" s="376"/>
      <c r="AF1071" s="376"/>
      <c r="AG1071" s="376"/>
      <c r="AH1071" s="376"/>
      <c r="AI1071" s="376"/>
      <c r="AJ1071" s="376"/>
      <c r="AK1071" s="376"/>
      <c r="AL1071" s="376"/>
      <c r="AM1071" s="376"/>
      <c r="AN1071" s="376"/>
      <c r="AO1071" s="376"/>
      <c r="AP1071" s="376"/>
      <c r="AQ1071" s="376"/>
      <c r="AR1071" s="376"/>
      <c r="AS1071" s="376"/>
      <c r="AT1071" s="376"/>
      <c r="AU1071" s="376"/>
    </row>
    <row r="1072" spans="1:50" x14ac:dyDescent="0.4">
      <c r="A1072" s="442" t="str">
        <f t="shared" si="203"/>
        <v>122014</v>
      </c>
      <c r="B1072" s="458">
        <v>41974</v>
      </c>
      <c r="C1072" s="438">
        <v>-2.5000000000000001E-3</v>
      </c>
      <c r="D1072" s="438">
        <v>3.5000000000000003E-2</v>
      </c>
      <c r="E1072" s="438">
        <v>2.2000000000000001E-3</v>
      </c>
      <c r="F1072" s="438">
        <v>3.1583333333333337E-3</v>
      </c>
      <c r="G1072" s="438">
        <v>3.2416666666666666E-3</v>
      </c>
      <c r="H1072" s="438">
        <v>3.2000000000000002E-3</v>
      </c>
      <c r="I1072" s="455">
        <v>3.2916666666666667E-3</v>
      </c>
      <c r="J1072" s="438">
        <f t="shared" si="192"/>
        <v>-4.7000000000000002E-3</v>
      </c>
      <c r="K1072" s="438">
        <f t="shared" si="196"/>
        <v>-5.7000000000000002E-3</v>
      </c>
      <c r="L1072" s="438">
        <f t="shared" si="197"/>
        <v>3.1708333333333338E-2</v>
      </c>
      <c r="M1072" s="446">
        <f t="shared" si="193"/>
        <v>0.1368967585324099</v>
      </c>
      <c r="N1072" s="446">
        <f t="shared" si="194"/>
        <v>2.64E-2</v>
      </c>
      <c r="O1072" s="446">
        <f t="shared" si="198"/>
        <v>3.8400000000000004E-2</v>
      </c>
      <c r="P1072" s="447">
        <f t="shared" si="195"/>
        <v>0.11049675853240989</v>
      </c>
      <c r="Q1072" s="446">
        <f t="shared" si="199"/>
        <v>9.8496758532409898E-2</v>
      </c>
      <c r="R1072" s="446">
        <f t="shared" si="200"/>
        <v>0.28580906613111168</v>
      </c>
      <c r="S1072" s="446">
        <f t="shared" si="201"/>
        <v>3.95E-2</v>
      </c>
      <c r="T1072" s="447">
        <f t="shared" si="202"/>
        <v>0.24630906613111167</v>
      </c>
      <c r="V1072" s="448"/>
      <c r="W1072" s="448"/>
      <c r="X1072" s="448"/>
      <c r="Y1072" s="448"/>
      <c r="Z1072" s="448"/>
      <c r="AA1072" s="448"/>
      <c r="AB1072" s="448"/>
      <c r="AC1072" s="448"/>
      <c r="AD1072" s="376"/>
      <c r="AE1072" s="376"/>
      <c r="AF1072" s="376"/>
      <c r="AG1072" s="376"/>
      <c r="AH1072" s="376"/>
      <c r="AI1072" s="376"/>
      <c r="AJ1072" s="376"/>
      <c r="AK1072" s="376"/>
      <c r="AL1072" s="376"/>
      <c r="AM1072" s="376"/>
      <c r="AN1072" s="376"/>
      <c r="AO1072" s="376"/>
      <c r="AP1072" s="376"/>
      <c r="AQ1072" s="376"/>
      <c r="AR1072" s="376"/>
      <c r="AS1072" s="376"/>
      <c r="AT1072" s="376"/>
      <c r="AU1072" s="376"/>
    </row>
    <row r="1073" spans="1:47" x14ac:dyDescent="0.4">
      <c r="A1073" s="442" t="str">
        <f t="shared" si="203"/>
        <v>12015</v>
      </c>
      <c r="B1073" s="458">
        <v>42005</v>
      </c>
      <c r="C1073" s="438">
        <v>-0.03</v>
      </c>
      <c r="D1073" s="438">
        <v>2.3300000000000001E-2</v>
      </c>
      <c r="E1073" s="438">
        <v>2E-3</v>
      </c>
      <c r="F1073" s="438">
        <v>2.8833333333333332E-3</v>
      </c>
      <c r="G1073" s="438">
        <v>2.9499999999999999E-3</v>
      </c>
      <c r="H1073" s="438">
        <v>2.9166666666666664E-3</v>
      </c>
      <c r="I1073" s="455">
        <v>2.9833333333333331E-3</v>
      </c>
      <c r="J1073" s="438">
        <f t="shared" si="192"/>
        <v>-3.2000000000000001E-2</v>
      </c>
      <c r="K1073" s="438">
        <f t="shared" si="196"/>
        <v>-3.2916666666666664E-2</v>
      </c>
      <c r="L1073" s="438">
        <f t="shared" si="197"/>
        <v>2.0316666666666667E-2</v>
      </c>
      <c r="M1073" s="446">
        <f t="shared" si="193"/>
        <v>0.14231391731555543</v>
      </c>
      <c r="N1073" s="446">
        <f t="shared" si="194"/>
        <v>2.4E-2</v>
      </c>
      <c r="O1073" s="446">
        <f t="shared" si="198"/>
        <v>3.4999999999999996E-2</v>
      </c>
      <c r="P1073" s="447">
        <f t="shared" si="195"/>
        <v>0.11831391731555543</v>
      </c>
      <c r="Q1073" s="446">
        <f t="shared" si="199"/>
        <v>0.10731391731555542</v>
      </c>
      <c r="R1073" s="446">
        <f t="shared" si="200"/>
        <v>0.27980587235868715</v>
      </c>
      <c r="S1073" s="446">
        <f t="shared" si="201"/>
        <v>3.5799999999999998E-2</v>
      </c>
      <c r="T1073" s="447">
        <f t="shared" si="202"/>
        <v>0.24400587235868715</v>
      </c>
      <c r="V1073" s="448"/>
      <c r="W1073" s="448"/>
      <c r="X1073" s="448"/>
      <c r="Y1073" s="448"/>
      <c r="Z1073" s="448"/>
      <c r="AA1073" s="448"/>
      <c r="AB1073" s="448"/>
      <c r="AC1073" s="448"/>
      <c r="AD1073" s="376"/>
      <c r="AE1073" s="376"/>
      <c r="AF1073" s="376"/>
      <c r="AG1073" s="376"/>
      <c r="AH1073" s="376"/>
      <c r="AI1073" s="376"/>
      <c r="AJ1073" s="376"/>
      <c r="AK1073" s="376"/>
      <c r="AL1073" s="376"/>
      <c r="AM1073" s="376"/>
      <c r="AN1073" s="376"/>
      <c r="AO1073" s="376"/>
      <c r="AP1073" s="376"/>
      <c r="AQ1073" s="376"/>
      <c r="AR1073" s="376"/>
      <c r="AS1073" s="376"/>
      <c r="AT1073" s="376"/>
      <c r="AU1073" s="376"/>
    </row>
    <row r="1074" spans="1:47" x14ac:dyDescent="0.4">
      <c r="A1074" s="442" t="str">
        <f t="shared" si="203"/>
        <v>22015</v>
      </c>
      <c r="B1074" s="458">
        <v>42036</v>
      </c>
      <c r="C1074" s="438">
        <v>5.7500000000000002E-2</v>
      </c>
      <c r="D1074" s="438">
        <v>-6.3299999999999995E-2</v>
      </c>
      <c r="E1074" s="438">
        <v>1.5E-3</v>
      </c>
      <c r="F1074" s="438">
        <v>3.0083333333333333E-3</v>
      </c>
      <c r="G1074" s="438">
        <v>3.0333333333333336E-3</v>
      </c>
      <c r="H1074" s="438">
        <v>3.0208333333333337E-3</v>
      </c>
      <c r="I1074" s="455">
        <v>3.0583333333333335E-3</v>
      </c>
      <c r="J1074" s="438">
        <f t="shared" si="192"/>
        <v>5.6000000000000001E-2</v>
      </c>
      <c r="K1074" s="438">
        <f t="shared" si="196"/>
        <v>5.4479166666666669E-2</v>
      </c>
      <c r="L1074" s="438">
        <f t="shared" si="197"/>
        <v>-6.6358333333333325E-2</v>
      </c>
      <c r="M1074" s="446">
        <f t="shared" si="193"/>
        <v>0.15520413843473224</v>
      </c>
      <c r="N1074" s="446">
        <f t="shared" si="194"/>
        <v>1.8000000000000002E-2</v>
      </c>
      <c r="O1074" s="446">
        <f t="shared" si="198"/>
        <v>3.6250000000000004E-2</v>
      </c>
      <c r="P1074" s="447">
        <f t="shared" si="195"/>
        <v>0.13720413843473223</v>
      </c>
      <c r="Q1074" s="446">
        <f t="shared" si="199"/>
        <v>0.11895413843473224</v>
      </c>
      <c r="R1074" s="446">
        <f t="shared" si="200"/>
        <v>0.15993629476379545</v>
      </c>
      <c r="S1074" s="446">
        <f t="shared" si="201"/>
        <v>3.6700000000000003E-2</v>
      </c>
      <c r="T1074" s="447">
        <f t="shared" si="202"/>
        <v>0.12323629476379544</v>
      </c>
      <c r="V1074" s="448"/>
      <c r="W1074" s="448"/>
      <c r="X1074" s="448"/>
      <c r="Y1074" s="448"/>
      <c r="Z1074" s="448"/>
      <c r="AA1074" s="448"/>
      <c r="AB1074" s="448"/>
      <c r="AC1074" s="448"/>
      <c r="AD1074" s="376"/>
      <c r="AE1074" s="376"/>
      <c r="AF1074" s="376"/>
      <c r="AG1074" s="376"/>
      <c r="AH1074" s="376"/>
      <c r="AI1074" s="376"/>
      <c r="AJ1074" s="376"/>
      <c r="AK1074" s="376"/>
      <c r="AL1074" s="376"/>
      <c r="AM1074" s="376"/>
      <c r="AN1074" s="376"/>
      <c r="AO1074" s="376"/>
      <c r="AP1074" s="376"/>
      <c r="AQ1074" s="376"/>
      <c r="AR1074" s="376"/>
      <c r="AS1074" s="376"/>
      <c r="AT1074" s="376"/>
      <c r="AU1074" s="376"/>
    </row>
    <row r="1075" spans="1:47" x14ac:dyDescent="0.4">
      <c r="A1075" s="442" t="str">
        <f t="shared" si="203"/>
        <v>32015</v>
      </c>
      <c r="B1075" s="458">
        <v>42064</v>
      </c>
      <c r="C1075" s="438">
        <v>-1.5800000000000002E-2</v>
      </c>
      <c r="D1075" s="438">
        <v>-4.8999999999999998E-3</v>
      </c>
      <c r="E1075" s="438">
        <v>2.0999999999999999E-3</v>
      </c>
      <c r="F1075" s="438">
        <v>3.0333333333333336E-3</v>
      </c>
      <c r="G1075" s="438">
        <v>3.0833333333333333E-3</v>
      </c>
      <c r="H1075" s="438">
        <v>3.0583333333333335E-3</v>
      </c>
      <c r="I1075" s="455">
        <v>3.1166666666666669E-3</v>
      </c>
      <c r="J1075" s="438">
        <f t="shared" si="192"/>
        <v>-1.7900000000000003E-2</v>
      </c>
      <c r="K1075" s="438">
        <f t="shared" si="196"/>
        <v>-1.8858333333333335E-2</v>
      </c>
      <c r="L1075" s="438">
        <f t="shared" si="197"/>
        <v>-8.0166666666666667E-3</v>
      </c>
      <c r="M1075" s="446">
        <f t="shared" si="193"/>
        <v>0.1274810720423083</v>
      </c>
      <c r="N1075" s="446">
        <f t="shared" si="194"/>
        <v>2.52E-2</v>
      </c>
      <c r="O1075" s="446">
        <f t="shared" si="198"/>
        <v>3.6700000000000003E-2</v>
      </c>
      <c r="P1075" s="447">
        <f t="shared" si="195"/>
        <v>0.1022810720423083</v>
      </c>
      <c r="Q1075" s="446">
        <f t="shared" si="199"/>
        <v>9.0781072042308286E-2</v>
      </c>
      <c r="R1075" s="446">
        <f t="shared" si="200"/>
        <v>0.11662243099492398</v>
      </c>
      <c r="S1075" s="446">
        <f t="shared" si="201"/>
        <v>3.7400000000000003E-2</v>
      </c>
      <c r="T1075" s="447">
        <f t="shared" si="202"/>
        <v>7.9222430994923973E-2</v>
      </c>
      <c r="V1075" s="448"/>
      <c r="W1075" s="448"/>
      <c r="X1075" s="448"/>
      <c r="Y1075" s="448"/>
      <c r="Z1075" s="448"/>
      <c r="AA1075" s="448"/>
      <c r="AB1075" s="448"/>
      <c r="AC1075" s="448"/>
      <c r="AD1075" s="376"/>
      <c r="AE1075" s="376"/>
      <c r="AF1075" s="376"/>
      <c r="AG1075" s="376"/>
      <c r="AH1075" s="376"/>
      <c r="AI1075" s="376"/>
      <c r="AJ1075" s="376"/>
      <c r="AK1075" s="376"/>
      <c r="AL1075" s="376"/>
      <c r="AM1075" s="376"/>
      <c r="AN1075" s="376"/>
      <c r="AO1075" s="376"/>
      <c r="AP1075" s="376"/>
      <c r="AQ1075" s="376"/>
      <c r="AR1075" s="376"/>
      <c r="AS1075" s="376"/>
      <c r="AT1075" s="376"/>
      <c r="AU1075" s="376"/>
    </row>
    <row r="1076" spans="1:47" x14ac:dyDescent="0.4">
      <c r="A1076" s="442" t="str">
        <f t="shared" si="203"/>
        <v>42015</v>
      </c>
      <c r="B1076" s="458">
        <v>42095</v>
      </c>
      <c r="C1076" s="438">
        <v>9.5999999999999992E-3</v>
      </c>
      <c r="D1076" s="438">
        <v>-1.29E-2</v>
      </c>
      <c r="E1076" s="438">
        <v>1.9E-3</v>
      </c>
      <c r="F1076" s="438">
        <v>2.9333333333333334E-3</v>
      </c>
      <c r="G1076" s="438">
        <v>3.0333333333333336E-3</v>
      </c>
      <c r="H1076" s="438">
        <v>2.9833333333333335E-3</v>
      </c>
      <c r="I1076" s="438">
        <v>3.1249999999999997E-3</v>
      </c>
      <c r="J1076" s="438">
        <f t="shared" si="192"/>
        <v>7.6999999999999994E-3</v>
      </c>
      <c r="K1076" s="438">
        <f t="shared" si="196"/>
        <v>6.6166666666666657E-3</v>
      </c>
      <c r="L1076" s="438">
        <f t="shared" si="197"/>
        <v>-1.6025000000000001E-2</v>
      </c>
      <c r="M1076" s="446">
        <f t="shared" si="193"/>
        <v>0.12994330984109048</v>
      </c>
      <c r="N1076" s="446">
        <f t="shared" si="194"/>
        <v>2.2800000000000001E-2</v>
      </c>
      <c r="O1076" s="446">
        <f t="shared" si="198"/>
        <v>3.5799999999999998E-2</v>
      </c>
      <c r="P1076" s="447">
        <f t="shared" si="195"/>
        <v>0.10714330984109048</v>
      </c>
      <c r="Q1076" s="446">
        <f t="shared" si="199"/>
        <v>9.4143309841090483E-2</v>
      </c>
      <c r="R1076" s="446">
        <f t="shared" si="200"/>
        <v>5.718204645606062E-2</v>
      </c>
      <c r="S1076" s="446">
        <f t="shared" si="201"/>
        <v>3.7499999999999999E-2</v>
      </c>
      <c r="T1076" s="447">
        <f t="shared" si="202"/>
        <v>1.9682046456060621E-2</v>
      </c>
      <c r="V1076" s="448"/>
      <c r="W1076" s="448"/>
      <c r="X1076" s="448"/>
      <c r="Y1076" s="448"/>
      <c r="Z1076" s="448"/>
      <c r="AA1076" s="448"/>
      <c r="AB1076" s="448"/>
      <c r="AC1076" s="448"/>
      <c r="AD1076" s="376"/>
      <c r="AE1076" s="376"/>
      <c r="AF1076" s="376"/>
      <c r="AG1076" s="376"/>
      <c r="AH1076" s="376"/>
      <c r="AI1076" s="376"/>
      <c r="AJ1076" s="376"/>
      <c r="AK1076" s="376"/>
      <c r="AL1076" s="376"/>
      <c r="AM1076" s="376"/>
      <c r="AN1076" s="376"/>
      <c r="AO1076" s="376"/>
      <c r="AP1076" s="376"/>
      <c r="AQ1076" s="376"/>
      <c r="AR1076" s="376"/>
      <c r="AS1076" s="376"/>
      <c r="AT1076" s="376"/>
      <c r="AU1076" s="376"/>
    </row>
    <row r="1077" spans="1:47" x14ac:dyDescent="0.4">
      <c r="A1077" s="442" t="str">
        <f t="shared" si="203"/>
        <v>52015</v>
      </c>
      <c r="B1077" s="458">
        <v>42125</v>
      </c>
      <c r="C1077" s="438">
        <v>1.29E-2</v>
      </c>
      <c r="D1077" s="438">
        <v>6.4999999999999997E-3</v>
      </c>
      <c r="E1077" s="438">
        <v>2E-3</v>
      </c>
      <c r="F1077" s="438">
        <v>3.316666666666667E-3</v>
      </c>
      <c r="G1077" s="438">
        <v>3.4000000000000002E-3</v>
      </c>
      <c r="H1077" s="438">
        <v>3.3583333333333338E-3</v>
      </c>
      <c r="I1077" s="438">
        <v>3.4750000000000002E-3</v>
      </c>
      <c r="J1077" s="438">
        <f t="shared" si="192"/>
        <v>1.09E-2</v>
      </c>
      <c r="K1077" s="438">
        <f t="shared" si="196"/>
        <v>9.541666666666667E-3</v>
      </c>
      <c r="L1077" s="438">
        <f t="shared" si="197"/>
        <v>3.0249999999999995E-3</v>
      </c>
      <c r="M1077" s="446">
        <f t="shared" si="193"/>
        <v>0.11824091698880324</v>
      </c>
      <c r="N1077" s="446">
        <f t="shared" si="194"/>
        <v>2.4E-2</v>
      </c>
      <c r="O1077" s="446">
        <f t="shared" si="198"/>
        <v>4.0300000000000002E-2</v>
      </c>
      <c r="P1077" s="447">
        <f t="shared" si="195"/>
        <v>9.4240916988803242E-2</v>
      </c>
      <c r="Q1077" s="446">
        <f t="shared" si="199"/>
        <v>7.7940916988803233E-2</v>
      </c>
      <c r="R1077" s="446">
        <f t="shared" si="200"/>
        <v>7.5344850690273191E-2</v>
      </c>
      <c r="S1077" s="446">
        <f t="shared" si="201"/>
        <v>4.1700000000000001E-2</v>
      </c>
      <c r="T1077" s="447">
        <f t="shared" si="202"/>
        <v>3.364485069027319E-2</v>
      </c>
      <c r="V1077" s="448"/>
      <c r="W1077" s="448"/>
      <c r="X1077" s="448"/>
      <c r="Y1077" s="448"/>
      <c r="Z1077" s="448"/>
      <c r="AA1077" s="448"/>
      <c r="AB1077" s="448"/>
      <c r="AC1077" s="448"/>
      <c r="AD1077" s="448"/>
    </row>
    <row r="1078" spans="1:47" x14ac:dyDescent="0.4">
      <c r="A1078" s="442" t="str">
        <f t="shared" si="203"/>
        <v>62015</v>
      </c>
      <c r="B1078" s="458">
        <v>42156</v>
      </c>
      <c r="C1078" s="438">
        <v>-1.9400000000000001E-2</v>
      </c>
      <c r="D1078" s="459">
        <v>-0.06</v>
      </c>
      <c r="E1078" s="438">
        <v>2.3E-3</v>
      </c>
      <c r="F1078" s="438">
        <v>3.4916666666666668E-3</v>
      </c>
      <c r="G1078" s="438">
        <v>3.5583333333333326E-3</v>
      </c>
      <c r="H1078" s="438">
        <f t="shared" ref="H1078:H1141" si="204">AVERAGE(F1078:G1078)</f>
        <v>3.5249999999999995E-3</v>
      </c>
      <c r="I1078" s="438">
        <v>3.6583333333333329E-3</v>
      </c>
      <c r="J1078" s="438">
        <f t="shared" si="192"/>
        <v>-2.1700000000000001E-2</v>
      </c>
      <c r="K1078" s="438">
        <f t="shared" si="196"/>
        <v>-2.2925000000000001E-2</v>
      </c>
      <c r="L1078" s="438">
        <f t="shared" si="196"/>
        <v>-6.3658333333333331E-2</v>
      </c>
      <c r="M1078" s="446">
        <f t="shared" si="193"/>
        <v>7.4308850004135119E-2</v>
      </c>
      <c r="N1078" s="446">
        <f t="shared" si="194"/>
        <v>2.76E-2</v>
      </c>
      <c r="O1078" s="446">
        <f t="shared" si="198"/>
        <v>4.229999999999999E-2</v>
      </c>
      <c r="P1078" s="447">
        <f t="shared" si="195"/>
        <v>4.6708850004135119E-2</v>
      </c>
      <c r="Q1078" s="446">
        <f t="shared" si="199"/>
        <v>3.2008850004135128E-2</v>
      </c>
      <c r="R1078" s="446">
        <f t="shared" si="200"/>
        <v>-3.2518989616331595E-2</v>
      </c>
      <c r="S1078" s="446">
        <f t="shared" si="201"/>
        <v>4.3899999999999995E-2</v>
      </c>
      <c r="T1078" s="447">
        <f t="shared" si="202"/>
        <v>-7.641898961633159E-2</v>
      </c>
      <c r="V1078" s="448"/>
      <c r="W1078" s="448"/>
      <c r="X1078" s="448"/>
      <c r="Y1078" s="448"/>
      <c r="Z1078" s="448"/>
      <c r="AA1078" s="448"/>
      <c r="AB1078" s="448"/>
      <c r="AC1078" s="448"/>
      <c r="AD1078" s="448"/>
    </row>
    <row r="1079" spans="1:47" x14ac:dyDescent="0.4">
      <c r="A1079" s="442" t="str">
        <f t="shared" si="203"/>
        <v>72015</v>
      </c>
      <c r="B1079" s="458">
        <v>42186</v>
      </c>
      <c r="C1079" s="438">
        <v>2.1000000000000001E-2</v>
      </c>
      <c r="D1079" s="459">
        <v>4.8099999999999997E-2</v>
      </c>
      <c r="E1079" s="438">
        <v>2.3999999999999998E-3</v>
      </c>
      <c r="F1079" s="438">
        <v>3.4583333333333337E-3</v>
      </c>
      <c r="G1079" s="438">
        <v>3.5416666666666669E-3</v>
      </c>
      <c r="H1079" s="438">
        <f t="shared" si="204"/>
        <v>3.5000000000000005E-3</v>
      </c>
      <c r="I1079" s="438">
        <v>3.666666666666667E-3</v>
      </c>
      <c r="J1079" s="438">
        <f t="shared" si="192"/>
        <v>1.8600000000000002E-2</v>
      </c>
      <c r="K1079" s="438">
        <f t="shared" si="196"/>
        <v>1.7500000000000002E-2</v>
      </c>
      <c r="L1079" s="438">
        <f t="shared" si="196"/>
        <v>4.4433333333333332E-2</v>
      </c>
      <c r="M1079" s="446">
        <f t="shared" si="193"/>
        <v>0.11221794347416547</v>
      </c>
      <c r="N1079" s="446">
        <f t="shared" si="194"/>
        <v>2.8799999999999999E-2</v>
      </c>
      <c r="O1079" s="446">
        <f t="shared" si="198"/>
        <v>4.200000000000001E-2</v>
      </c>
      <c r="P1079" s="447">
        <f t="shared" si="195"/>
        <v>8.3417943474165479E-2</v>
      </c>
      <c r="Q1079" s="446">
        <f t="shared" si="199"/>
        <v>7.0217943474165462E-2</v>
      </c>
      <c r="R1079" s="446">
        <f t="shared" si="200"/>
        <v>8.8000908780174525E-2</v>
      </c>
      <c r="S1079" s="446">
        <f t="shared" si="201"/>
        <v>4.4000000000000004E-2</v>
      </c>
      <c r="T1079" s="447">
        <f t="shared" si="202"/>
        <v>4.4000908780174521E-2</v>
      </c>
      <c r="V1079" s="448"/>
      <c r="W1079" s="448"/>
      <c r="X1079" s="448"/>
      <c r="Y1079" s="448"/>
      <c r="Z1079" s="448"/>
      <c r="AA1079" s="448"/>
      <c r="AB1079" s="448"/>
      <c r="AC1079" s="448"/>
      <c r="AD1079" s="448"/>
    </row>
    <row r="1080" spans="1:47" x14ac:dyDescent="0.4">
      <c r="A1080" s="442" t="str">
        <f t="shared" si="203"/>
        <v>82015</v>
      </c>
      <c r="B1080" s="458">
        <v>42217</v>
      </c>
      <c r="C1080" s="438">
        <v>-6.0299999999999999E-2</v>
      </c>
      <c r="D1080" s="459">
        <v>-3.9699999999999999E-2</v>
      </c>
      <c r="E1080" s="438">
        <v>2.2000000000000001E-3</v>
      </c>
      <c r="F1080" s="438">
        <v>3.3666666666666667E-3</v>
      </c>
      <c r="G1080" s="438">
        <v>3.4416666666666667E-3</v>
      </c>
      <c r="H1080" s="438">
        <f t="shared" si="204"/>
        <v>3.4041666666666665E-3</v>
      </c>
      <c r="I1080" s="438">
        <v>3.5416666666666669E-3</v>
      </c>
      <c r="J1080" s="438">
        <f t="shared" si="192"/>
        <v>-6.25E-2</v>
      </c>
      <c r="K1080" s="438">
        <f t="shared" si="196"/>
        <v>-6.3704166666666673E-2</v>
      </c>
      <c r="L1080" s="438">
        <f t="shared" si="196"/>
        <v>-4.3241666666666664E-2</v>
      </c>
      <c r="M1080" s="446">
        <f t="shared" si="193"/>
        <v>4.9530783487243824E-3</v>
      </c>
      <c r="N1080" s="446">
        <f t="shared" si="194"/>
        <v>2.64E-2</v>
      </c>
      <c r="O1080" s="446">
        <f t="shared" si="198"/>
        <v>4.0849999999999997E-2</v>
      </c>
      <c r="P1080" s="447">
        <f t="shared" si="195"/>
        <v>-2.1446921651275618E-2</v>
      </c>
      <c r="Q1080" s="446">
        <f t="shared" si="199"/>
        <v>-3.5896921651275615E-2</v>
      </c>
      <c r="R1080" s="446">
        <f t="shared" si="200"/>
        <v>-4.4713933286305574E-3</v>
      </c>
      <c r="S1080" s="446">
        <f t="shared" si="201"/>
        <v>4.2500000000000003E-2</v>
      </c>
      <c r="T1080" s="447">
        <f t="shared" si="202"/>
        <v>-4.697139332863056E-2</v>
      </c>
      <c r="V1080" s="448"/>
      <c r="W1080" s="448"/>
      <c r="X1080" s="448"/>
      <c r="Y1080" s="448"/>
      <c r="Z1080" s="448"/>
      <c r="AA1080" s="448"/>
      <c r="AB1080" s="448"/>
      <c r="AC1080" s="448"/>
      <c r="AD1080" s="448"/>
    </row>
    <row r="1081" spans="1:47" x14ac:dyDescent="0.4">
      <c r="A1081" s="442" t="str">
        <f t="shared" si="203"/>
        <v>92015</v>
      </c>
      <c r="B1081" s="458">
        <v>42248</v>
      </c>
      <c r="C1081" s="438">
        <v>-2.47E-2</v>
      </c>
      <c r="D1081" s="459">
        <v>2.9000000000000001E-2</v>
      </c>
      <c r="E1081" s="438">
        <v>2.0999999999999999E-3</v>
      </c>
      <c r="F1081" s="438">
        <v>3.3916666666666665E-3</v>
      </c>
      <c r="G1081" s="438">
        <v>3.5083333333333334E-3</v>
      </c>
      <c r="H1081" s="438">
        <f t="shared" si="204"/>
        <v>3.4499999999999999E-3</v>
      </c>
      <c r="I1081" s="438">
        <v>3.6583333333333329E-3</v>
      </c>
      <c r="J1081" s="438">
        <f t="shared" si="192"/>
        <v>-2.6800000000000001E-2</v>
      </c>
      <c r="K1081" s="438">
        <f t="shared" si="196"/>
        <v>-2.8150000000000001E-2</v>
      </c>
      <c r="L1081" s="438">
        <f t="shared" si="196"/>
        <v>2.5341666666666669E-2</v>
      </c>
      <c r="M1081" s="446">
        <f t="shared" si="193"/>
        <v>-5.9525990735186385E-3</v>
      </c>
      <c r="N1081" s="446">
        <f t="shared" si="194"/>
        <v>2.52E-2</v>
      </c>
      <c r="O1081" s="446">
        <f t="shared" si="198"/>
        <v>4.1399999999999999E-2</v>
      </c>
      <c r="P1081" s="447">
        <f t="shared" si="195"/>
        <v>-3.1152599073518639E-2</v>
      </c>
      <c r="Q1081" s="446">
        <f t="shared" si="199"/>
        <v>-4.7352599073518638E-2</v>
      </c>
      <c r="R1081" s="446">
        <f t="shared" si="200"/>
        <v>4.3813874327326641E-2</v>
      </c>
      <c r="S1081" s="446">
        <f t="shared" si="201"/>
        <v>4.3899999999999995E-2</v>
      </c>
      <c r="T1081" s="447">
        <f t="shared" si="202"/>
        <v>-8.6125672673353915E-5</v>
      </c>
      <c r="V1081" s="448"/>
      <c r="W1081" s="448"/>
      <c r="X1081" s="448"/>
      <c r="Y1081" s="448"/>
      <c r="Z1081" s="448"/>
      <c r="AA1081" s="448"/>
      <c r="AB1081" s="448"/>
      <c r="AC1081" s="448"/>
      <c r="AD1081" s="448"/>
    </row>
    <row r="1082" spans="1:47" x14ac:dyDescent="0.4">
      <c r="A1082" s="442" t="str">
        <f t="shared" si="203"/>
        <v>102015</v>
      </c>
      <c r="B1082" s="458">
        <v>42278</v>
      </c>
      <c r="C1082" s="438">
        <v>8.4400000000000003E-2</v>
      </c>
      <c r="D1082" s="459">
        <v>1.0800000000000001E-2</v>
      </c>
      <c r="E1082" s="438">
        <v>2.0999999999999999E-3</v>
      </c>
      <c r="F1082" s="438">
        <v>3.2916666666666667E-3</v>
      </c>
      <c r="G1082" s="438">
        <v>3.4250000000000001E-3</v>
      </c>
      <c r="H1082" s="438">
        <f t="shared" si="204"/>
        <v>3.3583333333333334E-3</v>
      </c>
      <c r="I1082" s="438">
        <v>3.5750000000000001E-3</v>
      </c>
      <c r="J1082" s="438">
        <f t="shared" si="192"/>
        <v>8.2299999999999998E-2</v>
      </c>
      <c r="K1082" s="438">
        <f t="shared" si="196"/>
        <v>8.1041666666666665E-2</v>
      </c>
      <c r="L1082" s="438">
        <f t="shared" si="196"/>
        <v>7.2250000000000005E-3</v>
      </c>
      <c r="M1082" s="446">
        <f t="shared" si="193"/>
        <v>5.2269622769110624E-2</v>
      </c>
      <c r="N1082" s="446">
        <f t="shared" si="194"/>
        <v>2.52E-2</v>
      </c>
      <c r="O1082" s="446">
        <f t="shared" si="198"/>
        <v>4.0300000000000002E-2</v>
      </c>
      <c r="P1082" s="447">
        <f t="shared" si="195"/>
        <v>2.7069622769110624E-2</v>
      </c>
      <c r="Q1082" s="446">
        <f t="shared" si="199"/>
        <v>1.1969622769110622E-2</v>
      </c>
      <c r="R1082" s="446">
        <f t="shared" si="200"/>
        <v>-2.3248413099368648E-2</v>
      </c>
      <c r="S1082" s="446">
        <f t="shared" si="201"/>
        <v>4.2900000000000001E-2</v>
      </c>
      <c r="T1082" s="447">
        <f t="shared" si="202"/>
        <v>-6.6148413099368641E-2</v>
      </c>
      <c r="V1082" s="448"/>
      <c r="W1082" s="448"/>
      <c r="X1082" s="448"/>
      <c r="Y1082" s="448"/>
      <c r="Z1082" s="448"/>
      <c r="AA1082" s="448"/>
      <c r="AB1082" s="448"/>
      <c r="AC1082" s="448"/>
      <c r="AD1082" s="448"/>
    </row>
    <row r="1083" spans="1:47" x14ac:dyDescent="0.4">
      <c r="A1083" s="442" t="str">
        <f t="shared" si="203"/>
        <v>112015</v>
      </c>
      <c r="B1083" s="458">
        <v>42309</v>
      </c>
      <c r="C1083" s="438">
        <v>3.0000000000000001E-3</v>
      </c>
      <c r="D1083" s="459">
        <v>-2.1299999999999999E-2</v>
      </c>
      <c r="E1083" s="438">
        <v>2.2000000000000001E-3</v>
      </c>
      <c r="F1083" s="438">
        <v>3.3833333333333332E-3</v>
      </c>
      <c r="G1083" s="438">
        <v>3.5083333333333334E-3</v>
      </c>
      <c r="H1083" s="438">
        <f t="shared" si="204"/>
        <v>3.4458333333333333E-3</v>
      </c>
      <c r="I1083" s="438">
        <v>3.666666666666667E-3</v>
      </c>
      <c r="J1083" s="438">
        <f t="shared" si="192"/>
        <v>7.9999999999999993E-4</v>
      </c>
      <c r="K1083" s="438">
        <f t="shared" si="196"/>
        <v>-4.4583333333333324E-4</v>
      </c>
      <c r="L1083" s="438">
        <f t="shared" si="196"/>
        <v>-2.4966666666666665E-2</v>
      </c>
      <c r="M1083" s="446">
        <f t="shared" si="193"/>
        <v>2.7779171912958756E-2</v>
      </c>
      <c r="N1083" s="446">
        <f t="shared" si="194"/>
        <v>2.64E-2</v>
      </c>
      <c r="O1083" s="446">
        <f t="shared" si="198"/>
        <v>4.1349999999999998E-2</v>
      </c>
      <c r="P1083" s="447">
        <f t="shared" si="195"/>
        <v>1.3791719129587557E-3</v>
      </c>
      <c r="Q1083" s="446">
        <f t="shared" si="199"/>
        <v>-1.3570828087041242E-2</v>
      </c>
      <c r="R1083" s="446">
        <f t="shared" si="200"/>
        <v>-5.538855919007124E-2</v>
      </c>
      <c r="S1083" s="446">
        <f t="shared" si="201"/>
        <v>4.4000000000000004E-2</v>
      </c>
      <c r="T1083" s="447">
        <f t="shared" si="202"/>
        <v>-9.9388559190071252E-2</v>
      </c>
      <c r="V1083" s="448"/>
      <c r="W1083" s="448"/>
      <c r="X1083" s="448"/>
      <c r="Y1083" s="448"/>
      <c r="Z1083" s="448"/>
      <c r="AA1083" s="448"/>
      <c r="AB1083" s="448"/>
      <c r="AC1083" s="448"/>
      <c r="AD1083" s="448"/>
    </row>
    <row r="1084" spans="1:47" x14ac:dyDescent="0.4">
      <c r="A1084" s="442" t="str">
        <f t="shared" si="203"/>
        <v>122015</v>
      </c>
      <c r="B1084" s="458">
        <v>42339</v>
      </c>
      <c r="C1084" s="438">
        <v>-1.5800000000000002E-2</v>
      </c>
      <c r="D1084" s="459">
        <v>2.1600000000000001E-2</v>
      </c>
      <c r="E1084" s="438">
        <v>2.2000000000000001E-3</v>
      </c>
      <c r="F1084" s="438">
        <v>3.3083333333333333E-3</v>
      </c>
      <c r="G1084" s="438">
        <v>3.4666666666666669E-3</v>
      </c>
      <c r="H1084" s="438">
        <f t="shared" si="204"/>
        <v>3.3874999999999999E-3</v>
      </c>
      <c r="I1084" s="438">
        <v>3.6249999999999998E-3</v>
      </c>
      <c r="J1084" s="438">
        <f t="shared" si="192"/>
        <v>-1.8000000000000002E-2</v>
      </c>
      <c r="K1084" s="438">
        <f t="shared" si="196"/>
        <v>-1.9187500000000003E-2</v>
      </c>
      <c r="L1084" s="438">
        <f t="shared" si="196"/>
        <v>1.7975000000000001E-2</v>
      </c>
      <c r="M1084" s="446">
        <f t="shared" si="193"/>
        <v>1.4075449620785996E-2</v>
      </c>
      <c r="N1084" s="446">
        <f t="shared" si="194"/>
        <v>2.64E-2</v>
      </c>
      <c r="O1084" s="446">
        <f t="shared" si="198"/>
        <v>4.0649999999999999E-2</v>
      </c>
      <c r="P1084" s="447">
        <f t="shared" si="195"/>
        <v>-1.2324550379214004E-2</v>
      </c>
      <c r="Q1084" s="446">
        <f t="shared" si="199"/>
        <v>-2.6574550379214003E-2</v>
      </c>
      <c r="R1084" s="446">
        <f t="shared" si="200"/>
        <v>-6.7618311177368939E-2</v>
      </c>
      <c r="S1084" s="446">
        <f t="shared" si="201"/>
        <v>4.3499999999999997E-2</v>
      </c>
      <c r="T1084" s="447">
        <f t="shared" si="202"/>
        <v>-0.11111831117736894</v>
      </c>
      <c r="V1084" s="448"/>
      <c r="W1084" s="448"/>
      <c r="X1084" s="448"/>
      <c r="Y1084" s="448"/>
      <c r="Z1084" s="448"/>
      <c r="AA1084" s="448"/>
      <c r="AB1084" s="448"/>
      <c r="AC1084" s="448"/>
      <c r="AD1084" s="448"/>
    </row>
    <row r="1085" spans="1:47" x14ac:dyDescent="0.4">
      <c r="A1085" s="442" t="str">
        <f t="shared" si="203"/>
        <v>12016</v>
      </c>
      <c r="B1085" s="460">
        <v>42370</v>
      </c>
      <c r="C1085" s="438">
        <v>-4.9599999999999998E-2</v>
      </c>
      <c r="D1085" s="459">
        <v>4.9222952667868664E-2</v>
      </c>
      <c r="E1085" s="438">
        <v>2.0999999999999999E-3</v>
      </c>
      <c r="F1085" s="438">
        <v>3.3333333333333331E-3</v>
      </c>
      <c r="G1085" s="438">
        <v>3.4333333333333334E-3</v>
      </c>
      <c r="H1085" s="438">
        <f t="shared" si="204"/>
        <v>3.3833333333333332E-3</v>
      </c>
      <c r="I1085" s="438">
        <v>3.5583333333333326E-3</v>
      </c>
      <c r="J1085" s="438">
        <f t="shared" si="192"/>
        <v>-5.1699999999999996E-2</v>
      </c>
      <c r="K1085" s="438">
        <f t="shared" si="196"/>
        <v>-5.2983333333333334E-2</v>
      </c>
      <c r="L1085" s="438">
        <f t="shared" si="196"/>
        <v>4.5664619334535334E-2</v>
      </c>
      <c r="M1085" s="446">
        <f t="shared" si="193"/>
        <v>-6.4151470932010124E-3</v>
      </c>
      <c r="N1085" s="446">
        <f t="shared" si="194"/>
        <v>2.52E-2</v>
      </c>
      <c r="O1085" s="446">
        <f t="shared" si="198"/>
        <v>4.0599999999999997E-2</v>
      </c>
      <c r="P1085" s="447">
        <f t="shared" si="195"/>
        <v>-3.1615147093201013E-2</v>
      </c>
      <c r="Q1085" s="446">
        <f t="shared" si="199"/>
        <v>-4.701514709320101E-2</v>
      </c>
      <c r="R1085" s="446">
        <f t="shared" si="200"/>
        <v>-4.3998564878398483E-2</v>
      </c>
      <c r="S1085" s="446">
        <f t="shared" si="201"/>
        <v>4.2699999999999988E-2</v>
      </c>
      <c r="T1085" s="447">
        <f t="shared" si="202"/>
        <v>-8.6698564878398471E-2</v>
      </c>
    </row>
    <row r="1086" spans="1:47" x14ac:dyDescent="0.4">
      <c r="A1086" s="442" t="str">
        <f t="shared" si="203"/>
        <v>22016</v>
      </c>
      <c r="B1086" s="460">
        <v>42401</v>
      </c>
      <c r="C1086" s="438">
        <v>-1.2999999999999999E-3</v>
      </c>
      <c r="D1086" s="459">
        <v>1.94081804074543E-2</v>
      </c>
      <c r="E1086" s="438">
        <v>2E-3</v>
      </c>
      <c r="F1086" s="438">
        <v>3.3E-3</v>
      </c>
      <c r="G1086" s="438">
        <v>3.3166666666666665E-3</v>
      </c>
      <c r="H1086" s="438">
        <f t="shared" si="204"/>
        <v>3.3083333333333333E-3</v>
      </c>
      <c r="I1086" s="438">
        <v>3.4250000000000001E-3</v>
      </c>
      <c r="J1086" s="438">
        <f t="shared" si="192"/>
        <v>-3.3E-3</v>
      </c>
      <c r="K1086" s="438">
        <f t="shared" si="196"/>
        <v>-4.6083333333333332E-3</v>
      </c>
      <c r="L1086" s="438">
        <f t="shared" si="196"/>
        <v>1.5983180407454299E-2</v>
      </c>
      <c r="M1086" s="446">
        <f t="shared" si="193"/>
        <v>-6.1661283595253025E-2</v>
      </c>
      <c r="N1086" s="446">
        <f t="shared" si="194"/>
        <v>2.4E-2</v>
      </c>
      <c r="O1086" s="446">
        <f t="shared" si="198"/>
        <v>3.9699999999999999E-2</v>
      </c>
      <c r="P1086" s="447">
        <f t="shared" si="195"/>
        <v>-8.5661283595253018E-2</v>
      </c>
      <c r="Q1086" s="446">
        <f t="shared" si="199"/>
        <v>-0.10136128359525302</v>
      </c>
      <c r="R1086" s="446">
        <f t="shared" si="200"/>
        <v>4.0413882186641326E-2</v>
      </c>
      <c r="S1086" s="446">
        <f t="shared" si="201"/>
        <v>4.1099999999999998E-2</v>
      </c>
      <c r="T1086" s="447">
        <f t="shared" si="202"/>
        <v>-6.8611781335867206E-4</v>
      </c>
    </row>
    <row r="1087" spans="1:47" x14ac:dyDescent="0.4">
      <c r="A1087" s="442" t="str">
        <f t="shared" si="203"/>
        <v>32016</v>
      </c>
      <c r="B1087" s="460">
        <v>42430</v>
      </c>
      <c r="C1087" s="438">
        <v>6.7799999999999999E-2</v>
      </c>
      <c r="D1087" s="459">
        <v>8.14E-2</v>
      </c>
      <c r="E1087" s="438">
        <v>1.8E-3</v>
      </c>
      <c r="F1087" s="438">
        <v>3.1833333333333332E-3</v>
      </c>
      <c r="G1087" s="438">
        <v>3.2583333333333336E-3</v>
      </c>
      <c r="H1087" s="438">
        <f t="shared" si="204"/>
        <v>3.2208333333333334E-3</v>
      </c>
      <c r="I1087" s="438">
        <v>3.4666666666666669E-3</v>
      </c>
      <c r="J1087" s="438">
        <f t="shared" si="192"/>
        <v>6.6000000000000003E-2</v>
      </c>
      <c r="K1087" s="438">
        <f t="shared" si="196"/>
        <v>6.457916666666666E-2</v>
      </c>
      <c r="L1087" s="438">
        <f t="shared" si="196"/>
        <v>7.7933333333333327E-2</v>
      </c>
      <c r="M1087" s="446">
        <f t="shared" si="193"/>
        <v>1.8043163358046677E-2</v>
      </c>
      <c r="N1087" s="446">
        <f t="shared" si="194"/>
        <v>2.1600000000000001E-2</v>
      </c>
      <c r="O1087" s="446">
        <f t="shared" si="198"/>
        <v>3.8650000000000004E-2</v>
      </c>
      <c r="P1087" s="447">
        <f t="shared" si="195"/>
        <v>-3.5568366419533246E-3</v>
      </c>
      <c r="Q1087" s="446">
        <f t="shared" si="199"/>
        <v>-2.0606836641953327E-2</v>
      </c>
      <c r="R1087" s="446">
        <f t="shared" si="200"/>
        <v>0.13064372645626965</v>
      </c>
      <c r="S1087" s="446">
        <f t="shared" si="201"/>
        <v>4.1600000000000005E-2</v>
      </c>
      <c r="T1087" s="447">
        <f t="shared" si="202"/>
        <v>8.9043726456269651E-2</v>
      </c>
    </row>
    <row r="1088" spans="1:47" x14ac:dyDescent="0.4">
      <c r="A1088" s="442" t="str">
        <f t="shared" si="203"/>
        <v>42016</v>
      </c>
      <c r="B1088" s="460">
        <v>42461</v>
      </c>
      <c r="C1088" s="438">
        <v>3.8999999999999998E-3</v>
      </c>
      <c r="D1088" s="459">
        <v>-2.41E-2</v>
      </c>
      <c r="E1088" s="438">
        <v>1.6999999999999999E-3</v>
      </c>
      <c r="F1088" s="438">
        <v>3.1833333333333332E-3</v>
      </c>
      <c r="G1088" s="438">
        <v>3.2583333333333336E-3</v>
      </c>
      <c r="H1088" s="438">
        <f t="shared" si="204"/>
        <v>3.2208333333333334E-3</v>
      </c>
      <c r="I1088" s="438">
        <v>3.4666666666666669E-3</v>
      </c>
      <c r="J1088" s="438">
        <f t="shared" si="192"/>
        <v>2.1999999999999997E-3</v>
      </c>
      <c r="K1088" s="438">
        <f t="shared" si="196"/>
        <v>6.7916666666666646E-4</v>
      </c>
      <c r="L1088" s="438">
        <f t="shared" si="196"/>
        <v>-2.7566666666666666E-2</v>
      </c>
      <c r="M1088" s="446">
        <f t="shared" si="193"/>
        <v>1.2295494943683316E-2</v>
      </c>
      <c r="N1088" s="446">
        <f t="shared" si="194"/>
        <v>2.0399999999999998E-2</v>
      </c>
      <c r="O1088" s="446">
        <f t="shared" si="198"/>
        <v>3.8650000000000004E-2</v>
      </c>
      <c r="P1088" s="447">
        <f t="shared" si="195"/>
        <v>-8.1045050563166819E-3</v>
      </c>
      <c r="Q1088" s="446">
        <f t="shared" si="199"/>
        <v>-2.6354505056316688E-2</v>
      </c>
      <c r="R1088" s="446">
        <f t="shared" si="200"/>
        <v>0.11781502649039965</v>
      </c>
      <c r="S1088" s="446">
        <f t="shared" si="201"/>
        <v>4.1600000000000005E-2</v>
      </c>
      <c r="T1088" s="447">
        <f t="shared" si="202"/>
        <v>7.6215026490399657E-2</v>
      </c>
    </row>
    <row r="1089" spans="1:20" x14ac:dyDescent="0.4">
      <c r="A1089" s="442" t="str">
        <f t="shared" si="203"/>
        <v>52016</v>
      </c>
      <c r="B1089" s="460">
        <v>42491</v>
      </c>
      <c r="C1089" s="438">
        <v>1.7999999999999999E-2</v>
      </c>
      <c r="D1089" s="459">
        <v>1.5100000000000001E-2</v>
      </c>
      <c r="E1089" s="438">
        <v>2E-3</v>
      </c>
      <c r="F1089" s="438">
        <v>3.0416666666666665E-3</v>
      </c>
      <c r="G1089" s="438">
        <v>3.0833333333333333E-3</v>
      </c>
      <c r="H1089" s="438">
        <f t="shared" si="204"/>
        <v>3.0625000000000001E-3</v>
      </c>
      <c r="I1089" s="438">
        <v>3.2750000000000001E-3</v>
      </c>
      <c r="J1089" s="438">
        <f t="shared" si="192"/>
        <v>1.6E-2</v>
      </c>
      <c r="K1089" s="438">
        <f t="shared" si="196"/>
        <v>1.4937499999999999E-2</v>
      </c>
      <c r="L1089" s="438">
        <f t="shared" si="196"/>
        <v>1.1825E-2</v>
      </c>
      <c r="M1089" s="446">
        <f t="shared" si="193"/>
        <v>1.7392451231779793E-2</v>
      </c>
      <c r="N1089" s="446">
        <f t="shared" si="194"/>
        <v>2.4E-2</v>
      </c>
      <c r="O1089" s="446">
        <f t="shared" si="198"/>
        <v>3.6750000000000005E-2</v>
      </c>
      <c r="P1089" s="447">
        <f t="shared" si="195"/>
        <v>-6.6075487682202075E-3</v>
      </c>
      <c r="Q1089" s="446">
        <f t="shared" si="199"/>
        <v>-1.9357548768220212E-2</v>
      </c>
      <c r="R1089" s="446">
        <f t="shared" si="200"/>
        <v>0.12736615339334789</v>
      </c>
      <c r="S1089" s="446">
        <f t="shared" si="201"/>
        <v>3.9300000000000002E-2</v>
      </c>
      <c r="T1089" s="447">
        <f t="shared" si="202"/>
        <v>8.806615339334789E-2</v>
      </c>
    </row>
    <row r="1090" spans="1:20" x14ac:dyDescent="0.4">
      <c r="A1090" s="442" t="str">
        <f t="shared" si="203"/>
        <v>62016</v>
      </c>
      <c r="B1090" s="460">
        <v>42522</v>
      </c>
      <c r="C1090" s="438">
        <v>2.5999999999999999E-3</v>
      </c>
      <c r="D1090" s="459">
        <v>7.7899999999999997E-2</v>
      </c>
      <c r="E1090" s="438">
        <v>1.8E-3</v>
      </c>
      <c r="F1090" s="438">
        <v>2.9166666666666668E-3</v>
      </c>
      <c r="G1090" s="438">
        <v>3.0000000000000001E-3</v>
      </c>
      <c r="H1090" s="438">
        <f t="shared" si="204"/>
        <v>2.9583333333333336E-3</v>
      </c>
      <c r="I1090" s="438">
        <v>3.15E-3</v>
      </c>
      <c r="J1090" s="438">
        <f t="shared" si="192"/>
        <v>7.9999999999999993E-4</v>
      </c>
      <c r="K1090" s="438">
        <f t="shared" si="196"/>
        <v>-3.5833333333333377E-4</v>
      </c>
      <c r="L1090" s="438">
        <f t="shared" si="196"/>
        <v>7.4749999999999997E-2</v>
      </c>
      <c r="M1090" s="446">
        <f t="shared" si="193"/>
        <v>4.0217898842527688E-2</v>
      </c>
      <c r="N1090" s="446">
        <f t="shared" si="194"/>
        <v>2.1600000000000001E-2</v>
      </c>
      <c r="O1090" s="446">
        <f t="shared" si="198"/>
        <v>3.5500000000000004E-2</v>
      </c>
      <c r="P1090" s="447">
        <f t="shared" si="195"/>
        <v>1.8617898842527687E-2</v>
      </c>
      <c r="Q1090" s="446">
        <f t="shared" si="199"/>
        <v>4.7178988425276847E-3</v>
      </c>
      <c r="R1090" s="446">
        <f t="shared" si="200"/>
        <v>0.2927531667475427</v>
      </c>
      <c r="S1090" s="446">
        <f t="shared" si="201"/>
        <v>3.78E-2</v>
      </c>
      <c r="T1090" s="447">
        <f t="shared" si="202"/>
        <v>0.2549531667475427</v>
      </c>
    </row>
    <row r="1091" spans="1:20" x14ac:dyDescent="0.4">
      <c r="A1091" s="442" t="str">
        <f t="shared" si="203"/>
        <v>72016</v>
      </c>
      <c r="B1091" s="460">
        <v>42552</v>
      </c>
      <c r="C1091" s="438">
        <v>3.6900000000000002E-2</v>
      </c>
      <c r="D1091" s="459">
        <v>-8.0000000000000002E-3</v>
      </c>
      <c r="E1091" s="438">
        <v>1.4E-3</v>
      </c>
      <c r="F1091" s="438">
        <v>2.7333333333333337E-3</v>
      </c>
      <c r="G1091" s="438">
        <v>2.8250000000000003E-3</v>
      </c>
      <c r="H1091" s="438">
        <f t="shared" si="204"/>
        <v>2.7791666666666668E-3</v>
      </c>
      <c r="I1091" s="438">
        <v>2.9749999999999998E-3</v>
      </c>
      <c r="J1091" s="438">
        <f t="shared" si="192"/>
        <v>3.5500000000000004E-2</v>
      </c>
      <c r="K1091" s="438">
        <f t="shared" si="196"/>
        <v>3.4120833333333336E-2</v>
      </c>
      <c r="L1091" s="438">
        <f t="shared" si="196"/>
        <v>-1.0975E-2</v>
      </c>
      <c r="M1091" s="446">
        <f t="shared" si="193"/>
        <v>5.641717856005557E-2</v>
      </c>
      <c r="N1091" s="446">
        <f t="shared" si="194"/>
        <v>1.6799999999999999E-2</v>
      </c>
      <c r="O1091" s="446">
        <f t="shared" si="198"/>
        <v>3.3350000000000005E-2</v>
      </c>
      <c r="P1091" s="447">
        <f t="shared" si="195"/>
        <v>3.9617178560055574E-2</v>
      </c>
      <c r="Q1091" s="446">
        <f t="shared" si="199"/>
        <v>2.3067178560055565E-2</v>
      </c>
      <c r="R1091" s="446">
        <f t="shared" si="200"/>
        <v>0.22355800153951177</v>
      </c>
      <c r="S1091" s="446">
        <f t="shared" si="201"/>
        <v>3.5699999999999996E-2</v>
      </c>
      <c r="T1091" s="447">
        <f t="shared" si="202"/>
        <v>0.18785800153951177</v>
      </c>
    </row>
    <row r="1092" spans="1:20" x14ac:dyDescent="0.4">
      <c r="A1092" s="442" t="str">
        <f t="shared" si="203"/>
        <v>82016</v>
      </c>
      <c r="B1092" s="460">
        <v>42583</v>
      </c>
      <c r="C1092" s="438">
        <v>1.4E-3</v>
      </c>
      <c r="D1092" s="459">
        <v>-5.5100000000000003E-2</v>
      </c>
      <c r="E1092" s="438">
        <v>1.6000000000000001E-3</v>
      </c>
      <c r="F1092" s="438">
        <v>2.7666666666666668E-3</v>
      </c>
      <c r="G1092" s="438">
        <v>2.8499999999999997E-3</v>
      </c>
      <c r="H1092" s="438">
        <f t="shared" si="204"/>
        <v>2.8083333333333333E-3</v>
      </c>
      <c r="I1092" s="438">
        <v>2.9916666666666663E-3</v>
      </c>
      <c r="J1092" s="438">
        <f t="shared" si="192"/>
        <v>-2.0000000000000009E-4</v>
      </c>
      <c r="K1092" s="438">
        <f t="shared" si="196"/>
        <v>-1.4083333333333333E-3</v>
      </c>
      <c r="L1092" s="438">
        <f t="shared" si="196"/>
        <v>-5.8091666666666666E-2</v>
      </c>
      <c r="M1092" s="446">
        <f t="shared" si="193"/>
        <v>0.12578074131109873</v>
      </c>
      <c r="N1092" s="446">
        <f t="shared" si="194"/>
        <v>1.9200000000000002E-2</v>
      </c>
      <c r="O1092" s="446">
        <f t="shared" si="198"/>
        <v>3.3700000000000001E-2</v>
      </c>
      <c r="P1092" s="447">
        <f t="shared" si="195"/>
        <v>0.10658074131109874</v>
      </c>
      <c r="Q1092" s="446">
        <f t="shared" si="199"/>
        <v>9.2080741311098724E-2</v>
      </c>
      <c r="R1092" s="446">
        <f t="shared" si="200"/>
        <v>0.20393622373704501</v>
      </c>
      <c r="S1092" s="446">
        <f t="shared" si="201"/>
        <v>3.5899999999999994E-2</v>
      </c>
      <c r="T1092" s="447">
        <f t="shared" si="202"/>
        <v>0.16803622373704502</v>
      </c>
    </row>
    <row r="1093" spans="1:20" x14ac:dyDescent="0.4">
      <c r="A1093" s="442" t="str">
        <f t="shared" si="203"/>
        <v>92016</v>
      </c>
      <c r="B1093" s="460">
        <v>42614</v>
      </c>
      <c r="C1093" s="438">
        <v>2.0000000000000001E-4</v>
      </c>
      <c r="D1093" s="459">
        <v>4.0000000000000001E-3</v>
      </c>
      <c r="E1093" s="438">
        <v>1.5E-3</v>
      </c>
      <c r="F1093" s="438">
        <v>2.8416666666666668E-3</v>
      </c>
      <c r="G1093" s="438">
        <v>2.9166666666666668E-3</v>
      </c>
      <c r="H1093" s="438">
        <f t="shared" si="204"/>
        <v>2.879166666666667E-3</v>
      </c>
      <c r="I1093" s="438">
        <v>3.0499999999999998E-3</v>
      </c>
      <c r="J1093" s="438">
        <f t="shared" si="192"/>
        <v>-1.2999999999999999E-3</v>
      </c>
      <c r="K1093" s="438">
        <f t="shared" si="196"/>
        <v>-2.6791666666666669E-3</v>
      </c>
      <c r="L1093" s="438">
        <f t="shared" si="196"/>
        <v>9.5000000000000032E-4</v>
      </c>
      <c r="M1093" s="446">
        <f t="shared" si="193"/>
        <v>0.15452260582319388</v>
      </c>
      <c r="N1093" s="446">
        <f t="shared" si="194"/>
        <v>1.8000000000000002E-2</v>
      </c>
      <c r="O1093" s="446">
        <f t="shared" si="198"/>
        <v>3.4550000000000004E-2</v>
      </c>
      <c r="P1093" s="447">
        <f t="shared" si="195"/>
        <v>0.13652260582319387</v>
      </c>
      <c r="Q1093" s="446">
        <f t="shared" si="199"/>
        <v>0.11997260582319388</v>
      </c>
      <c r="R1093" s="446">
        <f t="shared" si="200"/>
        <v>0.17468607252866231</v>
      </c>
      <c r="S1093" s="446">
        <f t="shared" si="201"/>
        <v>3.6599999999999994E-2</v>
      </c>
      <c r="T1093" s="447">
        <f t="shared" si="202"/>
        <v>0.13808607252866231</v>
      </c>
    </row>
    <row r="1094" spans="1:20" x14ac:dyDescent="0.4">
      <c r="A1094" s="442" t="str">
        <f t="shared" si="203"/>
        <v>102016</v>
      </c>
      <c r="B1094" s="460">
        <v>42644</v>
      </c>
      <c r="C1094" s="438">
        <v>-1.8200000000000001E-2</v>
      </c>
      <c r="D1094" s="459">
        <v>8.6E-3</v>
      </c>
      <c r="E1094" s="438">
        <v>1.6000000000000001E-3</v>
      </c>
      <c r="F1094" s="438">
        <v>2.8416666666666668E-3</v>
      </c>
      <c r="G1094" s="438">
        <v>2.9166666666666668E-3</v>
      </c>
      <c r="H1094" s="438">
        <f t="shared" si="204"/>
        <v>2.879166666666667E-3</v>
      </c>
      <c r="I1094" s="438">
        <v>3.0499999999999998E-3</v>
      </c>
      <c r="J1094" s="438">
        <f t="shared" ref="J1094:J1157" si="205">C1094-E1094</f>
        <v>-1.9800000000000002E-2</v>
      </c>
      <c r="K1094" s="438">
        <f t="shared" si="196"/>
        <v>-2.107916666666667E-2</v>
      </c>
      <c r="L1094" s="438">
        <f t="shared" si="196"/>
        <v>5.5500000000000002E-3</v>
      </c>
      <c r="M1094" s="446">
        <f t="shared" si="193"/>
        <v>4.5287988193666751E-2</v>
      </c>
      <c r="N1094" s="446">
        <f t="shared" si="194"/>
        <v>1.9200000000000002E-2</v>
      </c>
      <c r="O1094" s="446">
        <f t="shared" si="198"/>
        <v>3.4550000000000004E-2</v>
      </c>
      <c r="P1094" s="447">
        <f t="shared" si="195"/>
        <v>2.6087988193666749E-2</v>
      </c>
      <c r="Q1094" s="446">
        <f t="shared" si="199"/>
        <v>1.0737988193666746E-2</v>
      </c>
      <c r="R1094" s="446">
        <f t="shared" si="200"/>
        <v>0.17212937549704077</v>
      </c>
      <c r="S1094" s="446">
        <f t="shared" si="201"/>
        <v>3.6599999999999994E-2</v>
      </c>
      <c r="T1094" s="447">
        <f t="shared" si="202"/>
        <v>0.13552937549704078</v>
      </c>
    </row>
    <row r="1095" spans="1:20" x14ac:dyDescent="0.4">
      <c r="A1095" s="442" t="str">
        <f t="shared" si="203"/>
        <v>112016</v>
      </c>
      <c r="B1095" s="460">
        <v>42675</v>
      </c>
      <c r="C1095" s="438">
        <v>3.6999999999999998E-2</v>
      </c>
      <c r="D1095" s="459">
        <v>-5.3900000000000003E-2</v>
      </c>
      <c r="E1095" s="438">
        <v>1.8E-3</v>
      </c>
      <c r="F1095" s="438">
        <v>3.2166666666666667E-3</v>
      </c>
      <c r="G1095" s="438">
        <v>3.2750000000000001E-3</v>
      </c>
      <c r="H1095" s="438">
        <f t="shared" si="204"/>
        <v>3.2458333333333332E-3</v>
      </c>
      <c r="I1095" s="438">
        <v>3.4000000000000002E-3</v>
      </c>
      <c r="J1095" s="438">
        <f t="shared" si="205"/>
        <v>3.5199999999999995E-2</v>
      </c>
      <c r="K1095" s="438">
        <f t="shared" si="196"/>
        <v>3.3754166666666668E-2</v>
      </c>
      <c r="L1095" s="438">
        <f t="shared" si="196"/>
        <v>-5.7300000000000004E-2</v>
      </c>
      <c r="M1095" s="446">
        <f t="shared" si="193"/>
        <v>8.0721479318875522E-2</v>
      </c>
      <c r="N1095" s="446">
        <f t="shared" si="194"/>
        <v>2.1600000000000001E-2</v>
      </c>
      <c r="O1095" s="446">
        <f t="shared" si="198"/>
        <v>3.8949999999999999E-2</v>
      </c>
      <c r="P1095" s="447">
        <f t="shared" si="195"/>
        <v>5.9121479318875521E-2</v>
      </c>
      <c r="Q1095" s="446">
        <f t="shared" si="199"/>
        <v>4.1771479318875523E-2</v>
      </c>
      <c r="R1095" s="446">
        <f t="shared" si="200"/>
        <v>0.13308634122586094</v>
      </c>
      <c r="S1095" s="446">
        <f t="shared" si="201"/>
        <v>4.0800000000000003E-2</v>
      </c>
      <c r="T1095" s="447">
        <f t="shared" si="202"/>
        <v>9.2286341225860935E-2</v>
      </c>
    </row>
    <row r="1096" spans="1:20" s="438" customFormat="1" x14ac:dyDescent="0.4">
      <c r="A1096" s="442" t="str">
        <f t="shared" si="203"/>
        <v>122016</v>
      </c>
      <c r="B1096" s="460">
        <v>42705</v>
      </c>
      <c r="C1096" s="438">
        <v>1.9800000000000002E-2</v>
      </c>
      <c r="D1096" s="459">
        <v>4.9399999999999999E-2</v>
      </c>
      <c r="E1096" s="438">
        <v>2.2000000000000001E-3</v>
      </c>
      <c r="F1096" s="438">
        <v>3.3833333333333332E-3</v>
      </c>
      <c r="G1096" s="438">
        <v>3.4333333333333334E-3</v>
      </c>
      <c r="H1096" s="438">
        <f t="shared" si="204"/>
        <v>3.4083333333333335E-3</v>
      </c>
      <c r="I1096" s="438">
        <v>3.5583333333333326E-3</v>
      </c>
      <c r="J1096" s="438">
        <f t="shared" si="205"/>
        <v>1.7600000000000001E-2</v>
      </c>
      <c r="K1096" s="438">
        <f t="shared" si="196"/>
        <v>1.6391666666666669E-2</v>
      </c>
      <c r="L1096" s="438">
        <f t="shared" si="196"/>
        <v>4.5841666666666669E-2</v>
      </c>
      <c r="M1096" s="446">
        <f t="shared" si="193"/>
        <v>0.11981280695934715</v>
      </c>
      <c r="N1096" s="446">
        <f t="shared" si="194"/>
        <v>2.64E-2</v>
      </c>
      <c r="O1096" s="446">
        <f t="shared" si="198"/>
        <v>4.0900000000000006E-2</v>
      </c>
      <c r="P1096" s="447">
        <f t="shared" si="195"/>
        <v>9.3412806959347144E-2</v>
      </c>
      <c r="Q1096" s="446">
        <f t="shared" si="199"/>
        <v>7.8912806959347145E-2</v>
      </c>
      <c r="R1096" s="446">
        <f t="shared" si="200"/>
        <v>0.16392013163901531</v>
      </c>
      <c r="S1096" s="446">
        <f t="shared" si="201"/>
        <v>4.2699999999999988E-2</v>
      </c>
      <c r="T1096" s="447">
        <f t="shared" si="202"/>
        <v>0.12122013163901532</v>
      </c>
    </row>
    <row r="1097" spans="1:20" s="438" customFormat="1" x14ac:dyDescent="0.4">
      <c r="A1097" s="442" t="str">
        <f t="shared" si="203"/>
        <v>12017</v>
      </c>
      <c r="B1097" s="460">
        <v>42736</v>
      </c>
      <c r="C1097" s="438">
        <v>1.9E-2</v>
      </c>
      <c r="D1097" s="438">
        <v>1.26E-2</v>
      </c>
      <c r="E1097" s="438">
        <v>2.3999999999999998E-3</v>
      </c>
      <c r="F1097" s="438">
        <v>3.2666666666666664E-3</v>
      </c>
      <c r="G1097" s="438">
        <v>3.3166666666666665E-3</v>
      </c>
      <c r="H1097" s="438">
        <f t="shared" si="204"/>
        <v>3.2916666666666667E-3</v>
      </c>
      <c r="I1097" s="438">
        <v>3.3E-3</v>
      </c>
      <c r="J1097" s="438">
        <f t="shared" si="205"/>
        <v>1.66E-2</v>
      </c>
      <c r="K1097" s="438">
        <f t="shared" si="196"/>
        <v>1.5708333333333331E-2</v>
      </c>
      <c r="L1097" s="438">
        <f t="shared" si="196"/>
        <v>9.2999999999999992E-3</v>
      </c>
      <c r="M1097" s="446">
        <f t="shared" si="193"/>
        <v>0.20064104618221212</v>
      </c>
      <c r="N1097" s="446">
        <f t="shared" si="194"/>
        <v>2.8799999999999999E-2</v>
      </c>
      <c r="O1097" s="446">
        <f t="shared" si="198"/>
        <v>3.95E-2</v>
      </c>
      <c r="P1097" s="447">
        <f t="shared" si="195"/>
        <v>0.17184104618221213</v>
      </c>
      <c r="Q1097" s="446">
        <f t="shared" si="199"/>
        <v>0.16114104618221212</v>
      </c>
      <c r="R1097" s="446">
        <f t="shared" si="200"/>
        <v>0.12329369301430848</v>
      </c>
      <c r="S1097" s="446">
        <f t="shared" si="201"/>
        <v>3.9599999999999996E-2</v>
      </c>
      <c r="T1097" s="447">
        <f t="shared" si="202"/>
        <v>8.3693693014308485E-2</v>
      </c>
    </row>
    <row r="1098" spans="1:20" s="438" customFormat="1" x14ac:dyDescent="0.4">
      <c r="A1098" s="442" t="str">
        <f t="shared" si="203"/>
        <v>22017</v>
      </c>
      <c r="B1098" s="460">
        <v>42767</v>
      </c>
      <c r="C1098" s="438">
        <v>3.9699999999999999E-2</v>
      </c>
      <c r="D1098" s="438">
        <v>5.2600000000000001E-2</v>
      </c>
      <c r="E1098" s="438">
        <v>2.0999999999999999E-3</v>
      </c>
      <c r="F1098" s="438">
        <v>3.2916666666666667E-3</v>
      </c>
      <c r="G1098" s="438">
        <v>3.3416666666666668E-3</v>
      </c>
      <c r="H1098" s="438">
        <f t="shared" si="204"/>
        <v>3.3166666666666665E-3</v>
      </c>
      <c r="I1098" s="438">
        <v>3.3250000000000003E-3</v>
      </c>
      <c r="J1098" s="438">
        <f t="shared" si="205"/>
        <v>3.7600000000000001E-2</v>
      </c>
      <c r="K1098" s="438">
        <f t="shared" si="196"/>
        <v>3.638333333333333E-2</v>
      </c>
      <c r="L1098" s="438">
        <f t="shared" si="196"/>
        <v>4.9274999999999999E-2</v>
      </c>
      <c r="M1098" s="446">
        <f t="shared" si="193"/>
        <v>0.24993140654415336</v>
      </c>
      <c r="N1098" s="446">
        <f t="shared" si="194"/>
        <v>2.52E-2</v>
      </c>
      <c r="O1098" s="446">
        <f t="shared" si="198"/>
        <v>3.9800000000000002E-2</v>
      </c>
      <c r="P1098" s="447">
        <f t="shared" si="195"/>
        <v>0.22473140654415336</v>
      </c>
      <c r="Q1098" s="446">
        <f t="shared" si="199"/>
        <v>0.21013140654415335</v>
      </c>
      <c r="R1098" s="446">
        <f t="shared" si="200"/>
        <v>0.15986801360988445</v>
      </c>
      <c r="S1098" s="446">
        <f t="shared" si="201"/>
        <v>3.9900000000000005E-2</v>
      </c>
      <c r="T1098" s="447">
        <f t="shared" si="202"/>
        <v>0.11996801360988445</v>
      </c>
    </row>
    <row r="1099" spans="1:20" s="438" customFormat="1" x14ac:dyDescent="0.4">
      <c r="A1099" s="442" t="str">
        <f t="shared" si="203"/>
        <v>32017</v>
      </c>
      <c r="B1099" s="460">
        <v>42795</v>
      </c>
      <c r="C1099" s="438">
        <v>1.1999999999999999E-3</v>
      </c>
      <c r="D1099" s="438">
        <v>2.98E-2</v>
      </c>
      <c r="E1099" s="438">
        <v>2.3E-3</v>
      </c>
      <c r="F1099" s="438">
        <v>3.2916666666666667E-3</v>
      </c>
      <c r="G1099" s="438">
        <v>3.3416666666666668E-3</v>
      </c>
      <c r="H1099" s="438">
        <f t="shared" si="204"/>
        <v>3.3166666666666665E-3</v>
      </c>
      <c r="I1099" s="438">
        <v>3.3250000000000003E-3</v>
      </c>
      <c r="J1099" s="438">
        <f t="shared" si="205"/>
        <v>-1.1000000000000001E-3</v>
      </c>
      <c r="K1099" s="438">
        <f t="shared" si="196"/>
        <v>-2.1166666666666669E-3</v>
      </c>
      <c r="L1099" s="438">
        <f t="shared" si="196"/>
        <v>2.6474999999999999E-2</v>
      </c>
      <c r="M1099" s="446">
        <f t="shared" si="193"/>
        <v>0.17197164659300102</v>
      </c>
      <c r="N1099" s="446">
        <f t="shared" si="194"/>
        <v>2.76E-2</v>
      </c>
      <c r="O1099" s="446">
        <f t="shared" si="198"/>
        <v>3.9800000000000002E-2</v>
      </c>
      <c r="P1099" s="447">
        <f t="shared" si="195"/>
        <v>0.144371646593001</v>
      </c>
      <c r="Q1099" s="446">
        <f t="shared" si="199"/>
        <v>0.13217164659300101</v>
      </c>
      <c r="R1099" s="446">
        <f t="shared" si="200"/>
        <v>0.10452383985154334</v>
      </c>
      <c r="S1099" s="446">
        <f t="shared" si="201"/>
        <v>3.9900000000000005E-2</v>
      </c>
      <c r="T1099" s="447">
        <f t="shared" si="202"/>
        <v>6.4623839851543338E-2</v>
      </c>
    </row>
    <row r="1100" spans="1:20" s="438" customFormat="1" x14ac:dyDescent="0.4">
      <c r="A1100" s="442" t="str">
        <f t="shared" si="203"/>
        <v>42017</v>
      </c>
      <c r="B1100" s="460">
        <v>42826</v>
      </c>
      <c r="C1100" s="438">
        <v>1.03E-2</v>
      </c>
      <c r="D1100" s="438">
        <v>7.7999999999999996E-3</v>
      </c>
      <c r="E1100" s="438">
        <v>2.0999999999999999E-3</v>
      </c>
      <c r="F1100" s="438">
        <v>3.225E-3</v>
      </c>
      <c r="G1100" s="438">
        <v>3.2750000000000001E-3</v>
      </c>
      <c r="H1100" s="438">
        <f t="shared" si="204"/>
        <v>3.2500000000000003E-3</v>
      </c>
      <c r="I1100" s="438">
        <v>3.2750000000000001E-3</v>
      </c>
      <c r="J1100" s="438">
        <f t="shared" si="205"/>
        <v>8.2000000000000007E-3</v>
      </c>
      <c r="K1100" s="438">
        <f t="shared" si="196"/>
        <v>7.0499999999999998E-3</v>
      </c>
      <c r="L1100" s="438">
        <f t="shared" si="196"/>
        <v>4.5249999999999995E-3</v>
      </c>
      <c r="M1100" s="446">
        <f t="shared" si="193"/>
        <v>0.17944312636010462</v>
      </c>
      <c r="N1100" s="446">
        <f t="shared" si="194"/>
        <v>2.52E-2</v>
      </c>
      <c r="O1100" s="446">
        <f t="shared" si="198"/>
        <v>3.9000000000000007E-2</v>
      </c>
      <c r="P1100" s="447">
        <f t="shared" si="195"/>
        <v>0.15424312636010462</v>
      </c>
      <c r="Q1100" s="446">
        <f t="shared" si="199"/>
        <v>0.14044312636010461</v>
      </c>
      <c r="R1100" s="446">
        <f t="shared" si="200"/>
        <v>0.14062826703800146</v>
      </c>
      <c r="S1100" s="446">
        <f t="shared" si="201"/>
        <v>3.9300000000000002E-2</v>
      </c>
      <c r="T1100" s="447">
        <f t="shared" si="202"/>
        <v>0.10132826703800146</v>
      </c>
    </row>
    <row r="1101" spans="1:20" s="438" customFormat="1" x14ac:dyDescent="0.4">
      <c r="A1101" s="442" t="str">
        <f t="shared" si="203"/>
        <v>52017</v>
      </c>
      <c r="B1101" s="460">
        <v>42856</v>
      </c>
      <c r="C1101" s="438">
        <v>1.41E-2</v>
      </c>
      <c r="D1101" s="438">
        <v>4.2200000000000001E-2</v>
      </c>
      <c r="E1101" s="438">
        <v>2.3999999999999998E-3</v>
      </c>
      <c r="F1101" s="438">
        <v>3.2083333333333334E-3</v>
      </c>
      <c r="G1101" s="438">
        <v>3.2750000000000001E-3</v>
      </c>
      <c r="H1101" s="438">
        <f t="shared" si="204"/>
        <v>3.241666666666667E-3</v>
      </c>
      <c r="I1101" s="438">
        <v>3.2750000000000001E-3</v>
      </c>
      <c r="J1101" s="438">
        <f t="shared" si="205"/>
        <v>1.17E-2</v>
      </c>
      <c r="K1101" s="438">
        <f t="shared" si="196"/>
        <v>1.0858333333333333E-2</v>
      </c>
      <c r="L1101" s="438">
        <f t="shared" si="196"/>
        <v>3.8925000000000001E-2</v>
      </c>
      <c r="M1101" s="446">
        <f t="shared" si="193"/>
        <v>0.17492463108230072</v>
      </c>
      <c r="N1101" s="446">
        <f t="shared" si="194"/>
        <v>2.8799999999999999E-2</v>
      </c>
      <c r="O1101" s="446">
        <f t="shared" si="198"/>
        <v>3.8900000000000004E-2</v>
      </c>
      <c r="P1101" s="447">
        <f t="shared" si="195"/>
        <v>0.14612463108230073</v>
      </c>
      <c r="Q1101" s="446">
        <f t="shared" si="199"/>
        <v>0.13602463108230073</v>
      </c>
      <c r="R1101" s="446">
        <f t="shared" si="200"/>
        <v>0.1710794797625903</v>
      </c>
      <c r="S1101" s="446">
        <f t="shared" si="201"/>
        <v>3.9300000000000002E-2</v>
      </c>
      <c r="T1101" s="447">
        <f t="shared" si="202"/>
        <v>0.1317794797625903</v>
      </c>
    </row>
    <row r="1102" spans="1:20" s="438" customFormat="1" x14ac:dyDescent="0.4">
      <c r="A1102" s="442" t="str">
        <f t="shared" si="203"/>
        <v>62017</v>
      </c>
      <c r="B1102" s="460">
        <v>42887</v>
      </c>
      <c r="C1102" s="438">
        <v>6.1999999999999998E-3</v>
      </c>
      <c r="D1102" s="438">
        <v>-2.7E-2</v>
      </c>
      <c r="E1102" s="438">
        <v>2.0999999999999999E-3</v>
      </c>
      <c r="F1102" s="438">
        <v>3.0666666666666672E-3</v>
      </c>
      <c r="G1102" s="438">
        <v>3.1416666666666663E-3</v>
      </c>
      <c r="H1102" s="438">
        <f t="shared" si="204"/>
        <v>3.1041666666666665E-3</v>
      </c>
      <c r="I1102" s="438">
        <v>3.1416666666666663E-3</v>
      </c>
      <c r="J1102" s="438">
        <f t="shared" si="205"/>
        <v>4.0999999999999995E-3</v>
      </c>
      <c r="K1102" s="438">
        <f t="shared" si="196"/>
        <v>3.0958333333333332E-3</v>
      </c>
      <c r="L1102" s="438">
        <f t="shared" si="196"/>
        <v>-3.0141666666666667E-2</v>
      </c>
      <c r="M1102" s="446">
        <f t="shared" si="193"/>
        <v>0.17914339097846721</v>
      </c>
      <c r="N1102" s="446">
        <f t="shared" si="194"/>
        <v>2.52E-2</v>
      </c>
      <c r="O1102" s="446">
        <f t="shared" si="198"/>
        <v>3.7249999999999998E-2</v>
      </c>
      <c r="P1102" s="447">
        <f t="shared" si="195"/>
        <v>0.15394339097846721</v>
      </c>
      <c r="Q1102" s="446">
        <f t="shared" si="199"/>
        <v>0.1418933909784672</v>
      </c>
      <c r="R1102" s="446">
        <f t="shared" si="200"/>
        <v>5.711135894702668E-2</v>
      </c>
      <c r="S1102" s="446">
        <f t="shared" si="201"/>
        <v>3.7699999999999997E-2</v>
      </c>
      <c r="T1102" s="447">
        <f t="shared" si="202"/>
        <v>1.9411358947026683E-2</v>
      </c>
    </row>
    <row r="1103" spans="1:20" s="438" customFormat="1" x14ac:dyDescent="0.4">
      <c r="A1103" s="442" t="str">
        <f t="shared" si="203"/>
        <v>72017</v>
      </c>
      <c r="B1103" s="460">
        <v>42917</v>
      </c>
      <c r="C1103" s="438">
        <v>2.06E-2</v>
      </c>
      <c r="D1103" s="438">
        <v>2.4400000000000002E-2</v>
      </c>
      <c r="E1103" s="438">
        <v>2.2000000000000001E-3</v>
      </c>
      <c r="F1103" s="438">
        <v>3.15E-3</v>
      </c>
      <c r="G1103" s="438">
        <v>3.225E-3</v>
      </c>
      <c r="H1103" s="438">
        <f t="shared" si="204"/>
        <v>3.1875000000000002E-3</v>
      </c>
      <c r="I1103" s="438">
        <v>3.2333333333333329E-3</v>
      </c>
      <c r="J1103" s="438">
        <f t="shared" si="205"/>
        <v>1.84E-2</v>
      </c>
      <c r="K1103" s="438">
        <f t="shared" si="196"/>
        <v>1.7412500000000001E-2</v>
      </c>
      <c r="L1103" s="438">
        <f t="shared" si="196"/>
        <v>2.1166666666666667E-2</v>
      </c>
      <c r="M1103" s="446">
        <f t="shared" si="193"/>
        <v>0.16060733420062023</v>
      </c>
      <c r="N1103" s="446">
        <f t="shared" si="194"/>
        <v>2.64E-2</v>
      </c>
      <c r="O1103" s="446">
        <f t="shared" si="198"/>
        <v>3.8250000000000006E-2</v>
      </c>
      <c r="P1103" s="447">
        <f t="shared" si="195"/>
        <v>0.13420733420062023</v>
      </c>
      <c r="Q1103" s="446">
        <f t="shared" si="199"/>
        <v>0.12235733420062023</v>
      </c>
      <c r="R1103" s="446">
        <f t="shared" si="200"/>
        <v>9.16379799448932E-2</v>
      </c>
      <c r="S1103" s="446">
        <f t="shared" si="201"/>
        <v>3.8799999999999994E-2</v>
      </c>
      <c r="T1103" s="447">
        <f t="shared" si="202"/>
        <v>5.2837979944893206E-2</v>
      </c>
    </row>
    <row r="1104" spans="1:20" s="438" customFormat="1" x14ac:dyDescent="0.4">
      <c r="A1104" s="442" t="str">
        <f t="shared" si="203"/>
        <v>82017</v>
      </c>
      <c r="B1104" s="460">
        <v>42948</v>
      </c>
      <c r="C1104" s="438">
        <v>3.0999999999999999E-3</v>
      </c>
      <c r="D1104" s="438">
        <v>3.2399999999999998E-2</v>
      </c>
      <c r="E1104" s="438">
        <v>2.2000000000000001E-3</v>
      </c>
      <c r="F1104" s="438">
        <v>3.0833333333333333E-3</v>
      </c>
      <c r="G1104" s="438">
        <v>3.1666666666666666E-3</v>
      </c>
      <c r="H1104" s="438">
        <f t="shared" si="204"/>
        <v>3.1250000000000002E-3</v>
      </c>
      <c r="I1104" s="438">
        <v>3.1833333333333332E-3</v>
      </c>
      <c r="J1104" s="438">
        <f t="shared" si="205"/>
        <v>8.9999999999999976E-4</v>
      </c>
      <c r="K1104" s="438">
        <f t="shared" si="196"/>
        <v>-2.5000000000000282E-5</v>
      </c>
      <c r="L1104" s="438">
        <f t="shared" si="196"/>
        <v>2.9216666666666665E-2</v>
      </c>
      <c r="M1104" s="446">
        <f t="shared" ref="M1104:M1167" si="206">((1+C1093)*(1+C1094)*(1+C1095)*(1+C1096)*(1+C1097)*(1+C1098)*(1+C1099)*(1+C1100)*(1+C1101)*(1+C1102)*(1+C1103)*(1+C1104))-1</f>
        <v>0.1625776082850432</v>
      </c>
      <c r="N1104" s="446">
        <f t="shared" ref="N1104:N1167" si="207">E1104*12</f>
        <v>2.64E-2</v>
      </c>
      <c r="O1104" s="446">
        <f t="shared" si="198"/>
        <v>3.7500000000000006E-2</v>
      </c>
      <c r="P1104" s="447">
        <f t="shared" ref="P1104:P1167" si="208">M1104-N1104</f>
        <v>0.13617760828504319</v>
      </c>
      <c r="Q1104" s="446">
        <f t="shared" si="199"/>
        <v>0.12507760828504319</v>
      </c>
      <c r="R1104" s="446">
        <f t="shared" si="200"/>
        <v>0.19272626785385505</v>
      </c>
      <c r="S1104" s="446">
        <f t="shared" si="201"/>
        <v>3.8199999999999998E-2</v>
      </c>
      <c r="T1104" s="447">
        <f t="shared" si="202"/>
        <v>0.15452626785385504</v>
      </c>
    </row>
    <row r="1105" spans="1:20" s="438" customFormat="1" x14ac:dyDescent="0.4">
      <c r="A1105" s="442" t="str">
        <f t="shared" si="203"/>
        <v>92017</v>
      </c>
      <c r="B1105" s="460">
        <v>42979</v>
      </c>
      <c r="C1105" s="438">
        <v>2.06E-2</v>
      </c>
      <c r="D1105" s="438">
        <v>-2.7300000000000001E-2</v>
      </c>
      <c r="E1105" s="438">
        <v>1.9E-3</v>
      </c>
      <c r="F1105" s="438">
        <v>3.0249999999999999E-3</v>
      </c>
      <c r="G1105" s="438">
        <v>3.0999999999999999E-3</v>
      </c>
      <c r="H1105" s="438">
        <f t="shared" si="204"/>
        <v>3.0625000000000001E-3</v>
      </c>
      <c r="I1105" s="438">
        <v>3.0583333333333335E-3</v>
      </c>
      <c r="J1105" s="438">
        <f t="shared" si="205"/>
        <v>1.8700000000000001E-2</v>
      </c>
      <c r="K1105" s="438">
        <f t="shared" si="196"/>
        <v>1.7537500000000001E-2</v>
      </c>
      <c r="L1105" s="438">
        <f t="shared" si="196"/>
        <v>-3.0358333333333334E-2</v>
      </c>
      <c r="M1105" s="446">
        <f t="shared" si="206"/>
        <v>0.18628944912588996</v>
      </c>
      <c r="N1105" s="446">
        <f t="shared" si="207"/>
        <v>2.2800000000000001E-2</v>
      </c>
      <c r="O1105" s="446">
        <f t="shared" si="198"/>
        <v>3.6750000000000005E-2</v>
      </c>
      <c r="P1105" s="447">
        <f t="shared" si="208"/>
        <v>0.16348944912588997</v>
      </c>
      <c r="Q1105" s="446">
        <f t="shared" si="199"/>
        <v>0.14953944912588996</v>
      </c>
      <c r="R1105" s="446">
        <f t="shared" si="200"/>
        <v>0.15554267006120037</v>
      </c>
      <c r="S1105" s="446">
        <f t="shared" si="201"/>
        <v>3.6700000000000003E-2</v>
      </c>
      <c r="T1105" s="447">
        <f t="shared" si="202"/>
        <v>0.11884267006120036</v>
      </c>
    </row>
    <row r="1106" spans="1:20" s="438" customFormat="1" x14ac:dyDescent="0.4">
      <c r="A1106" s="442" t="str">
        <f t="shared" si="203"/>
        <v>102017</v>
      </c>
      <c r="B1106" s="460">
        <v>43009</v>
      </c>
      <c r="C1106" s="438">
        <v>2.3300000000000001E-2</v>
      </c>
      <c r="D1106" s="438">
        <v>3.9E-2</v>
      </c>
      <c r="E1106" s="438">
        <v>2.2000000000000001E-3</v>
      </c>
      <c r="F1106" s="438">
        <v>3.0000000000000001E-3</v>
      </c>
      <c r="G1106" s="438">
        <v>3.1166666666666669E-3</v>
      </c>
      <c r="H1106" s="438">
        <f t="shared" si="204"/>
        <v>3.0583333333333335E-3</v>
      </c>
      <c r="I1106" s="438">
        <v>3.1166666666666669E-3</v>
      </c>
      <c r="J1106" s="438">
        <f t="shared" si="205"/>
        <v>2.1100000000000001E-2</v>
      </c>
      <c r="K1106" s="438">
        <f t="shared" si="196"/>
        <v>2.0241666666666668E-2</v>
      </c>
      <c r="L1106" s="438">
        <f t="shared" si="196"/>
        <v>3.5883333333333337E-2</v>
      </c>
      <c r="M1106" s="446">
        <f t="shared" si="206"/>
        <v>0.23643307526025992</v>
      </c>
      <c r="N1106" s="446">
        <f t="shared" si="207"/>
        <v>2.64E-2</v>
      </c>
      <c r="O1106" s="446">
        <f t="shared" si="198"/>
        <v>3.6700000000000003E-2</v>
      </c>
      <c r="P1106" s="447">
        <f t="shared" si="208"/>
        <v>0.21003307526025991</v>
      </c>
      <c r="Q1106" s="446">
        <f t="shared" si="199"/>
        <v>0.19973307526025991</v>
      </c>
      <c r="R1106" s="446">
        <f t="shared" si="200"/>
        <v>0.19037163810587621</v>
      </c>
      <c r="S1106" s="446">
        <f t="shared" si="201"/>
        <v>3.7400000000000003E-2</v>
      </c>
      <c r="T1106" s="447">
        <f t="shared" si="202"/>
        <v>0.15297163810587622</v>
      </c>
    </row>
    <row r="1107" spans="1:20" s="438" customFormat="1" x14ac:dyDescent="0.4">
      <c r="A1107" s="442" t="str">
        <f t="shared" si="203"/>
        <v>112017</v>
      </c>
      <c r="B1107" s="460">
        <v>43040</v>
      </c>
      <c r="C1107" s="438">
        <v>3.0700000000000002E-2</v>
      </c>
      <c r="D1107" s="438">
        <v>2.75E-2</v>
      </c>
      <c r="E1107" s="438">
        <v>2.0999999999999999E-3</v>
      </c>
      <c r="F1107" s="438">
        <v>3.0000000000000001E-3</v>
      </c>
      <c r="G1107" s="438">
        <v>3.1166666666666669E-3</v>
      </c>
      <c r="H1107" s="438">
        <f t="shared" si="204"/>
        <v>3.0583333333333335E-3</v>
      </c>
      <c r="I1107" s="438">
        <v>3.1166666666666669E-3</v>
      </c>
      <c r="J1107" s="438">
        <f t="shared" si="205"/>
        <v>2.86E-2</v>
      </c>
      <c r="K1107" s="438">
        <f t="shared" si="196"/>
        <v>2.7641666666666669E-2</v>
      </c>
      <c r="L1107" s="438">
        <f t="shared" si="196"/>
        <v>2.4383333333333333E-2</v>
      </c>
      <c r="M1107" s="446">
        <f t="shared" si="206"/>
        <v>0.22892147605665381</v>
      </c>
      <c r="N1107" s="446">
        <f t="shared" si="207"/>
        <v>2.52E-2</v>
      </c>
      <c r="O1107" s="446">
        <f t="shared" si="198"/>
        <v>3.6700000000000003E-2</v>
      </c>
      <c r="P1107" s="447">
        <f t="shared" si="208"/>
        <v>0.20372147605665381</v>
      </c>
      <c r="Q1107" s="446">
        <f t="shared" si="199"/>
        <v>0.19222147605665379</v>
      </c>
      <c r="R1107" s="446">
        <f t="shared" si="200"/>
        <v>0.29278813883710808</v>
      </c>
      <c r="S1107" s="446">
        <f t="shared" si="201"/>
        <v>3.7400000000000003E-2</v>
      </c>
      <c r="T1107" s="447">
        <f t="shared" si="202"/>
        <v>0.25538813883710809</v>
      </c>
    </row>
    <row r="1108" spans="1:20" s="438" customFormat="1" x14ac:dyDescent="0.4">
      <c r="A1108" s="442" t="str">
        <f t="shared" si="203"/>
        <v>122017</v>
      </c>
      <c r="B1108" s="460">
        <v>43070</v>
      </c>
      <c r="C1108" s="438">
        <v>1.11E-2</v>
      </c>
      <c r="D1108" s="438">
        <v>-6.13E-2</v>
      </c>
      <c r="E1108" s="438">
        <v>2E-3</v>
      </c>
      <c r="F1108" s="438">
        <v>2.9249999999999996E-3</v>
      </c>
      <c r="G1108" s="438">
        <v>3.0083333333333333E-3</v>
      </c>
      <c r="H1108" s="438">
        <f t="shared" si="204"/>
        <v>2.9666666666666665E-3</v>
      </c>
      <c r="I1108" s="438">
        <v>3.0166666666666671E-3</v>
      </c>
      <c r="J1108" s="438">
        <f t="shared" si="205"/>
        <v>9.1000000000000004E-3</v>
      </c>
      <c r="K1108" s="438">
        <f t="shared" si="196"/>
        <v>8.1333333333333344E-3</v>
      </c>
      <c r="L1108" s="438">
        <f t="shared" si="196"/>
        <v>-6.4316666666666661E-2</v>
      </c>
      <c r="M1108" s="446">
        <f t="shared" si="206"/>
        <v>0.21843744306813351</v>
      </c>
      <c r="N1108" s="446">
        <f t="shared" si="207"/>
        <v>2.4E-2</v>
      </c>
      <c r="O1108" s="446">
        <f t="shared" si="198"/>
        <v>3.56E-2</v>
      </c>
      <c r="P1108" s="447">
        <f t="shared" si="208"/>
        <v>0.19443744306813351</v>
      </c>
      <c r="Q1108" s="446">
        <f t="shared" si="199"/>
        <v>0.18283744306813351</v>
      </c>
      <c r="R1108" s="446">
        <f t="shared" si="200"/>
        <v>0.15641340377967738</v>
      </c>
      <c r="S1108" s="446">
        <f t="shared" si="201"/>
        <v>3.6200000000000003E-2</v>
      </c>
      <c r="T1108" s="447">
        <f t="shared" si="202"/>
        <v>0.12021340377967737</v>
      </c>
    </row>
    <row r="1109" spans="1:20" s="438" customFormat="1" x14ac:dyDescent="0.4">
      <c r="A1109" s="442" t="str">
        <f t="shared" si="203"/>
        <v>12018</v>
      </c>
      <c r="B1109" s="460">
        <v>43101</v>
      </c>
      <c r="C1109" s="461">
        <v>5.7299999999999997E-2</v>
      </c>
      <c r="D1109" s="461">
        <v>-3.0700000000000002E-2</v>
      </c>
      <c r="E1109" s="461">
        <v>2.3999999999999998E-3</v>
      </c>
      <c r="F1109" s="461">
        <v>2.9249999999999996E-3</v>
      </c>
      <c r="G1109" s="461">
        <v>3.0083333333333333E-3</v>
      </c>
      <c r="H1109" s="461">
        <f t="shared" si="204"/>
        <v>2.9666666666666665E-3</v>
      </c>
      <c r="I1109" s="461">
        <v>3.1583333333333337E-3</v>
      </c>
      <c r="J1109" s="438">
        <f t="shared" si="205"/>
        <v>5.4899999999999997E-2</v>
      </c>
      <c r="K1109" s="461">
        <f t="shared" si="196"/>
        <v>5.4333333333333331E-2</v>
      </c>
      <c r="L1109" s="461">
        <f t="shared" si="196"/>
        <v>-3.3858333333333338E-2</v>
      </c>
      <c r="M1109" s="446">
        <f t="shared" si="206"/>
        <v>0.26423347257697594</v>
      </c>
      <c r="N1109" s="446">
        <f t="shared" si="207"/>
        <v>2.8799999999999999E-2</v>
      </c>
      <c r="O1109" s="462">
        <f t="shared" si="198"/>
        <v>3.56E-2</v>
      </c>
      <c r="P1109" s="447">
        <f t="shared" si="208"/>
        <v>0.23543347257697594</v>
      </c>
      <c r="Q1109" s="446">
        <f t="shared" si="199"/>
        <v>0.22863347257697594</v>
      </c>
      <c r="R1109" s="462">
        <f t="shared" si="200"/>
        <v>0.10696376879680214</v>
      </c>
      <c r="S1109" s="462">
        <f t="shared" si="201"/>
        <v>3.7900000000000003E-2</v>
      </c>
      <c r="T1109" s="447">
        <f t="shared" si="202"/>
        <v>6.9063768796802136E-2</v>
      </c>
    </row>
    <row r="1110" spans="1:20" s="438" customFormat="1" x14ac:dyDescent="0.4">
      <c r="A1110" s="442" t="str">
        <f t="shared" si="203"/>
        <v>22018</v>
      </c>
      <c r="B1110" s="460">
        <v>43132</v>
      </c>
      <c r="C1110" s="461">
        <v>-3.6900000000000002E-2</v>
      </c>
      <c r="D1110" s="461">
        <v>-3.8399999999999997E-2</v>
      </c>
      <c r="E1110" s="461">
        <v>2.2000000000000001E-3</v>
      </c>
      <c r="F1110" s="461">
        <v>2.9583333333333332E-3</v>
      </c>
      <c r="G1110" s="461">
        <v>3.0666666666666672E-3</v>
      </c>
      <c r="H1110" s="461">
        <f t="shared" si="204"/>
        <v>3.0125000000000004E-3</v>
      </c>
      <c r="I1110" s="461">
        <v>3.2166666666666667E-3</v>
      </c>
      <c r="J1110" s="438">
        <f t="shared" si="205"/>
        <v>-3.9100000000000003E-2</v>
      </c>
      <c r="K1110" s="461">
        <f t="shared" si="196"/>
        <v>-3.9912500000000004E-2</v>
      </c>
      <c r="L1110" s="461">
        <f t="shared" si="196"/>
        <v>-4.1616666666666663E-2</v>
      </c>
      <c r="M1110" s="446">
        <f t="shared" si="206"/>
        <v>0.1710909468489803</v>
      </c>
      <c r="N1110" s="446">
        <f t="shared" si="207"/>
        <v>2.64E-2</v>
      </c>
      <c r="O1110" s="462">
        <f t="shared" si="198"/>
        <v>3.6150000000000002E-2</v>
      </c>
      <c r="P1110" s="447">
        <f t="shared" si="208"/>
        <v>0.14469094684898029</v>
      </c>
      <c r="Q1110" s="446">
        <f t="shared" si="199"/>
        <v>0.13494094684898028</v>
      </c>
      <c r="R1110" s="462">
        <f t="shared" si="200"/>
        <v>1.1263879987654546E-2</v>
      </c>
      <c r="S1110" s="462">
        <f t="shared" si="201"/>
        <v>3.8600000000000002E-2</v>
      </c>
      <c r="T1110" s="447">
        <f t="shared" si="202"/>
        <v>-2.7336120012345456E-2</v>
      </c>
    </row>
    <row r="1111" spans="1:20" s="438" customFormat="1" x14ac:dyDescent="0.4">
      <c r="A1111" s="442" t="str">
        <f t="shared" si="203"/>
        <v>32018</v>
      </c>
      <c r="B1111" s="460">
        <v>43160</v>
      </c>
      <c r="C1111" s="461">
        <v>-2.5399999999999999E-2</v>
      </c>
      <c r="D1111" s="461">
        <v>3.7699999999999997E-2</v>
      </c>
      <c r="E1111" s="461">
        <v>2.3999999999999998E-3</v>
      </c>
      <c r="F1111" s="461">
        <v>3.225E-3</v>
      </c>
      <c r="G1111" s="461">
        <v>3.3250000000000003E-3</v>
      </c>
      <c r="H1111" s="461">
        <f t="shared" si="204"/>
        <v>3.2750000000000001E-3</v>
      </c>
      <c r="I1111" s="461">
        <v>3.4416666666666667E-3</v>
      </c>
      <c r="J1111" s="438">
        <f t="shared" si="205"/>
        <v>-2.7799999999999998E-2</v>
      </c>
      <c r="K1111" s="461">
        <f t="shared" si="196"/>
        <v>-2.8674999999999999E-2</v>
      </c>
      <c r="L1111" s="461">
        <f t="shared" si="196"/>
        <v>3.4258333333333328E-2</v>
      </c>
      <c r="M1111" s="446">
        <f t="shared" si="206"/>
        <v>0.13997726408211797</v>
      </c>
      <c r="N1111" s="446">
        <f t="shared" si="207"/>
        <v>2.8799999999999999E-2</v>
      </c>
      <c r="O1111" s="462">
        <f t="shared" si="198"/>
        <v>3.9300000000000002E-2</v>
      </c>
      <c r="P1111" s="447">
        <f t="shared" si="208"/>
        <v>0.11117726408211798</v>
      </c>
      <c r="Q1111" s="446">
        <f t="shared" si="199"/>
        <v>0.10067726408211797</v>
      </c>
      <c r="R1111" s="462">
        <f t="shared" si="200"/>
        <v>1.9021682135549556E-2</v>
      </c>
      <c r="S1111" s="462">
        <f t="shared" si="201"/>
        <v>4.1300000000000003E-2</v>
      </c>
      <c r="T1111" s="447">
        <f t="shared" si="202"/>
        <v>-2.2278317864450448E-2</v>
      </c>
    </row>
    <row r="1112" spans="1:20" s="438" customFormat="1" x14ac:dyDescent="0.4">
      <c r="A1112" s="442" t="str">
        <f t="shared" si="203"/>
        <v>42018</v>
      </c>
      <c r="B1112" s="460">
        <v>43191</v>
      </c>
      <c r="C1112" s="461">
        <v>3.8E-3</v>
      </c>
      <c r="D1112" s="461">
        <v>2.1000000000000001E-2</v>
      </c>
      <c r="E1112" s="461">
        <v>2.5000000000000001E-3</v>
      </c>
      <c r="F1112" s="461">
        <v>3.2083333333333334E-3</v>
      </c>
      <c r="G1112" s="461">
        <v>3.3416666666666668E-3</v>
      </c>
      <c r="H1112" s="461">
        <f t="shared" si="204"/>
        <v>3.2750000000000001E-3</v>
      </c>
      <c r="I1112" s="461">
        <v>3.4749999999999998E-3</v>
      </c>
      <c r="J1112" s="438">
        <f t="shared" si="205"/>
        <v>1.2999999999999999E-3</v>
      </c>
      <c r="K1112" s="461">
        <f t="shared" si="196"/>
        <v>5.2499999999999986E-4</v>
      </c>
      <c r="L1112" s="461">
        <f t="shared" si="196"/>
        <v>1.7525000000000002E-2</v>
      </c>
      <c r="M1112" s="446">
        <f t="shared" si="206"/>
        <v>0.13264295524658998</v>
      </c>
      <c r="N1112" s="446">
        <f t="shared" si="207"/>
        <v>0.03</v>
      </c>
      <c r="O1112" s="462">
        <f t="shared" si="198"/>
        <v>3.9300000000000002E-2</v>
      </c>
      <c r="P1112" s="447">
        <f t="shared" si="208"/>
        <v>0.10264295524658998</v>
      </c>
      <c r="Q1112" s="446">
        <f t="shared" si="199"/>
        <v>9.3342955246589976E-2</v>
      </c>
      <c r="R1112" s="462">
        <f t="shared" si="200"/>
        <v>3.2368661897594908E-2</v>
      </c>
      <c r="S1112" s="462">
        <f t="shared" si="201"/>
        <v>4.1700000000000001E-2</v>
      </c>
      <c r="T1112" s="447">
        <f t="shared" si="202"/>
        <v>-9.3313381024050929E-3</v>
      </c>
    </row>
    <row r="1113" spans="1:20" s="438" customFormat="1" x14ac:dyDescent="0.4">
      <c r="A1113" s="442" t="str">
        <f t="shared" si="203"/>
        <v>52018</v>
      </c>
      <c r="B1113" s="460">
        <v>43221</v>
      </c>
      <c r="C1113" s="461">
        <v>2.41E-2</v>
      </c>
      <c r="D1113" s="461">
        <v>-1.14E-2</v>
      </c>
      <c r="E1113" s="461">
        <v>2.5000000000000001E-3</v>
      </c>
      <c r="F1113" s="461">
        <v>3.3250000000000003E-3</v>
      </c>
      <c r="G1113" s="461">
        <v>3.4333333333333334E-3</v>
      </c>
      <c r="H1113" s="461">
        <f t="shared" si="204"/>
        <v>3.3791666666666666E-3</v>
      </c>
      <c r="I1113" s="461">
        <v>3.5666666666666668E-3</v>
      </c>
      <c r="J1113" s="438">
        <f t="shared" si="205"/>
        <v>2.1600000000000001E-2</v>
      </c>
      <c r="K1113" s="461">
        <f t="shared" si="196"/>
        <v>2.0720833333333334E-2</v>
      </c>
      <c r="L1113" s="461">
        <f t="shared" si="196"/>
        <v>-1.4966666666666666E-2</v>
      </c>
      <c r="M1113" s="446">
        <f t="shared" si="206"/>
        <v>0.14381190264079735</v>
      </c>
      <c r="N1113" s="446">
        <f t="shared" si="207"/>
        <v>0.03</v>
      </c>
      <c r="O1113" s="462">
        <f t="shared" si="198"/>
        <v>4.0550000000000003E-2</v>
      </c>
      <c r="P1113" s="447">
        <f t="shared" si="208"/>
        <v>0.11381190264079735</v>
      </c>
      <c r="Q1113" s="446">
        <f t="shared" si="199"/>
        <v>0.10326190264079735</v>
      </c>
      <c r="R1113" s="462">
        <f t="shared" si="200"/>
        <v>-2.0725715647704979E-2</v>
      </c>
      <c r="S1113" s="462">
        <f t="shared" si="201"/>
        <v>4.2800000000000005E-2</v>
      </c>
      <c r="T1113" s="447">
        <f t="shared" si="202"/>
        <v>-6.3525715647704983E-2</v>
      </c>
    </row>
    <row r="1114" spans="1:20" s="438" customFormat="1" x14ac:dyDescent="0.4">
      <c r="A1114" s="442" t="str">
        <f t="shared" si="203"/>
        <v>62018</v>
      </c>
      <c r="B1114" s="460">
        <v>43252</v>
      </c>
      <c r="C1114" s="461">
        <v>6.1999999999999998E-3</v>
      </c>
      <c r="D1114" s="461">
        <v>2.7300000000000001E-2</v>
      </c>
      <c r="E1114" s="461">
        <v>2.3E-3</v>
      </c>
      <c r="F1114" s="461">
        <v>3.3E-3</v>
      </c>
      <c r="G1114" s="461">
        <v>3.4250000000000001E-3</v>
      </c>
      <c r="H1114" s="461">
        <f t="shared" si="204"/>
        <v>3.3625E-3</v>
      </c>
      <c r="I1114" s="461">
        <v>3.5583333333333326E-3</v>
      </c>
      <c r="J1114" s="438">
        <f t="shared" si="205"/>
        <v>3.8999999999999998E-3</v>
      </c>
      <c r="K1114" s="461">
        <f t="shared" si="196"/>
        <v>2.8374999999999997E-3</v>
      </c>
      <c r="L1114" s="461">
        <f t="shared" si="196"/>
        <v>2.3741666666666668E-2</v>
      </c>
      <c r="M1114" s="446">
        <f t="shared" si="206"/>
        <v>0.14381190264079713</v>
      </c>
      <c r="N1114" s="446">
        <f t="shared" si="207"/>
        <v>2.76E-2</v>
      </c>
      <c r="O1114" s="462">
        <f t="shared" si="198"/>
        <v>4.0349999999999997E-2</v>
      </c>
      <c r="P1114" s="447">
        <f t="shared" si="208"/>
        <v>0.11621190264079713</v>
      </c>
      <c r="Q1114" s="446">
        <f t="shared" si="199"/>
        <v>0.10346190264079713</v>
      </c>
      <c r="R1114" s="462">
        <f t="shared" si="200"/>
        <v>3.3924431978533232E-2</v>
      </c>
      <c r="S1114" s="462">
        <f t="shared" si="201"/>
        <v>4.2699999999999988E-2</v>
      </c>
      <c r="T1114" s="447">
        <f t="shared" si="202"/>
        <v>-8.7755680214667564E-3</v>
      </c>
    </row>
    <row r="1115" spans="1:20" s="438" customFormat="1" x14ac:dyDescent="0.4">
      <c r="A1115" s="442" t="str">
        <f t="shared" si="203"/>
        <v>72018</v>
      </c>
      <c r="B1115" s="460">
        <v>43282</v>
      </c>
      <c r="C1115" s="461">
        <v>3.7199999999999997E-2</v>
      </c>
      <c r="D1115" s="461">
        <v>1.8599999999999998E-2</v>
      </c>
      <c r="E1115" s="461">
        <v>2.5000000000000001E-3</v>
      </c>
      <c r="F1115" s="461">
        <v>3.225E-3</v>
      </c>
      <c r="G1115" s="461">
        <v>3.3916666666666665E-3</v>
      </c>
      <c r="H1115" s="461">
        <f t="shared" si="204"/>
        <v>3.3083333333333333E-3</v>
      </c>
      <c r="I1115" s="461">
        <v>3.5583333333333326E-3</v>
      </c>
      <c r="J1115" s="438">
        <f t="shared" si="205"/>
        <v>3.4699999999999995E-2</v>
      </c>
      <c r="K1115" s="461">
        <f t="shared" si="196"/>
        <v>3.3891666666666667E-2</v>
      </c>
      <c r="L1115" s="461">
        <f t="shared" si="196"/>
        <v>1.5041666666666665E-2</v>
      </c>
      <c r="M1115" s="446">
        <f t="shared" si="206"/>
        <v>0.16241593711447644</v>
      </c>
      <c r="N1115" s="446">
        <f t="shared" si="207"/>
        <v>0.03</v>
      </c>
      <c r="O1115" s="462">
        <f t="shared" si="198"/>
        <v>3.9699999999999999E-2</v>
      </c>
      <c r="P1115" s="447">
        <f t="shared" si="208"/>
        <v>0.13241593711447644</v>
      </c>
      <c r="Q1115" s="446">
        <f t="shared" si="199"/>
        <v>0.12271593711447644</v>
      </c>
      <c r="R1115" s="462">
        <f t="shared" si="200"/>
        <v>2.8070506065339895E-2</v>
      </c>
      <c r="S1115" s="462">
        <f t="shared" si="201"/>
        <v>4.2699999999999988E-2</v>
      </c>
      <c r="T1115" s="447">
        <f t="shared" si="202"/>
        <v>-1.4629493934660093E-2</v>
      </c>
    </row>
    <row r="1116" spans="1:20" s="438" customFormat="1" x14ac:dyDescent="0.4">
      <c r="A1116" s="442" t="str">
        <f t="shared" si="203"/>
        <v>82018</v>
      </c>
      <c r="B1116" s="460">
        <v>43313</v>
      </c>
      <c r="C1116" s="461">
        <v>3.2599999999999997E-2</v>
      </c>
      <c r="D1116" s="461">
        <v>1.1299999999999999E-2</v>
      </c>
      <c r="E1116" s="461">
        <v>2.5000000000000001E-3</v>
      </c>
      <c r="F1116" s="461">
        <v>3.2333333333333329E-3</v>
      </c>
      <c r="G1116" s="461">
        <v>3.3749999999999995E-3</v>
      </c>
      <c r="H1116" s="461">
        <f t="shared" si="204"/>
        <v>3.3041666666666662E-3</v>
      </c>
      <c r="I1116" s="461">
        <v>3.5499999999999998E-3</v>
      </c>
      <c r="J1116" s="438">
        <f t="shared" si="205"/>
        <v>3.0099999999999998E-2</v>
      </c>
      <c r="K1116" s="461">
        <f t="shared" si="196"/>
        <v>2.929583333333333E-2</v>
      </c>
      <c r="L1116" s="461">
        <f t="shared" si="196"/>
        <v>7.7499999999999999E-3</v>
      </c>
      <c r="M1116" s="446">
        <f t="shared" si="206"/>
        <v>0.19660123284259634</v>
      </c>
      <c r="N1116" s="446">
        <f t="shared" si="207"/>
        <v>0.03</v>
      </c>
      <c r="O1116" s="462">
        <f t="shared" si="198"/>
        <v>3.9649999999999991E-2</v>
      </c>
      <c r="P1116" s="447">
        <f t="shared" si="208"/>
        <v>0.16660123284259634</v>
      </c>
      <c r="Q1116" s="446">
        <f t="shared" si="199"/>
        <v>0.15695123284259635</v>
      </c>
      <c r="R1116" s="462">
        <f t="shared" si="200"/>
        <v>7.0589914605561077E-3</v>
      </c>
      <c r="S1116" s="462">
        <f t="shared" si="201"/>
        <v>4.2599999999999999E-2</v>
      </c>
      <c r="T1116" s="447">
        <f t="shared" si="202"/>
        <v>-3.5541008539443891E-2</v>
      </c>
    </row>
    <row r="1117" spans="1:20" s="438" customFormat="1" x14ac:dyDescent="0.4">
      <c r="A1117" s="442" t="str">
        <f t="shared" si="203"/>
        <v>92018</v>
      </c>
      <c r="B1117" s="460">
        <v>43344</v>
      </c>
      <c r="C1117" s="461">
        <v>5.7000000000000002E-3</v>
      </c>
      <c r="D1117" s="461">
        <v>-6.0000000000000001E-3</v>
      </c>
      <c r="E1117" s="461">
        <v>2.2000000000000001E-3</v>
      </c>
      <c r="F1117" s="461">
        <v>3.2333333333333329E-3</v>
      </c>
      <c r="G1117" s="461">
        <v>3.3749999999999995E-3</v>
      </c>
      <c r="H1117" s="461">
        <f t="shared" si="204"/>
        <v>3.3041666666666662E-3</v>
      </c>
      <c r="I1117" s="461">
        <v>3.5499999999999998E-3</v>
      </c>
      <c r="J1117" s="438">
        <f t="shared" si="205"/>
        <v>3.5000000000000001E-3</v>
      </c>
      <c r="K1117" s="461">
        <f t="shared" si="196"/>
        <v>2.395833333333334E-3</v>
      </c>
      <c r="L1117" s="461">
        <f t="shared" si="196"/>
        <v>-9.5499999999999995E-3</v>
      </c>
      <c r="M1117" s="446">
        <f t="shared" si="206"/>
        <v>0.17913174590417347</v>
      </c>
      <c r="N1117" s="446">
        <f t="shared" si="207"/>
        <v>2.64E-2</v>
      </c>
      <c r="O1117" s="462">
        <f t="shared" si="198"/>
        <v>3.9649999999999991E-2</v>
      </c>
      <c r="P1117" s="447">
        <f t="shared" si="208"/>
        <v>0.15273174590417346</v>
      </c>
      <c r="Q1117" s="446">
        <f t="shared" si="199"/>
        <v>0.13948174590417348</v>
      </c>
      <c r="R1117" s="462">
        <f t="shared" si="200"/>
        <v>2.9111378134874855E-2</v>
      </c>
      <c r="S1117" s="462">
        <f t="shared" si="201"/>
        <v>4.2599999999999999E-2</v>
      </c>
      <c r="T1117" s="447">
        <f t="shared" si="202"/>
        <v>-1.3488621865125144E-2</v>
      </c>
    </row>
    <row r="1118" spans="1:20" s="438" customFormat="1" x14ac:dyDescent="0.4">
      <c r="A1118" s="442" t="str">
        <f t="shared" si="203"/>
        <v>102018</v>
      </c>
      <c r="B1118" s="460">
        <v>43374</v>
      </c>
      <c r="C1118" s="461">
        <v>-6.8400000000000002E-2</v>
      </c>
      <c r="D1118" s="461">
        <v>1.95E-2</v>
      </c>
      <c r="E1118" s="461">
        <v>3.0000000000000001E-3</v>
      </c>
      <c r="F1118" s="461">
        <v>3.4499999999999999E-3</v>
      </c>
      <c r="G1118" s="461">
        <v>3.5666666666666663E-3</v>
      </c>
      <c r="H1118" s="461">
        <f t="shared" si="204"/>
        <v>3.5083333333333329E-3</v>
      </c>
      <c r="I1118" s="461">
        <v>3.7083333333333334E-3</v>
      </c>
      <c r="J1118" s="438">
        <f t="shared" si="205"/>
        <v>-7.1400000000000005E-2</v>
      </c>
      <c r="K1118" s="461">
        <f t="shared" si="196"/>
        <v>-7.1908333333333338E-2</v>
      </c>
      <c r="L1118" s="461">
        <f t="shared" si="196"/>
        <v>1.5791666666666666E-2</v>
      </c>
      <c r="M1118" s="446">
        <f t="shared" si="206"/>
        <v>7.3467345337953294E-2</v>
      </c>
      <c r="N1118" s="446">
        <f t="shared" si="207"/>
        <v>3.6000000000000004E-2</v>
      </c>
      <c r="O1118" s="462">
        <f t="shared" si="198"/>
        <v>4.2099999999999999E-2</v>
      </c>
      <c r="P1118" s="447">
        <f t="shared" si="208"/>
        <v>3.7467345337953289E-2</v>
      </c>
      <c r="Q1118" s="446">
        <f t="shared" si="199"/>
        <v>3.1367345337953295E-2</v>
      </c>
      <c r="R1118" s="462">
        <f t="shared" si="200"/>
        <v>9.7969682468770358E-3</v>
      </c>
      <c r="S1118" s="462">
        <f t="shared" si="201"/>
        <v>4.4499999999999998E-2</v>
      </c>
      <c r="T1118" s="447">
        <f t="shared" si="202"/>
        <v>-3.4703031753122962E-2</v>
      </c>
    </row>
    <row r="1119" spans="1:20" x14ac:dyDescent="0.4">
      <c r="A1119" s="442" t="str">
        <f t="shared" si="203"/>
        <v>112018</v>
      </c>
      <c r="B1119" s="460">
        <v>43405</v>
      </c>
      <c r="C1119" s="461">
        <v>2.0400000000000001E-2</v>
      </c>
      <c r="D1119" s="461">
        <v>3.5499999999999997E-2</v>
      </c>
      <c r="E1119" s="461">
        <v>2.8E-3</v>
      </c>
      <c r="F1119" s="461">
        <v>3.5166666666666662E-3</v>
      </c>
      <c r="G1119" s="461">
        <v>3.6833333333333336E-3</v>
      </c>
      <c r="H1119" s="461">
        <f t="shared" si="204"/>
        <v>3.5999999999999999E-3</v>
      </c>
      <c r="I1119" s="461">
        <v>3.7750000000000001E-3</v>
      </c>
      <c r="J1119" s="438">
        <f t="shared" si="205"/>
        <v>1.7600000000000001E-2</v>
      </c>
      <c r="K1119" s="461">
        <f t="shared" si="196"/>
        <v>1.6800000000000002E-2</v>
      </c>
      <c r="L1119" s="461">
        <f t="shared" si="196"/>
        <v>3.1724999999999996E-2</v>
      </c>
      <c r="M1119" s="446">
        <f t="shared" si="206"/>
        <v>6.2739962339039002E-2</v>
      </c>
      <c r="N1119" s="446">
        <f t="shared" si="207"/>
        <v>3.3599999999999998E-2</v>
      </c>
      <c r="O1119" s="462">
        <f t="shared" si="198"/>
        <v>4.3200000000000002E-2</v>
      </c>
      <c r="P1119" s="447">
        <f t="shared" si="208"/>
        <v>2.9139962339039004E-2</v>
      </c>
      <c r="Q1119" s="446">
        <f t="shared" si="199"/>
        <v>1.9539962339038999E-2</v>
      </c>
      <c r="R1119" s="462">
        <f t="shared" si="200"/>
        <v>1.7659134423008371E-2</v>
      </c>
      <c r="S1119" s="462">
        <f t="shared" si="201"/>
        <v>4.53E-2</v>
      </c>
      <c r="T1119" s="447">
        <f t="shared" si="202"/>
        <v>-2.7640865576991629E-2</v>
      </c>
    </row>
    <row r="1120" spans="1:20" x14ac:dyDescent="0.4">
      <c r="A1120" s="442" t="str">
        <f t="shared" si="203"/>
        <v>122018</v>
      </c>
      <c r="B1120" s="460">
        <v>43435</v>
      </c>
      <c r="C1120" s="461">
        <v>-9.0300000000000005E-2</v>
      </c>
      <c r="D1120" s="461">
        <v>-4.0099999999999997E-2</v>
      </c>
      <c r="E1120" s="461">
        <v>2.7000000000000001E-3</v>
      </c>
      <c r="F1120" s="461">
        <v>3.5166666666666662E-3</v>
      </c>
      <c r="G1120" s="461">
        <v>3.6416666666666667E-3</v>
      </c>
      <c r="H1120" s="461">
        <f t="shared" si="204"/>
        <v>3.5791666666666663E-3</v>
      </c>
      <c r="I1120" s="461">
        <v>3.7750000000000001E-3</v>
      </c>
      <c r="J1120" s="438">
        <f t="shared" si="205"/>
        <v>-9.2999999999999999E-2</v>
      </c>
      <c r="K1120" s="461">
        <f t="shared" si="196"/>
        <v>-9.3879166666666666E-2</v>
      </c>
      <c r="L1120" s="461">
        <f t="shared" si="196"/>
        <v>-4.3874999999999997E-2</v>
      </c>
      <c r="M1120" s="446">
        <f t="shared" si="206"/>
        <v>-4.3838845079790523E-2</v>
      </c>
      <c r="N1120" s="446">
        <f t="shared" si="207"/>
        <v>3.2399999999999998E-2</v>
      </c>
      <c r="O1120" s="462">
        <f t="shared" si="198"/>
        <v>4.2949999999999995E-2</v>
      </c>
      <c r="P1120" s="447">
        <f t="shared" si="208"/>
        <v>-7.6238845079790521E-2</v>
      </c>
      <c r="Q1120" s="446">
        <f t="shared" si="199"/>
        <v>-8.6788845079790511E-2</v>
      </c>
      <c r="R1120" s="462">
        <f t="shared" si="200"/>
        <v>4.0642381093688895E-2</v>
      </c>
      <c r="S1120" s="462">
        <f t="shared" si="201"/>
        <v>4.53E-2</v>
      </c>
      <c r="T1120" s="447">
        <f t="shared" si="202"/>
        <v>-4.6576189063111048E-3</v>
      </c>
    </row>
    <row r="1121" spans="1:20" x14ac:dyDescent="0.4">
      <c r="A1121" s="442" t="str">
        <f t="shared" si="203"/>
        <v>12019</v>
      </c>
      <c r="B1121" s="460">
        <v>43466</v>
      </c>
      <c r="C1121" s="438">
        <v>8.0100000000000005E-2</v>
      </c>
      <c r="D1121" s="438">
        <v>4.8399999999999999E-2</v>
      </c>
      <c r="E1121" s="438">
        <v>2.5000000000000001E-3</v>
      </c>
      <c r="F1121" s="438">
        <v>3.2750000000000001E-3</v>
      </c>
      <c r="G1121" s="438">
        <v>3.4499999999999999E-3</v>
      </c>
      <c r="H1121" s="461">
        <f t="shared" si="204"/>
        <v>3.3625E-3</v>
      </c>
      <c r="I1121" s="438">
        <v>3.6249999999999998E-3</v>
      </c>
      <c r="J1121" s="438">
        <f t="shared" si="205"/>
        <v>7.7600000000000002E-2</v>
      </c>
      <c r="K1121" s="461">
        <f t="shared" ref="K1121:L1136" si="209">C1121-H1121</f>
        <v>7.67375E-2</v>
      </c>
      <c r="L1121" s="461">
        <f t="shared" si="209"/>
        <v>4.4774999999999995E-2</v>
      </c>
      <c r="M1121" s="446">
        <f t="shared" si="206"/>
        <v>-2.3219839752843363E-2</v>
      </c>
      <c r="N1121" s="446">
        <f t="shared" si="207"/>
        <v>0.03</v>
      </c>
      <c r="O1121" s="462">
        <f t="shared" si="198"/>
        <v>4.0349999999999997E-2</v>
      </c>
      <c r="P1121" s="447">
        <f t="shared" si="208"/>
        <v>-5.3219839752843362E-2</v>
      </c>
      <c r="Q1121" s="446">
        <f t="shared" si="199"/>
        <v>-6.356983975284336E-2</v>
      </c>
      <c r="R1121" s="462">
        <f t="shared" si="200"/>
        <v>0.12556429623297571</v>
      </c>
      <c r="S1121" s="462">
        <f t="shared" si="201"/>
        <v>4.3499999999999997E-2</v>
      </c>
      <c r="T1121" s="447">
        <f t="shared" si="202"/>
        <v>8.2064296232975717E-2</v>
      </c>
    </row>
    <row r="1122" spans="1:20" x14ac:dyDescent="0.4">
      <c r="A1122" s="442" t="str">
        <f t="shared" si="203"/>
        <v>22019</v>
      </c>
      <c r="B1122" s="460">
        <v>43497</v>
      </c>
      <c r="C1122" s="438">
        <v>3.2099999999999997E-2</v>
      </c>
      <c r="D1122" s="438">
        <v>4.1099999999999998E-2</v>
      </c>
      <c r="E1122" s="438">
        <v>2.2000000000000001E-3</v>
      </c>
      <c r="F1122" s="438">
        <v>3.1583333333333337E-3</v>
      </c>
      <c r="G1122" s="438">
        <v>3.3250000000000003E-3</v>
      </c>
      <c r="H1122" s="461">
        <f t="shared" si="204"/>
        <v>3.241666666666667E-3</v>
      </c>
      <c r="I1122" s="438">
        <v>3.5416666666666669E-3</v>
      </c>
      <c r="J1122" s="438">
        <f t="shared" si="205"/>
        <v>2.9899999999999996E-2</v>
      </c>
      <c r="K1122" s="461">
        <f t="shared" si="209"/>
        <v>2.885833333333333E-2</v>
      </c>
      <c r="L1122" s="461">
        <f t="shared" si="209"/>
        <v>3.7558333333333332E-2</v>
      </c>
      <c r="M1122" s="446">
        <f t="shared" si="206"/>
        <v>4.6760256869577521E-2</v>
      </c>
      <c r="N1122" s="446">
        <f t="shared" si="207"/>
        <v>2.64E-2</v>
      </c>
      <c r="O1122" s="462">
        <f t="shared" si="198"/>
        <v>3.8900000000000004E-2</v>
      </c>
      <c r="P1122" s="447">
        <f t="shared" si="208"/>
        <v>2.0360256869577521E-2</v>
      </c>
      <c r="Q1122" s="446">
        <f t="shared" si="199"/>
        <v>7.8602568695775171E-3</v>
      </c>
      <c r="R1122" s="462">
        <f t="shared" si="200"/>
        <v>0.21861999668068921</v>
      </c>
      <c r="S1122" s="462">
        <f t="shared" si="201"/>
        <v>4.2500000000000003E-2</v>
      </c>
      <c r="T1122" s="447">
        <f t="shared" si="202"/>
        <v>0.1761199966806892</v>
      </c>
    </row>
    <row r="1123" spans="1:20" x14ac:dyDescent="0.4">
      <c r="A1123" s="442" t="str">
        <f t="shared" si="203"/>
        <v>32019</v>
      </c>
      <c r="B1123" s="460">
        <v>43525</v>
      </c>
      <c r="C1123" s="438">
        <v>1.9400000000000001E-2</v>
      </c>
      <c r="D1123" s="438">
        <v>2.8799999999999999E-2</v>
      </c>
      <c r="E1123" s="438">
        <v>2.3E-3</v>
      </c>
      <c r="F1123" s="438">
        <v>3.1583333333333337E-3</v>
      </c>
      <c r="G1123" s="438">
        <v>3.3250000000000003E-3</v>
      </c>
      <c r="H1123" s="461">
        <f t="shared" si="204"/>
        <v>3.241666666666667E-3</v>
      </c>
      <c r="I1123" s="438">
        <v>3.5416666666666669E-3</v>
      </c>
      <c r="J1123" s="438">
        <f t="shared" si="205"/>
        <v>1.7100000000000001E-2</v>
      </c>
      <c r="K1123" s="461">
        <f t="shared" si="209"/>
        <v>1.6158333333333334E-2</v>
      </c>
      <c r="L1123" s="461">
        <f t="shared" si="209"/>
        <v>2.5258333333333334E-2</v>
      </c>
      <c r="M1123" s="446">
        <f t="shared" si="206"/>
        <v>9.4877288993276743E-2</v>
      </c>
      <c r="N1123" s="446">
        <f t="shared" si="207"/>
        <v>2.76E-2</v>
      </c>
      <c r="O1123" s="462">
        <f t="shared" si="198"/>
        <v>3.8900000000000004E-2</v>
      </c>
      <c r="P1123" s="447">
        <f t="shared" si="208"/>
        <v>6.7277288993276743E-2</v>
      </c>
      <c r="Q1123" s="446">
        <f t="shared" si="199"/>
        <v>5.5977288993276739E-2</v>
      </c>
      <c r="R1123" s="462">
        <f t="shared" si="200"/>
        <v>0.20816830739625414</v>
      </c>
      <c r="S1123" s="462">
        <f t="shared" si="201"/>
        <v>4.2500000000000003E-2</v>
      </c>
      <c r="T1123" s="447">
        <f t="shared" si="202"/>
        <v>0.16566830739625413</v>
      </c>
    </row>
    <row r="1124" spans="1:20" x14ac:dyDescent="0.4">
      <c r="A1124" s="442" t="str">
        <f t="shared" si="203"/>
        <v>42019</v>
      </c>
      <c r="B1124" s="460">
        <v>43556</v>
      </c>
      <c r="C1124" s="438">
        <v>4.0500000000000001E-2</v>
      </c>
      <c r="D1124" s="438">
        <v>9.2999999999999992E-3</v>
      </c>
      <c r="E1124" s="438">
        <v>2.3E-3</v>
      </c>
      <c r="F1124" s="438">
        <v>3.075E-3</v>
      </c>
      <c r="G1124" s="438">
        <v>3.2083333333333334E-3</v>
      </c>
      <c r="H1124" s="461">
        <f t="shared" si="204"/>
        <v>3.1416666666666667E-3</v>
      </c>
      <c r="I1124" s="438">
        <v>3.4000000000000002E-3</v>
      </c>
      <c r="J1124" s="438">
        <f t="shared" si="205"/>
        <v>3.8199999999999998E-2</v>
      </c>
      <c r="K1124" s="461">
        <f t="shared" si="209"/>
        <v>3.7358333333333334E-2</v>
      </c>
      <c r="L1124" s="461">
        <f t="shared" si="209"/>
        <v>5.899999999999999E-3</v>
      </c>
      <c r="M1124" s="446">
        <f t="shared" si="206"/>
        <v>0.13490717194411661</v>
      </c>
      <c r="N1124" s="446">
        <f t="shared" si="207"/>
        <v>2.76E-2</v>
      </c>
      <c r="O1124" s="462">
        <f t="shared" si="198"/>
        <v>3.7699999999999997E-2</v>
      </c>
      <c r="P1124" s="447">
        <f t="shared" si="208"/>
        <v>0.10730717194411661</v>
      </c>
      <c r="Q1124" s="446">
        <f t="shared" si="199"/>
        <v>9.7207171944116613E-2</v>
      </c>
      <c r="R1124" s="462">
        <f t="shared" si="200"/>
        <v>0.19432347958378005</v>
      </c>
      <c r="S1124" s="462">
        <f t="shared" si="201"/>
        <v>4.0800000000000003E-2</v>
      </c>
      <c r="T1124" s="447">
        <f t="shared" si="202"/>
        <v>0.15352347958378004</v>
      </c>
    </row>
    <row r="1125" spans="1:20" x14ac:dyDescent="0.4">
      <c r="A1125" s="442" t="str">
        <f t="shared" si="203"/>
        <v>52019</v>
      </c>
      <c r="B1125" s="460">
        <v>43586</v>
      </c>
      <c r="C1125" s="438">
        <v>-6.3500000000000001E-2</v>
      </c>
      <c r="D1125" s="438">
        <v>-7.7999999999999996E-3</v>
      </c>
      <c r="E1125" s="438">
        <v>2.3E-3</v>
      </c>
      <c r="F1125" s="438">
        <v>3.0583333333333335E-3</v>
      </c>
      <c r="G1125" s="438">
        <v>3.1666666666666666E-3</v>
      </c>
      <c r="H1125" s="461">
        <f t="shared" si="204"/>
        <v>3.1124999999999998E-3</v>
      </c>
      <c r="I1125" s="438">
        <v>3.3166666666666665E-3</v>
      </c>
      <c r="J1125" s="438">
        <f t="shared" si="205"/>
        <v>-6.5799999999999997E-2</v>
      </c>
      <c r="K1125" s="461">
        <f t="shared" si="209"/>
        <v>-6.6612500000000005E-2</v>
      </c>
      <c r="L1125" s="461">
        <f t="shared" si="209"/>
        <v>-1.1116666666666667E-2</v>
      </c>
      <c r="M1125" s="446">
        <f t="shared" si="206"/>
        <v>3.7828890270154458E-2</v>
      </c>
      <c r="N1125" s="446">
        <f t="shared" si="207"/>
        <v>2.76E-2</v>
      </c>
      <c r="O1125" s="462">
        <f t="shared" si="198"/>
        <v>3.7349999999999994E-2</v>
      </c>
      <c r="P1125" s="447">
        <f t="shared" si="208"/>
        <v>1.0228890270154459E-2</v>
      </c>
      <c r="Q1125" s="446">
        <f t="shared" si="199"/>
        <v>4.7889027015446395E-4</v>
      </c>
      <c r="R1125" s="462">
        <f t="shared" si="200"/>
        <v>0.19867262436073885</v>
      </c>
      <c r="S1125" s="462">
        <f t="shared" si="201"/>
        <v>3.9800000000000002E-2</v>
      </c>
      <c r="T1125" s="447">
        <f t="shared" si="202"/>
        <v>0.15887262436073885</v>
      </c>
    </row>
    <row r="1126" spans="1:20" x14ac:dyDescent="0.4">
      <c r="A1126" s="442" t="str">
        <f t="shared" si="203"/>
        <v>62019</v>
      </c>
      <c r="B1126" s="460">
        <v>43617</v>
      </c>
      <c r="C1126" s="438">
        <v>7.0499999999999993E-2</v>
      </c>
      <c r="D1126" s="438">
        <v>3.2199999999999999E-2</v>
      </c>
      <c r="E1126" s="438">
        <v>1.8E-3</v>
      </c>
      <c r="F1126" s="438">
        <v>3.0583333333333335E-3</v>
      </c>
      <c r="G1126" s="438">
        <v>3.1666666666666666E-3</v>
      </c>
      <c r="H1126" s="461">
        <f t="shared" si="204"/>
        <v>3.1124999999999998E-3</v>
      </c>
      <c r="I1126" s="438">
        <v>3.3166666666666665E-3</v>
      </c>
      <c r="J1126" s="438">
        <f t="shared" si="205"/>
        <v>6.8699999999999997E-2</v>
      </c>
      <c r="K1126" s="461">
        <f t="shared" si="209"/>
        <v>6.7387499999999989E-2</v>
      </c>
      <c r="L1126" s="461">
        <f t="shared" si="209"/>
        <v>2.8883333333333334E-2</v>
      </c>
      <c r="M1126" s="446">
        <f t="shared" si="206"/>
        <v>0.10415009643629514</v>
      </c>
      <c r="N1126" s="446">
        <f t="shared" si="207"/>
        <v>2.1600000000000001E-2</v>
      </c>
      <c r="O1126" s="462">
        <f t="shared" si="198"/>
        <v>3.7349999999999994E-2</v>
      </c>
      <c r="P1126" s="447">
        <f t="shared" si="208"/>
        <v>8.2550096436295128E-2</v>
      </c>
      <c r="Q1126" s="446">
        <f t="shared" si="199"/>
        <v>6.6800096436295142E-2</v>
      </c>
      <c r="R1126" s="462">
        <f t="shared" si="200"/>
        <v>0.20439003491205576</v>
      </c>
      <c r="S1126" s="462">
        <f t="shared" si="201"/>
        <v>3.9800000000000002E-2</v>
      </c>
      <c r="T1126" s="447">
        <f t="shared" si="202"/>
        <v>0.16459003491205576</v>
      </c>
    </row>
    <row r="1127" spans="1:20" x14ac:dyDescent="0.4">
      <c r="A1127" s="442" t="str">
        <f t="shared" si="203"/>
        <v>72019</v>
      </c>
      <c r="B1127" s="460">
        <v>43647</v>
      </c>
      <c r="C1127" s="438">
        <v>1.44E-2</v>
      </c>
      <c r="D1127" s="438">
        <v>-2.7000000000000001E-3</v>
      </c>
      <c r="E1127" s="438">
        <v>2.0999999999999999E-3</v>
      </c>
      <c r="F1127" s="438">
        <v>2.7416666666666666E-3</v>
      </c>
      <c r="G1127" s="438">
        <v>2.8833333333333332E-3</v>
      </c>
      <c r="H1127" s="461">
        <f t="shared" si="204"/>
        <v>2.8124999999999999E-3</v>
      </c>
      <c r="I1127" s="438">
        <v>3.075E-3</v>
      </c>
      <c r="J1127" s="438">
        <f t="shared" si="205"/>
        <v>1.23E-2</v>
      </c>
      <c r="K1127" s="461">
        <f t="shared" si="209"/>
        <v>1.1587500000000001E-2</v>
      </c>
      <c r="L1127" s="461">
        <f t="shared" si="209"/>
        <v>-5.7750000000000006E-3</v>
      </c>
      <c r="M1127" s="446">
        <f t="shared" si="206"/>
        <v>7.9878382014055394E-2</v>
      </c>
      <c r="N1127" s="446">
        <f t="shared" si="207"/>
        <v>2.52E-2</v>
      </c>
      <c r="O1127" s="462">
        <f t="shared" si="198"/>
        <v>3.3750000000000002E-2</v>
      </c>
      <c r="P1127" s="447">
        <f t="shared" si="208"/>
        <v>5.4678382014055393E-2</v>
      </c>
      <c r="Q1127" s="446">
        <f t="shared" si="199"/>
        <v>4.6128382014055391E-2</v>
      </c>
      <c r="R1127" s="462">
        <f t="shared" si="200"/>
        <v>0.17920496938719155</v>
      </c>
      <c r="S1127" s="462">
        <f t="shared" si="201"/>
        <v>3.6900000000000002E-2</v>
      </c>
      <c r="T1127" s="447">
        <f t="shared" si="202"/>
        <v>0.14230496938719156</v>
      </c>
    </row>
    <row r="1128" spans="1:20" x14ac:dyDescent="0.4">
      <c r="A1128" s="442" t="str">
        <f t="shared" si="203"/>
        <v>82019</v>
      </c>
      <c r="B1128" s="460">
        <v>43678</v>
      </c>
      <c r="C1128" s="438">
        <v>-1.5800000000000002E-2</v>
      </c>
      <c r="D1128" s="438">
        <v>5.1299999999999998E-2</v>
      </c>
      <c r="E1128" s="438">
        <v>1.9E-3</v>
      </c>
      <c r="F1128" s="438">
        <v>2.7416666666666666E-3</v>
      </c>
      <c r="G1128" s="438">
        <v>2.8833333333333332E-3</v>
      </c>
      <c r="H1128" s="461">
        <f t="shared" si="204"/>
        <v>2.8124999999999999E-3</v>
      </c>
      <c r="I1128" s="438">
        <v>3.075E-3</v>
      </c>
      <c r="J1128" s="438">
        <f t="shared" si="205"/>
        <v>-1.77E-2</v>
      </c>
      <c r="K1128" s="461">
        <f t="shared" si="209"/>
        <v>-1.8612500000000001E-2</v>
      </c>
      <c r="L1128" s="461">
        <f t="shared" si="209"/>
        <v>4.8224999999999997E-2</v>
      </c>
      <c r="M1128" s="446">
        <f t="shared" si="206"/>
        <v>2.9262350937665271E-2</v>
      </c>
      <c r="N1128" s="446">
        <f t="shared" si="207"/>
        <v>2.2800000000000001E-2</v>
      </c>
      <c r="O1128" s="462">
        <f t="shared" si="198"/>
        <v>3.3750000000000002E-2</v>
      </c>
      <c r="P1128" s="447">
        <f t="shared" si="208"/>
        <v>6.4623509376652705E-3</v>
      </c>
      <c r="Q1128" s="446">
        <f>M1128-O1128</f>
        <v>-4.4876490623347309E-3</v>
      </c>
      <c r="R1128" s="462">
        <f>((1+D1117)*(1+D1118)*(1+D1119)*(1+D1120)*(1+D1121)*(1+D1122)*(1+D1123)*(1+D1124)*(1+D1125)*(1+D1126)*(1+D1127)*(1+D1128))-1</f>
        <v>0.22584612312543673</v>
      </c>
      <c r="S1128" s="462">
        <f t="shared" si="201"/>
        <v>3.6900000000000002E-2</v>
      </c>
      <c r="T1128" s="447">
        <f>R1128-S1128</f>
        <v>0.18894612312543674</v>
      </c>
    </row>
    <row r="1129" spans="1:20" x14ac:dyDescent="0.4">
      <c r="A1129" s="442" t="str">
        <f t="shared" ref="A1129:A1168" si="210">MONTH(B1129)&amp;YEAR(B1129)</f>
        <v>92019</v>
      </c>
      <c r="B1129" s="460">
        <v>43709</v>
      </c>
      <c r="C1129" s="438">
        <v>1.8700000000000001E-2</v>
      </c>
      <c r="D1129" s="438">
        <v>4.2500000000000003E-2</v>
      </c>
      <c r="E1129" s="438">
        <v>1.5E-3</v>
      </c>
      <c r="F1129" s="438">
        <v>2.4833333333333331E-3</v>
      </c>
      <c r="G1129" s="438">
        <v>2.5666666666666667E-3</v>
      </c>
      <c r="H1129" s="461">
        <f t="shared" si="204"/>
        <v>2.5249999999999999E-3</v>
      </c>
      <c r="I1129" s="438">
        <v>2.7416666666666666E-3</v>
      </c>
      <c r="J1129" s="438">
        <f t="shared" si="205"/>
        <v>1.72E-2</v>
      </c>
      <c r="K1129" s="461">
        <f t="shared" si="209"/>
        <v>1.6175000000000002E-2</v>
      </c>
      <c r="L1129" s="461">
        <f t="shared" si="209"/>
        <v>3.975833333333334E-2</v>
      </c>
      <c r="M1129" s="446">
        <f t="shared" si="206"/>
        <v>4.2566925425275626E-2</v>
      </c>
      <c r="N1129" s="446">
        <f t="shared" si="207"/>
        <v>1.8000000000000002E-2</v>
      </c>
      <c r="O1129" s="462">
        <f t="shared" si="198"/>
        <v>3.0300000000000001E-2</v>
      </c>
      <c r="P1129" s="447">
        <f t="shared" si="208"/>
        <v>2.4566925425275624E-2</v>
      </c>
      <c r="Q1129" s="446">
        <f>M1129-O1129</f>
        <v>1.2266925425275625E-2</v>
      </c>
      <c r="R1129" s="462">
        <f>((1+D1118)*(1+D1119)*(1+D1120)*(1+D1121)*(1+D1122)*(1+D1123)*(1+D1124)*(1+D1125)*(1+D1126)*(1+D1127)*(1+D1128)*(1+D1129))-1</f>
        <v>0.28565853456566126</v>
      </c>
      <c r="S1129" s="462">
        <f t="shared" si="201"/>
        <v>3.2899999999999999E-2</v>
      </c>
      <c r="T1129" s="447">
        <f>R1129-S1129</f>
        <v>0.25275853456566127</v>
      </c>
    </row>
    <row r="1130" spans="1:20" x14ac:dyDescent="0.4">
      <c r="A1130" s="442" t="str">
        <f t="shared" si="210"/>
        <v>102019</v>
      </c>
      <c r="B1130" s="460">
        <v>43739</v>
      </c>
      <c r="C1130" s="438">
        <v>2.1700000000000001E-2</v>
      </c>
      <c r="D1130" s="438">
        <v>-7.7000000000000002E-3</v>
      </c>
      <c r="E1130" s="438">
        <v>1.6000000000000001E-3</v>
      </c>
      <c r="F1130" s="438">
        <v>2.5249999999999999E-3</v>
      </c>
      <c r="G1130" s="438">
        <v>2.6083333333333332E-3</v>
      </c>
      <c r="H1130" s="461">
        <f t="shared" si="204"/>
        <v>2.5666666666666667E-3</v>
      </c>
      <c r="I1130" s="438">
        <v>2.8083333333333333E-3</v>
      </c>
      <c r="J1130" s="438">
        <f t="shared" si="205"/>
        <v>2.01E-2</v>
      </c>
      <c r="K1130" s="461">
        <f t="shared" si="209"/>
        <v>1.9133333333333336E-2</v>
      </c>
      <c r="L1130" s="461">
        <f t="shared" si="209"/>
        <v>-1.0508333333333333E-2</v>
      </c>
      <c r="M1130" s="446">
        <f t="shared" si="206"/>
        <v>0.1433991280667708</v>
      </c>
      <c r="N1130" s="446">
        <f t="shared" si="207"/>
        <v>1.9200000000000002E-2</v>
      </c>
      <c r="O1130" s="462">
        <f t="shared" si="198"/>
        <v>3.0800000000000001E-2</v>
      </c>
      <c r="P1130" s="447">
        <f t="shared" si="208"/>
        <v>0.1241991280667708</v>
      </c>
      <c r="Q1130" s="446">
        <f>M1130-O1130</f>
        <v>0.1125991280667708</v>
      </c>
      <c r="R1130" s="462">
        <f>((1+D1119)*(1+D1120)*(1+D1121)*(1+D1122)*(1+D1123)*(1+D1124)*(1+D1125)*(1+D1126)*(1+D1127)*(1+D1128)*(1+D1129)*(1+D1130))-1</f>
        <v>0.25135749274105557</v>
      </c>
      <c r="S1130" s="462">
        <f t="shared" si="201"/>
        <v>3.3700000000000001E-2</v>
      </c>
      <c r="T1130" s="447">
        <f>R1130-S1130</f>
        <v>0.21765749274105556</v>
      </c>
    </row>
    <row r="1131" spans="1:20" x14ac:dyDescent="0.4">
      <c r="A1131" s="442" t="str">
        <f t="shared" si="210"/>
        <v>112019</v>
      </c>
      <c r="B1131" s="460">
        <v>43770</v>
      </c>
      <c r="C1131" s="438">
        <v>3.6299999999999999E-2</v>
      </c>
      <c r="D1131" s="438">
        <v>-1.8599999999999998E-2</v>
      </c>
      <c r="E1131" s="438">
        <v>1.6000000000000001E-3</v>
      </c>
      <c r="F1131" s="438">
        <v>2.558333333333333E-3</v>
      </c>
      <c r="G1131" s="438">
        <v>2.6416666666666667E-3</v>
      </c>
      <c r="H1131" s="461">
        <f t="shared" si="204"/>
        <v>2.5999999999999999E-3</v>
      </c>
      <c r="I1131" s="438">
        <v>2.8583333333333334E-3</v>
      </c>
      <c r="J1131" s="438">
        <f t="shared" si="205"/>
        <v>3.4700000000000002E-2</v>
      </c>
      <c r="K1131" s="461">
        <f t="shared" si="209"/>
        <v>3.3700000000000001E-2</v>
      </c>
      <c r="L1131" s="461">
        <f t="shared" si="209"/>
        <v>-2.1458333333333333E-2</v>
      </c>
      <c r="M1131" s="446">
        <f t="shared" si="206"/>
        <v>0.16121571581300942</v>
      </c>
      <c r="N1131" s="446">
        <f t="shared" si="207"/>
        <v>1.9200000000000002E-2</v>
      </c>
      <c r="O1131" s="462">
        <f t="shared" si="198"/>
        <v>3.1199999999999999E-2</v>
      </c>
      <c r="P1131" s="447">
        <f t="shared" si="208"/>
        <v>0.14201571581300942</v>
      </c>
      <c r="Q1131" s="446">
        <f>M1131-O1131</f>
        <v>0.13001571581300941</v>
      </c>
      <c r="R1131" s="462">
        <f>((1+D1120)*(1+D1121)*(1+D1122)*(1+D1123)*(1+D1124)*(1+D1125)*(1+D1126)*(1+D1127)*(1+D1128)*(1+D1129)*(1+D1130)*(1+D1131))-1</f>
        <v>0.18597995497447739</v>
      </c>
      <c r="S1131" s="462">
        <f t="shared" si="201"/>
        <v>3.4299999999999997E-2</v>
      </c>
      <c r="T1131" s="447">
        <f>R1131-S1131</f>
        <v>0.15167995497447739</v>
      </c>
    </row>
    <row r="1132" spans="1:20" x14ac:dyDescent="0.4">
      <c r="A1132" s="442" t="str">
        <f t="shared" si="210"/>
        <v>122019</v>
      </c>
      <c r="B1132" s="460">
        <v>43800</v>
      </c>
      <c r="C1132" s="438">
        <v>3.0200000000000001E-2</v>
      </c>
      <c r="D1132" s="438">
        <v>3.4299999999999997E-2</v>
      </c>
      <c r="E1132" s="438">
        <v>1.8E-3</v>
      </c>
      <c r="F1132" s="438">
        <v>2.5083333333333329E-3</v>
      </c>
      <c r="G1132" s="438">
        <v>2.5916666666666666E-3</v>
      </c>
      <c r="H1132" s="461">
        <f t="shared" si="204"/>
        <v>2.5499999999999997E-3</v>
      </c>
      <c r="I1132" s="438">
        <v>2.8333333333333331E-3</v>
      </c>
      <c r="J1132" s="438">
        <f t="shared" si="205"/>
        <v>2.8400000000000002E-2</v>
      </c>
      <c r="K1132" s="461">
        <f t="shared" si="209"/>
        <v>2.7650000000000001E-2</v>
      </c>
      <c r="L1132" s="461">
        <f t="shared" si="209"/>
        <v>3.1466666666666664E-2</v>
      </c>
      <c r="M1132" s="446">
        <f t="shared" si="206"/>
        <v>0.31503180216616733</v>
      </c>
      <c r="N1132" s="446">
        <f t="shared" si="207"/>
        <v>2.1600000000000001E-2</v>
      </c>
      <c r="O1132" s="462">
        <f t="shared" si="198"/>
        <v>3.0599999999999995E-2</v>
      </c>
      <c r="P1132" s="447">
        <f t="shared" si="208"/>
        <v>0.29343180216616732</v>
      </c>
      <c r="Q1132" s="446">
        <f>M1132-O1132</f>
        <v>0.28443180216616731</v>
      </c>
      <c r="R1132" s="462">
        <f>((1+D1121)*(1+D1122)*(1+D1123)*(1+D1124)*(1+D1125)*(1+D1126)*(1+D1127)*(1+D1128)*(1+D1129)*(1+D1130)*(1+D1131)*(1+D1132))-1</f>
        <v>0.27790297679977294</v>
      </c>
      <c r="S1132" s="462">
        <f t="shared" si="201"/>
        <v>3.3999999999999996E-2</v>
      </c>
      <c r="T1132" s="447">
        <f>R1132-S1132</f>
        <v>0.24390297679977294</v>
      </c>
    </row>
    <row r="1133" spans="1:20" x14ac:dyDescent="0.4">
      <c r="A1133" s="442" t="str">
        <f t="shared" si="210"/>
        <v>12020</v>
      </c>
      <c r="B1133" s="460">
        <v>43831</v>
      </c>
      <c r="C1133" s="438">
        <v>-4.0000000000000002E-4</v>
      </c>
      <c r="D1133" s="438">
        <v>6.6537157778004855E-2</v>
      </c>
      <c r="E1133" s="438">
        <v>2E-3</v>
      </c>
      <c r="F1133" s="438">
        <v>2.4499999999999999E-3</v>
      </c>
      <c r="G1133" s="438">
        <v>2.5083333333333333E-3</v>
      </c>
      <c r="H1133" s="461">
        <f t="shared" si="204"/>
        <v>2.4791666666666668E-3</v>
      </c>
      <c r="I1133" s="438">
        <v>2.7333333333333337E-3</v>
      </c>
      <c r="J1133" s="438">
        <f t="shared" si="205"/>
        <v>-2.4000000000000002E-3</v>
      </c>
      <c r="K1133" s="461">
        <f t="shared" si="209"/>
        <v>-2.879166666666667E-3</v>
      </c>
      <c r="L1133" s="461">
        <f t="shared" si="209"/>
        <v>6.3803824444671517E-2</v>
      </c>
      <c r="M1133" s="446">
        <f t="shared" si="206"/>
        <v>0.21702230297685499</v>
      </c>
      <c r="N1133" s="446">
        <f t="shared" si="207"/>
        <v>2.4E-2</v>
      </c>
      <c r="O1133" s="462">
        <f t="shared" ref="O1133:O1168" si="211">H1133*12</f>
        <v>2.9750000000000002E-2</v>
      </c>
      <c r="P1133" s="447">
        <f t="shared" si="208"/>
        <v>0.19302230297685499</v>
      </c>
      <c r="Q1133" s="446">
        <f t="shared" ref="Q1133:Q1168" si="212">M1133-O1133</f>
        <v>0.18727230297685499</v>
      </c>
      <c r="R1133" s="462">
        <f t="shared" ref="R1133:R1168" si="213">((1+D1122)*(1+D1123)*(1+D1124)*(1+D1125)*(1+D1126)*(1+D1127)*(1+D1128)*(1+D1129)*(1+D1130)*(1+D1131)*(1+D1132)*(1+D1133))-1</f>
        <v>0.30001050056474821</v>
      </c>
      <c r="S1133" s="462">
        <f t="shared" ref="S1133:S1168" si="214">I1133*12</f>
        <v>3.2800000000000003E-2</v>
      </c>
      <c r="T1133" s="447">
        <f t="shared" ref="T1133:T1168" si="215">R1133-S1133</f>
        <v>0.26721050056474821</v>
      </c>
    </row>
    <row r="1134" spans="1:20" x14ac:dyDescent="0.4">
      <c r="A1134" s="442" t="str">
        <f t="shared" si="210"/>
        <v>22020</v>
      </c>
      <c r="B1134" s="460">
        <v>43862</v>
      </c>
      <c r="C1134" s="438">
        <v>-8.2299999999999998E-2</v>
      </c>
      <c r="D1134" s="438">
        <v>-9.8453153025931217E-2</v>
      </c>
      <c r="E1134" s="438">
        <v>1.5E-3</v>
      </c>
      <c r="F1134" s="438">
        <v>2.316666666666667E-3</v>
      </c>
      <c r="G1134" s="438">
        <v>2.3749999999999999E-3</v>
      </c>
      <c r="H1134" s="461">
        <f t="shared" si="204"/>
        <v>2.3458333333333335E-3</v>
      </c>
      <c r="I1134" s="438">
        <v>2.5916666666666666E-3</v>
      </c>
      <c r="J1134" s="438">
        <f t="shared" si="205"/>
        <v>-8.3799999999999999E-2</v>
      </c>
      <c r="K1134" s="461">
        <f t="shared" si="209"/>
        <v>-8.4645833333333337E-2</v>
      </c>
      <c r="L1134" s="461">
        <f t="shared" si="209"/>
        <v>-0.10104481969259789</v>
      </c>
      <c r="M1134" s="446">
        <f t="shared" si="206"/>
        <v>8.2125150122913659E-2</v>
      </c>
      <c r="N1134" s="446">
        <f t="shared" si="207"/>
        <v>1.8000000000000002E-2</v>
      </c>
      <c r="O1134" s="462">
        <f t="shared" si="211"/>
        <v>2.8150000000000001E-2</v>
      </c>
      <c r="P1134" s="447">
        <f t="shared" si="208"/>
        <v>6.4125150122913657E-2</v>
      </c>
      <c r="Q1134" s="446">
        <f t="shared" si="212"/>
        <v>5.3975150122913658E-2</v>
      </c>
      <c r="R1134" s="462">
        <f t="shared" si="213"/>
        <v>0.1257519621720582</v>
      </c>
      <c r="S1134" s="462">
        <f t="shared" si="214"/>
        <v>3.1099999999999999E-2</v>
      </c>
      <c r="T1134" s="447">
        <f t="shared" si="215"/>
        <v>9.4651962172058193E-2</v>
      </c>
    </row>
    <row r="1135" spans="1:20" x14ac:dyDescent="0.4">
      <c r="A1135" s="442" t="str">
        <f t="shared" si="210"/>
        <v>32020</v>
      </c>
      <c r="B1135" s="460">
        <v>43891</v>
      </c>
      <c r="C1135" s="438">
        <v>-0.1235</v>
      </c>
      <c r="D1135" s="438">
        <v>-9.9852632884989301E-2</v>
      </c>
      <c r="E1135" s="438">
        <v>1.2999999999999999E-3</v>
      </c>
      <c r="F1135" s="438">
        <v>2.5166666666666666E-3</v>
      </c>
      <c r="G1135" s="438">
        <v>2.5666666666666667E-3</v>
      </c>
      <c r="H1135" s="461">
        <f t="shared" si="204"/>
        <v>2.5416666666666669E-3</v>
      </c>
      <c r="I1135" s="438">
        <v>2.9166666666666668E-3</v>
      </c>
      <c r="J1135" s="438">
        <f t="shared" si="205"/>
        <v>-0.12479999999999999</v>
      </c>
      <c r="K1135" s="461">
        <f t="shared" si="209"/>
        <v>-0.12604166666666666</v>
      </c>
      <c r="L1135" s="461">
        <f t="shared" si="209"/>
        <v>-0.10276929955165597</v>
      </c>
      <c r="M1135" s="446">
        <f t="shared" si="206"/>
        <v>-6.956769267928764E-2</v>
      </c>
      <c r="N1135" s="446">
        <f t="shared" si="207"/>
        <v>1.5599999999999999E-2</v>
      </c>
      <c r="O1135" s="462">
        <f t="shared" si="211"/>
        <v>3.0500000000000003E-2</v>
      </c>
      <c r="P1135" s="447">
        <f t="shared" si="208"/>
        <v>-8.5167692679287643E-2</v>
      </c>
      <c r="Q1135" s="446">
        <f t="shared" si="212"/>
        <v>-0.10006769267928764</v>
      </c>
      <c r="R1135" s="462">
        <f t="shared" si="213"/>
        <v>-1.5024625997535845E-2</v>
      </c>
      <c r="S1135" s="462">
        <f t="shared" si="214"/>
        <v>3.5000000000000003E-2</v>
      </c>
      <c r="T1135" s="447">
        <f t="shared" si="215"/>
        <v>-5.0024625997535849E-2</v>
      </c>
    </row>
    <row r="1136" spans="1:20" x14ac:dyDescent="0.4">
      <c r="A1136" s="442" t="str">
        <f t="shared" si="210"/>
        <v>42020</v>
      </c>
      <c r="B1136" s="460">
        <v>43922</v>
      </c>
      <c r="C1136" s="438">
        <v>0.12820000000000001</v>
      </c>
      <c r="D1136" s="438">
        <v>3.2286679387277528E-2</v>
      </c>
      <c r="E1136" s="438">
        <v>8.9999999999999998E-4</v>
      </c>
      <c r="F1136" s="438">
        <v>2.0250000000000003E-3</v>
      </c>
      <c r="G1136" s="438">
        <v>2.2916666666666667E-3</v>
      </c>
      <c r="H1136" s="461">
        <f t="shared" si="204"/>
        <v>2.1583333333333333E-3</v>
      </c>
      <c r="I1136" s="438">
        <v>2.6583333333333333E-3</v>
      </c>
      <c r="J1136" s="438">
        <f t="shared" si="205"/>
        <v>0.1273</v>
      </c>
      <c r="K1136" s="461">
        <f t="shared" si="209"/>
        <v>0.12604166666666666</v>
      </c>
      <c r="L1136" s="461">
        <f t="shared" si="209"/>
        <v>2.9628346053944196E-2</v>
      </c>
      <c r="M1136" s="446">
        <f t="shared" si="206"/>
        <v>8.8550976638424039E-3</v>
      </c>
      <c r="N1136" s="446">
        <f t="shared" si="207"/>
        <v>1.0800000000000001E-2</v>
      </c>
      <c r="O1136" s="462">
        <f t="shared" si="211"/>
        <v>2.5899999999999999E-2</v>
      </c>
      <c r="P1136" s="447">
        <f t="shared" si="208"/>
        <v>-1.9449023361575966E-3</v>
      </c>
      <c r="Q1136" s="446">
        <f t="shared" si="212"/>
        <v>-1.7044902336157595E-2</v>
      </c>
      <c r="R1136" s="462">
        <f t="shared" si="213"/>
        <v>7.4080631202275704E-3</v>
      </c>
      <c r="S1136" s="462">
        <f t="shared" si="214"/>
        <v>3.1899999999999998E-2</v>
      </c>
      <c r="T1136" s="447">
        <f t="shared" si="215"/>
        <v>-2.4491936879772427E-2</v>
      </c>
    </row>
    <row r="1137" spans="1:20" x14ac:dyDescent="0.4">
      <c r="A1137" s="442" t="str">
        <f t="shared" si="210"/>
        <v>52020</v>
      </c>
      <c r="B1137" s="460">
        <v>43952</v>
      </c>
      <c r="C1137" s="438">
        <v>4.7600000000000003E-2</v>
      </c>
      <c r="D1137" s="438">
        <v>4.3538153333576746E-2</v>
      </c>
      <c r="E1137" s="438">
        <v>8.9999999999999998E-4</v>
      </c>
      <c r="F1137" s="438">
        <v>2.075E-3</v>
      </c>
      <c r="G1137" s="438">
        <v>2.2666666666666664E-3</v>
      </c>
      <c r="H1137" s="461">
        <f t="shared" si="204"/>
        <v>2.1708333333333332E-3</v>
      </c>
      <c r="I1137" s="438">
        <v>2.6166666666666669E-3</v>
      </c>
      <c r="J1137" s="438">
        <f t="shared" si="205"/>
        <v>4.6700000000000005E-2</v>
      </c>
      <c r="K1137" s="461">
        <f t="shared" ref="K1137:L1152" si="216">C1137-H1137</f>
        <v>4.5429166666666673E-2</v>
      </c>
      <c r="L1137" s="461">
        <f t="shared" si="216"/>
        <v>4.0921486666910076E-2</v>
      </c>
      <c r="M1137" s="446">
        <f t="shared" si="206"/>
        <v>0.12853881506955789</v>
      </c>
      <c r="N1137" s="446">
        <f t="shared" si="207"/>
        <v>1.0800000000000001E-2</v>
      </c>
      <c r="O1137" s="462">
        <f t="shared" si="211"/>
        <v>2.6049999999999997E-2</v>
      </c>
      <c r="P1137" s="447">
        <f t="shared" si="208"/>
        <v>0.11773881506955788</v>
      </c>
      <c r="Q1137" s="446">
        <f t="shared" si="212"/>
        <v>0.1024888150695579</v>
      </c>
      <c r="R1137" s="462">
        <f t="shared" si="213"/>
        <v>5.9533108084899533E-2</v>
      </c>
      <c r="S1137" s="462">
        <f t="shared" si="214"/>
        <v>3.1400000000000004E-2</v>
      </c>
      <c r="T1137" s="447">
        <f t="shared" si="215"/>
        <v>2.8133108084899529E-2</v>
      </c>
    </row>
    <row r="1138" spans="1:20" x14ac:dyDescent="0.4">
      <c r="A1138" s="442" t="str">
        <f t="shared" si="210"/>
        <v>62020</v>
      </c>
      <c r="B1138" s="460">
        <v>43983</v>
      </c>
      <c r="C1138" s="438">
        <v>1.9900000000000001E-2</v>
      </c>
      <c r="D1138" s="438">
        <v>-4.6515481975296112E-2</v>
      </c>
      <c r="E1138" s="438">
        <v>8.9999999999999998E-4</v>
      </c>
      <c r="F1138" s="438">
        <v>2.0083333333333333E-3</v>
      </c>
      <c r="G1138" s="438">
        <v>2.1916666666666664E-3</v>
      </c>
      <c r="H1138" s="461">
        <f t="shared" si="204"/>
        <v>2.0999999999999999E-3</v>
      </c>
      <c r="I1138" s="438">
        <v>2.558333333333333E-3</v>
      </c>
      <c r="J1138" s="438">
        <f t="shared" si="205"/>
        <v>1.9E-2</v>
      </c>
      <c r="K1138" s="461">
        <f t="shared" si="216"/>
        <v>1.78E-2</v>
      </c>
      <c r="L1138" s="461">
        <f t="shared" si="216"/>
        <v>-4.9073815308629448E-2</v>
      </c>
      <c r="M1138" s="446">
        <f t="shared" si="206"/>
        <v>7.5195457720170333E-2</v>
      </c>
      <c r="N1138" s="446">
        <f t="shared" si="207"/>
        <v>1.0800000000000001E-2</v>
      </c>
      <c r="O1138" s="462">
        <f t="shared" si="211"/>
        <v>2.52E-2</v>
      </c>
      <c r="P1138" s="447">
        <f t="shared" si="208"/>
        <v>6.4395457720170329E-2</v>
      </c>
      <c r="Q1138" s="446">
        <f t="shared" si="212"/>
        <v>4.9995457720170333E-2</v>
      </c>
      <c r="R1138" s="462">
        <f t="shared" si="213"/>
        <v>-2.1266794329057537E-2</v>
      </c>
      <c r="S1138" s="462">
        <f t="shared" si="214"/>
        <v>3.0699999999999998E-2</v>
      </c>
      <c r="T1138" s="447">
        <f t="shared" si="215"/>
        <v>-5.1966794329057535E-2</v>
      </c>
    </row>
    <row r="1139" spans="1:20" x14ac:dyDescent="0.4">
      <c r="A1139" s="442" t="str">
        <f t="shared" si="210"/>
        <v>72020</v>
      </c>
      <c r="B1139" s="460">
        <v>44013</v>
      </c>
      <c r="C1139" s="438">
        <v>5.6399999999999999E-2</v>
      </c>
      <c r="D1139" s="438">
        <v>7.8155639399125773E-2</v>
      </c>
      <c r="E1139" s="438">
        <v>1E-3</v>
      </c>
      <c r="F1139" s="438">
        <v>1.7833333333333334E-3</v>
      </c>
      <c r="G1139" s="438">
        <v>1.9333333333333331E-3</v>
      </c>
      <c r="H1139" s="461">
        <f t="shared" si="204"/>
        <v>1.8583333333333334E-3</v>
      </c>
      <c r="I1139" s="438">
        <v>2.2833333333333334E-3</v>
      </c>
      <c r="J1139" s="438">
        <f t="shared" si="205"/>
        <v>5.5399999999999998E-2</v>
      </c>
      <c r="K1139" s="461">
        <f t="shared" si="216"/>
        <v>5.4541666666666669E-2</v>
      </c>
      <c r="L1139" s="461">
        <f t="shared" si="216"/>
        <v>7.5872306065792441E-2</v>
      </c>
      <c r="M1139" s="446">
        <f t="shared" si="206"/>
        <v>0.11971261981031933</v>
      </c>
      <c r="N1139" s="446">
        <f t="shared" si="207"/>
        <v>1.2E-2</v>
      </c>
      <c r="O1139" s="462">
        <f t="shared" si="211"/>
        <v>2.23E-2</v>
      </c>
      <c r="P1139" s="447">
        <f t="shared" si="208"/>
        <v>0.10771261981031933</v>
      </c>
      <c r="Q1139" s="446">
        <f t="shared" si="212"/>
        <v>9.7412619810319331E-2</v>
      </c>
      <c r="R1139" s="462">
        <f t="shared" si="213"/>
        <v>5.808355074833238E-2</v>
      </c>
      <c r="S1139" s="462">
        <f t="shared" si="214"/>
        <v>2.7400000000000001E-2</v>
      </c>
      <c r="T1139" s="447">
        <f t="shared" si="215"/>
        <v>3.0683550748332379E-2</v>
      </c>
    </row>
    <row r="1140" spans="1:20" x14ac:dyDescent="0.4">
      <c r="A1140" s="442" t="str">
        <f t="shared" si="210"/>
        <v>82020</v>
      </c>
      <c r="B1140" s="460">
        <v>44044</v>
      </c>
      <c r="C1140" s="438">
        <v>7.1900000000000006E-2</v>
      </c>
      <c r="D1140" s="438">
        <v>-2.6496057598276487E-2</v>
      </c>
      <c r="E1140" s="438">
        <v>8.0000000000000004E-4</v>
      </c>
      <c r="F1140" s="438">
        <v>1.8749999999999999E-3</v>
      </c>
      <c r="G1140" s="438">
        <v>1.9750000000000002E-3</v>
      </c>
      <c r="H1140" s="461">
        <f t="shared" si="204"/>
        <v>1.9250000000000001E-3</v>
      </c>
      <c r="I1140" s="438">
        <v>2.2750000000000001E-3</v>
      </c>
      <c r="J1140" s="438">
        <f t="shared" si="205"/>
        <v>7.110000000000001E-2</v>
      </c>
      <c r="K1140" s="461">
        <f t="shared" si="216"/>
        <v>6.9975000000000009E-2</v>
      </c>
      <c r="L1140" s="461">
        <f t="shared" si="216"/>
        <v>-2.8771057598276487E-2</v>
      </c>
      <c r="M1140" s="446">
        <f t="shared" si="206"/>
        <v>0.21948786544877219</v>
      </c>
      <c r="N1140" s="446">
        <f t="shared" si="207"/>
        <v>9.6000000000000009E-3</v>
      </c>
      <c r="O1140" s="462">
        <f t="shared" si="211"/>
        <v>2.3100000000000002E-2</v>
      </c>
      <c r="P1140" s="447">
        <f t="shared" si="208"/>
        <v>0.20988786544877219</v>
      </c>
      <c r="Q1140" s="446">
        <f t="shared" si="212"/>
        <v>0.19638786544877218</v>
      </c>
      <c r="R1140" s="462">
        <f t="shared" si="213"/>
        <v>-2.0214488686469023E-2</v>
      </c>
      <c r="S1140" s="462">
        <f t="shared" si="214"/>
        <v>2.7300000000000001E-2</v>
      </c>
      <c r="T1140" s="447">
        <f t="shared" si="215"/>
        <v>-4.7514488686469028E-2</v>
      </c>
    </row>
    <row r="1141" spans="1:20" x14ac:dyDescent="0.4">
      <c r="A1141" s="442" t="str">
        <f t="shared" si="210"/>
        <v>92020</v>
      </c>
      <c r="B1141" s="460">
        <v>44075</v>
      </c>
      <c r="C1141" s="438">
        <v>-3.7999999999999999E-2</v>
      </c>
      <c r="D1141" s="438">
        <v>1.1208634977297001E-2</v>
      </c>
      <c r="E1141" s="438">
        <v>0</v>
      </c>
      <c r="F1141" s="438">
        <v>1.9250000000000001E-3</v>
      </c>
      <c r="G1141" s="438">
        <v>2.058333333333333E-3</v>
      </c>
      <c r="H1141" s="461">
        <f t="shared" si="204"/>
        <v>1.9916666666666668E-3</v>
      </c>
      <c r="I1141" s="438">
        <v>2.3666666666666667E-3</v>
      </c>
      <c r="J1141" s="438">
        <f t="shared" si="205"/>
        <v>-3.7999999999999999E-2</v>
      </c>
      <c r="K1141" s="461">
        <f t="shared" si="216"/>
        <v>-3.9991666666666668E-2</v>
      </c>
      <c r="L1141" s="461">
        <f t="shared" si="216"/>
        <v>8.8419683106303344E-3</v>
      </c>
      <c r="M1141" s="446">
        <f t="shared" si="206"/>
        <v>0.15161217881782529</v>
      </c>
      <c r="N1141" s="446">
        <f t="shared" si="207"/>
        <v>0</v>
      </c>
      <c r="O1141" s="462">
        <f t="shared" si="211"/>
        <v>2.3900000000000001E-2</v>
      </c>
      <c r="P1141" s="447">
        <f t="shared" si="208"/>
        <v>0.15161217881782529</v>
      </c>
      <c r="Q1141" s="446">
        <f t="shared" si="212"/>
        <v>0.12771217881782529</v>
      </c>
      <c r="R1141" s="462">
        <f t="shared" si="213"/>
        <v>-4.9623434565094549E-2</v>
      </c>
      <c r="S1141" s="462">
        <f t="shared" si="214"/>
        <v>2.8400000000000002E-2</v>
      </c>
      <c r="T1141" s="447">
        <f t="shared" si="215"/>
        <v>-7.8023434565094557E-2</v>
      </c>
    </row>
    <row r="1142" spans="1:20" x14ac:dyDescent="0.4">
      <c r="A1142" s="442" t="str">
        <f t="shared" si="210"/>
        <v>102020</v>
      </c>
      <c r="B1142" s="460">
        <v>44105</v>
      </c>
      <c r="C1142" s="438">
        <v>-2.6599999999999999E-2</v>
      </c>
      <c r="D1142" s="438">
        <v>5.0416695141057254E-2</v>
      </c>
      <c r="E1142" s="438">
        <v>8.9999999999999998E-4</v>
      </c>
      <c r="F1142" s="438">
        <v>1.9583333333333332E-3</v>
      </c>
      <c r="G1142" s="438">
        <v>2.1249999999999997E-3</v>
      </c>
      <c r="H1142" s="461">
        <f>AVERAGE(F1142:G1142)</f>
        <v>2.0416666666666665E-3</v>
      </c>
      <c r="I1142" s="438">
        <v>2.4583333333333336E-3</v>
      </c>
      <c r="J1142" s="438">
        <f t="shared" si="205"/>
        <v>-2.75E-2</v>
      </c>
      <c r="K1142" s="461">
        <f t="shared" si="216"/>
        <v>-2.8641666666666666E-2</v>
      </c>
      <c r="L1142" s="461">
        <f t="shared" si="216"/>
        <v>4.795836180772392E-2</v>
      </c>
      <c r="M1142" s="446">
        <f t="shared" si="206"/>
        <v>9.7170690869404996E-2</v>
      </c>
      <c r="N1142" s="446">
        <f t="shared" si="207"/>
        <v>1.0800000000000001E-2</v>
      </c>
      <c r="O1142" s="462">
        <f t="shared" si="211"/>
        <v>2.4499999999999997E-2</v>
      </c>
      <c r="P1142" s="447">
        <f t="shared" si="208"/>
        <v>8.6370690869404992E-2</v>
      </c>
      <c r="Q1142" s="446">
        <f t="shared" si="212"/>
        <v>7.2670690869405002E-2</v>
      </c>
      <c r="R1142" s="462">
        <f t="shared" si="213"/>
        <v>6.0379028556305503E-3</v>
      </c>
      <c r="S1142" s="462">
        <f t="shared" si="214"/>
        <v>2.9500000000000005E-2</v>
      </c>
      <c r="T1142" s="447">
        <f t="shared" si="215"/>
        <v>-2.3462097144369455E-2</v>
      </c>
    </row>
    <row r="1143" spans="1:20" x14ac:dyDescent="0.4">
      <c r="A1143" s="442" t="str">
        <f t="shared" si="210"/>
        <v>112020</v>
      </c>
      <c r="B1143" s="460">
        <v>44136</v>
      </c>
      <c r="C1143" s="438">
        <v>0.1095</v>
      </c>
      <c r="D1143" s="438">
        <v>7.3522810716743856E-3</v>
      </c>
      <c r="E1143" s="438">
        <v>1.1000000000000001E-3</v>
      </c>
      <c r="F1143" s="438">
        <v>1.9166666666666666E-3</v>
      </c>
      <c r="G1143" s="438">
        <v>2.058333333333333E-3</v>
      </c>
      <c r="H1143" s="461">
        <f>AVERAGE(F1143:G1143)</f>
        <v>1.9874999999999997E-3</v>
      </c>
      <c r="I1143" s="438">
        <v>2.3749999999999999E-3</v>
      </c>
      <c r="J1143" s="438">
        <f t="shared" si="205"/>
        <v>0.1084</v>
      </c>
      <c r="K1143" s="461">
        <f t="shared" si="216"/>
        <v>0.1075125</v>
      </c>
      <c r="L1143" s="461">
        <f t="shared" si="216"/>
        <v>4.9772810716743852E-3</v>
      </c>
      <c r="M1143" s="446">
        <f t="shared" si="206"/>
        <v>0.17467034789115599</v>
      </c>
      <c r="N1143" s="446">
        <f t="shared" si="207"/>
        <v>1.32E-2</v>
      </c>
      <c r="O1143" s="462">
        <f t="shared" si="211"/>
        <v>2.3849999999999996E-2</v>
      </c>
      <c r="P1143" s="447">
        <f t="shared" si="208"/>
        <v>0.161470347891156</v>
      </c>
      <c r="Q1143" s="446">
        <f t="shared" si="212"/>
        <v>0.150820347891156</v>
      </c>
      <c r="R1143" s="462">
        <f t="shared" si="213"/>
        <v>3.2641712131834977E-2</v>
      </c>
      <c r="S1143" s="462">
        <f t="shared" si="214"/>
        <v>2.8499999999999998E-2</v>
      </c>
      <c r="T1143" s="447">
        <f t="shared" si="215"/>
        <v>4.1417121318349792E-3</v>
      </c>
    </row>
    <row r="1144" spans="1:20" x14ac:dyDescent="0.4">
      <c r="A1144" s="442" t="str">
        <f t="shared" si="210"/>
        <v>122020</v>
      </c>
      <c r="B1144" s="460">
        <v>44166</v>
      </c>
      <c r="C1144" s="438">
        <v>3.8399999999999997E-2</v>
      </c>
      <c r="D1144" s="438">
        <v>7.0325529758781969E-3</v>
      </c>
      <c r="E1144" s="438">
        <v>1.1000000000000001E-3</v>
      </c>
      <c r="F1144" s="438">
        <v>1.8833333333333332E-3</v>
      </c>
      <c r="G1144" s="438">
        <v>2.0333333333333332E-3</v>
      </c>
      <c r="H1144" s="461">
        <f>AVERAGE(F1144:G1144)</f>
        <v>1.9583333333333332E-3</v>
      </c>
      <c r="I1144" s="438">
        <v>2.3083333333333332E-3</v>
      </c>
      <c r="J1144" s="438">
        <f t="shared" si="205"/>
        <v>3.73E-2</v>
      </c>
      <c r="K1144" s="461">
        <f t="shared" si="216"/>
        <v>3.6441666666666664E-2</v>
      </c>
      <c r="L1144" s="461">
        <f t="shared" si="216"/>
        <v>4.7242196425448637E-3</v>
      </c>
      <c r="M1144" s="446">
        <f t="shared" si="206"/>
        <v>0.18402027688815403</v>
      </c>
      <c r="N1144" s="446">
        <f t="shared" si="207"/>
        <v>1.32E-2</v>
      </c>
      <c r="O1144" s="462">
        <f t="shared" si="211"/>
        <v>2.35E-2</v>
      </c>
      <c r="P1144" s="447">
        <f t="shared" si="208"/>
        <v>0.17082027688815404</v>
      </c>
      <c r="Q1144" s="446">
        <f t="shared" si="212"/>
        <v>0.16052027688815404</v>
      </c>
      <c r="R1144" s="462">
        <f t="shared" si="213"/>
        <v>5.4179828652263229E-3</v>
      </c>
      <c r="S1144" s="462">
        <f t="shared" si="214"/>
        <v>2.7699999999999999E-2</v>
      </c>
      <c r="T1144" s="447">
        <f t="shared" si="215"/>
        <v>-2.2282017134773676E-2</v>
      </c>
    </row>
    <row r="1145" spans="1:20" x14ac:dyDescent="0.4">
      <c r="A1145" s="442" t="str">
        <f t="shared" si="210"/>
        <v>12021</v>
      </c>
      <c r="B1145" s="460">
        <v>44197</v>
      </c>
      <c r="C1145" s="438">
        <v>-1.01E-2</v>
      </c>
      <c r="D1145" s="438">
        <v>-9.1490879490143378E-3</v>
      </c>
      <c r="E1145" s="438">
        <v>1.1000000000000001E-3</v>
      </c>
      <c r="F1145" s="438">
        <v>2.0416666666666669E-3</v>
      </c>
      <c r="G1145" s="438">
        <v>2.1749999999999999E-3</v>
      </c>
      <c r="H1145" s="461">
        <f t="shared" ref="H1145:H1166" si="217">AVERAGE(F1145:G1145)</f>
        <v>2.1083333333333336E-3</v>
      </c>
      <c r="I1145" s="438">
        <v>2.4250000000000001E-3</v>
      </c>
      <c r="J1145" s="438">
        <f t="shared" si="205"/>
        <v>-1.12E-2</v>
      </c>
      <c r="K1145" s="461">
        <f t="shared" si="216"/>
        <v>-1.2208333333333333E-2</v>
      </c>
      <c r="L1145" s="461">
        <f t="shared" si="216"/>
        <v>-1.1574087949014338E-2</v>
      </c>
      <c r="M1145" s="446">
        <f t="shared" si="206"/>
        <v>0.17253068436532981</v>
      </c>
      <c r="N1145" s="446">
        <f t="shared" si="207"/>
        <v>1.32E-2</v>
      </c>
      <c r="O1145" s="462">
        <f t="shared" si="211"/>
        <v>2.5300000000000003E-2</v>
      </c>
      <c r="P1145" s="447">
        <f t="shared" si="208"/>
        <v>0.15933068436532982</v>
      </c>
      <c r="Q1145" s="446">
        <f t="shared" si="212"/>
        <v>0.14723068436532982</v>
      </c>
      <c r="R1145" s="462">
        <f t="shared" si="213"/>
        <v>-6.5930972916153685E-2</v>
      </c>
      <c r="S1145" s="462">
        <f t="shared" si="214"/>
        <v>2.9100000000000001E-2</v>
      </c>
      <c r="T1145" s="447">
        <f t="shared" si="215"/>
        <v>-9.5030972916153686E-2</v>
      </c>
    </row>
    <row r="1146" spans="1:20" x14ac:dyDescent="0.4">
      <c r="A1146" s="442" t="str">
        <f t="shared" si="210"/>
        <v>22021</v>
      </c>
      <c r="B1146" s="460">
        <v>44228</v>
      </c>
      <c r="C1146" s="438">
        <v>2.76E-2</v>
      </c>
      <c r="D1146" s="438">
        <v>-6.0949635783169254E-2</v>
      </c>
      <c r="E1146" s="438">
        <v>1.1999999999999999E-3</v>
      </c>
      <c r="F1146" s="438">
        <v>2.2500000000000003E-3</v>
      </c>
      <c r="G1146" s="438">
        <v>2.3583333333333334E-3</v>
      </c>
      <c r="H1146" s="461">
        <f t="shared" si="217"/>
        <v>2.304166666666667E-3</v>
      </c>
      <c r="I1146" s="438">
        <v>2.575E-3</v>
      </c>
      <c r="J1146" s="438">
        <f t="shared" si="205"/>
        <v>2.64E-2</v>
      </c>
      <c r="K1146" s="461">
        <f t="shared" si="216"/>
        <v>2.5295833333333333E-2</v>
      </c>
      <c r="L1146" s="461">
        <f t="shared" si="216"/>
        <v>-6.3524635783169248E-2</v>
      </c>
      <c r="M1146" s="446">
        <f t="shared" si="206"/>
        <v>0.31294816525423719</v>
      </c>
      <c r="N1146" s="446">
        <f t="shared" si="207"/>
        <v>1.44E-2</v>
      </c>
      <c r="O1146" s="462">
        <f t="shared" si="211"/>
        <v>2.7650000000000004E-2</v>
      </c>
      <c r="P1146" s="447">
        <f t="shared" si="208"/>
        <v>0.29854816525423716</v>
      </c>
      <c r="Q1146" s="446">
        <f t="shared" si="212"/>
        <v>0.28529816525423718</v>
      </c>
      <c r="R1146" s="462">
        <f t="shared" si="213"/>
        <v>-2.707456297944788E-2</v>
      </c>
      <c r="S1146" s="462">
        <f t="shared" si="214"/>
        <v>3.09E-2</v>
      </c>
      <c r="T1146" s="447">
        <f t="shared" si="215"/>
        <v>-5.7974562979447877E-2</v>
      </c>
    </row>
    <row r="1147" spans="1:20" x14ac:dyDescent="0.4">
      <c r="A1147" s="442" t="str">
        <f t="shared" si="210"/>
        <v>32021</v>
      </c>
      <c r="B1147" s="460">
        <v>44256</v>
      </c>
      <c r="C1147" s="438">
        <v>4.3799999999999999E-2</v>
      </c>
      <c r="D1147" s="438">
        <v>0.10498835014976989</v>
      </c>
      <c r="E1147" s="438">
        <v>1.8E-3</v>
      </c>
      <c r="F1147" s="438">
        <v>2.5333333333333336E-3</v>
      </c>
      <c r="G1147" s="438">
        <v>2.6416666666666667E-3</v>
      </c>
      <c r="H1147" s="461">
        <f t="shared" si="217"/>
        <v>2.5875000000000004E-3</v>
      </c>
      <c r="I1147" s="438">
        <v>2.8666666666666667E-3</v>
      </c>
      <c r="J1147" s="438">
        <f t="shared" si="205"/>
        <v>4.1999999999999996E-2</v>
      </c>
      <c r="K1147" s="461">
        <f t="shared" si="216"/>
        <v>4.1212499999999999E-2</v>
      </c>
      <c r="L1147" s="461">
        <f t="shared" si="216"/>
        <v>0.10212168348310321</v>
      </c>
      <c r="M1147" s="446">
        <f t="shared" si="206"/>
        <v>0.56355424403008891</v>
      </c>
      <c r="N1147" s="446">
        <f t="shared" si="207"/>
        <v>2.1600000000000001E-2</v>
      </c>
      <c r="O1147" s="462">
        <f t="shared" si="211"/>
        <v>3.1050000000000005E-2</v>
      </c>
      <c r="P1147" s="447">
        <f t="shared" si="208"/>
        <v>0.54195424403008896</v>
      </c>
      <c r="Q1147" s="446">
        <f t="shared" si="212"/>
        <v>0.53250424403008889</v>
      </c>
      <c r="R1147" s="462">
        <f t="shared" si="213"/>
        <v>0.1943280764323152</v>
      </c>
      <c r="S1147" s="462">
        <f t="shared" si="214"/>
        <v>3.44E-2</v>
      </c>
      <c r="T1147" s="447">
        <f t="shared" si="215"/>
        <v>0.15992807643231521</v>
      </c>
    </row>
    <row r="1148" spans="1:20" x14ac:dyDescent="0.4">
      <c r="A1148" s="442" t="str">
        <f t="shared" si="210"/>
        <v>42021</v>
      </c>
      <c r="B1148" s="460">
        <v>44287</v>
      </c>
      <c r="C1148" s="438">
        <v>5.3400000000000003E-2</v>
      </c>
      <c r="D1148" s="438">
        <v>4.2771092437836097E-2</v>
      </c>
      <c r="E1148" s="438">
        <v>1.9E-3</v>
      </c>
      <c r="F1148" s="438">
        <v>2.4166666666666668E-3</v>
      </c>
      <c r="G1148" s="438">
        <v>2.5249999999999999E-3</v>
      </c>
      <c r="H1148" s="461">
        <f t="shared" si="217"/>
        <v>2.4708333333333336E-3</v>
      </c>
      <c r="I1148" s="438">
        <v>2.7499999999999998E-3</v>
      </c>
      <c r="J1148" s="438">
        <f t="shared" si="205"/>
        <v>5.1500000000000004E-2</v>
      </c>
      <c r="K1148" s="461">
        <f t="shared" si="216"/>
        <v>5.0929166666666671E-2</v>
      </c>
      <c r="L1148" s="461">
        <f t="shared" si="216"/>
        <v>4.0021092437836095E-2</v>
      </c>
      <c r="M1148" s="446">
        <f t="shared" si="206"/>
        <v>0.45989012645035854</v>
      </c>
      <c r="N1148" s="446">
        <f t="shared" si="207"/>
        <v>2.2800000000000001E-2</v>
      </c>
      <c r="O1148" s="462">
        <f t="shared" si="211"/>
        <v>2.9650000000000003E-2</v>
      </c>
      <c r="P1148" s="447">
        <f t="shared" si="208"/>
        <v>0.43709012645035855</v>
      </c>
      <c r="Q1148" s="446">
        <f t="shared" si="212"/>
        <v>0.43024012645035853</v>
      </c>
      <c r="R1148" s="462">
        <f t="shared" si="213"/>
        <v>0.20645826189458227</v>
      </c>
      <c r="S1148" s="462">
        <f t="shared" si="214"/>
        <v>3.3000000000000002E-2</v>
      </c>
      <c r="T1148" s="447">
        <f t="shared" si="215"/>
        <v>0.17345826189458227</v>
      </c>
    </row>
    <row r="1149" spans="1:20" x14ac:dyDescent="0.4">
      <c r="A1149" s="442" t="str">
        <f t="shared" si="210"/>
        <v>52021</v>
      </c>
      <c r="B1149" s="460">
        <v>44317</v>
      </c>
      <c r="C1149" s="438">
        <v>7.0000000000000001E-3</v>
      </c>
      <c r="D1149" s="438">
        <v>-2.3727991736619838E-2</v>
      </c>
      <c r="E1149" s="438">
        <v>1.8E-3</v>
      </c>
      <c r="F1149" s="438">
        <v>2.4666666666666669E-3</v>
      </c>
      <c r="G1149" s="438">
        <v>2.558333333333333E-3</v>
      </c>
      <c r="H1149" s="461">
        <f t="shared" si="217"/>
        <v>2.5125E-3</v>
      </c>
      <c r="I1149" s="438">
        <v>2.7750000000000001E-3</v>
      </c>
      <c r="J1149" s="438">
        <f t="shared" si="205"/>
        <v>5.1999999999999998E-3</v>
      </c>
      <c r="K1149" s="461">
        <f t="shared" si="216"/>
        <v>4.4875000000000002E-3</v>
      </c>
      <c r="L1149" s="461">
        <f t="shared" si="216"/>
        <v>-2.6502991736619838E-2</v>
      </c>
      <c r="M1149" s="446">
        <f t="shared" si="206"/>
        <v>0.40331171948788769</v>
      </c>
      <c r="N1149" s="446">
        <f t="shared" si="207"/>
        <v>2.1600000000000001E-2</v>
      </c>
      <c r="O1149" s="462">
        <f t="shared" si="211"/>
        <v>3.015E-2</v>
      </c>
      <c r="P1149" s="447">
        <f t="shared" si="208"/>
        <v>0.38171171948788768</v>
      </c>
      <c r="Q1149" s="446">
        <f t="shared" si="212"/>
        <v>0.37316171948788768</v>
      </c>
      <c r="R1149" s="462">
        <f t="shared" si="213"/>
        <v>0.12869033725618473</v>
      </c>
      <c r="S1149" s="462">
        <f t="shared" si="214"/>
        <v>3.3300000000000003E-2</v>
      </c>
      <c r="T1149" s="447">
        <f t="shared" si="215"/>
        <v>9.5390337256184732E-2</v>
      </c>
    </row>
    <row r="1150" spans="1:20" x14ac:dyDescent="0.4">
      <c r="A1150" s="442" t="str">
        <f t="shared" si="210"/>
        <v>62021</v>
      </c>
      <c r="B1150" s="460">
        <v>44348</v>
      </c>
      <c r="C1150" s="438">
        <v>2.3300000000000001E-2</v>
      </c>
      <c r="D1150" s="438">
        <v>-2.1629631904666716E-2</v>
      </c>
      <c r="E1150" s="438">
        <v>1.6999999999999999E-3</v>
      </c>
      <c r="F1150" s="438">
        <v>2.3250000000000002E-3</v>
      </c>
      <c r="G1150" s="438">
        <v>2.4250000000000001E-3</v>
      </c>
      <c r="H1150" s="461">
        <f t="shared" si="217"/>
        <v>2.3750000000000004E-3</v>
      </c>
      <c r="I1150" s="438">
        <v>2.6333333333333334E-3</v>
      </c>
      <c r="J1150" s="438">
        <f t="shared" si="205"/>
        <v>2.1600000000000001E-2</v>
      </c>
      <c r="K1150" s="461">
        <f t="shared" si="216"/>
        <v>2.0924999999999999E-2</v>
      </c>
      <c r="L1150" s="461">
        <f t="shared" si="216"/>
        <v>-2.4262965238000051E-2</v>
      </c>
      <c r="M1150" s="446">
        <f t="shared" si="206"/>
        <v>0.40798988386307999</v>
      </c>
      <c r="N1150" s="446">
        <f t="shared" si="207"/>
        <v>2.0399999999999998E-2</v>
      </c>
      <c r="O1150" s="462">
        <f t="shared" si="211"/>
        <v>2.8500000000000004E-2</v>
      </c>
      <c r="P1150" s="447">
        <f t="shared" si="208"/>
        <v>0.38758988386308002</v>
      </c>
      <c r="Q1150" s="446">
        <f t="shared" si="212"/>
        <v>0.37948988386307997</v>
      </c>
      <c r="R1150" s="462">
        <f t="shared" si="213"/>
        <v>0.1581490415960467</v>
      </c>
      <c r="S1150" s="462">
        <f t="shared" si="214"/>
        <v>3.1600000000000003E-2</v>
      </c>
      <c r="T1150" s="447">
        <f t="shared" si="215"/>
        <v>0.12654904159604669</v>
      </c>
    </row>
    <row r="1151" spans="1:20" x14ac:dyDescent="0.4">
      <c r="A1151" s="442" t="str">
        <f t="shared" si="210"/>
        <v>72021</v>
      </c>
      <c r="B1151" s="460">
        <v>44378</v>
      </c>
      <c r="C1151" s="438">
        <v>2.3800000000000002E-2</v>
      </c>
      <c r="D1151" s="438">
        <v>3.8580129254477007E-2</v>
      </c>
      <c r="E1151" s="438">
        <v>1.6000000000000001E-3</v>
      </c>
      <c r="F1151" s="438">
        <v>2.1416666666666663E-3</v>
      </c>
      <c r="G1151" s="438">
        <v>2.2583333333333331E-3</v>
      </c>
      <c r="H1151" s="461">
        <f t="shared" si="217"/>
        <v>2.1999999999999997E-3</v>
      </c>
      <c r="I1151" s="438">
        <v>2.4583333333333336E-3</v>
      </c>
      <c r="J1151" s="438">
        <f t="shared" si="205"/>
        <v>2.2200000000000001E-2</v>
      </c>
      <c r="K1151" s="461">
        <f t="shared" si="216"/>
        <v>2.1600000000000001E-2</v>
      </c>
      <c r="L1151" s="461">
        <f t="shared" si="216"/>
        <v>3.6121795921143673E-2</v>
      </c>
      <c r="M1151" s="446">
        <f t="shared" si="206"/>
        <v>0.36453998778779018</v>
      </c>
      <c r="N1151" s="446">
        <f t="shared" si="207"/>
        <v>1.9200000000000002E-2</v>
      </c>
      <c r="O1151" s="462">
        <f t="shared" si="211"/>
        <v>2.6399999999999996E-2</v>
      </c>
      <c r="P1151" s="447">
        <f t="shared" si="208"/>
        <v>0.34533998778779018</v>
      </c>
      <c r="Q1151" s="446">
        <f t="shared" si="212"/>
        <v>0.3381399877877902</v>
      </c>
      <c r="R1151" s="462">
        <f t="shared" si="213"/>
        <v>0.11563723952427551</v>
      </c>
      <c r="S1151" s="462">
        <f t="shared" si="214"/>
        <v>2.9500000000000005E-2</v>
      </c>
      <c r="T1151" s="447">
        <f t="shared" si="215"/>
        <v>8.6137239524275516E-2</v>
      </c>
    </row>
    <row r="1152" spans="1:20" x14ac:dyDescent="0.4">
      <c r="A1152" s="442" t="str">
        <f t="shared" si="210"/>
        <v>82021</v>
      </c>
      <c r="B1152" s="460">
        <v>44409</v>
      </c>
      <c r="C1152" s="438">
        <v>3.04E-2</v>
      </c>
      <c r="D1152" s="438">
        <v>3.9754994769648354E-2</v>
      </c>
      <c r="E1152" s="438">
        <v>1.5E-3</v>
      </c>
      <c r="F1152" s="438">
        <v>2.1250000000000002E-3</v>
      </c>
      <c r="G1152" s="438">
        <v>2.2750000000000001E-3</v>
      </c>
      <c r="H1152" s="461">
        <f t="shared" si="217"/>
        <v>2.2000000000000001E-3</v>
      </c>
      <c r="I1152" s="438">
        <v>2.4583333333333336E-3</v>
      </c>
      <c r="J1152" s="438">
        <f t="shared" si="205"/>
        <v>2.8899999999999999E-2</v>
      </c>
      <c r="K1152" s="461">
        <f t="shared" si="216"/>
        <v>2.8199999999999999E-2</v>
      </c>
      <c r="L1152" s="461">
        <f t="shared" si="216"/>
        <v>3.7296661436315021E-2</v>
      </c>
      <c r="M1152" s="446">
        <f t="shared" si="206"/>
        <v>0.3117100507664321</v>
      </c>
      <c r="N1152" s="446">
        <f t="shared" si="207"/>
        <v>1.8000000000000002E-2</v>
      </c>
      <c r="O1152" s="462">
        <f t="shared" si="211"/>
        <v>2.64E-2</v>
      </c>
      <c r="P1152" s="447">
        <f t="shared" si="208"/>
        <v>0.29371005076643208</v>
      </c>
      <c r="Q1152" s="446">
        <f t="shared" si="212"/>
        <v>0.28531005076643212</v>
      </c>
      <c r="R1152" s="462">
        <f t="shared" si="213"/>
        <v>0.19156106269542938</v>
      </c>
      <c r="S1152" s="462">
        <f t="shared" si="214"/>
        <v>2.9500000000000005E-2</v>
      </c>
      <c r="T1152" s="447">
        <f t="shared" si="215"/>
        <v>0.16206106269542939</v>
      </c>
    </row>
    <row r="1153" spans="1:20" x14ac:dyDescent="0.4">
      <c r="A1153" s="442" t="str">
        <f t="shared" si="210"/>
        <v>92021</v>
      </c>
      <c r="B1153" s="460">
        <v>44440</v>
      </c>
      <c r="C1153" s="438">
        <v>-4.65E-2</v>
      </c>
      <c r="D1153" s="438">
        <v>-6.1694618844009501E-2</v>
      </c>
      <c r="E1153" s="438">
        <v>1.4E-3</v>
      </c>
      <c r="F1153" s="438">
        <v>2.1083333333333332E-3</v>
      </c>
      <c r="G1153" s="438">
        <v>2.2750000000000001E-3</v>
      </c>
      <c r="H1153" s="461">
        <f t="shared" si="217"/>
        <v>2.1916666666666664E-3</v>
      </c>
      <c r="I1153" s="438">
        <v>2.4666666666666669E-3</v>
      </c>
      <c r="J1153" s="438">
        <f t="shared" si="205"/>
        <v>-4.7899999999999998E-2</v>
      </c>
      <c r="K1153" s="461">
        <f t="shared" ref="K1153:L1168" si="218">C1153-H1153</f>
        <v>-4.8691666666666668E-2</v>
      </c>
      <c r="L1153" s="461">
        <f t="shared" si="218"/>
        <v>-6.4161285510676166E-2</v>
      </c>
      <c r="M1153" s="446">
        <f t="shared" si="206"/>
        <v>0.30012009709541876</v>
      </c>
      <c r="N1153" s="446">
        <f t="shared" si="207"/>
        <v>1.6799999999999999E-2</v>
      </c>
      <c r="O1153" s="462">
        <f t="shared" si="211"/>
        <v>2.6299999999999997E-2</v>
      </c>
      <c r="P1153" s="447">
        <f t="shared" si="208"/>
        <v>0.28332009709541878</v>
      </c>
      <c r="Q1153" s="446">
        <f t="shared" si="212"/>
        <v>0.27382009709541877</v>
      </c>
      <c r="R1153" s="462">
        <f t="shared" si="213"/>
        <v>0.10565527076237213</v>
      </c>
      <c r="S1153" s="462">
        <f t="shared" si="214"/>
        <v>2.9600000000000001E-2</v>
      </c>
      <c r="T1153" s="447">
        <f t="shared" si="215"/>
        <v>7.6055270762372132E-2</v>
      </c>
    </row>
    <row r="1154" spans="1:20" x14ac:dyDescent="0.4">
      <c r="A1154" s="442" t="str">
        <f t="shared" si="210"/>
        <v>102021</v>
      </c>
      <c r="B1154" s="460">
        <v>44470</v>
      </c>
      <c r="C1154" s="438">
        <v>7.0099999999999996E-2</v>
      </c>
      <c r="D1154" s="438">
        <v>4.7338249999999998E-2</v>
      </c>
      <c r="E1154" s="438">
        <v>1.5E-3</v>
      </c>
      <c r="F1154" s="438">
        <v>2.2333333333333337E-3</v>
      </c>
      <c r="G1154" s="438">
        <v>2.3833333333333332E-3</v>
      </c>
      <c r="H1154" s="461">
        <f t="shared" si="217"/>
        <v>2.3083333333333332E-3</v>
      </c>
      <c r="I1154" s="438">
        <v>2.575E-3</v>
      </c>
      <c r="J1154" s="438">
        <f t="shared" si="205"/>
        <v>6.8599999999999994E-2</v>
      </c>
      <c r="K1154" s="461">
        <f t="shared" si="218"/>
        <v>6.7791666666666667E-2</v>
      </c>
      <c r="L1154" s="461">
        <f t="shared" si="218"/>
        <v>4.4763249999999997E-2</v>
      </c>
      <c r="M1154" s="446">
        <f t="shared" si="206"/>
        <v>0.4292772918654284</v>
      </c>
      <c r="N1154" s="446">
        <f t="shared" si="207"/>
        <v>1.8000000000000002E-2</v>
      </c>
      <c r="O1154" s="462">
        <f t="shared" si="211"/>
        <v>2.7699999999999999E-2</v>
      </c>
      <c r="P1154" s="447">
        <f t="shared" si="208"/>
        <v>0.41127729186542838</v>
      </c>
      <c r="Q1154" s="446">
        <f t="shared" si="212"/>
        <v>0.4015772918654284</v>
      </c>
      <c r="R1154" s="462">
        <f t="shared" si="213"/>
        <v>0.1024149385097457</v>
      </c>
      <c r="S1154" s="462">
        <f t="shared" si="214"/>
        <v>3.09E-2</v>
      </c>
      <c r="T1154" s="447">
        <f t="shared" si="215"/>
        <v>7.1514938509745704E-2</v>
      </c>
    </row>
    <row r="1155" spans="1:20" x14ac:dyDescent="0.4">
      <c r="A1155" s="442" t="str">
        <f t="shared" si="210"/>
        <v>112021</v>
      </c>
      <c r="B1155" s="460">
        <v>44501</v>
      </c>
      <c r="C1155" s="438">
        <v>-6.8999999999999999E-3</v>
      </c>
      <c r="D1155" s="438">
        <v>-1.6393896390234163E-2</v>
      </c>
      <c r="E1155" s="438">
        <v>1.6999999999999999E-3</v>
      </c>
      <c r="F1155" s="438">
        <v>2.1833333333333336E-3</v>
      </c>
      <c r="G1155" s="438">
        <v>2.3083333333333332E-3</v>
      </c>
      <c r="H1155" s="461">
        <f t="shared" si="217"/>
        <v>2.2458333333333332E-3</v>
      </c>
      <c r="I1155" s="438">
        <v>2.5166666666666666E-3</v>
      </c>
      <c r="J1155" s="438">
        <f t="shared" si="205"/>
        <v>-8.6E-3</v>
      </c>
      <c r="K1155" s="461">
        <f t="shared" si="218"/>
        <v>-9.1458333333333322E-3</v>
      </c>
      <c r="L1155" s="461">
        <f t="shared" si="218"/>
        <v>-1.891056305690083E-2</v>
      </c>
      <c r="M1155" s="446">
        <f t="shared" si="206"/>
        <v>0.27932877742366591</v>
      </c>
      <c r="N1155" s="446">
        <f t="shared" si="207"/>
        <v>2.0399999999999998E-2</v>
      </c>
      <c r="O1155" s="462">
        <f t="shared" si="211"/>
        <v>2.6949999999999998E-2</v>
      </c>
      <c r="P1155" s="447">
        <f t="shared" si="208"/>
        <v>0.25892877742366593</v>
      </c>
      <c r="Q1155" s="446">
        <f t="shared" si="212"/>
        <v>0.25237877742366593</v>
      </c>
      <c r="R1155" s="462">
        <f t="shared" si="213"/>
        <v>7.6427862033716432E-2</v>
      </c>
      <c r="S1155" s="462">
        <f t="shared" si="214"/>
        <v>3.0199999999999998E-2</v>
      </c>
      <c r="T1155" s="447">
        <f t="shared" si="215"/>
        <v>4.6227862033716434E-2</v>
      </c>
    </row>
    <row r="1156" spans="1:20" x14ac:dyDescent="0.4">
      <c r="A1156" s="442" t="str">
        <f t="shared" si="210"/>
        <v>122021</v>
      </c>
      <c r="B1156" s="460">
        <v>44531</v>
      </c>
      <c r="C1156" s="438">
        <v>4.48E-2</v>
      </c>
      <c r="D1156" s="438">
        <v>9.6216364270722721E-2</v>
      </c>
      <c r="E1156" s="438">
        <v>1.5E-3</v>
      </c>
      <c r="F1156" s="438">
        <v>2.2000000000000001E-3</v>
      </c>
      <c r="G1156" s="438">
        <v>2.3083333333333332E-3</v>
      </c>
      <c r="H1156" s="461">
        <f t="shared" si="217"/>
        <v>2.2541666666666665E-3</v>
      </c>
      <c r="I1156" s="438">
        <v>2.5333333333333336E-3</v>
      </c>
      <c r="J1156" s="438">
        <f t="shared" si="205"/>
        <v>4.3299999999999998E-2</v>
      </c>
      <c r="K1156" s="461">
        <f t="shared" si="218"/>
        <v>4.2545833333333331E-2</v>
      </c>
      <c r="L1156" s="461">
        <f t="shared" si="218"/>
        <v>9.3683030937389389E-2</v>
      </c>
      <c r="M1156" s="446">
        <f t="shared" si="206"/>
        <v>0.28721370055108419</v>
      </c>
      <c r="N1156" s="446">
        <f t="shared" si="207"/>
        <v>1.8000000000000002E-2</v>
      </c>
      <c r="O1156" s="462">
        <f t="shared" si="211"/>
        <v>2.7049999999999998E-2</v>
      </c>
      <c r="P1156" s="447">
        <f t="shared" si="208"/>
        <v>0.26921370055108418</v>
      </c>
      <c r="Q1156" s="446">
        <f t="shared" si="212"/>
        <v>0.26016370055108418</v>
      </c>
      <c r="R1156" s="462">
        <f t="shared" si="213"/>
        <v>0.171757391388492</v>
      </c>
      <c r="S1156" s="462">
        <f t="shared" si="214"/>
        <v>3.0400000000000003E-2</v>
      </c>
      <c r="T1156" s="447">
        <f t="shared" si="215"/>
        <v>0.14135739138849199</v>
      </c>
    </row>
    <row r="1157" spans="1:20" x14ac:dyDescent="0.4">
      <c r="A1157" s="442" t="str">
        <f t="shared" si="210"/>
        <v>12022</v>
      </c>
      <c r="B1157" s="460">
        <v>44562</v>
      </c>
      <c r="C1157" s="438">
        <v>-5.1700000000000003E-2</v>
      </c>
      <c r="D1157" s="438">
        <v>-3.2749444684625581E-2</v>
      </c>
      <c r="E1157" s="438">
        <v>1.6999999999999999E-3</v>
      </c>
      <c r="F1157" s="438">
        <v>2.4416666666666666E-3</v>
      </c>
      <c r="G1157" s="438">
        <v>2.5166666666666666E-3</v>
      </c>
      <c r="H1157" s="438">
        <f t="shared" si="217"/>
        <v>2.4791666666666668E-3</v>
      </c>
      <c r="I1157" s="438">
        <v>2.7750000000000001E-3</v>
      </c>
      <c r="J1157" s="438">
        <f t="shared" si="205"/>
        <v>-5.3400000000000003E-2</v>
      </c>
      <c r="K1157" s="438">
        <f t="shared" si="218"/>
        <v>-5.4179166666666667E-2</v>
      </c>
      <c r="L1157" s="438">
        <f t="shared" si="218"/>
        <v>-3.5524444684625581E-2</v>
      </c>
      <c r="M1157" s="446">
        <f t="shared" si="206"/>
        <v>0.23311925672552136</v>
      </c>
      <c r="N1157" s="446">
        <f t="shared" si="207"/>
        <v>2.0399999999999998E-2</v>
      </c>
      <c r="O1157" s="446">
        <f t="shared" si="211"/>
        <v>2.9750000000000002E-2</v>
      </c>
      <c r="P1157" s="447">
        <f t="shared" si="208"/>
        <v>0.21271925672552136</v>
      </c>
      <c r="Q1157" s="446">
        <f t="shared" si="212"/>
        <v>0.20336925672552136</v>
      </c>
      <c r="R1157" s="446">
        <f t="shared" si="213"/>
        <v>0.14384815488477209</v>
      </c>
      <c r="S1157" s="446">
        <f t="shared" si="214"/>
        <v>3.3300000000000003E-2</v>
      </c>
      <c r="T1157" s="447">
        <f t="shared" si="215"/>
        <v>0.1105481548847721</v>
      </c>
    </row>
    <row r="1158" spans="1:20" x14ac:dyDescent="0.4">
      <c r="A1158" s="442" t="str">
        <f t="shared" si="210"/>
        <v>22022</v>
      </c>
      <c r="B1158" s="460">
        <v>44593</v>
      </c>
      <c r="C1158" s="438">
        <v>-2.9899999999999999E-2</v>
      </c>
      <c r="D1158" s="438">
        <v>-3.4091901875676428E-2</v>
      </c>
      <c r="E1158" s="438">
        <v>1.6999999999999999E-3</v>
      </c>
      <c r="F1158" s="438">
        <v>2.708333333333333E-3</v>
      </c>
      <c r="G1158" s="438">
        <v>2.7999999999999995E-3</v>
      </c>
      <c r="H1158" s="438">
        <f t="shared" si="217"/>
        <v>2.754166666666666E-3</v>
      </c>
      <c r="I1158" s="438">
        <v>3.0666666666666672E-3</v>
      </c>
      <c r="J1158" s="438">
        <f t="shared" ref="J1158:J1168" si="219">C1158-E1158</f>
        <v>-3.1599999999999996E-2</v>
      </c>
      <c r="K1158" s="438">
        <f t="shared" si="218"/>
        <v>-3.2654166666666665E-2</v>
      </c>
      <c r="L1158" s="438">
        <f t="shared" si="218"/>
        <v>-3.7158568542343097E-2</v>
      </c>
      <c r="M1158" s="446">
        <f t="shared" si="206"/>
        <v>0.16411929831590877</v>
      </c>
      <c r="N1158" s="446">
        <f t="shared" si="207"/>
        <v>2.0399999999999998E-2</v>
      </c>
      <c r="O1158" s="446">
        <f t="shared" si="211"/>
        <v>3.3049999999999996E-2</v>
      </c>
      <c r="P1158" s="447">
        <f t="shared" si="208"/>
        <v>0.14371929831590877</v>
      </c>
      <c r="Q1158" s="446">
        <f t="shared" si="212"/>
        <v>0.13106929831590877</v>
      </c>
      <c r="R1158" s="446">
        <f t="shared" si="213"/>
        <v>0.17656330046707835</v>
      </c>
      <c r="S1158" s="446">
        <f t="shared" si="214"/>
        <v>3.6800000000000006E-2</v>
      </c>
      <c r="T1158" s="447">
        <f t="shared" si="215"/>
        <v>0.13976330046707836</v>
      </c>
    </row>
    <row r="1159" spans="1:20" x14ac:dyDescent="0.4">
      <c r="A1159" s="442" t="str">
        <f t="shared" si="210"/>
        <v>32022</v>
      </c>
      <c r="B1159" s="460">
        <v>44621</v>
      </c>
      <c r="C1159" s="438">
        <v>3.7100000000000001E-2</v>
      </c>
      <c r="D1159" s="438">
        <v>0.1034017927240516</v>
      </c>
      <c r="E1159" s="438">
        <v>2E-3</v>
      </c>
      <c r="F1159" s="438">
        <v>2.8583333333333334E-3</v>
      </c>
      <c r="G1159" s="438">
        <v>3.0166666666666671E-3</v>
      </c>
      <c r="H1159" s="438">
        <f t="shared" si="217"/>
        <v>2.9375E-3</v>
      </c>
      <c r="I1159" s="438">
        <v>3.3166666666666665E-3</v>
      </c>
      <c r="J1159" s="438">
        <f t="shared" si="219"/>
        <v>3.5099999999999999E-2</v>
      </c>
      <c r="K1159" s="438">
        <f t="shared" si="218"/>
        <v>3.4162499999999998E-2</v>
      </c>
      <c r="L1159" s="438">
        <f t="shared" si="218"/>
        <v>0.10008512605738494</v>
      </c>
      <c r="M1159" s="446">
        <f t="shared" si="206"/>
        <v>0.15664698628418172</v>
      </c>
      <c r="N1159" s="446">
        <f t="shared" si="207"/>
        <v>2.4E-2</v>
      </c>
      <c r="O1159" s="446">
        <f t="shared" si="211"/>
        <v>3.5250000000000004E-2</v>
      </c>
      <c r="P1159" s="447">
        <f t="shared" si="208"/>
        <v>0.13264698628418173</v>
      </c>
      <c r="Q1159" s="446">
        <f t="shared" si="212"/>
        <v>0.12139698628418172</v>
      </c>
      <c r="R1159" s="446">
        <f t="shared" si="213"/>
        <v>0.17487397474619581</v>
      </c>
      <c r="S1159" s="446">
        <f t="shared" si="214"/>
        <v>3.9800000000000002E-2</v>
      </c>
      <c r="T1159" s="447">
        <f t="shared" si="215"/>
        <v>0.13507397474619581</v>
      </c>
    </row>
    <row r="1160" spans="1:20" x14ac:dyDescent="0.4">
      <c r="A1160" s="442" t="str">
        <f t="shared" si="210"/>
        <v>42022</v>
      </c>
      <c r="B1160" s="460">
        <v>44652</v>
      </c>
      <c r="C1160" s="438">
        <v>-8.72E-2</v>
      </c>
      <c r="D1160" s="438">
        <v>-4.2501222696682647E-2</v>
      </c>
      <c r="E1160" s="438">
        <v>2.0999999999999999E-3</v>
      </c>
      <c r="F1160" s="438">
        <v>3.1250000000000002E-3</v>
      </c>
      <c r="G1160" s="438">
        <v>3.2666666666666664E-3</v>
      </c>
      <c r="H1160" s="438">
        <f t="shared" si="217"/>
        <v>3.1958333333333335E-3</v>
      </c>
      <c r="I1160" s="438">
        <v>3.5833333333333333E-3</v>
      </c>
      <c r="J1160" s="438">
        <f t="shared" si="219"/>
        <v>-8.9300000000000004E-2</v>
      </c>
      <c r="K1160" s="438">
        <f t="shared" si="218"/>
        <v>-9.0395833333333328E-2</v>
      </c>
      <c r="L1160" s="438">
        <f t="shared" si="218"/>
        <v>-4.6084556030015981E-2</v>
      </c>
      <c r="M1160" s="446">
        <f t="shared" si="206"/>
        <v>2.2663461934697704E-3</v>
      </c>
      <c r="N1160" s="446">
        <f t="shared" si="207"/>
        <v>2.52E-2</v>
      </c>
      <c r="O1160" s="446">
        <f t="shared" si="211"/>
        <v>3.8350000000000002E-2</v>
      </c>
      <c r="P1160" s="447">
        <f t="shared" si="208"/>
        <v>-2.293365380653023E-2</v>
      </c>
      <c r="Q1160" s="446">
        <f t="shared" si="212"/>
        <v>-3.6083653806530232E-2</v>
      </c>
      <c r="R1160" s="446">
        <f t="shared" si="213"/>
        <v>7.8798983269698919E-2</v>
      </c>
      <c r="S1160" s="446">
        <f t="shared" si="214"/>
        <v>4.2999999999999997E-2</v>
      </c>
      <c r="T1160" s="447">
        <f t="shared" si="215"/>
        <v>3.5798983269698922E-2</v>
      </c>
    </row>
    <row r="1161" spans="1:20" x14ac:dyDescent="0.4">
      <c r="A1161" s="442" t="str">
        <f t="shared" si="210"/>
        <v>52022</v>
      </c>
      <c r="B1161" s="460">
        <v>44682</v>
      </c>
      <c r="C1161" s="438">
        <v>1.8E-3</v>
      </c>
      <c r="D1161" s="438">
        <v>4.3040973370551114E-2</v>
      </c>
      <c r="E1161" s="438">
        <v>2.8E-3</v>
      </c>
      <c r="F1161" s="438">
        <v>3.4416666666666667E-3</v>
      </c>
      <c r="G1161" s="438">
        <v>3.6333333333333335E-3</v>
      </c>
      <c r="H1161" s="438">
        <f t="shared" si="217"/>
        <v>3.5374999999999998E-3</v>
      </c>
      <c r="I1161" s="438">
        <v>3.9583333333333328E-3</v>
      </c>
      <c r="J1161" s="438">
        <f t="shared" si="219"/>
        <v>-1E-3</v>
      </c>
      <c r="K1161" s="438">
        <f t="shared" si="218"/>
        <v>-1.7374999999999999E-3</v>
      </c>
      <c r="L1161" s="438">
        <f t="shared" si="218"/>
        <v>3.9082640037217779E-2</v>
      </c>
      <c r="M1161" s="446">
        <f t="shared" si="206"/>
        <v>-2.9092099139840233E-3</v>
      </c>
      <c r="N1161" s="446">
        <f t="shared" si="207"/>
        <v>3.3599999999999998E-2</v>
      </c>
      <c r="O1161" s="446">
        <f t="shared" si="211"/>
        <v>4.2450000000000002E-2</v>
      </c>
      <c r="P1161" s="447">
        <f t="shared" si="208"/>
        <v>-3.6509209913984021E-2</v>
      </c>
      <c r="Q1161" s="446">
        <f t="shared" si="212"/>
        <v>-4.5359209913984025E-2</v>
      </c>
      <c r="R1161" s="446">
        <f t="shared" si="213"/>
        <v>0.15257994908855488</v>
      </c>
      <c r="S1161" s="446">
        <f t="shared" si="214"/>
        <v>4.7499999999999994E-2</v>
      </c>
      <c r="T1161" s="447">
        <f t="shared" si="215"/>
        <v>0.10507994908855489</v>
      </c>
    </row>
    <row r="1162" spans="1:20" x14ac:dyDescent="0.4">
      <c r="A1162" s="442" t="str">
        <f t="shared" si="210"/>
        <v>62022</v>
      </c>
      <c r="B1162" s="460">
        <v>44713</v>
      </c>
      <c r="C1162" s="438">
        <v>-8.2500000000000004E-2</v>
      </c>
      <c r="D1162" s="438">
        <v>-4.972550324722623E-2</v>
      </c>
      <c r="E1162" s="438">
        <v>2.8E-3</v>
      </c>
      <c r="F1162" s="438">
        <v>3.5333333333333332E-3</v>
      </c>
      <c r="G1162" s="438">
        <v>3.741666666666667E-3</v>
      </c>
      <c r="H1162" s="438">
        <f t="shared" si="217"/>
        <v>3.6375000000000001E-3</v>
      </c>
      <c r="I1162" s="438">
        <v>4.0500000000000006E-3</v>
      </c>
      <c r="J1162" s="438">
        <f t="shared" si="219"/>
        <v>-8.5300000000000001E-2</v>
      </c>
      <c r="K1162" s="438">
        <f t="shared" si="218"/>
        <v>-8.6137500000000006E-2</v>
      </c>
      <c r="L1162" s="438">
        <f t="shared" si="218"/>
        <v>-5.3775503247226228E-2</v>
      </c>
      <c r="M1162" s="446">
        <f t="shared" si="206"/>
        <v>-0.10599941375557553</v>
      </c>
      <c r="N1162" s="446">
        <f t="shared" si="207"/>
        <v>3.3599999999999998E-2</v>
      </c>
      <c r="O1162" s="446">
        <f t="shared" si="211"/>
        <v>4.3650000000000001E-2</v>
      </c>
      <c r="P1162" s="447">
        <f t="shared" si="208"/>
        <v>-0.13959941375557552</v>
      </c>
      <c r="Q1162" s="446">
        <f t="shared" si="212"/>
        <v>-0.14964941375557553</v>
      </c>
      <c r="R1162" s="446">
        <f t="shared" si="213"/>
        <v>0.119481299520245</v>
      </c>
      <c r="S1162" s="446">
        <f t="shared" si="214"/>
        <v>4.8600000000000004E-2</v>
      </c>
      <c r="T1162" s="447">
        <f t="shared" si="215"/>
        <v>7.0881299520244995E-2</v>
      </c>
    </row>
    <row r="1163" spans="1:20" x14ac:dyDescent="0.4">
      <c r="A1163" s="442" t="str">
        <f t="shared" si="210"/>
        <v>72022</v>
      </c>
      <c r="B1163" s="460">
        <v>44743</v>
      </c>
      <c r="C1163" s="438">
        <v>9.2200000000000004E-2</v>
      </c>
      <c r="D1163" s="438">
        <v>5.4986062858527911E-2</v>
      </c>
      <c r="E1163" s="438">
        <v>2.7000000000000001E-3</v>
      </c>
      <c r="F1163" s="438">
        <v>3.3833333333333332E-3</v>
      </c>
      <c r="G1163" s="438">
        <v>3.6416666666666667E-3</v>
      </c>
      <c r="H1163" s="438">
        <f t="shared" si="217"/>
        <v>3.5125E-3</v>
      </c>
      <c r="I1163" s="438">
        <v>3.9833333333333335E-3</v>
      </c>
      <c r="J1163" s="438">
        <f t="shared" si="219"/>
        <v>8.950000000000001E-2</v>
      </c>
      <c r="K1163" s="438">
        <f t="shared" si="218"/>
        <v>8.8687500000000002E-2</v>
      </c>
      <c r="L1163" s="438">
        <f t="shared" si="218"/>
        <v>5.1002729525194579E-2</v>
      </c>
      <c r="M1163" s="446">
        <f t="shared" si="206"/>
        <v>-4.6271302699589567E-2</v>
      </c>
      <c r="N1163" s="446">
        <f t="shared" si="207"/>
        <v>3.2399999999999998E-2</v>
      </c>
      <c r="O1163" s="446">
        <f t="shared" si="211"/>
        <v>4.215E-2</v>
      </c>
      <c r="P1163" s="447">
        <f t="shared" si="208"/>
        <v>-7.8671302699589565E-2</v>
      </c>
      <c r="Q1163" s="446">
        <f t="shared" si="212"/>
        <v>-8.842130269958956E-2</v>
      </c>
      <c r="R1163" s="446">
        <f t="shared" si="213"/>
        <v>0.13716518866232708</v>
      </c>
      <c r="S1163" s="446">
        <f t="shared" si="214"/>
        <v>4.7800000000000002E-2</v>
      </c>
      <c r="T1163" s="447">
        <f t="shared" si="215"/>
        <v>8.9365188662327066E-2</v>
      </c>
    </row>
    <row r="1164" spans="1:20" x14ac:dyDescent="0.4">
      <c r="A1164" s="442" t="str">
        <f t="shared" si="210"/>
        <v>82022</v>
      </c>
      <c r="B1164" s="460">
        <v>44774</v>
      </c>
      <c r="C1164" s="438">
        <v>-4.0800000000000003E-2</v>
      </c>
      <c r="D1164" s="438">
        <v>5.1000000000000004E-3</v>
      </c>
      <c r="E1164" s="438">
        <v>2.8999999999999998E-3</v>
      </c>
      <c r="F1164" s="438">
        <v>3.3916666666666665E-3</v>
      </c>
      <c r="G1164" s="438">
        <v>3.6333333333333335E-3</v>
      </c>
      <c r="H1164" s="438">
        <f t="shared" si="217"/>
        <v>3.5125E-3</v>
      </c>
      <c r="I1164" s="438">
        <v>3.966666666666667E-3</v>
      </c>
      <c r="J1164" s="438">
        <f t="shared" si="219"/>
        <v>-4.3700000000000003E-2</v>
      </c>
      <c r="K1164" s="438">
        <f t="shared" si="218"/>
        <v>-4.4312500000000005E-2</v>
      </c>
      <c r="L1164" s="438">
        <f t="shared" si="218"/>
        <v>1.1333333333333334E-3</v>
      </c>
      <c r="M1164" s="446">
        <f t="shared" si="206"/>
        <v>-0.11217336330497496</v>
      </c>
      <c r="N1164" s="446">
        <f t="shared" si="207"/>
        <v>3.4799999999999998E-2</v>
      </c>
      <c r="O1164" s="446">
        <f t="shared" si="211"/>
        <v>4.215E-2</v>
      </c>
      <c r="P1164" s="447">
        <f t="shared" si="208"/>
        <v>-0.14697336330497496</v>
      </c>
      <c r="Q1164" s="446">
        <f t="shared" si="212"/>
        <v>-0.15432336330497495</v>
      </c>
      <c r="R1164" s="446">
        <f t="shared" si="213"/>
        <v>9.9263515803280633E-2</v>
      </c>
      <c r="S1164" s="446">
        <f t="shared" si="214"/>
        <v>4.7600000000000003E-2</v>
      </c>
      <c r="T1164" s="447">
        <f t="shared" si="215"/>
        <v>5.166351580328063E-2</v>
      </c>
    </row>
    <row r="1165" spans="1:20" x14ac:dyDescent="0.4">
      <c r="A1165" s="442" t="str">
        <f t="shared" si="210"/>
        <v>92022</v>
      </c>
      <c r="B1165" s="460">
        <v>44805</v>
      </c>
      <c r="C1165" s="438">
        <v>-9.2100000000000001E-2</v>
      </c>
      <c r="D1165" s="438">
        <v>-0.1131647994987349</v>
      </c>
      <c r="E1165" s="438">
        <v>2.8999999999999998E-3</v>
      </c>
      <c r="F1165" s="438">
        <v>3.8083333333333337E-3</v>
      </c>
      <c r="G1165" s="438">
        <v>4.0500000000000006E-3</v>
      </c>
      <c r="H1165" s="438">
        <f t="shared" si="217"/>
        <v>3.9291666666666676E-3</v>
      </c>
      <c r="I1165" s="438">
        <v>4.3833333333333328E-3</v>
      </c>
      <c r="J1165" s="438">
        <f t="shared" si="219"/>
        <v>-9.5000000000000001E-2</v>
      </c>
      <c r="K1165" s="438">
        <f t="shared" si="218"/>
        <v>-9.6029166666666665E-2</v>
      </c>
      <c r="L1165" s="438">
        <f t="shared" si="218"/>
        <v>-0.11754813283206823</v>
      </c>
      <c r="M1165" s="446">
        <f t="shared" si="206"/>
        <v>-0.15463261305148013</v>
      </c>
      <c r="N1165" s="446">
        <f t="shared" si="207"/>
        <v>3.4799999999999998E-2</v>
      </c>
      <c r="O1165" s="446">
        <f t="shared" si="211"/>
        <v>4.7150000000000011E-2</v>
      </c>
      <c r="P1165" s="447">
        <f t="shared" si="208"/>
        <v>-0.18943261305148013</v>
      </c>
      <c r="Q1165" s="446">
        <f t="shared" si="212"/>
        <v>-0.20178261305148015</v>
      </c>
      <c r="R1165" s="446">
        <f t="shared" si="213"/>
        <v>3.8964072912056835E-2</v>
      </c>
      <c r="S1165" s="446">
        <f t="shared" si="214"/>
        <v>5.2599999999999994E-2</v>
      </c>
      <c r="T1165" s="447">
        <f t="shared" si="215"/>
        <v>-1.3635927087943159E-2</v>
      </c>
    </row>
    <row r="1166" spans="1:20" x14ac:dyDescent="0.4">
      <c r="A1166" s="442" t="str">
        <f t="shared" si="210"/>
        <v>102022</v>
      </c>
      <c r="B1166" s="460">
        <v>44835</v>
      </c>
      <c r="C1166" s="438">
        <v>8.1000000000000003E-2</v>
      </c>
      <c r="D1166" s="438">
        <v>1.6754063521819712E-2</v>
      </c>
      <c r="E1166" s="438">
        <v>3.5000000000000001E-3</v>
      </c>
      <c r="F1166" s="438">
        <v>4.2500000000000003E-3</v>
      </c>
      <c r="G1166" s="438">
        <v>4.5000000000000005E-3</v>
      </c>
      <c r="H1166" s="438">
        <f t="shared" si="217"/>
        <v>4.3750000000000004E-3</v>
      </c>
      <c r="I1166" s="438">
        <v>4.8999999999999998E-3</v>
      </c>
      <c r="J1166" s="438">
        <f t="shared" si="219"/>
        <v>7.7499999999999999E-2</v>
      </c>
      <c r="K1166" s="438">
        <f t="shared" si="218"/>
        <v>7.6624999999999999E-2</v>
      </c>
      <c r="L1166" s="438">
        <f t="shared" si="218"/>
        <v>1.1854063521819712E-2</v>
      </c>
      <c r="M1166" s="446">
        <f t="shared" si="206"/>
        <v>-0.1460217313416039</v>
      </c>
      <c r="N1166" s="446">
        <f t="shared" si="207"/>
        <v>4.2000000000000003E-2</v>
      </c>
      <c r="O1166" s="446">
        <f t="shared" si="211"/>
        <v>5.2500000000000005E-2</v>
      </c>
      <c r="P1166" s="447">
        <f t="shared" si="208"/>
        <v>-0.18802173134160391</v>
      </c>
      <c r="Q1166" s="446">
        <f t="shared" si="212"/>
        <v>-0.19852173134160389</v>
      </c>
      <c r="R1166" s="446">
        <f t="shared" si="213"/>
        <v>8.624427673213253E-3</v>
      </c>
      <c r="S1166" s="446">
        <f t="shared" si="214"/>
        <v>5.8799999999999998E-2</v>
      </c>
      <c r="T1166" s="447">
        <f t="shared" si="215"/>
        <v>-5.0175572326786745E-2</v>
      </c>
    </row>
    <row r="1167" spans="1:20" x14ac:dyDescent="0.4">
      <c r="A1167" s="442" t="str">
        <f t="shared" si="210"/>
        <v>112022</v>
      </c>
      <c r="B1167" s="460">
        <v>44866</v>
      </c>
      <c r="C1167" s="438">
        <v>5.5899999999999998E-2</v>
      </c>
      <c r="D1167" s="438">
        <v>6.9878999321193083E-2</v>
      </c>
      <c r="E1167" s="438">
        <v>3.5999999999999999E-3</v>
      </c>
      <c r="F1167" s="438">
        <v>4.0833333333333338E-3</v>
      </c>
      <c r="G1167" s="438">
        <v>4.3583333333333339E-3</v>
      </c>
      <c r="H1167" s="438">
        <f>AVERAGE(F1167:G1167)</f>
        <v>4.2208333333333334E-3</v>
      </c>
      <c r="I1167" s="438">
        <v>4.7916666666666672E-3</v>
      </c>
      <c r="J1167" s="438">
        <f t="shared" si="219"/>
        <v>5.2299999999999999E-2</v>
      </c>
      <c r="K1167" s="438">
        <f t="shared" si="218"/>
        <v>5.1679166666666665E-2</v>
      </c>
      <c r="L1167" s="438">
        <f t="shared" si="218"/>
        <v>6.5087332654526417E-2</v>
      </c>
      <c r="M1167" s="446">
        <f t="shared" si="206"/>
        <v>-9.2019279149732736E-2</v>
      </c>
      <c r="N1167" s="446">
        <f t="shared" si="207"/>
        <v>4.3200000000000002E-2</v>
      </c>
      <c r="O1167" s="446">
        <f t="shared" si="211"/>
        <v>5.0650000000000001E-2</v>
      </c>
      <c r="P1167" s="447">
        <f t="shared" si="208"/>
        <v>-0.13521927914973275</v>
      </c>
      <c r="Q1167" s="446">
        <f t="shared" si="212"/>
        <v>-0.14266927914973274</v>
      </c>
      <c r="R1167" s="446">
        <f t="shared" si="213"/>
        <v>9.7091701047486323E-2</v>
      </c>
      <c r="S1167" s="446">
        <f t="shared" si="214"/>
        <v>5.7500000000000009E-2</v>
      </c>
      <c r="T1167" s="447">
        <f t="shared" si="215"/>
        <v>3.9591701047486313E-2</v>
      </c>
    </row>
    <row r="1168" spans="1:20" x14ac:dyDescent="0.4">
      <c r="A1168" s="442" t="str">
        <f t="shared" si="210"/>
        <v>122022</v>
      </c>
      <c r="B1168" s="460">
        <v>44896</v>
      </c>
      <c r="C1168" s="438">
        <v>-5.7599999999999998E-2</v>
      </c>
      <c r="D1168" s="438">
        <v>-4.9005438196876444E-3</v>
      </c>
      <c r="E1168" s="438">
        <v>3.3E-3</v>
      </c>
      <c r="F1168" s="438">
        <v>3.6749999999999999E-3</v>
      </c>
      <c r="G1168" s="438">
        <v>3.9583333333333328E-3</v>
      </c>
      <c r="H1168" s="438">
        <f>AVERAGE(F1168:G1168)</f>
        <v>3.8166666666666661E-3</v>
      </c>
      <c r="I1168" s="438">
        <v>4.3916666666666661E-3</v>
      </c>
      <c r="J1168" s="438">
        <f t="shared" si="219"/>
        <v>-6.0899999999999996E-2</v>
      </c>
      <c r="K1168" s="438">
        <f t="shared" si="218"/>
        <v>-6.1416666666666661E-2</v>
      </c>
      <c r="L1168" s="438">
        <f t="shared" si="218"/>
        <v>-9.2922104863543097E-3</v>
      </c>
      <c r="M1168" s="446">
        <f t="shared" ref="M1168" si="220">((1+C1157)*(1+C1158)*(1+C1159)*(1+C1160)*(1+C1161)*(1+C1162)*(1+C1163)*(1+C1164)*(1+C1165)*(1+C1166)*(1+C1167)*(1+C1168))-1</f>
        <v>-0.1810097326480743</v>
      </c>
      <c r="N1168" s="446">
        <f t="shared" ref="N1168" si="221">E1168*12</f>
        <v>3.9599999999999996E-2</v>
      </c>
      <c r="O1168" s="446">
        <f t="shared" si="211"/>
        <v>4.5799999999999993E-2</v>
      </c>
      <c r="P1168" s="447">
        <f t="shared" ref="P1168" si="222">M1168-N1168</f>
        <v>-0.22060973264807429</v>
      </c>
      <c r="Q1168" s="446">
        <f t="shared" si="212"/>
        <v>-0.2268097326480743</v>
      </c>
      <c r="R1168" s="446">
        <f t="shared" si="213"/>
        <v>-4.105949632881023E-3</v>
      </c>
      <c r="S1168" s="446">
        <f t="shared" si="214"/>
        <v>5.2699999999999997E-2</v>
      </c>
      <c r="T1168" s="447">
        <f t="shared" si="215"/>
        <v>-5.680594963288102E-2</v>
      </c>
    </row>
  </sheetData>
  <mergeCells count="1">
    <mergeCell ref="J1:K3"/>
  </mergeCells>
  <pageMargins left="0.7" right="0.7" top="0.75" bottom="0.75" header="0.3" footer="0.3"/>
  <pageSetup scale="4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F80D6-3A42-40B7-9315-F8419ED9D24F}">
  <dimension ref="A1:HL154"/>
  <sheetViews>
    <sheetView zoomScale="70" zoomScaleNormal="85" workbookViewId="0">
      <selection sqref="A1:H1"/>
    </sheetView>
  </sheetViews>
  <sheetFormatPr defaultColWidth="9.15234375" defaultRowHeight="12.9" x14ac:dyDescent="0.35"/>
  <cols>
    <col min="1" max="1" width="35.3828125" style="406" bestFit="1" customWidth="1"/>
    <col min="2" max="2" width="19.15234375" style="406" bestFit="1" customWidth="1"/>
    <col min="3" max="3" width="20.3828125" style="406" customWidth="1"/>
    <col min="4" max="4" width="2.84375" style="406" customWidth="1"/>
    <col min="5" max="5" width="20.3828125" style="406" customWidth="1"/>
    <col min="6" max="6" width="2.84375" style="406" customWidth="1"/>
    <col min="7" max="7" width="19.15234375" style="406" customWidth="1"/>
    <col min="8" max="8" width="3.15234375" style="406" customWidth="1"/>
    <col min="9" max="9" width="19.15234375" style="406" customWidth="1"/>
    <col min="10" max="10" width="2.84375" style="406" customWidth="1"/>
    <col min="11" max="11" width="19.15234375" style="406" customWidth="1"/>
    <col min="12" max="12" width="2.3046875" style="406" customWidth="1"/>
    <col min="13" max="13" width="18.3046875" style="406" bestFit="1" customWidth="1"/>
    <col min="14" max="14" width="9.15234375" style="406"/>
    <col min="15" max="15" width="58.69140625" style="406" bestFit="1" customWidth="1"/>
    <col min="16" max="16" width="11.84375" style="406" customWidth="1"/>
    <col min="17" max="17" width="2.84375" style="406" customWidth="1"/>
    <col min="18" max="18" width="11.84375" style="406" customWidth="1"/>
    <col min="19" max="19" width="2.84375" style="406" customWidth="1"/>
    <col min="20" max="20" width="11.84375" style="406" customWidth="1"/>
    <col min="21" max="21" width="3.15234375" style="406" customWidth="1"/>
    <col min="22" max="22" width="11.84375" style="406" customWidth="1"/>
    <col min="23" max="23" width="3.53515625" style="406" customWidth="1"/>
    <col min="24" max="24" width="11.84375" style="406" customWidth="1"/>
    <col min="25" max="25" width="3.3046875" style="406" bestFit="1" customWidth="1"/>
    <col min="26" max="26" width="8.15234375" style="406" bestFit="1" customWidth="1"/>
    <col min="27" max="27" width="3.3046875" style="406" bestFit="1" customWidth="1"/>
    <col min="28" max="28" width="9.15234375" style="406"/>
    <col min="29" max="29" width="4.3828125" style="406" customWidth="1"/>
    <col min="30" max="30" width="3.69140625" style="406" customWidth="1"/>
    <col min="31" max="31" width="22.3046875" style="406" customWidth="1"/>
    <col min="32" max="219" width="9.15234375" style="406"/>
    <col min="220" max="220" width="25.84375" style="406" bestFit="1" customWidth="1"/>
    <col min="221" max="16384" width="9.15234375" style="406"/>
  </cols>
  <sheetData>
    <row r="1" spans="1:27" ht="16.2" customHeight="1" x14ac:dyDescent="0.35"/>
    <row r="2" spans="1:27" ht="16.2" customHeight="1" x14ac:dyDescent="0.35"/>
    <row r="3" spans="1:27" ht="16.2" customHeight="1" x14ac:dyDescent="0.35"/>
    <row r="4" spans="1:27" ht="16.2" customHeight="1" thickBot="1" x14ac:dyDescent="0.45">
      <c r="C4" s="408"/>
      <c r="E4" s="408"/>
    </row>
    <row r="5" spans="1:27" ht="16.75" x14ac:dyDescent="0.65">
      <c r="A5" s="407" t="s">
        <v>3122</v>
      </c>
      <c r="C5" s="408"/>
      <c r="E5" s="408"/>
    </row>
    <row r="6" spans="1:27" ht="13.3" thickBot="1" x14ac:dyDescent="0.4">
      <c r="A6" s="409" t="s">
        <v>1433</v>
      </c>
      <c r="C6" s="958" t="s">
        <v>3123</v>
      </c>
      <c r="D6" s="958"/>
      <c r="E6" s="958"/>
      <c r="F6" s="958"/>
      <c r="G6" s="958"/>
      <c r="H6" s="958"/>
      <c r="I6" s="958"/>
      <c r="J6" s="958"/>
      <c r="K6" s="958"/>
      <c r="L6" s="958"/>
      <c r="M6" s="958"/>
      <c r="O6" s="423" t="str">
        <f>C6</f>
        <v xml:space="preserve">Amer. States Water  </v>
      </c>
      <c r="P6" s="423"/>
      <c r="Q6" s="423"/>
      <c r="R6" s="423"/>
      <c r="S6" s="423"/>
      <c r="T6" s="423"/>
      <c r="U6" s="423"/>
      <c r="V6" s="423"/>
      <c r="W6" s="412"/>
      <c r="X6" s="412"/>
      <c r="Y6" s="412"/>
      <c r="Z6" s="412"/>
    </row>
    <row r="7" spans="1:27" x14ac:dyDescent="0.35">
      <c r="C7" s="959" t="s">
        <v>3124</v>
      </c>
      <c r="D7" s="959"/>
      <c r="E7" s="959"/>
      <c r="F7" s="959"/>
      <c r="G7" s="959"/>
      <c r="H7" s="959"/>
      <c r="I7" s="959"/>
      <c r="J7" s="959"/>
      <c r="K7" s="959"/>
      <c r="L7" s="959"/>
      <c r="M7" s="959"/>
      <c r="O7" s="412" t="str">
        <f>C7</f>
        <v>CAPITALIZATION AND FINANCIAL STATISTICS  (1)</v>
      </c>
      <c r="P7" s="412"/>
      <c r="Q7" s="412"/>
      <c r="R7" s="412"/>
      <c r="S7" s="412"/>
      <c r="T7" s="412"/>
      <c r="U7" s="412"/>
      <c r="V7" s="412"/>
      <c r="W7" s="412"/>
      <c r="X7" s="412"/>
      <c r="Y7" s="412"/>
      <c r="Z7" s="412"/>
    </row>
    <row r="8" spans="1:27" ht="14.5" customHeight="1" x14ac:dyDescent="0.35">
      <c r="C8" s="959" t="s">
        <v>3125</v>
      </c>
      <c r="D8" s="959"/>
      <c r="E8" s="959"/>
      <c r="F8" s="959"/>
      <c r="G8" s="959"/>
      <c r="H8" s="959"/>
      <c r="I8" s="959"/>
      <c r="J8" s="959"/>
      <c r="K8" s="959"/>
      <c r="L8" s="959"/>
      <c r="M8" s="959"/>
      <c r="O8" s="411" t="str">
        <f>C8</f>
        <v>2018 - 2022, Inclusive</v>
      </c>
      <c r="P8" s="411"/>
      <c r="Q8" s="411"/>
      <c r="R8" s="411"/>
      <c r="S8" s="411"/>
      <c r="T8" s="411"/>
      <c r="U8" s="411"/>
      <c r="V8" s="411"/>
      <c r="W8" s="412"/>
      <c r="X8" s="412"/>
      <c r="Y8" s="412"/>
      <c r="Z8" s="412"/>
    </row>
    <row r="9" spans="1:27" x14ac:dyDescent="0.35">
      <c r="O9" s="412"/>
      <c r="P9" s="412"/>
      <c r="Q9" s="412"/>
      <c r="R9" s="412"/>
      <c r="S9" s="412"/>
      <c r="T9" s="412"/>
      <c r="U9" s="412"/>
      <c r="V9" s="412"/>
      <c r="W9" s="412"/>
      <c r="X9" s="411"/>
      <c r="Y9" s="412"/>
      <c r="Z9" s="412"/>
    </row>
    <row r="10" spans="1:27" x14ac:dyDescent="0.35">
      <c r="B10" s="406" t="s">
        <v>3126</v>
      </c>
      <c r="C10" s="413">
        <v>2022</v>
      </c>
      <c r="E10" s="413">
        <v>2021</v>
      </c>
      <c r="G10" s="413">
        <v>2020</v>
      </c>
      <c r="I10" s="413">
        <v>2019</v>
      </c>
      <c r="K10" s="413">
        <v>2018</v>
      </c>
      <c r="M10" s="413">
        <v>2017</v>
      </c>
      <c r="X10" s="411"/>
      <c r="Y10" s="412"/>
    </row>
    <row r="11" spans="1:27" x14ac:dyDescent="0.35">
      <c r="A11" s="406" t="s">
        <v>3127</v>
      </c>
    </row>
    <row r="12" spans="1:27" x14ac:dyDescent="0.35">
      <c r="A12" s="406" t="s">
        <v>3128</v>
      </c>
      <c r="B12" s="406" t="s">
        <v>3129</v>
      </c>
      <c r="C12" s="432">
        <f>446547000+399000</f>
        <v>446946000</v>
      </c>
      <c r="E12" s="433">
        <f>412176000+377000</f>
        <v>412553000</v>
      </c>
      <c r="G12" s="433">
        <f>440348000+358000</f>
        <v>440706000</v>
      </c>
      <c r="I12" s="433">
        <f>280996000+344000</f>
        <v>281340000</v>
      </c>
      <c r="K12" s="414">
        <f>281087000+40320000</f>
        <v>321407000</v>
      </c>
      <c r="M12" s="414">
        <f>321039000+324000</f>
        <v>321363000</v>
      </c>
      <c r="P12" s="413">
        <f>C10</f>
        <v>2022</v>
      </c>
      <c r="R12" s="413">
        <f>E10</f>
        <v>2021</v>
      </c>
      <c r="T12" s="413">
        <f>G10</f>
        <v>2020</v>
      </c>
      <c r="U12" s="413"/>
      <c r="V12" s="413">
        <f>I10</f>
        <v>2019</v>
      </c>
      <c r="W12" s="413"/>
      <c r="X12" s="413">
        <f>K10</f>
        <v>2018</v>
      </c>
      <c r="Y12" s="387"/>
      <c r="Z12" s="388"/>
      <c r="AA12" s="388"/>
    </row>
    <row r="13" spans="1:27" x14ac:dyDescent="0.35">
      <c r="A13" s="406" t="s">
        <v>3130</v>
      </c>
      <c r="B13" s="406" t="s">
        <v>3131</v>
      </c>
      <c r="C13" s="414">
        <v>0</v>
      </c>
      <c r="E13" s="414">
        <v>0</v>
      </c>
      <c r="G13" s="414">
        <v>0</v>
      </c>
      <c r="I13" s="414">
        <v>0</v>
      </c>
      <c r="K13" s="414">
        <v>0</v>
      </c>
      <c r="M13" s="414">
        <v>0</v>
      </c>
      <c r="T13" s="960" t="s">
        <v>3132</v>
      </c>
      <c r="U13" s="960"/>
      <c r="V13" s="960"/>
      <c r="W13" s="960"/>
      <c r="X13" s="960"/>
      <c r="Y13" s="960"/>
      <c r="Z13" s="389" t="s">
        <v>1570</v>
      </c>
      <c r="AA13" s="388"/>
    </row>
    <row r="14" spans="1:27" x14ac:dyDescent="0.35">
      <c r="M14" s="414"/>
      <c r="O14" s="410" t="s">
        <v>3133</v>
      </c>
      <c r="P14" s="410"/>
      <c r="Q14" s="410"/>
      <c r="R14" s="410"/>
      <c r="S14" s="410"/>
      <c r="T14" s="410"/>
      <c r="U14" s="410"/>
      <c r="V14" s="410"/>
      <c r="W14" s="410"/>
      <c r="X14" s="388"/>
      <c r="Y14" s="388"/>
      <c r="Z14" s="388"/>
      <c r="AA14" s="388"/>
    </row>
    <row r="15" spans="1:27" x14ac:dyDescent="0.35">
      <c r="A15" s="406" t="s">
        <v>3134</v>
      </c>
      <c r="B15" s="406" t="s">
        <v>3135</v>
      </c>
      <c r="C15" s="414">
        <v>36962241</v>
      </c>
      <c r="E15" s="414">
        <v>36936285</v>
      </c>
      <c r="G15" s="414">
        <v>36889103</v>
      </c>
      <c r="I15" s="414">
        <v>36846614</v>
      </c>
      <c r="K15" s="414">
        <v>36757842</v>
      </c>
      <c r="M15" s="414">
        <v>36680794</v>
      </c>
      <c r="X15" s="388"/>
      <c r="Y15" s="388"/>
      <c r="Z15" s="388"/>
      <c r="AA15" s="388"/>
    </row>
    <row r="16" spans="1:27" x14ac:dyDescent="0.35">
      <c r="A16" s="406" t="s">
        <v>1162</v>
      </c>
      <c r="B16" s="406" t="s">
        <v>3136</v>
      </c>
      <c r="C16" s="414">
        <v>709549000</v>
      </c>
      <c r="E16" s="414">
        <v>685947000</v>
      </c>
      <c r="G16" s="414">
        <v>641673000</v>
      </c>
      <c r="I16" s="414">
        <v>601530000</v>
      </c>
      <c r="K16" s="414">
        <v>558223000</v>
      </c>
      <c r="M16" s="414">
        <v>529945000</v>
      </c>
      <c r="O16" s="410" t="s">
        <v>3137</v>
      </c>
      <c r="P16" s="410"/>
      <c r="Q16" s="410"/>
      <c r="R16" s="410"/>
      <c r="S16" s="410"/>
      <c r="T16" s="410"/>
      <c r="U16" s="410"/>
      <c r="V16" s="410"/>
      <c r="W16" s="410"/>
      <c r="X16" s="388"/>
      <c r="Y16" s="388"/>
      <c r="Z16" s="388"/>
      <c r="AA16" s="388"/>
    </row>
    <row r="17" spans="1:27" x14ac:dyDescent="0.35">
      <c r="A17" s="406" t="s">
        <v>3138</v>
      </c>
      <c r="B17" s="406" t="s">
        <v>3135</v>
      </c>
      <c r="C17" s="414">
        <v>0</v>
      </c>
      <c r="E17" s="414">
        <v>0</v>
      </c>
      <c r="G17" s="414">
        <v>0</v>
      </c>
      <c r="I17" s="414">
        <v>0</v>
      </c>
      <c r="K17" s="414">
        <v>0</v>
      </c>
      <c r="M17" s="414">
        <v>0</v>
      </c>
      <c r="O17" s="406" t="s">
        <v>3139</v>
      </c>
      <c r="P17" s="393">
        <f>C50/1000000</f>
        <v>1156.4949999999999</v>
      </c>
      <c r="R17" s="393">
        <f>E50/1000000</f>
        <v>1098.5</v>
      </c>
      <c r="T17" s="393">
        <f>G50/1000000</f>
        <v>1082.3789999999999</v>
      </c>
      <c r="V17" s="393">
        <f>I50/1000000</f>
        <v>882.87</v>
      </c>
      <c r="X17" s="393">
        <f>K50/1000000</f>
        <v>879.63</v>
      </c>
      <c r="Y17" s="393"/>
      <c r="Z17" s="388"/>
      <c r="AA17" s="388"/>
    </row>
    <row r="18" spans="1:27" x14ac:dyDescent="0.35">
      <c r="M18" s="414"/>
      <c r="O18" s="406" t="s">
        <v>3140</v>
      </c>
      <c r="P18" s="394">
        <f>C19/1000000</f>
        <v>22</v>
      </c>
      <c r="R18" s="394">
        <f>E19/1000000</f>
        <v>174.5</v>
      </c>
      <c r="T18" s="394">
        <f>G19/1000000</f>
        <v>134.19999999999999</v>
      </c>
      <c r="V18" s="394">
        <f>I19/1000000</f>
        <v>200</v>
      </c>
      <c r="X18" s="394">
        <f>K19/1000000</f>
        <v>95.5</v>
      </c>
      <c r="Y18" s="393"/>
      <c r="Z18" s="388"/>
      <c r="AA18" s="388"/>
    </row>
    <row r="19" spans="1:27" x14ac:dyDescent="0.35">
      <c r="A19" s="406" t="s">
        <v>3141</v>
      </c>
      <c r="B19" s="406" t="s">
        <v>3142</v>
      </c>
      <c r="C19" s="414">
        <v>22000000</v>
      </c>
      <c r="E19" s="414">
        <v>174500000</v>
      </c>
      <c r="G19" s="414">
        <v>134200000</v>
      </c>
      <c r="I19" s="414">
        <v>200000000</v>
      </c>
      <c r="K19" s="414">
        <v>95500000</v>
      </c>
      <c r="M19" s="414">
        <v>59000000</v>
      </c>
      <c r="O19" s="406" t="s">
        <v>3143</v>
      </c>
      <c r="P19" s="395">
        <f>SUM(P17:P18)</f>
        <v>1178.4949999999999</v>
      </c>
      <c r="R19" s="395">
        <f>SUM(R17:R18)</f>
        <v>1273</v>
      </c>
      <c r="T19" s="395">
        <f>SUM(T17:T18)</f>
        <v>1216.579</v>
      </c>
      <c r="V19" s="395">
        <f>SUM(V17:V18)</f>
        <v>1082.8699999999999</v>
      </c>
      <c r="X19" s="395">
        <f>SUM(X17:X18)</f>
        <v>975.13</v>
      </c>
      <c r="Y19" s="393"/>
      <c r="Z19" s="388"/>
      <c r="AA19" s="388"/>
    </row>
    <row r="20" spans="1:27" x14ac:dyDescent="0.35">
      <c r="M20" s="414"/>
      <c r="P20" s="388"/>
      <c r="R20" s="388"/>
      <c r="T20" s="388"/>
      <c r="V20" s="388"/>
      <c r="X20" s="388"/>
      <c r="Y20" s="388"/>
      <c r="Z20" s="388"/>
      <c r="AA20" s="388"/>
    </row>
    <row r="21" spans="1:27" x14ac:dyDescent="0.35">
      <c r="A21" s="406" t="s">
        <v>3144</v>
      </c>
      <c r="B21" s="406" t="s">
        <v>3145</v>
      </c>
      <c r="C21" s="414">
        <v>2.11</v>
      </c>
      <c r="E21" s="414">
        <v>2.5499999999999998</v>
      </c>
      <c r="G21" s="414">
        <v>2.33</v>
      </c>
      <c r="I21" s="414">
        <v>2.2799999999999998</v>
      </c>
      <c r="K21" s="414">
        <v>1.72</v>
      </c>
      <c r="M21" s="414">
        <v>1.88</v>
      </c>
      <c r="O21" s="410" t="s">
        <v>3146</v>
      </c>
      <c r="P21" s="388"/>
      <c r="Q21" s="410"/>
      <c r="R21" s="388"/>
      <c r="S21" s="410"/>
      <c r="T21" s="388"/>
      <c r="U21" s="410"/>
      <c r="V21" s="388"/>
      <c r="W21" s="410"/>
      <c r="X21" s="388"/>
      <c r="Y21" s="388"/>
      <c r="Z21" s="388"/>
      <c r="AA21" s="388"/>
    </row>
    <row r="22" spans="1:27" x14ac:dyDescent="0.35">
      <c r="A22" s="406" t="s">
        <v>3147</v>
      </c>
      <c r="B22" s="406" t="s">
        <v>1524</v>
      </c>
      <c r="C22" s="433">
        <v>102.8</v>
      </c>
      <c r="E22" s="406">
        <v>103.44</v>
      </c>
      <c r="G22" s="406">
        <v>93.85</v>
      </c>
      <c r="I22" s="434">
        <v>95.13</v>
      </c>
      <c r="K22" s="434">
        <v>69.19</v>
      </c>
      <c r="M22" s="414">
        <v>57.91</v>
      </c>
      <c r="O22" s="406" t="s">
        <v>3148</v>
      </c>
      <c r="P22" s="396">
        <f>(ROUND((C30/(AVERAGE(C54,E54))*100),2))</f>
        <v>5.12</v>
      </c>
      <c r="Q22" s="397" t="s">
        <v>1197</v>
      </c>
      <c r="R22" s="396">
        <f>(ROUND((E30/(AVERAGE(E54,G54))*100),2))</f>
        <v>3.93</v>
      </c>
      <c r="S22" s="397" t="s">
        <v>1197</v>
      </c>
      <c r="T22" s="396">
        <f>(ROUND((G30/(AVERAGE(G54,I54))*100),2))</f>
        <v>4.2699999999999996</v>
      </c>
      <c r="U22" s="397" t="s">
        <v>1197</v>
      </c>
      <c r="V22" s="396">
        <f>(ROUND((I30/(AVERAGE(I54,K54))*100),2))</f>
        <v>5.47</v>
      </c>
      <c r="W22" s="397" t="s">
        <v>1197</v>
      </c>
      <c r="X22" s="396">
        <f>(ROUND((K30/(AVERAGE(K54,M54))*100),2))</f>
        <v>5.88</v>
      </c>
      <c r="Y22" s="397" t="s">
        <v>1197</v>
      </c>
      <c r="Z22" s="390"/>
      <c r="AA22" s="388"/>
    </row>
    <row r="23" spans="1:27" x14ac:dyDescent="0.35">
      <c r="A23" s="406" t="s">
        <v>3149</v>
      </c>
      <c r="B23" s="406" t="s">
        <v>1524</v>
      </c>
      <c r="C23" s="433">
        <v>71.430000000000007</v>
      </c>
      <c r="E23" s="406">
        <v>70.64</v>
      </c>
      <c r="G23" s="406">
        <v>65.41</v>
      </c>
      <c r="I23" s="434">
        <v>63.35</v>
      </c>
      <c r="K23" s="434">
        <v>50.34</v>
      </c>
      <c r="M23" s="414">
        <v>41.22</v>
      </c>
      <c r="O23" s="406" t="s">
        <v>3150</v>
      </c>
      <c r="P23" s="396"/>
      <c r="Q23" s="397"/>
      <c r="R23" s="396"/>
      <c r="S23" s="397"/>
      <c r="T23" s="396"/>
      <c r="U23" s="397"/>
      <c r="V23" s="396"/>
      <c r="W23" s="397"/>
      <c r="X23" s="396"/>
      <c r="Y23" s="397"/>
      <c r="Z23" s="388"/>
      <c r="AA23" s="388"/>
    </row>
    <row r="24" spans="1:27" x14ac:dyDescent="0.35">
      <c r="M24" s="414"/>
      <c r="P24" s="388"/>
      <c r="Q24" s="388"/>
      <c r="R24" s="388"/>
      <c r="S24" s="388"/>
      <c r="T24" s="388"/>
      <c r="U24" s="388"/>
      <c r="V24" s="388"/>
      <c r="W24" s="388"/>
      <c r="X24" s="388"/>
      <c r="Y24" s="388"/>
      <c r="Z24" s="957" t="s">
        <v>1195</v>
      </c>
      <c r="AA24" s="957"/>
    </row>
    <row r="25" spans="1:27" x14ac:dyDescent="0.35">
      <c r="M25" s="414"/>
      <c r="O25" s="410" t="s">
        <v>3151</v>
      </c>
      <c r="P25" s="388"/>
      <c r="Q25" s="388"/>
      <c r="R25" s="388"/>
      <c r="S25" s="388"/>
      <c r="T25" s="388"/>
      <c r="U25" s="388"/>
      <c r="V25" s="388"/>
      <c r="W25" s="388"/>
      <c r="X25" s="388"/>
      <c r="Y25" s="388"/>
      <c r="Z25" s="957" t="s">
        <v>1196</v>
      </c>
      <c r="AA25" s="957"/>
    </row>
    <row r="26" spans="1:27" x14ac:dyDescent="0.35">
      <c r="A26" s="406" t="s">
        <v>3152</v>
      </c>
      <c r="B26" s="406" t="s">
        <v>1524</v>
      </c>
      <c r="C26" s="414">
        <v>1.59</v>
      </c>
      <c r="E26" s="414">
        <v>1.4</v>
      </c>
      <c r="G26" s="414">
        <v>1.28</v>
      </c>
      <c r="I26" s="414">
        <v>1.1599999999999999</v>
      </c>
      <c r="K26" s="414">
        <v>1.06</v>
      </c>
      <c r="M26" s="414">
        <v>0.99399999999999999</v>
      </c>
      <c r="O26" s="406" t="s">
        <v>3153</v>
      </c>
      <c r="P26" s="388"/>
      <c r="Q26" s="388"/>
      <c r="R26" s="388"/>
      <c r="S26" s="388"/>
      <c r="T26" s="388"/>
      <c r="U26" s="388"/>
      <c r="V26" s="388"/>
      <c r="W26" s="388"/>
      <c r="X26" s="388"/>
      <c r="Y26" s="388"/>
      <c r="Z26" s="388"/>
      <c r="AA26" s="388"/>
    </row>
    <row r="27" spans="1:27" x14ac:dyDescent="0.35">
      <c r="M27" s="414"/>
      <c r="O27" s="406" t="s">
        <v>3154</v>
      </c>
      <c r="P27" s="396">
        <f>ROUND(((C12/C50)*100),2)</f>
        <v>38.65</v>
      </c>
      <c r="Q27" s="397" t="s">
        <v>1197</v>
      </c>
      <c r="R27" s="396">
        <f>ROUND(((E12/E50)*100),2)</f>
        <v>37.56</v>
      </c>
      <c r="S27" s="397" t="s">
        <v>1197</v>
      </c>
      <c r="T27" s="396">
        <f>ROUND(((G12/G50)*100),2)</f>
        <v>40.72</v>
      </c>
      <c r="U27" s="397" t="s">
        <v>1197</v>
      </c>
      <c r="V27" s="396">
        <f>ROUND(((I12/I50)*100),2)</f>
        <v>31.87</v>
      </c>
      <c r="W27" s="397" t="s">
        <v>1197</v>
      </c>
      <c r="X27" s="396">
        <f>ROUND(((K12/K50)*100),2)</f>
        <v>36.54</v>
      </c>
      <c r="Y27" s="397" t="s">
        <v>1197</v>
      </c>
      <c r="Z27" s="396">
        <f>ROUND(AVERAGE(P27:Y27),2)</f>
        <v>37.07</v>
      </c>
      <c r="AA27" s="397" t="s">
        <v>1197</v>
      </c>
    </row>
    <row r="28" spans="1:27" x14ac:dyDescent="0.35">
      <c r="A28" s="406" t="s">
        <v>3155</v>
      </c>
      <c r="B28" s="406" t="s">
        <v>3155</v>
      </c>
      <c r="C28" s="414">
        <v>106000</v>
      </c>
      <c r="E28" s="414">
        <v>216000</v>
      </c>
      <c r="G28" s="414">
        <v>200000</v>
      </c>
      <c r="I28" s="414">
        <v>0</v>
      </c>
      <c r="K28" s="414">
        <v>156000</v>
      </c>
      <c r="M28" s="414">
        <v>0</v>
      </c>
      <c r="O28" s="406" t="s">
        <v>3156</v>
      </c>
      <c r="P28" s="396">
        <f>ROUND(((SUM(C13,C17)/C50)*100),2)</f>
        <v>0</v>
      </c>
      <c r="Q28" s="397"/>
      <c r="R28" s="396">
        <f>ROUND(((SUM(E13,E17)/E50)*100),2)</f>
        <v>0</v>
      </c>
      <c r="S28" s="397"/>
      <c r="T28" s="396">
        <f>ROUND(((SUM(G13,G17)/G50)*100),2)</f>
        <v>0</v>
      </c>
      <c r="U28" s="397"/>
      <c r="V28" s="396">
        <f>ROUND(((SUM(I13,I17)/I50)*100),2)</f>
        <v>0</v>
      </c>
      <c r="W28" s="397"/>
      <c r="X28" s="396">
        <f>ROUND(((SUM(K13,K17)/K50)*100),2)</f>
        <v>0</v>
      </c>
      <c r="Y28" s="397"/>
      <c r="Z28" s="396">
        <f>ROUND(AVERAGE(P28:Y28),2)</f>
        <v>0</v>
      </c>
      <c r="AA28" s="397"/>
    </row>
    <row r="29" spans="1:27" x14ac:dyDescent="0.35">
      <c r="M29" s="414"/>
      <c r="O29" s="406" t="s">
        <v>3157</v>
      </c>
      <c r="P29" s="398">
        <f>ROUND(((C16/C50)*100),2)</f>
        <v>61.35</v>
      </c>
      <c r="Q29" s="397"/>
      <c r="R29" s="398">
        <f>ROUND(((E16/E50)*100),2)</f>
        <v>62.44</v>
      </c>
      <c r="S29" s="397"/>
      <c r="T29" s="398">
        <f>ROUND(((G16/G50)*100),2)</f>
        <v>59.28</v>
      </c>
      <c r="U29" s="397"/>
      <c r="V29" s="398">
        <f>ROUND(((I16/I50)*100),2)</f>
        <v>68.13</v>
      </c>
      <c r="W29" s="397"/>
      <c r="X29" s="398">
        <f>ROUND(((K16/K50)*100),2)</f>
        <v>63.46</v>
      </c>
      <c r="Y29" s="397"/>
      <c r="Z29" s="396">
        <f>ROUND(AVERAGE(P29:Y29),2)</f>
        <v>62.93</v>
      </c>
      <c r="AA29" s="397"/>
    </row>
    <row r="30" spans="1:27" x14ac:dyDescent="0.35">
      <c r="A30" s="406" t="s">
        <v>3158</v>
      </c>
      <c r="B30" s="406" t="s">
        <v>3159</v>
      </c>
      <c r="C30" s="414">
        <v>27027000</v>
      </c>
      <c r="E30" s="414">
        <v>22834000</v>
      </c>
      <c r="G30" s="414">
        <v>22531000</v>
      </c>
      <c r="I30" s="414">
        <v>24586000</v>
      </c>
      <c r="K30" s="414">
        <v>23433000</v>
      </c>
      <c r="M30" s="414">
        <v>22582000</v>
      </c>
      <c r="O30" s="406"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M31" s="414"/>
      <c r="P31" s="388"/>
      <c r="Q31" s="388"/>
      <c r="R31" s="388"/>
      <c r="S31" s="388"/>
      <c r="T31" s="388"/>
      <c r="U31" s="388"/>
      <c r="V31" s="388"/>
      <c r="W31" s="388"/>
      <c r="X31" s="388"/>
      <c r="Y31" s="388"/>
      <c r="Z31" s="388"/>
      <c r="AA31" s="388"/>
    </row>
    <row r="32" spans="1:27" x14ac:dyDescent="0.35">
      <c r="A32" s="406" t="s">
        <v>3161</v>
      </c>
      <c r="B32" s="406" t="s">
        <v>3162</v>
      </c>
      <c r="C32" s="414">
        <v>78396000</v>
      </c>
      <c r="E32" s="414">
        <v>94347000</v>
      </c>
      <c r="G32" s="414">
        <v>86425000</v>
      </c>
      <c r="I32" s="414">
        <v>84342000</v>
      </c>
      <c r="K32" s="414">
        <v>63871000</v>
      </c>
      <c r="M32" s="414">
        <v>69367000</v>
      </c>
      <c r="O32" s="406" t="s">
        <v>3163</v>
      </c>
      <c r="P32" s="388"/>
      <c r="Q32" s="388"/>
      <c r="R32" s="388"/>
      <c r="S32" s="388"/>
      <c r="T32" s="388"/>
      <c r="U32" s="388"/>
      <c r="V32" s="388"/>
      <c r="W32" s="388"/>
      <c r="X32" s="388"/>
      <c r="Y32" s="388"/>
      <c r="Z32" s="388"/>
      <c r="AA32" s="388"/>
    </row>
    <row r="33" spans="1:27" x14ac:dyDescent="0.35">
      <c r="A33" s="417"/>
      <c r="B33" s="417"/>
      <c r="C33" s="417"/>
      <c r="D33" s="417"/>
      <c r="E33" s="417"/>
      <c r="F33" s="417"/>
      <c r="G33" s="417"/>
      <c r="H33" s="417"/>
      <c r="I33" s="417"/>
      <c r="J33" s="417"/>
      <c r="K33" s="417"/>
      <c r="L33" s="417"/>
      <c r="M33" s="418"/>
      <c r="O33" s="406" t="s">
        <v>3164</v>
      </c>
      <c r="P33" s="396">
        <f>ROUND((((C12+C19)/C56)*100),2)</f>
        <v>39.79</v>
      </c>
      <c r="Q33" s="397" t="s">
        <v>1197</v>
      </c>
      <c r="R33" s="396">
        <f>ROUND((((E12+E19)/E56)*100),2)</f>
        <v>46.12</v>
      </c>
      <c r="S33" s="397" t="s">
        <v>1197</v>
      </c>
      <c r="T33" s="396">
        <f>ROUND((((G12+G19)/G56)*100),2)</f>
        <v>47.26</v>
      </c>
      <c r="U33" s="397" t="s">
        <v>1197</v>
      </c>
      <c r="V33" s="396">
        <f>ROUND((((I12+I19)/I56)*100),2)</f>
        <v>44.45</v>
      </c>
      <c r="W33" s="397" t="s">
        <v>1197</v>
      </c>
      <c r="X33" s="396">
        <f>ROUND((((K12+K19)/K56)*100),2)</f>
        <v>42.75</v>
      </c>
      <c r="Y33" s="397" t="s">
        <v>1197</v>
      </c>
      <c r="Z33" s="396">
        <f>ROUND(AVERAGE(P33:Y33),2)</f>
        <v>44.07</v>
      </c>
      <c r="AA33" s="397" t="s">
        <v>1197</v>
      </c>
    </row>
    <row r="34" spans="1:27" x14ac:dyDescent="0.35">
      <c r="A34" s="406" t="s">
        <v>3165</v>
      </c>
      <c r="B34" s="406" t="s">
        <v>3166</v>
      </c>
      <c r="C34" s="414">
        <f>C32</f>
        <v>78396000</v>
      </c>
      <c r="E34" s="414">
        <f>E32</f>
        <v>94347000</v>
      </c>
      <c r="G34" s="414">
        <v>86425000</v>
      </c>
      <c r="I34" s="414">
        <v>84342000</v>
      </c>
      <c r="K34" s="414">
        <v>63871000</v>
      </c>
      <c r="M34" s="414">
        <v>69367000</v>
      </c>
      <c r="O34" s="406" t="s">
        <v>3156</v>
      </c>
      <c r="P34" s="396">
        <f>ROUND((((SUM(C13,C17))/C56)*100),2)</f>
        <v>0</v>
      </c>
      <c r="Q34" s="397"/>
      <c r="R34" s="396">
        <f>ROUND((((SUM(E13,E17))/E56)*100),2)</f>
        <v>0</v>
      </c>
      <c r="S34" s="397"/>
      <c r="T34" s="396">
        <f>ROUND((((SUM(G13,G17))/G56)*100),2)</f>
        <v>0</v>
      </c>
      <c r="U34" s="397"/>
      <c r="V34" s="396">
        <f>ROUND((((SUM(I13,I17))/I56)*100),2)</f>
        <v>0</v>
      </c>
      <c r="W34" s="397"/>
      <c r="X34" s="396">
        <f>ROUND((((SUM(K13,K17))/K56)*100),2)</f>
        <v>0</v>
      </c>
      <c r="Y34" s="397"/>
      <c r="Z34" s="396">
        <f>ROUND(AVERAGE(P34:Y34),2)</f>
        <v>0</v>
      </c>
      <c r="AA34" s="397"/>
    </row>
    <row r="35" spans="1:27" x14ac:dyDescent="0.35">
      <c r="M35" s="414"/>
      <c r="O35" s="406" t="s">
        <v>3157</v>
      </c>
      <c r="P35" s="398">
        <f>ROUND((((C16)/C56)*100),2)</f>
        <v>60.21</v>
      </c>
      <c r="Q35" s="397"/>
      <c r="R35" s="398">
        <f>ROUND((((E16)/E56)*100),2)</f>
        <v>53.88</v>
      </c>
      <c r="S35" s="397"/>
      <c r="T35" s="398">
        <f>ROUND((((G16)/G56)*100),2)</f>
        <v>52.74</v>
      </c>
      <c r="U35" s="397"/>
      <c r="V35" s="398">
        <f>ROUND((((I16)/I56)*100),2)</f>
        <v>55.55</v>
      </c>
      <c r="W35" s="397"/>
      <c r="X35" s="398">
        <f>ROUND((((K16)/K56)*100),2)</f>
        <v>57.25</v>
      </c>
      <c r="Y35" s="397"/>
      <c r="Z35" s="396">
        <f>ROUND(AVERAGE(P35:Y35),2)</f>
        <v>55.93</v>
      </c>
      <c r="AA35" s="397"/>
    </row>
    <row r="36" spans="1:27" x14ac:dyDescent="0.35">
      <c r="A36" s="406" t="s">
        <v>3167</v>
      </c>
      <c r="B36" s="406" t="s">
        <v>3168</v>
      </c>
      <c r="C36" s="414">
        <v>0</v>
      </c>
      <c r="E36" s="414">
        <v>0</v>
      </c>
      <c r="G36" s="414">
        <v>0</v>
      </c>
      <c r="I36" s="414">
        <v>0</v>
      </c>
      <c r="K36" s="414">
        <v>0</v>
      </c>
      <c r="M36" s="414">
        <v>0</v>
      </c>
      <c r="O36" s="406" t="s">
        <v>3160</v>
      </c>
      <c r="P36" s="399">
        <f>SUM(P33:P35)</f>
        <v>100</v>
      </c>
      <c r="Q36" s="397" t="s">
        <v>1197</v>
      </c>
      <c r="R36" s="399">
        <f>SUM(R33:R35)</f>
        <v>100</v>
      </c>
      <c r="S36" s="397" t="s">
        <v>1197</v>
      </c>
      <c r="T36" s="399">
        <f>SUM(T33:T35)</f>
        <v>100</v>
      </c>
      <c r="U36" s="397" t="s">
        <v>1197</v>
      </c>
      <c r="V36" s="399">
        <f>SUM(V33:V35)</f>
        <v>100</v>
      </c>
      <c r="W36" s="397" t="s">
        <v>1197</v>
      </c>
      <c r="X36" s="399">
        <f>SUM(X33:X35)</f>
        <v>100</v>
      </c>
      <c r="Y36" s="397" t="s">
        <v>1197</v>
      </c>
      <c r="Z36" s="399">
        <f>SUM(Z33:Z35)</f>
        <v>100</v>
      </c>
      <c r="AA36" s="397" t="s">
        <v>1197</v>
      </c>
    </row>
    <row r="37" spans="1:27" x14ac:dyDescent="0.35">
      <c r="M37" s="414"/>
      <c r="P37" s="388"/>
      <c r="Q37" s="388"/>
      <c r="R37" s="388"/>
      <c r="S37" s="388"/>
      <c r="T37" s="388"/>
      <c r="U37" s="388"/>
      <c r="V37" s="388"/>
      <c r="W37" s="388"/>
      <c r="X37" s="388"/>
      <c r="Y37" s="388"/>
      <c r="Z37" s="388"/>
      <c r="AA37" s="388"/>
    </row>
    <row r="38" spans="1:27" x14ac:dyDescent="0.35">
      <c r="A38" s="406" t="s">
        <v>3169</v>
      </c>
      <c r="B38" s="406" t="s">
        <v>3170</v>
      </c>
      <c r="C38" s="414">
        <v>56356000</v>
      </c>
      <c r="E38" s="414">
        <v>51689000</v>
      </c>
      <c r="G38" s="414">
        <v>47206000</v>
      </c>
      <c r="I38" s="414">
        <v>42702000</v>
      </c>
      <c r="K38" s="414">
        <v>38937000</v>
      </c>
      <c r="M38" s="414">
        <v>36417000</v>
      </c>
      <c r="P38" s="388"/>
      <c r="Q38" s="388"/>
      <c r="R38" s="388"/>
      <c r="S38" s="388"/>
      <c r="T38" s="388"/>
      <c r="U38" s="388"/>
      <c r="V38" s="388"/>
      <c r="W38" s="388"/>
      <c r="X38" s="388"/>
      <c r="Y38" s="388"/>
      <c r="Z38" s="388"/>
      <c r="AA38" s="388"/>
    </row>
    <row r="39" spans="1:27" x14ac:dyDescent="0.35">
      <c r="M39" s="414"/>
      <c r="P39" s="388"/>
      <c r="Q39" s="388"/>
      <c r="R39" s="388"/>
      <c r="S39" s="388"/>
      <c r="T39" s="388"/>
      <c r="U39" s="388"/>
      <c r="V39" s="388"/>
      <c r="W39" s="388"/>
      <c r="X39" s="388"/>
      <c r="Y39" s="388"/>
      <c r="Z39" s="388"/>
      <c r="AA39" s="388"/>
    </row>
    <row r="40" spans="1:27" x14ac:dyDescent="0.35">
      <c r="A40" s="406" t="s">
        <v>3171</v>
      </c>
      <c r="B40" s="406" t="s">
        <v>3172</v>
      </c>
      <c r="C40" s="414">
        <v>78396000</v>
      </c>
      <c r="E40" s="414">
        <v>94347000</v>
      </c>
      <c r="G40" s="414">
        <v>86425000</v>
      </c>
      <c r="I40" s="414">
        <v>84342000</v>
      </c>
      <c r="K40" s="414">
        <v>63871000</v>
      </c>
      <c r="M40" s="414">
        <v>69367000</v>
      </c>
      <c r="O40" s="410" t="s">
        <v>3173</v>
      </c>
      <c r="P40" s="388"/>
      <c r="Q40" s="388"/>
      <c r="R40" s="388"/>
      <c r="S40" s="388"/>
      <c r="T40" s="388"/>
      <c r="U40" s="388"/>
      <c r="V40" s="388"/>
      <c r="W40" s="388"/>
      <c r="X40" s="388"/>
      <c r="Y40" s="388"/>
      <c r="Z40" s="388"/>
      <c r="AA40" s="388"/>
    </row>
    <row r="41" spans="1:27" x14ac:dyDescent="0.35">
      <c r="A41" s="406" t="s">
        <v>3174</v>
      </c>
      <c r="B41" s="406" t="s">
        <v>3175</v>
      </c>
      <c r="C41" s="414">
        <v>117799000</v>
      </c>
      <c r="E41" s="414">
        <v>115584000</v>
      </c>
      <c r="G41" s="414">
        <v>122170000</v>
      </c>
      <c r="I41" s="414">
        <v>116864000</v>
      </c>
      <c r="K41" s="414">
        <v>136774000</v>
      </c>
      <c r="M41" s="414">
        <v>144552000</v>
      </c>
      <c r="O41" s="410"/>
      <c r="P41" s="388"/>
      <c r="Q41" s="388"/>
      <c r="R41" s="388"/>
      <c r="S41" s="388"/>
      <c r="T41" s="388"/>
      <c r="U41" s="388"/>
      <c r="V41" s="388"/>
      <c r="W41" s="388"/>
      <c r="X41" s="388"/>
      <c r="Y41" s="388"/>
      <c r="Z41" s="388"/>
      <c r="AA41" s="388"/>
    </row>
    <row r="42" spans="1:27" x14ac:dyDescent="0.35">
      <c r="A42" s="406" t="s">
        <v>3176</v>
      </c>
      <c r="B42" s="406" t="s">
        <v>3177</v>
      </c>
      <c r="C42" s="414">
        <f>(5424+9699+2115-5638-2460+3146-5395-18915+11767-6479+646-3087-4749)*1000</f>
        <v>-13926000</v>
      </c>
      <c r="E42" s="414">
        <f>(-4688-1037-1422-4713-3544+1323+235-5842-2881-2254-1543+3051+2000)*1000</f>
        <v>-21315000</v>
      </c>
      <c r="G42" s="414">
        <f>(-13272-6678-1204-3889-2190+1686-588+10150+5348+12270-9367+1444+2593)*1000</f>
        <v>-3697000</v>
      </c>
      <c r="I42" s="414">
        <f>(1882-5515+214+1144-654+3978+3979-11597-249-3786+3637+1994-4659)*1000</f>
        <v>-9632000</v>
      </c>
      <c r="K42" s="414">
        <f>(1882+2823+5151-20976-980-519+5941+33834+1282+2708+3619-1086-928)*1000</f>
        <v>32751000</v>
      </c>
      <c r="M42" s="414">
        <f>(-7671-2020-1671+4742-501-1641-2881+24626+4358+13206+1648-878-1589)*1000</f>
        <v>29728000</v>
      </c>
      <c r="O42" s="410" t="s">
        <v>3178</v>
      </c>
      <c r="P42" s="388"/>
      <c r="Q42" s="388"/>
      <c r="R42" s="388"/>
      <c r="S42" s="388"/>
      <c r="T42" s="388"/>
      <c r="U42" s="388"/>
      <c r="V42" s="388"/>
      <c r="W42" s="388"/>
      <c r="X42" s="388"/>
      <c r="Y42" s="388"/>
      <c r="Z42" s="388"/>
      <c r="AA42" s="388"/>
    </row>
    <row r="43" spans="1:27" x14ac:dyDescent="0.35">
      <c r="A43" s="406" t="s">
        <v>3179</v>
      </c>
      <c r="B43" s="406" t="s">
        <v>3180</v>
      </c>
      <c r="C43" s="414">
        <v>41697000</v>
      </c>
      <c r="E43" s="414">
        <v>39596000</v>
      </c>
      <c r="G43" s="414">
        <v>36850000</v>
      </c>
      <c r="I43" s="414">
        <v>35397000</v>
      </c>
      <c r="K43" s="414">
        <v>40425000</v>
      </c>
      <c r="M43" s="414">
        <v>39031000</v>
      </c>
      <c r="O43" s="406" t="s">
        <v>3181</v>
      </c>
      <c r="P43" s="396">
        <f>ROUND(C21/C52,4)*100</f>
        <v>2.42</v>
      </c>
      <c r="Q43" s="397" t="s">
        <v>1197</v>
      </c>
      <c r="R43" s="396">
        <f>ROUND(E21/E52,4)*100</f>
        <v>2.93</v>
      </c>
      <c r="S43" s="397" t="s">
        <v>1197</v>
      </c>
      <c r="T43" s="396">
        <f>ROUND(G21/G52,4)*100</f>
        <v>2.93</v>
      </c>
      <c r="U43" s="397" t="s">
        <v>1197</v>
      </c>
      <c r="V43" s="396">
        <f>ROUND(I21/I52,4)*100</f>
        <v>2.88</v>
      </c>
      <c r="W43" s="397" t="s">
        <v>1197</v>
      </c>
      <c r="X43" s="396">
        <f>ROUND(K21/K52,4)*100</f>
        <v>2.88</v>
      </c>
      <c r="Y43" s="397" t="s">
        <v>1197</v>
      </c>
      <c r="Z43" s="396">
        <f>ROUND(AVERAGE(P43:Y43),2)</f>
        <v>2.81</v>
      </c>
      <c r="AA43" s="397" t="s">
        <v>1197</v>
      </c>
    </row>
    <row r="44" spans="1:27" x14ac:dyDescent="0.35">
      <c r="A44" s="406" t="s">
        <v>3182</v>
      </c>
      <c r="B44" s="406" t="s">
        <v>3183</v>
      </c>
      <c r="C44" s="414">
        <v>23664000</v>
      </c>
      <c r="E44" s="414">
        <v>30423000</v>
      </c>
      <c r="G44" s="414">
        <v>28197000</v>
      </c>
      <c r="I44" s="414">
        <v>24670000</v>
      </c>
      <c r="K44" s="414">
        <v>18017000</v>
      </c>
      <c r="M44" s="414">
        <v>38974000</v>
      </c>
      <c r="O44" s="406" t="s">
        <v>3184</v>
      </c>
      <c r="P44" s="396">
        <f>(ROUND((C52/(AVERAGE(C48,E48))*100),2))</f>
        <v>461.32</v>
      </c>
      <c r="Q44" s="388"/>
      <c r="R44" s="396">
        <f>(ROUND((E52/(AVERAGE(E48,G48))*100),2))</f>
        <v>484.02</v>
      </c>
      <c r="S44" s="388"/>
      <c r="T44" s="396">
        <f>(ROUND((G52/(AVERAGE(G48,I48))*100),2))</f>
        <v>472.3</v>
      </c>
      <c r="U44" s="388"/>
      <c r="V44" s="396">
        <f>(ROUND((I52/(AVERAGE(I48,K48))*100),2))</f>
        <v>502.92</v>
      </c>
      <c r="W44" s="388"/>
      <c r="X44" s="396">
        <f>(ROUND((K52/(AVERAGE(K48,M48))*100),2))</f>
        <v>403.35</v>
      </c>
      <c r="Y44" s="388"/>
      <c r="Z44" s="396">
        <f>ROUND(AVERAGE(P44:Y44),2)</f>
        <v>464.78</v>
      </c>
      <c r="AA44" s="388"/>
    </row>
    <row r="45" spans="1:27" x14ac:dyDescent="0.35">
      <c r="O45" s="406" t="s">
        <v>3185</v>
      </c>
      <c r="P45" s="396">
        <f>ROUND(((+C26/C52)*100),2)</f>
        <v>1.83</v>
      </c>
      <c r="Q45" s="388"/>
      <c r="R45" s="396">
        <f>ROUND(((+E26/E52)*100),2)</f>
        <v>1.61</v>
      </c>
      <c r="S45" s="388"/>
      <c r="T45" s="396">
        <f>ROUND(((+G26/G52)*100),2)</f>
        <v>1.61</v>
      </c>
      <c r="U45" s="388"/>
      <c r="V45" s="396">
        <f>ROUND(((+I26/I52)*100),2)</f>
        <v>1.46</v>
      </c>
      <c r="W45" s="388"/>
      <c r="X45" s="396">
        <f>ROUND(((+K26/K52)*100),2)</f>
        <v>1.77</v>
      </c>
      <c r="Y45" s="388"/>
      <c r="Z45" s="396">
        <f>ROUND(AVERAGE(P45:Y45),2)</f>
        <v>1.66</v>
      </c>
      <c r="AA45" s="388"/>
    </row>
    <row r="46" spans="1:27" x14ac:dyDescent="0.35">
      <c r="A46" s="406" t="s">
        <v>3186</v>
      </c>
      <c r="O46" s="406" t="s">
        <v>3187</v>
      </c>
      <c r="P46" s="396">
        <f>ROUND(((+C38/C34)*100),2)</f>
        <v>71.89</v>
      </c>
      <c r="Q46" s="388"/>
      <c r="R46" s="396">
        <f>ROUND(((+E38/E34)*100),2)</f>
        <v>54.79</v>
      </c>
      <c r="S46" s="388"/>
      <c r="T46" s="396">
        <f>ROUND(((+G38/G34)*100),2)</f>
        <v>54.62</v>
      </c>
      <c r="U46" s="388"/>
      <c r="V46" s="396">
        <f>ROUND(((+I38/I34)*100),2)</f>
        <v>50.63</v>
      </c>
      <c r="W46" s="388"/>
      <c r="X46" s="396">
        <f>ROUND(((+K38/K34)*100),2)</f>
        <v>60.96</v>
      </c>
      <c r="Y46" s="388"/>
      <c r="Z46" s="396">
        <f>ROUND(AVERAGE(P46:Y46),2)</f>
        <v>58.58</v>
      </c>
      <c r="AA46" s="388"/>
    </row>
    <row r="47" spans="1:27" x14ac:dyDescent="0.35">
      <c r="P47" s="396"/>
      <c r="Q47" s="388"/>
      <c r="R47" s="396"/>
      <c r="S47" s="388"/>
      <c r="T47" s="396"/>
      <c r="U47" s="388"/>
      <c r="V47" s="396"/>
      <c r="W47" s="388"/>
      <c r="X47" s="396"/>
      <c r="Y47" s="388"/>
      <c r="Z47" s="396"/>
      <c r="AA47" s="388"/>
    </row>
    <row r="48" spans="1:27" x14ac:dyDescent="0.35">
      <c r="A48" s="406" t="s">
        <v>3188</v>
      </c>
      <c r="B48" s="406" t="s">
        <v>3189</v>
      </c>
      <c r="C48" s="386">
        <f>C16/C15</f>
        <v>19.196590379896069</v>
      </c>
      <c r="E48" s="386">
        <f>E16/E15</f>
        <v>18.571088023606055</v>
      </c>
      <c r="G48" s="386">
        <f>G16/G15</f>
        <v>17.394649037684651</v>
      </c>
      <c r="I48" s="386">
        <f>I16/I15</f>
        <v>16.325244973662979</v>
      </c>
      <c r="K48" s="386">
        <f>K16/K15</f>
        <v>15.186500883267303</v>
      </c>
      <c r="M48" s="386">
        <f>M16/M15</f>
        <v>14.447478972238169</v>
      </c>
      <c r="O48" s="410" t="s">
        <v>3190</v>
      </c>
      <c r="P48" s="396">
        <f>ROUND(((C34/AVERAGE(C16,E16))*100),2)</f>
        <v>11.24</v>
      </c>
      <c r="Q48" s="388" t="s">
        <v>1197</v>
      </c>
      <c r="R48" s="396">
        <f>ROUND(((E34/AVERAGE(E16,G16))*100),2)</f>
        <v>14.21</v>
      </c>
      <c r="S48" s="388" t="s">
        <v>1197</v>
      </c>
      <c r="T48" s="396">
        <f>ROUND(((G34/AVERAGE(G16,I16))*100),2)</f>
        <v>13.9</v>
      </c>
      <c r="U48" s="388" t="s">
        <v>1197</v>
      </c>
      <c r="V48" s="396">
        <f>ROUND(((I34/AVERAGE(I16,K16))*100),2)</f>
        <v>14.54</v>
      </c>
      <c r="W48" s="388" t="s">
        <v>1197</v>
      </c>
      <c r="X48" s="396">
        <f>ROUND(((K34/AVERAGE(K16,M16))*100),2)</f>
        <v>11.74</v>
      </c>
      <c r="Y48" s="388" t="s">
        <v>1197</v>
      </c>
      <c r="Z48" s="396">
        <f>ROUND(AVERAGE(P48:Y48),2)</f>
        <v>13.13</v>
      </c>
      <c r="AA48" s="388" t="s">
        <v>1197</v>
      </c>
    </row>
    <row r="49" spans="1:27" x14ac:dyDescent="0.35">
      <c r="C49" s="414"/>
      <c r="E49" s="414"/>
      <c r="G49" s="414"/>
      <c r="I49" s="414"/>
      <c r="K49" s="414"/>
      <c r="M49" s="414"/>
      <c r="P49" s="396"/>
      <c r="Q49" s="388"/>
      <c r="R49" s="396"/>
      <c r="S49" s="388"/>
      <c r="T49" s="396"/>
      <c r="U49" s="388"/>
      <c r="V49" s="396"/>
      <c r="W49" s="388"/>
      <c r="X49" s="396"/>
      <c r="Y49" s="388"/>
      <c r="Z49" s="397"/>
      <c r="AA49" s="388"/>
    </row>
    <row r="50" spans="1:27" x14ac:dyDescent="0.35">
      <c r="A50" s="406" t="s">
        <v>3191</v>
      </c>
      <c r="B50" s="406" t="s">
        <v>3189</v>
      </c>
      <c r="C50" s="386">
        <f>SUM(C12:C13,C16:C17)</f>
        <v>1156495000</v>
      </c>
      <c r="E50" s="386">
        <f>SUM(E12:E13,E16:E17)</f>
        <v>1098500000</v>
      </c>
      <c r="G50" s="386">
        <f>SUM(G12:G13,G16:G17)</f>
        <v>1082379000</v>
      </c>
      <c r="I50" s="386">
        <f>SUM(I12:I13,I16:I17)</f>
        <v>882870000</v>
      </c>
      <c r="K50" s="386">
        <f>SUM(K12:K13,K16:K17)</f>
        <v>879630000</v>
      </c>
      <c r="M50" s="386">
        <f>SUM(M12:M13,M16:M17)</f>
        <v>851308000</v>
      </c>
      <c r="O50" s="410" t="s">
        <v>3192</v>
      </c>
      <c r="P50" s="396">
        <f>ROUND((C54/C62),2)</f>
        <v>2.75</v>
      </c>
      <c r="Q50" s="397" t="s">
        <v>1401</v>
      </c>
      <c r="R50" s="396">
        <f>ROUND((E54/E62),2)</f>
        <v>3.14</v>
      </c>
      <c r="S50" s="397" t="s">
        <v>1401</v>
      </c>
      <c r="T50" s="396">
        <f>ROUND((G54/G62),2)</f>
        <v>3.3</v>
      </c>
      <c r="U50" s="397" t="s">
        <v>1401</v>
      </c>
      <c r="V50" s="396">
        <f>ROUND((I54/I62),2)</f>
        <v>2.85</v>
      </c>
      <c r="W50" s="397" t="s">
        <v>1401</v>
      </c>
      <c r="X50" s="396">
        <f>ROUND((K54/K62),2)</f>
        <v>2.86</v>
      </c>
      <c r="Y50" s="397" t="s">
        <v>1401</v>
      </c>
      <c r="Z50" s="396">
        <f>ROUND(AVERAGE(P50:Y50),2)</f>
        <v>2.98</v>
      </c>
      <c r="AA50" s="388" t="s">
        <v>1401</v>
      </c>
    </row>
    <row r="51" spans="1:27" x14ac:dyDescent="0.35">
      <c r="C51" s="414"/>
      <c r="E51" s="414"/>
      <c r="G51" s="414"/>
      <c r="I51" s="414"/>
      <c r="K51" s="414"/>
      <c r="M51" s="414"/>
      <c r="O51" s="410"/>
      <c r="P51" s="396"/>
      <c r="Q51" s="388"/>
      <c r="R51" s="396"/>
      <c r="S51" s="388"/>
      <c r="T51" s="396"/>
      <c r="U51" s="388"/>
      <c r="V51" s="396"/>
      <c r="W51" s="388"/>
      <c r="X51" s="396"/>
      <c r="Y51" s="388"/>
      <c r="Z51" s="396"/>
      <c r="AA51" s="388"/>
    </row>
    <row r="52" spans="1:27" x14ac:dyDescent="0.35">
      <c r="A52" s="406" t="s">
        <v>1534</v>
      </c>
      <c r="B52" s="406" t="s">
        <v>3189</v>
      </c>
      <c r="C52" s="386">
        <f>AVERAGE(C22:C23)</f>
        <v>87.115000000000009</v>
      </c>
      <c r="E52" s="386">
        <f>AVERAGE(E22:E23)</f>
        <v>87.039999999999992</v>
      </c>
      <c r="G52" s="386">
        <f>AVERAGE(G22:G23)</f>
        <v>79.63</v>
      </c>
      <c r="I52" s="386">
        <f>AVERAGE(I22:I23)</f>
        <v>79.239999999999995</v>
      </c>
      <c r="K52" s="386">
        <f>AVERAGE(K22:K23)</f>
        <v>59.765000000000001</v>
      </c>
      <c r="M52" s="386">
        <f>AVERAGE(M22:M23)</f>
        <v>49.564999999999998</v>
      </c>
      <c r="O52" s="410" t="s">
        <v>3193</v>
      </c>
      <c r="P52" s="396">
        <f>ROUND(((C60/C54)*100),2)</f>
        <v>22.13</v>
      </c>
      <c r="Q52" s="397" t="s">
        <v>1197</v>
      </c>
      <c r="R52" s="396">
        <f>ROUND(((E60/E54)*100),2)</f>
        <v>16.02</v>
      </c>
      <c r="S52" s="397" t="s">
        <v>1197</v>
      </c>
      <c r="T52" s="396">
        <f>ROUND(((G60/G54)*100),2)</f>
        <v>20.57</v>
      </c>
      <c r="U52" s="397" t="s">
        <v>1197</v>
      </c>
      <c r="V52" s="396">
        <f>ROUND(((I60/I54)*100),2)</f>
        <v>22.28</v>
      </c>
      <c r="W52" s="397" t="s">
        <v>1197</v>
      </c>
      <c r="X52" s="396">
        <f>ROUND(((K60/K54)*100),2)</f>
        <v>40.630000000000003</v>
      </c>
      <c r="Y52" s="397" t="s">
        <v>1197</v>
      </c>
      <c r="Z52" s="396">
        <f>ROUND(AVERAGE(P52:Y52),2)</f>
        <v>24.33</v>
      </c>
      <c r="AA52" s="388" t="s">
        <v>1197</v>
      </c>
    </row>
    <row r="53" spans="1:27" x14ac:dyDescent="0.35">
      <c r="C53" s="414"/>
      <c r="E53" s="414"/>
      <c r="G53" s="414"/>
      <c r="I53" s="414"/>
      <c r="K53" s="414"/>
      <c r="M53" s="414"/>
      <c r="O53" s="419"/>
      <c r="P53" s="396"/>
      <c r="Q53" s="388"/>
      <c r="R53" s="396"/>
      <c r="S53" s="388"/>
      <c r="T53" s="396"/>
      <c r="U53" s="388"/>
      <c r="V53" s="396"/>
      <c r="W53" s="388"/>
      <c r="X53" s="396"/>
      <c r="Y53" s="388"/>
      <c r="Z53" s="388"/>
      <c r="AA53" s="388"/>
    </row>
    <row r="54" spans="1:27" x14ac:dyDescent="0.35">
      <c r="A54" s="406" t="s">
        <v>3194</v>
      </c>
      <c r="C54" s="386">
        <f>+C19+C12</f>
        <v>468946000</v>
      </c>
      <c r="E54" s="386">
        <f>+E19+E12</f>
        <v>587053000</v>
      </c>
      <c r="G54" s="386">
        <f>+G19+G12</f>
        <v>574906000</v>
      </c>
      <c r="I54" s="386">
        <f>+I19+I12</f>
        <v>481340000</v>
      </c>
      <c r="K54" s="386">
        <f>+K19+K12</f>
        <v>416907000</v>
      </c>
      <c r="M54" s="386">
        <f>+M19+M12</f>
        <v>380363000</v>
      </c>
      <c r="O54" s="419" t="s">
        <v>3195</v>
      </c>
      <c r="P54" s="396">
        <f>P33</f>
        <v>39.79</v>
      </c>
      <c r="Q54" s="397" t="s">
        <v>1197</v>
      </c>
      <c r="R54" s="396">
        <f>R33</f>
        <v>46.12</v>
      </c>
      <c r="S54" s="397" t="s">
        <v>1197</v>
      </c>
      <c r="T54" s="396">
        <f>T33</f>
        <v>47.26</v>
      </c>
      <c r="U54" s="397" t="s">
        <v>1197</v>
      </c>
      <c r="V54" s="396">
        <f>V33</f>
        <v>44.45</v>
      </c>
      <c r="W54" s="397" t="s">
        <v>1197</v>
      </c>
      <c r="X54" s="396">
        <f>X33</f>
        <v>42.75</v>
      </c>
      <c r="Y54" s="397" t="s">
        <v>1197</v>
      </c>
      <c r="Z54" s="396">
        <f>ROUND(AVERAGE(P54:Y54),2)</f>
        <v>44.07</v>
      </c>
      <c r="AA54" s="397" t="s">
        <v>1197</v>
      </c>
    </row>
    <row r="55" spans="1:27" x14ac:dyDescent="0.35">
      <c r="C55" s="414"/>
      <c r="E55" s="414"/>
      <c r="G55" s="414"/>
      <c r="I55" s="414"/>
      <c r="K55" s="414"/>
      <c r="M55" s="414"/>
    </row>
    <row r="56" spans="1:27" x14ac:dyDescent="0.35">
      <c r="A56" s="406" t="s">
        <v>3196</v>
      </c>
      <c r="B56" s="406" t="s">
        <v>3189</v>
      </c>
      <c r="C56" s="386">
        <f>SUM(C50,C19)</f>
        <v>1178495000</v>
      </c>
      <c r="E56" s="386">
        <f>SUM(E50,E19)</f>
        <v>1273000000</v>
      </c>
      <c r="G56" s="386">
        <f>SUM(G50,G19)</f>
        <v>1216579000</v>
      </c>
      <c r="I56" s="386">
        <f>SUM(I50,I19)</f>
        <v>1082870000</v>
      </c>
      <c r="K56" s="386">
        <f>SUM(K50,K19)</f>
        <v>975130000</v>
      </c>
      <c r="M56" s="386">
        <f>SUM(M50,M19)</f>
        <v>910308000</v>
      </c>
    </row>
    <row r="57" spans="1:27" x14ac:dyDescent="0.35">
      <c r="C57" s="414"/>
      <c r="E57" s="414"/>
      <c r="G57" s="414"/>
      <c r="I57" s="414"/>
      <c r="K57" s="414"/>
      <c r="M57" s="414"/>
    </row>
    <row r="58" spans="1:27" x14ac:dyDescent="0.35">
      <c r="A58" s="406" t="s">
        <v>3197</v>
      </c>
      <c r="B58" s="406" t="s">
        <v>3189</v>
      </c>
      <c r="C58" s="386">
        <f>SUM(C13,C17)</f>
        <v>0</v>
      </c>
      <c r="E58" s="386">
        <f>SUM(E13,E17)</f>
        <v>0</v>
      </c>
      <c r="G58" s="386">
        <f>SUM(G13,G17)</f>
        <v>0</v>
      </c>
      <c r="I58" s="386">
        <f>SUM(I13,I17)</f>
        <v>0</v>
      </c>
      <c r="K58" s="386">
        <f>SUM(K13,K17)</f>
        <v>0</v>
      </c>
      <c r="M58" s="386">
        <f>SUM(M13,M17)</f>
        <v>0</v>
      </c>
    </row>
    <row r="59" spans="1:27" x14ac:dyDescent="0.35">
      <c r="C59" s="414"/>
      <c r="E59" s="414"/>
      <c r="G59" s="414"/>
      <c r="I59" s="414"/>
      <c r="K59" s="414"/>
      <c r="M59" s="414"/>
    </row>
    <row r="60" spans="1:27" x14ac:dyDescent="0.35">
      <c r="A60" s="420" t="s">
        <v>3198</v>
      </c>
      <c r="B60" s="406" t="s">
        <v>3189</v>
      </c>
      <c r="C60" s="386">
        <f>ROUND(C41+C42-C28,3)</f>
        <v>103767000</v>
      </c>
      <c r="E60" s="386">
        <f>ROUND(E41+E42-E28,3)</f>
        <v>94053000</v>
      </c>
      <c r="G60" s="386">
        <f>ROUND(G41+G42-G28,3)</f>
        <v>118273000</v>
      </c>
      <c r="I60" s="386">
        <f>ROUND(I41+I42-I28,3)</f>
        <v>107232000</v>
      </c>
      <c r="K60" s="386">
        <f>ROUND(K41+K42-K28,3)</f>
        <v>169369000</v>
      </c>
      <c r="M60" s="386">
        <f>ROUND(M41+M42-M28,3)</f>
        <v>174280000</v>
      </c>
    </row>
    <row r="61" spans="1:27" x14ac:dyDescent="0.35">
      <c r="A61" s="420"/>
    </row>
    <row r="62" spans="1:27" x14ac:dyDescent="0.35">
      <c r="A62" s="406" t="s">
        <v>957</v>
      </c>
      <c r="B62" s="406" t="s">
        <v>3189</v>
      </c>
      <c r="C62" s="414">
        <f>C40+C43+C44+C30</f>
        <v>170784000</v>
      </c>
      <c r="E62" s="414">
        <f>E40+E43+E44+E30</f>
        <v>187200000</v>
      </c>
      <c r="G62" s="414">
        <f>G40+G43+G44+G30</f>
        <v>174003000</v>
      </c>
      <c r="I62" s="414">
        <f>I40+I43+I44+I30</f>
        <v>168995000</v>
      </c>
      <c r="K62" s="414">
        <f>K40+K43+K44+K30</f>
        <v>145746000</v>
      </c>
      <c r="M62" s="414">
        <f>M40+M43+M44+M30</f>
        <v>169954000</v>
      </c>
    </row>
    <row r="63" spans="1:27" x14ac:dyDescent="0.35">
      <c r="M63" s="421"/>
    </row>
    <row r="64" spans="1:27" x14ac:dyDescent="0.35">
      <c r="M64" s="435"/>
    </row>
    <row r="71" spans="13:13" x14ac:dyDescent="0.35">
      <c r="M71" s="421"/>
    </row>
    <row r="81" spans="13:220" x14ac:dyDescent="0.35">
      <c r="HH81" s="422"/>
      <c r="HI81" s="422"/>
      <c r="HL81" s="406" t="s">
        <v>3199</v>
      </c>
    </row>
    <row r="94" spans="13:220" x14ac:dyDescent="0.35">
      <c r="M94" s="421"/>
    </row>
    <row r="95" spans="13:220" x14ac:dyDescent="0.35">
      <c r="M95" s="421"/>
    </row>
    <row r="96" spans="13:220" x14ac:dyDescent="0.35">
      <c r="M96" s="421"/>
    </row>
    <row r="97" spans="13:13" x14ac:dyDescent="0.35">
      <c r="M97" s="421"/>
    </row>
    <row r="98" spans="13:13" x14ac:dyDescent="0.35">
      <c r="M98" s="421"/>
    </row>
    <row r="99" spans="13:13" x14ac:dyDescent="0.35">
      <c r="M99" s="421"/>
    </row>
    <row r="100" spans="13:13" x14ac:dyDescent="0.35">
      <c r="M100" s="421"/>
    </row>
    <row r="101" spans="13:13" x14ac:dyDescent="0.35">
      <c r="M101" s="421"/>
    </row>
    <row r="102" spans="13:13" x14ac:dyDescent="0.35">
      <c r="M102" s="421"/>
    </row>
    <row r="103" spans="13:13" x14ac:dyDescent="0.35">
      <c r="M103" s="421"/>
    </row>
    <row r="104" spans="13:13" x14ac:dyDescent="0.35">
      <c r="M104" s="421"/>
    </row>
    <row r="105" spans="13:13" x14ac:dyDescent="0.35">
      <c r="M105" s="421"/>
    </row>
    <row r="106" spans="13:13" x14ac:dyDescent="0.35">
      <c r="M106" s="421"/>
    </row>
    <row r="107" spans="13:13" x14ac:dyDescent="0.35">
      <c r="M107" s="421"/>
    </row>
    <row r="108" spans="13:13" x14ac:dyDescent="0.35">
      <c r="M108" s="421"/>
    </row>
    <row r="109" spans="13:13" x14ac:dyDescent="0.35">
      <c r="M109" s="421"/>
    </row>
    <row r="110" spans="13:13" x14ac:dyDescent="0.35">
      <c r="M110" s="421"/>
    </row>
    <row r="111" spans="13:13" x14ac:dyDescent="0.35">
      <c r="M111" s="421"/>
    </row>
    <row r="112" spans="13:13" x14ac:dyDescent="0.35">
      <c r="M112" s="421"/>
    </row>
    <row r="113" spans="13:13" x14ac:dyDescent="0.35">
      <c r="M113" s="421"/>
    </row>
    <row r="114" spans="13:13" x14ac:dyDescent="0.35">
      <c r="M114" s="421"/>
    </row>
    <row r="115" spans="13:13" x14ac:dyDescent="0.35">
      <c r="M115" s="421"/>
    </row>
    <row r="116" spans="13:13" x14ac:dyDescent="0.35">
      <c r="M116" s="421"/>
    </row>
    <row r="117" spans="13:13" x14ac:dyDescent="0.35">
      <c r="M117" s="421"/>
    </row>
    <row r="118" spans="13:13" x14ac:dyDescent="0.35">
      <c r="M118" s="421"/>
    </row>
    <row r="119" spans="13:13" x14ac:dyDescent="0.35">
      <c r="M119" s="421"/>
    </row>
    <row r="120" spans="13:13" x14ac:dyDescent="0.35">
      <c r="M120" s="421"/>
    </row>
    <row r="121" spans="13:13" x14ac:dyDescent="0.35">
      <c r="M121" s="421"/>
    </row>
    <row r="122" spans="13:13" x14ac:dyDescent="0.35">
      <c r="M122" s="421"/>
    </row>
    <row r="123" spans="13:13" x14ac:dyDescent="0.35">
      <c r="M123" s="421"/>
    </row>
    <row r="124" spans="13:13" x14ac:dyDescent="0.35">
      <c r="M124" s="421"/>
    </row>
    <row r="125" spans="13:13" x14ac:dyDescent="0.35">
      <c r="M125" s="421"/>
    </row>
    <row r="126" spans="13:13" x14ac:dyDescent="0.35">
      <c r="M126" s="421"/>
    </row>
    <row r="127" spans="13:13" x14ac:dyDescent="0.35">
      <c r="M127" s="421"/>
    </row>
    <row r="128" spans="13:13" x14ac:dyDescent="0.35">
      <c r="M128" s="421"/>
    </row>
    <row r="129" spans="13:13" x14ac:dyDescent="0.35">
      <c r="M129" s="421"/>
    </row>
    <row r="130" spans="13:13" x14ac:dyDescent="0.35">
      <c r="M130" s="421"/>
    </row>
    <row r="131" spans="13:13" x14ac:dyDescent="0.35">
      <c r="M131" s="421"/>
    </row>
    <row r="132" spans="13:13" x14ac:dyDescent="0.35">
      <c r="M132" s="421"/>
    </row>
    <row r="133" spans="13:13" x14ac:dyDescent="0.35">
      <c r="M133" s="421"/>
    </row>
    <row r="134" spans="13:13" x14ac:dyDescent="0.35">
      <c r="M134" s="421"/>
    </row>
    <row r="135" spans="13:13" x14ac:dyDescent="0.35">
      <c r="M135" s="421"/>
    </row>
    <row r="136" spans="13:13" x14ac:dyDescent="0.35">
      <c r="M136" s="421"/>
    </row>
    <row r="137" spans="13:13" x14ac:dyDescent="0.35">
      <c r="M137" s="421"/>
    </row>
    <row r="138" spans="13:13" x14ac:dyDescent="0.35">
      <c r="M138" s="421"/>
    </row>
    <row r="139" spans="13:13" x14ac:dyDescent="0.35">
      <c r="M139" s="421"/>
    </row>
    <row r="140" spans="13:13" x14ac:dyDescent="0.35">
      <c r="M140" s="421"/>
    </row>
    <row r="141" spans="13:13" x14ac:dyDescent="0.35">
      <c r="M141" s="421"/>
    </row>
    <row r="142" spans="13:13" x14ac:dyDescent="0.35">
      <c r="M142" s="421"/>
    </row>
    <row r="143" spans="13:13" x14ac:dyDescent="0.35">
      <c r="M143" s="421"/>
    </row>
    <row r="144" spans="13:13" x14ac:dyDescent="0.35">
      <c r="M144" s="421"/>
    </row>
    <row r="145" spans="13:13" x14ac:dyDescent="0.35">
      <c r="M145" s="421"/>
    </row>
    <row r="146" spans="13:13" x14ac:dyDescent="0.35">
      <c r="M146" s="421"/>
    </row>
    <row r="147" spans="13:13" x14ac:dyDescent="0.35">
      <c r="M147" s="421"/>
    </row>
    <row r="148" spans="13:13" x14ac:dyDescent="0.35">
      <c r="M148" s="421"/>
    </row>
    <row r="149" spans="13:13" x14ac:dyDescent="0.35">
      <c r="M149" s="421"/>
    </row>
    <row r="150" spans="13:13" x14ac:dyDescent="0.35">
      <c r="M150" s="421"/>
    </row>
    <row r="151" spans="13:13" x14ac:dyDescent="0.35">
      <c r="M151" s="421"/>
    </row>
    <row r="152" spans="13:13" x14ac:dyDescent="0.35">
      <c r="M152" s="421"/>
    </row>
    <row r="153" spans="13:13" x14ac:dyDescent="0.35">
      <c r="M153" s="421"/>
    </row>
    <row r="154" spans="13:13" x14ac:dyDescent="0.35">
      <c r="M154" s="421"/>
    </row>
  </sheetData>
  <mergeCells count="6">
    <mergeCell ref="Z25:AA25"/>
    <mergeCell ref="C6:M6"/>
    <mergeCell ref="C7:M7"/>
    <mergeCell ref="C8:M8"/>
    <mergeCell ref="T13:Y13"/>
    <mergeCell ref="Z24:AA24"/>
  </mergeCells>
  <printOptions horizontalCentered="1"/>
  <pageMargins left="0.75" right="0.75" top="1" bottom="1" header="0.5" footer="0.5"/>
  <pageSetup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3C770-0473-4793-8B37-1B4E36048D75}">
  <sheetPr>
    <pageSetUpPr fitToPage="1"/>
  </sheetPr>
  <dimension ref="A1:HL154"/>
  <sheetViews>
    <sheetView zoomScale="85" zoomScaleNormal="85" workbookViewId="0">
      <selection sqref="A1:H1"/>
    </sheetView>
  </sheetViews>
  <sheetFormatPr defaultColWidth="9.15234375" defaultRowHeight="12.9" x14ac:dyDescent="0.35"/>
  <cols>
    <col min="1" max="1" width="35.3828125" style="406" bestFit="1" customWidth="1"/>
    <col min="2" max="2" width="19.15234375" style="406" bestFit="1" customWidth="1"/>
    <col min="3" max="3" width="19.15234375" style="406" customWidth="1"/>
    <col min="4" max="4" width="1.69140625" style="406" customWidth="1"/>
    <col min="5" max="5" width="18.3828125" style="406" customWidth="1"/>
    <col min="6" max="6" width="1.69140625" style="406" customWidth="1"/>
    <col min="7" max="7" width="19.15234375" style="406" customWidth="1"/>
    <col min="8" max="8" width="2.69140625" style="406" customWidth="1"/>
    <col min="9" max="9" width="19.15234375" style="406" customWidth="1"/>
    <col min="10" max="10" width="2.69140625" style="406" customWidth="1"/>
    <col min="11" max="11" width="19.3828125" style="406" customWidth="1"/>
    <col min="12" max="12" width="2.69140625" style="406" customWidth="1"/>
    <col min="13" max="13" width="21.3828125" style="406" bestFit="1" customWidth="1"/>
    <col min="14" max="14" width="8.69140625" style="406" customWidth="1"/>
    <col min="15" max="15" width="58.69140625" style="406" bestFit="1" customWidth="1"/>
    <col min="16" max="16" width="14.84375" style="406" customWidth="1"/>
    <col min="17" max="17" width="3.84375" style="406" customWidth="1"/>
    <col min="18" max="18" width="14.84375" style="406" customWidth="1"/>
    <col min="19" max="19" width="3.84375" style="406" customWidth="1"/>
    <col min="20" max="20" width="14.84375" style="406" customWidth="1"/>
    <col min="21" max="21" width="3.3046875" style="406" customWidth="1"/>
    <col min="22" max="22" width="14.84375" style="406" customWidth="1"/>
    <col min="23" max="23" width="3.3046875" style="406" customWidth="1"/>
    <col min="24" max="24" width="14.84375" style="406" customWidth="1"/>
    <col min="25" max="25" width="2.69140625" style="388" customWidth="1"/>
    <col min="26" max="26" width="8.3046875" style="406" bestFit="1" customWidth="1"/>
    <col min="27" max="27" width="3.3046875" style="406" bestFit="1" customWidth="1"/>
    <col min="28" max="28" width="9.15234375" style="406"/>
    <col min="29" max="29" width="4.3828125" style="406" customWidth="1"/>
    <col min="30" max="30" width="3.69140625" style="406" customWidth="1"/>
    <col min="31" max="31" width="22.3046875" style="406" customWidth="1"/>
    <col min="32" max="219" width="9.15234375" style="406"/>
    <col min="220" max="220" width="25.84375" style="406" bestFit="1" customWidth="1"/>
    <col min="221" max="16384" width="9.15234375" style="406"/>
  </cols>
  <sheetData>
    <row r="1" spans="1:27" ht="16.2" customHeight="1" x14ac:dyDescent="0.35"/>
    <row r="2" spans="1:27" ht="16.2" customHeight="1" x14ac:dyDescent="0.35"/>
    <row r="3" spans="1:27" ht="16.2" customHeight="1" x14ac:dyDescent="0.35"/>
    <row r="4" spans="1:27" ht="16.2" customHeight="1" thickBot="1" x14ac:dyDescent="0.45">
      <c r="E4" s="408"/>
    </row>
    <row r="5" spans="1:27" ht="16.75" x14ac:dyDescent="0.65">
      <c r="A5" s="407" t="s">
        <v>3200</v>
      </c>
      <c r="E5" s="408"/>
    </row>
    <row r="6" spans="1:27" ht="13.3" thickBot="1" x14ac:dyDescent="0.4">
      <c r="A6" s="409" t="s">
        <v>1435</v>
      </c>
      <c r="G6" s="410" t="s">
        <v>3201</v>
      </c>
      <c r="H6" s="410"/>
      <c r="I6" s="410"/>
      <c r="J6" s="410"/>
      <c r="K6" s="410"/>
      <c r="L6" s="410"/>
      <c r="M6" s="410"/>
      <c r="N6" s="410"/>
      <c r="O6" s="423" t="str">
        <f>G6</f>
        <v xml:space="preserve">Amer. Water Works   </v>
      </c>
      <c r="P6" s="423"/>
      <c r="Q6" s="423"/>
      <c r="R6" s="423"/>
      <c r="S6" s="423"/>
      <c r="T6" s="423"/>
      <c r="U6" s="423"/>
      <c r="V6" s="423"/>
      <c r="W6" s="412"/>
      <c r="X6" s="412"/>
      <c r="Y6" s="389"/>
      <c r="Z6" s="412"/>
    </row>
    <row r="7" spans="1:27" x14ac:dyDescent="0.35">
      <c r="G7" s="406" t="s">
        <v>3124</v>
      </c>
      <c r="O7" s="412" t="str">
        <f>G7</f>
        <v>CAPITALIZATION AND FINANCIAL STATISTICS  (1)</v>
      </c>
      <c r="P7" s="412"/>
      <c r="Q7" s="412"/>
      <c r="R7" s="412"/>
      <c r="S7" s="412"/>
      <c r="T7" s="412"/>
      <c r="U7" s="412"/>
      <c r="V7" s="412"/>
      <c r="W7" s="412"/>
      <c r="X7" s="412"/>
      <c r="Y7" s="389"/>
      <c r="Z7" s="412"/>
    </row>
    <row r="8" spans="1:27" ht="14.6" x14ac:dyDescent="0.4">
      <c r="C8" s="959" t="s">
        <v>3125</v>
      </c>
      <c r="D8" s="959"/>
      <c r="E8" s="959"/>
      <c r="F8" s="959"/>
      <c r="G8" s="959"/>
      <c r="H8" s="959"/>
      <c r="I8" s="959"/>
      <c r="J8" s="959"/>
      <c r="K8" s="959"/>
      <c r="L8" s="959"/>
      <c r="M8" s="959"/>
      <c r="N8" s="408"/>
      <c r="O8" s="411" t="str">
        <f>C8</f>
        <v>2018 - 2022, Inclusive</v>
      </c>
      <c r="P8" s="411"/>
      <c r="Q8" s="411"/>
      <c r="R8" s="411"/>
      <c r="S8" s="411"/>
      <c r="T8" s="411"/>
      <c r="U8" s="411"/>
      <c r="V8" s="411"/>
      <c r="W8" s="412"/>
      <c r="X8" s="412"/>
      <c r="Y8" s="389"/>
      <c r="Z8" s="412"/>
    </row>
    <row r="9" spans="1:27" x14ac:dyDescent="0.35">
      <c r="O9" s="412"/>
      <c r="P9" s="412"/>
      <c r="Q9" s="412"/>
      <c r="R9" s="412"/>
      <c r="S9" s="412"/>
      <c r="T9" s="412"/>
      <c r="U9" s="412"/>
      <c r="V9" s="412"/>
      <c r="W9" s="412"/>
      <c r="X9" s="411"/>
      <c r="Y9" s="389"/>
      <c r="Z9" s="412"/>
    </row>
    <row r="10" spans="1:27" x14ac:dyDescent="0.35">
      <c r="B10" s="406" t="s">
        <v>3126</v>
      </c>
      <c r="C10" s="413">
        <v>2022</v>
      </c>
      <c r="E10" s="413">
        <v>2021</v>
      </c>
      <c r="G10" s="413">
        <v>2020</v>
      </c>
      <c r="I10" s="413">
        <v>2019</v>
      </c>
      <c r="K10" s="413">
        <v>2018</v>
      </c>
      <c r="M10" s="413">
        <v>2017</v>
      </c>
      <c r="N10" s="413"/>
      <c r="X10" s="411"/>
      <c r="Y10" s="389"/>
    </row>
    <row r="11" spans="1:27" x14ac:dyDescent="0.35">
      <c r="A11" s="406" t="s">
        <v>3127</v>
      </c>
    </row>
    <row r="12" spans="1:27" x14ac:dyDescent="0.35">
      <c r="A12" s="406" t="s">
        <v>3128</v>
      </c>
      <c r="B12" s="406" t="s">
        <v>3129</v>
      </c>
      <c r="C12" s="429">
        <f>(10926+281)*1000000</f>
        <v>11207000000</v>
      </c>
      <c r="E12" s="414">
        <f>10341000000+57000000</f>
        <v>10398000000</v>
      </c>
      <c r="G12" s="414">
        <f>9329000000+329000000</f>
        <v>9658000000</v>
      </c>
      <c r="I12" s="414">
        <f>8639000000+28000000</f>
        <v>8667000000</v>
      </c>
      <c r="K12" s="414">
        <f>7569000000+71000000</f>
        <v>7640000000</v>
      </c>
      <c r="M12" s="414">
        <f>6490000000+322000000</f>
        <v>6812000000</v>
      </c>
      <c r="N12" s="414"/>
      <c r="P12" s="413">
        <f>C10</f>
        <v>2022</v>
      </c>
      <c r="R12" s="413">
        <f>E10</f>
        <v>2021</v>
      </c>
      <c r="T12" s="413">
        <f>G10</f>
        <v>2020</v>
      </c>
      <c r="V12" s="413">
        <f>I10</f>
        <v>2019</v>
      </c>
      <c r="X12" s="413">
        <f>K10</f>
        <v>2018</v>
      </c>
      <c r="Y12" s="387"/>
      <c r="Z12" s="388"/>
      <c r="AA12" s="388"/>
    </row>
    <row r="13" spans="1:27" x14ac:dyDescent="0.35">
      <c r="A13" s="406" t="s">
        <v>3130</v>
      </c>
      <c r="B13" s="406" t="s">
        <v>3131</v>
      </c>
      <c r="C13" s="429">
        <v>3000000</v>
      </c>
      <c r="E13" s="414">
        <v>3000000</v>
      </c>
      <c r="G13" s="414">
        <v>4000000</v>
      </c>
      <c r="I13" s="414">
        <v>5000000</v>
      </c>
      <c r="K13" s="414">
        <v>7000000</v>
      </c>
      <c r="M13" s="414">
        <v>8000000</v>
      </c>
      <c r="N13" s="414"/>
      <c r="T13" s="960" t="s">
        <v>3132</v>
      </c>
      <c r="U13" s="960"/>
      <c r="V13" s="960"/>
      <c r="W13" s="960"/>
      <c r="X13" s="960"/>
      <c r="Y13" s="389"/>
      <c r="Z13" s="389" t="s">
        <v>1570</v>
      </c>
      <c r="AA13" s="388"/>
    </row>
    <row r="14" spans="1:27" x14ac:dyDescent="0.35">
      <c r="M14" s="414"/>
      <c r="N14" s="414"/>
      <c r="O14" s="410" t="s">
        <v>3133</v>
      </c>
      <c r="P14" s="410"/>
      <c r="Q14" s="410"/>
      <c r="R14" s="410"/>
      <c r="S14" s="410"/>
      <c r="T14" s="410"/>
      <c r="U14" s="410"/>
      <c r="V14" s="410"/>
      <c r="W14" s="410"/>
      <c r="X14" s="388"/>
      <c r="Z14" s="388"/>
      <c r="AA14" s="388"/>
    </row>
    <row r="15" spans="1:27" ht="14.6" x14ac:dyDescent="0.4">
      <c r="A15" s="406" t="s">
        <v>3134</v>
      </c>
      <c r="B15" s="406" t="s">
        <v>3135</v>
      </c>
      <c r="C15" s="430">
        <v>187200539</v>
      </c>
      <c r="E15" s="414">
        <f>186880413-5269324</f>
        <v>181611089</v>
      </c>
      <c r="G15" s="414">
        <f>186466707-5168215</f>
        <v>181298492</v>
      </c>
      <c r="I15" s="414">
        <f>185903727-5090855</f>
        <v>180812872</v>
      </c>
      <c r="K15" s="414">
        <f>185367158-4683156</f>
        <v>180684002</v>
      </c>
      <c r="M15" s="414">
        <f>182508564-4064010</f>
        <v>178444554</v>
      </c>
      <c r="N15" s="414"/>
      <c r="X15" s="388"/>
      <c r="Z15" s="388"/>
      <c r="AA15" s="388"/>
    </row>
    <row r="16" spans="1:27" ht="14.6" x14ac:dyDescent="0.4">
      <c r="A16" s="406" t="s">
        <v>1162</v>
      </c>
      <c r="B16" s="406" t="s">
        <v>3136</v>
      </c>
      <c r="C16" s="430">
        <v>7693000000</v>
      </c>
      <c r="E16" s="414">
        <v>7298000000</v>
      </c>
      <c r="G16" s="414">
        <v>6454000000</v>
      </c>
      <c r="I16" s="414">
        <v>6121000000</v>
      </c>
      <c r="K16" s="414">
        <v>5864000000</v>
      </c>
      <c r="M16" s="414">
        <v>5385000000</v>
      </c>
      <c r="N16" s="414"/>
      <c r="O16" s="410" t="s">
        <v>3137</v>
      </c>
      <c r="P16" s="410"/>
      <c r="Q16" s="410"/>
      <c r="R16" s="410"/>
      <c r="S16" s="410"/>
      <c r="T16" s="410"/>
      <c r="U16" s="410"/>
      <c r="V16" s="410"/>
      <c r="W16" s="410"/>
      <c r="X16" s="388"/>
      <c r="Z16" s="388"/>
      <c r="AA16" s="388"/>
    </row>
    <row r="17" spans="1:27" x14ac:dyDescent="0.35">
      <c r="A17" s="406" t="s">
        <v>3138</v>
      </c>
      <c r="B17" s="406" t="s">
        <v>3135</v>
      </c>
      <c r="C17" s="431"/>
      <c r="M17" s="414">
        <v>0</v>
      </c>
      <c r="N17" s="414"/>
      <c r="O17" s="406" t="s">
        <v>3139</v>
      </c>
      <c r="P17" s="393">
        <f>C50/1000000</f>
        <v>18903</v>
      </c>
      <c r="R17" s="393">
        <f>E50/1000000</f>
        <v>17699</v>
      </c>
      <c r="T17" s="393">
        <f>G50/1000000</f>
        <v>16116</v>
      </c>
      <c r="V17" s="393">
        <f>I50/1000000</f>
        <v>14793</v>
      </c>
      <c r="X17" s="393">
        <f>K50/1000000</f>
        <v>13511</v>
      </c>
      <c r="Y17" s="393"/>
      <c r="Z17" s="388"/>
      <c r="AA17" s="388"/>
    </row>
    <row r="18" spans="1:27" x14ac:dyDescent="0.35">
      <c r="M18" s="414"/>
      <c r="N18" s="414"/>
      <c r="O18" s="406" t="s">
        <v>3140</v>
      </c>
      <c r="P18" s="394">
        <f>C19/1000000</f>
        <v>1175</v>
      </c>
      <c r="R18" s="394">
        <f>E19/1000000</f>
        <v>584</v>
      </c>
      <c r="T18" s="394">
        <f>G19/1000000</f>
        <v>1282</v>
      </c>
      <c r="V18" s="394">
        <f>I19/1000000</f>
        <v>786</v>
      </c>
      <c r="X18" s="394">
        <f>K19/1000000</f>
        <v>964</v>
      </c>
      <c r="Y18" s="393"/>
      <c r="Z18" s="388"/>
      <c r="AA18" s="388"/>
    </row>
    <row r="19" spans="1:27" x14ac:dyDescent="0.35">
      <c r="A19" s="406" t="s">
        <v>3141</v>
      </c>
      <c r="B19" s="406" t="s">
        <v>3142</v>
      </c>
      <c r="C19" s="431">
        <v>1175000000</v>
      </c>
      <c r="E19" s="414">
        <v>584000000</v>
      </c>
      <c r="G19" s="414">
        <v>1282000000</v>
      </c>
      <c r="I19" s="414">
        <v>786000000</v>
      </c>
      <c r="K19" s="414">
        <v>964000000</v>
      </c>
      <c r="M19" s="414">
        <v>905000000</v>
      </c>
      <c r="N19" s="414"/>
      <c r="O19" s="406" t="s">
        <v>3143</v>
      </c>
      <c r="P19" s="395">
        <f>SUM(P17:P18)</f>
        <v>20078</v>
      </c>
      <c r="R19" s="395">
        <f>SUM(R17:R18)</f>
        <v>18283</v>
      </c>
      <c r="T19" s="395">
        <f>SUM(T17:T18)</f>
        <v>17398</v>
      </c>
      <c r="V19" s="395">
        <f>SUM(V17:V18)</f>
        <v>15579</v>
      </c>
      <c r="X19" s="395">
        <f>SUM(X17:X18)</f>
        <v>14475</v>
      </c>
      <c r="Y19" s="393"/>
      <c r="Z19" s="388"/>
      <c r="AA19" s="388"/>
    </row>
    <row r="20" spans="1:27" x14ac:dyDescent="0.35">
      <c r="M20" s="414"/>
      <c r="N20" s="414"/>
      <c r="P20" s="388"/>
      <c r="R20" s="388"/>
      <c r="T20" s="388"/>
      <c r="V20" s="388"/>
      <c r="X20" s="388"/>
      <c r="Z20" s="388"/>
      <c r="AA20" s="388"/>
    </row>
    <row r="21" spans="1:27" x14ac:dyDescent="0.35">
      <c r="A21" s="406" t="s">
        <v>3144</v>
      </c>
      <c r="B21" s="406" t="s">
        <v>3145</v>
      </c>
      <c r="C21" s="406">
        <v>4.51</v>
      </c>
      <c r="E21" s="414">
        <v>6.95</v>
      </c>
      <c r="G21" s="414">
        <v>3.91</v>
      </c>
      <c r="I21" s="414">
        <v>3.43</v>
      </c>
      <c r="K21" s="414">
        <v>3.15</v>
      </c>
      <c r="M21" s="414">
        <v>2.38</v>
      </c>
      <c r="N21" s="414"/>
      <c r="O21" s="410" t="s">
        <v>3146</v>
      </c>
      <c r="P21" s="388"/>
      <c r="Q21" s="410"/>
      <c r="R21" s="388"/>
      <c r="S21" s="410"/>
      <c r="T21" s="388"/>
      <c r="U21" s="410"/>
      <c r="V21" s="388"/>
      <c r="W21" s="410"/>
      <c r="X21" s="388"/>
      <c r="Z21" s="388"/>
      <c r="AA21" s="388"/>
    </row>
    <row r="22" spans="1:27" x14ac:dyDescent="0.35">
      <c r="A22" s="406" t="s">
        <v>3147</v>
      </c>
      <c r="B22" s="406" t="s">
        <v>1524</v>
      </c>
      <c r="C22" s="406">
        <v>184.14</v>
      </c>
      <c r="E22" s="406">
        <v>188.86</v>
      </c>
      <c r="G22" s="414">
        <v>165.55</v>
      </c>
      <c r="I22" s="414">
        <v>129.5</v>
      </c>
      <c r="K22" s="414">
        <v>97.8</v>
      </c>
      <c r="M22" s="414">
        <v>92.25</v>
      </c>
      <c r="N22" s="414"/>
      <c r="O22" s="406" t="s">
        <v>3148</v>
      </c>
      <c r="P22" s="396">
        <f>(ROUND((C30/(AVERAGE(C54,E54))*100),2))</f>
        <v>3.26</v>
      </c>
      <c r="Q22" s="397" t="s">
        <v>1197</v>
      </c>
      <c r="R22" s="396">
        <f>(ROUND((E30/(AVERAGE(E54,G54))*100),2))</f>
        <v>3.64</v>
      </c>
      <c r="S22" s="397" t="s">
        <v>1197</v>
      </c>
      <c r="T22" s="396">
        <f>(ROUND((G30/(AVERAGE(G54,I54))*100),2))</f>
        <v>3.87</v>
      </c>
      <c r="U22" s="397" t="s">
        <v>1197</v>
      </c>
      <c r="V22" s="396">
        <f>(ROUND((I30/(AVERAGE(I54,K54))*100),2))</f>
        <v>4.2300000000000004</v>
      </c>
      <c r="W22" s="397" t="s">
        <v>1197</v>
      </c>
      <c r="X22" s="396">
        <f>(ROUND((K30/(AVERAGE(K54,M54))*100),2))</f>
        <v>4.29</v>
      </c>
      <c r="Y22" s="397" t="s">
        <v>1197</v>
      </c>
      <c r="Z22" s="390"/>
      <c r="AA22" s="388"/>
    </row>
    <row r="23" spans="1:27" x14ac:dyDescent="0.35">
      <c r="A23" s="406" t="s">
        <v>3149</v>
      </c>
      <c r="B23" s="406" t="s">
        <v>1524</v>
      </c>
      <c r="C23" s="406">
        <v>126.01</v>
      </c>
      <c r="E23" s="406">
        <v>132.13</v>
      </c>
      <c r="G23" s="414">
        <v>97.07</v>
      </c>
      <c r="I23" s="414">
        <v>88.77</v>
      </c>
      <c r="K23" s="414">
        <v>76.06</v>
      </c>
      <c r="M23" s="414">
        <v>70.569999999999993</v>
      </c>
      <c r="N23" s="414"/>
      <c r="O23" s="406" t="s">
        <v>3150</v>
      </c>
      <c r="P23" s="415"/>
      <c r="Q23" s="416"/>
      <c r="R23" s="415"/>
      <c r="S23" s="416"/>
      <c r="T23" s="415"/>
      <c r="U23" s="416"/>
      <c r="V23" s="415"/>
      <c r="X23" s="415"/>
      <c r="Y23" s="397"/>
      <c r="Z23" s="388"/>
      <c r="AA23" s="388"/>
    </row>
    <row r="24" spans="1:27" x14ac:dyDescent="0.35">
      <c r="M24" s="414"/>
      <c r="N24" s="414"/>
      <c r="P24" s="388"/>
      <c r="Q24" s="388"/>
      <c r="R24" s="388"/>
      <c r="S24" s="388"/>
      <c r="T24" s="388"/>
      <c r="U24" s="388"/>
      <c r="V24" s="388"/>
      <c r="W24" s="388"/>
      <c r="X24" s="388"/>
      <c r="Z24" s="957" t="s">
        <v>1195</v>
      </c>
      <c r="AA24" s="957"/>
    </row>
    <row r="25" spans="1:27" x14ac:dyDescent="0.35">
      <c r="M25" s="414"/>
      <c r="N25" s="414"/>
      <c r="O25" s="410" t="s">
        <v>3151</v>
      </c>
      <c r="P25" s="388"/>
      <c r="Q25" s="388"/>
      <c r="R25" s="388"/>
      <c r="S25" s="388"/>
      <c r="T25" s="388"/>
      <c r="U25" s="388"/>
      <c r="V25" s="388"/>
      <c r="W25" s="388"/>
      <c r="X25" s="388"/>
      <c r="Z25" s="957" t="s">
        <v>1196</v>
      </c>
      <c r="AA25" s="957"/>
    </row>
    <row r="26" spans="1:27" x14ac:dyDescent="0.35">
      <c r="A26" s="406" t="s">
        <v>3152</v>
      </c>
      <c r="B26" s="406" t="s">
        <v>1524</v>
      </c>
      <c r="C26" s="406">
        <v>2.62</v>
      </c>
      <c r="E26" s="414">
        <v>2.41</v>
      </c>
      <c r="G26" s="414">
        <v>2.2000000000000002</v>
      </c>
      <c r="I26" s="414">
        <v>2</v>
      </c>
      <c r="K26" s="414">
        <v>1.82</v>
      </c>
      <c r="M26" s="414">
        <v>1.62</v>
      </c>
      <c r="N26" s="414"/>
      <c r="O26" s="406" t="s">
        <v>3153</v>
      </c>
      <c r="P26" s="388"/>
      <c r="Q26" s="388"/>
      <c r="R26" s="388"/>
      <c r="S26" s="388"/>
      <c r="T26" s="388"/>
      <c r="U26" s="388"/>
      <c r="V26" s="388"/>
      <c r="W26" s="388"/>
      <c r="X26" s="388"/>
      <c r="Z26" s="388"/>
      <c r="AA26" s="388"/>
    </row>
    <row r="27" spans="1:27" x14ac:dyDescent="0.35">
      <c r="M27" s="414"/>
      <c r="N27" s="414"/>
      <c r="O27" s="406" t="s">
        <v>3154</v>
      </c>
      <c r="P27" s="396">
        <f>ROUND(((C12/C50)*100),2)</f>
        <v>59.29</v>
      </c>
      <c r="Q27" s="397" t="s">
        <v>1197</v>
      </c>
      <c r="R27" s="396">
        <f>ROUND(((E12/E50)*100),2)</f>
        <v>58.75</v>
      </c>
      <c r="S27" s="397" t="s">
        <v>1197</v>
      </c>
      <c r="T27" s="396">
        <f>ROUND(((G12/G50)*100),2)</f>
        <v>59.93</v>
      </c>
      <c r="U27" s="397" t="s">
        <v>1197</v>
      </c>
      <c r="V27" s="396">
        <f>ROUND(((I12/I50)*100),2)</f>
        <v>58.59</v>
      </c>
      <c r="W27" s="397" t="s">
        <v>1197</v>
      </c>
      <c r="X27" s="396">
        <f>ROUND(((K12/K50)*100),2)</f>
        <v>56.55</v>
      </c>
      <c r="Y27" s="397" t="s">
        <v>1197</v>
      </c>
      <c r="Z27" s="396">
        <f>ROUND(AVERAGE(O27:X27),2)</f>
        <v>58.62</v>
      </c>
      <c r="AA27" s="397" t="s">
        <v>1197</v>
      </c>
    </row>
    <row r="28" spans="1:27" x14ac:dyDescent="0.35">
      <c r="A28" s="406" t="s">
        <v>3155</v>
      </c>
      <c r="B28" s="406" t="s">
        <v>3155</v>
      </c>
      <c r="C28" s="431">
        <f>(20+14)*1000000</f>
        <v>34000000</v>
      </c>
      <c r="E28" s="414">
        <f>27000000+10000000</f>
        <v>37000000</v>
      </c>
      <c r="G28" s="414">
        <f>30000000+13000000</f>
        <v>43000000</v>
      </c>
      <c r="I28" s="414">
        <f>28000000+13000000</f>
        <v>41000000</v>
      </c>
      <c r="K28" s="414">
        <f>24000000+13000000</f>
        <v>37000000</v>
      </c>
      <c r="M28" s="414">
        <f>19000000+8000000</f>
        <v>27000000</v>
      </c>
      <c r="N28" s="414"/>
      <c r="O28" s="406" t="s">
        <v>3156</v>
      </c>
      <c r="P28" s="396">
        <f>ROUND(((SUM(C13,C17)/C50)*100),2)-0.01</f>
        <v>0.01</v>
      </c>
      <c r="Q28" s="397"/>
      <c r="R28" s="396">
        <f>ROUND(((SUM(E13,E17)/E50)*100),2)</f>
        <v>0.02</v>
      </c>
      <c r="S28" s="397"/>
      <c r="T28" s="396">
        <f>ROUND(((SUM(G13,G17)/G50)*100),2)</f>
        <v>0.02</v>
      </c>
      <c r="U28" s="397"/>
      <c r="V28" s="396">
        <f>ROUND(((SUM(I13,I17)/I50)*100),2)</f>
        <v>0.03</v>
      </c>
      <c r="W28" s="397"/>
      <c r="X28" s="396">
        <f>ROUND(((SUM(K13,K17)/K50)*100),2)</f>
        <v>0.05</v>
      </c>
      <c r="Y28" s="397"/>
      <c r="Z28" s="396">
        <f>ROUND(AVERAGE(O28:X28),2)</f>
        <v>0.03</v>
      </c>
      <c r="AA28" s="397"/>
    </row>
    <row r="29" spans="1:27" x14ac:dyDescent="0.35">
      <c r="M29" s="414"/>
      <c r="N29" s="414"/>
      <c r="O29" s="406" t="s">
        <v>3157</v>
      </c>
      <c r="P29" s="398">
        <f>ROUND(((C16/C50)*100),2)</f>
        <v>40.700000000000003</v>
      </c>
      <c r="Q29" s="397"/>
      <c r="R29" s="398">
        <f>ROUND(((E16/E50)*100),2)</f>
        <v>41.23</v>
      </c>
      <c r="S29" s="397"/>
      <c r="T29" s="398">
        <f>ROUND(((G16/G50)*100),2)</f>
        <v>40.049999999999997</v>
      </c>
      <c r="U29" s="397"/>
      <c r="V29" s="398">
        <f>ROUND(((I16/I50)*100),2)</f>
        <v>41.38</v>
      </c>
      <c r="W29" s="397"/>
      <c r="X29" s="398">
        <f>ROUND(((K16/K50)*100),2)</f>
        <v>43.4</v>
      </c>
      <c r="Y29" s="397"/>
      <c r="Z29" s="396">
        <f>ROUND(AVERAGE(O29:X29),2)</f>
        <v>41.35</v>
      </c>
      <c r="AA29" s="397"/>
    </row>
    <row r="30" spans="1:27" x14ac:dyDescent="0.35">
      <c r="A30" s="406" t="s">
        <v>3158</v>
      </c>
      <c r="B30" s="406" t="s">
        <v>3159</v>
      </c>
      <c r="C30" s="431">
        <f>(433-52)*1000000</f>
        <v>381000000</v>
      </c>
      <c r="E30" s="414">
        <v>399000000</v>
      </c>
      <c r="G30" s="414">
        <v>395000000</v>
      </c>
      <c r="I30" s="414">
        <v>382000000</v>
      </c>
      <c r="K30" s="414">
        <v>350000000</v>
      </c>
      <c r="M30" s="414">
        <v>342000000</v>
      </c>
      <c r="N30" s="414"/>
      <c r="O30" s="406"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M31" s="414"/>
      <c r="N31" s="414"/>
      <c r="P31" s="388"/>
      <c r="Q31" s="388"/>
      <c r="R31" s="388"/>
      <c r="S31" s="388"/>
      <c r="T31" s="388"/>
      <c r="U31" s="388"/>
      <c r="V31" s="388"/>
      <c r="W31" s="388"/>
      <c r="X31" s="388"/>
      <c r="Z31" s="388"/>
      <c r="AA31" s="388"/>
    </row>
    <row r="32" spans="1:27" x14ac:dyDescent="0.35">
      <c r="A32" s="406" t="s">
        <v>3161</v>
      </c>
      <c r="B32" s="406" t="s">
        <v>3162</v>
      </c>
      <c r="C32" s="431">
        <v>820000000</v>
      </c>
      <c r="E32" s="414">
        <v>1263000000</v>
      </c>
      <c r="G32" s="414">
        <v>709000000</v>
      </c>
      <c r="I32" s="414">
        <v>621000000</v>
      </c>
      <c r="K32" s="414">
        <v>565000000</v>
      </c>
      <c r="M32" s="414">
        <v>426000000</v>
      </c>
      <c r="N32" s="414"/>
      <c r="O32" s="406" t="s">
        <v>3163</v>
      </c>
      <c r="P32" s="388"/>
      <c r="Q32" s="388"/>
      <c r="R32" s="388"/>
      <c r="S32" s="388"/>
      <c r="T32" s="388"/>
      <c r="U32" s="388"/>
      <c r="V32" s="388"/>
      <c r="W32" s="388"/>
      <c r="X32" s="388"/>
      <c r="Z32" s="388"/>
      <c r="AA32" s="388"/>
    </row>
    <row r="33" spans="1:27" x14ac:dyDescent="0.35">
      <c r="A33" s="417"/>
      <c r="B33" s="417"/>
      <c r="C33" s="417"/>
      <c r="D33" s="417"/>
      <c r="E33" s="417"/>
      <c r="F33" s="417"/>
      <c r="G33" s="417"/>
      <c r="H33" s="417"/>
      <c r="I33" s="417"/>
      <c r="J33" s="417"/>
      <c r="K33" s="417"/>
      <c r="L33" s="417"/>
      <c r="M33" s="418"/>
      <c r="N33" s="418"/>
      <c r="O33" s="406" t="s">
        <v>3164</v>
      </c>
      <c r="P33" s="396">
        <f>ROUND((((C12+C19)/C56)*100),2)</f>
        <v>61.67</v>
      </c>
      <c r="Q33" s="397" t="s">
        <v>1197</v>
      </c>
      <c r="R33" s="396">
        <f>ROUND((((E12+E19)/E56)*100),2)</f>
        <v>60.07</v>
      </c>
      <c r="S33" s="397" t="s">
        <v>1197</v>
      </c>
      <c r="T33" s="396">
        <f>ROUND((((G12+G19)/G56)*100),2)</f>
        <v>62.88</v>
      </c>
      <c r="U33" s="397" t="s">
        <v>1197</v>
      </c>
      <c r="V33" s="396">
        <f>ROUND((((I12+I19)/I56)*100),2)</f>
        <v>60.68</v>
      </c>
      <c r="W33" s="397" t="s">
        <v>1197</v>
      </c>
      <c r="X33" s="396">
        <f>ROUND((((K12+K19)/K56)*100),2)</f>
        <v>59.44</v>
      </c>
      <c r="Y33" s="397" t="s">
        <v>1197</v>
      </c>
      <c r="Z33" s="396">
        <f>ROUND(AVERAGE(O33:X33),2)</f>
        <v>60.95</v>
      </c>
      <c r="AA33" s="397" t="s">
        <v>1197</v>
      </c>
    </row>
    <row r="34" spans="1:27" x14ac:dyDescent="0.35">
      <c r="A34" s="406" t="s">
        <v>3165</v>
      </c>
      <c r="B34" s="406" t="s">
        <v>3166</v>
      </c>
      <c r="C34" s="431">
        <f>C32</f>
        <v>820000000</v>
      </c>
      <c r="E34" s="414">
        <f>E32</f>
        <v>1263000000</v>
      </c>
      <c r="G34" s="414">
        <v>709000000</v>
      </c>
      <c r="I34" s="414">
        <v>621000000</v>
      </c>
      <c r="K34" s="414">
        <v>567000000</v>
      </c>
      <c r="M34" s="414">
        <v>426000000</v>
      </c>
      <c r="N34" s="414"/>
      <c r="O34" s="406" t="s">
        <v>3156</v>
      </c>
      <c r="P34" s="396">
        <f>ROUND((((SUM(C13,C17))/C56)*100),2)</f>
        <v>0.01</v>
      </c>
      <c r="Q34" s="397"/>
      <c r="R34" s="396">
        <f>ROUND((((SUM(E13,E17))/E56)*100),2)</f>
        <v>0.02</v>
      </c>
      <c r="S34" s="397"/>
      <c r="T34" s="396">
        <f>ROUND((((SUM(G13,G17))/G56)*100),2)</f>
        <v>0.02</v>
      </c>
      <c r="U34" s="397"/>
      <c r="V34" s="396">
        <f>ROUND((((SUM(I13,I17))/I56)*100),2)</f>
        <v>0.03</v>
      </c>
      <c r="W34" s="397"/>
      <c r="X34" s="396">
        <f>ROUND((((SUM(K13,K17))/K56)*100),2)</f>
        <v>0.05</v>
      </c>
      <c r="Y34" s="397"/>
      <c r="Z34" s="396">
        <f>ROUND(AVERAGE(O34:X34),2)</f>
        <v>0.03</v>
      </c>
      <c r="AA34" s="397"/>
    </row>
    <row r="35" spans="1:27" x14ac:dyDescent="0.35">
      <c r="M35" s="414"/>
      <c r="N35" s="414"/>
      <c r="O35" s="406" t="s">
        <v>3157</v>
      </c>
      <c r="P35" s="398">
        <f>ROUND((((C16)/C56)*100),2)</f>
        <v>38.32</v>
      </c>
      <c r="Q35" s="397"/>
      <c r="R35" s="398">
        <f>ROUND((((E16)/E56)*100),2)</f>
        <v>39.92</v>
      </c>
      <c r="S35" s="397"/>
      <c r="T35" s="398">
        <f>ROUND((((G16)/G56)*100),2)</f>
        <v>37.1</v>
      </c>
      <c r="U35" s="397"/>
      <c r="V35" s="398">
        <f>ROUND((((I16)/I56)*100),2)</f>
        <v>39.29</v>
      </c>
      <c r="W35" s="397"/>
      <c r="X35" s="398">
        <f>ROUND((((K16)/K56)*100),2)</f>
        <v>40.51</v>
      </c>
      <c r="Y35" s="397"/>
      <c r="Z35" s="396">
        <f>ROUND(AVERAGE(O35:X35),2)</f>
        <v>39.03</v>
      </c>
      <c r="AA35" s="397"/>
    </row>
    <row r="36" spans="1:27" x14ac:dyDescent="0.35">
      <c r="A36" s="406" t="s">
        <v>3167</v>
      </c>
      <c r="B36" s="406" t="s">
        <v>3168</v>
      </c>
      <c r="C36" s="406">
        <v>0</v>
      </c>
      <c r="E36" s="414">
        <v>0</v>
      </c>
      <c r="G36" s="414">
        <v>0</v>
      </c>
      <c r="I36" s="414">
        <v>0</v>
      </c>
      <c r="K36" s="414">
        <v>0</v>
      </c>
      <c r="M36" s="414">
        <v>0</v>
      </c>
      <c r="N36" s="414"/>
      <c r="O36" s="406" t="s">
        <v>3160</v>
      </c>
      <c r="P36" s="399">
        <f>SUM(P33:P35)</f>
        <v>100</v>
      </c>
      <c r="Q36" s="397" t="s">
        <v>1197</v>
      </c>
      <c r="R36" s="399">
        <f>SUM(R33:R35)</f>
        <v>100.01</v>
      </c>
      <c r="S36" s="397" t="s">
        <v>1197</v>
      </c>
      <c r="T36" s="399">
        <f>SUM(T33:T35)</f>
        <v>100</v>
      </c>
      <c r="U36" s="397" t="s">
        <v>1197</v>
      </c>
      <c r="V36" s="399">
        <f>SUM(V33:V35)</f>
        <v>100</v>
      </c>
      <c r="W36" s="397" t="s">
        <v>1197</v>
      </c>
      <c r="X36" s="399">
        <f>SUM(X33:X35)</f>
        <v>100</v>
      </c>
      <c r="Y36" s="397" t="s">
        <v>1197</v>
      </c>
      <c r="Z36" s="399">
        <f>SUM(Z33:Z35)</f>
        <v>100.01</v>
      </c>
      <c r="AA36" s="397" t="s">
        <v>1197</v>
      </c>
    </row>
    <row r="37" spans="1:27" x14ac:dyDescent="0.35">
      <c r="M37" s="414"/>
      <c r="N37" s="414"/>
      <c r="P37" s="388"/>
      <c r="Q37" s="388"/>
      <c r="R37" s="388"/>
      <c r="S37" s="388"/>
      <c r="T37" s="388"/>
      <c r="U37" s="388"/>
      <c r="V37" s="388"/>
      <c r="W37" s="388"/>
      <c r="X37" s="388"/>
      <c r="Z37" s="388"/>
      <c r="AA37" s="388"/>
    </row>
    <row r="38" spans="1:27" x14ac:dyDescent="0.35">
      <c r="A38" s="406" t="s">
        <v>3169</v>
      </c>
      <c r="B38" s="406" t="s">
        <v>3170</v>
      </c>
      <c r="C38" s="431">
        <v>467000000</v>
      </c>
      <c r="E38" s="414">
        <v>428000000</v>
      </c>
      <c r="G38" s="414">
        <v>389000000</v>
      </c>
      <c r="I38" s="414">
        <v>353000000</v>
      </c>
      <c r="K38" s="414">
        <v>319000000</v>
      </c>
      <c r="M38" s="414">
        <v>289000000</v>
      </c>
      <c r="N38" s="414"/>
      <c r="P38" s="388"/>
      <c r="Q38" s="388"/>
      <c r="R38" s="388"/>
      <c r="S38" s="388"/>
      <c r="T38" s="388"/>
      <c r="U38" s="388"/>
      <c r="V38" s="388"/>
      <c r="W38" s="388"/>
      <c r="X38" s="388"/>
      <c r="Z38" s="388"/>
      <c r="AA38" s="388"/>
    </row>
    <row r="39" spans="1:27" x14ac:dyDescent="0.35">
      <c r="M39" s="414"/>
      <c r="N39" s="414"/>
      <c r="P39" s="388"/>
      <c r="Q39" s="388"/>
      <c r="R39" s="388"/>
      <c r="S39" s="388"/>
      <c r="T39" s="388"/>
      <c r="U39" s="388"/>
      <c r="V39" s="388"/>
      <c r="W39" s="388"/>
      <c r="X39" s="388"/>
      <c r="Z39" s="388"/>
      <c r="AA39" s="388"/>
    </row>
    <row r="40" spans="1:27" x14ac:dyDescent="0.35">
      <c r="A40" s="406" t="s">
        <v>3171</v>
      </c>
      <c r="B40" s="406" t="s">
        <v>3172</v>
      </c>
      <c r="C40" s="431">
        <f>C34</f>
        <v>820000000</v>
      </c>
      <c r="E40" s="414">
        <v>1263000000</v>
      </c>
      <c r="G40" s="414">
        <v>709000000</v>
      </c>
      <c r="I40" s="414">
        <v>621000000</v>
      </c>
      <c r="K40" s="414">
        <v>565000000</v>
      </c>
      <c r="M40" s="414">
        <v>426000000</v>
      </c>
      <c r="N40" s="414"/>
      <c r="O40" s="410" t="s">
        <v>3173</v>
      </c>
      <c r="P40" s="388"/>
      <c r="Q40" s="388"/>
      <c r="R40" s="388"/>
      <c r="S40" s="388"/>
      <c r="T40" s="388"/>
      <c r="U40" s="388"/>
      <c r="V40" s="388"/>
      <c r="W40" s="388"/>
      <c r="X40" s="388"/>
      <c r="Z40" s="388"/>
      <c r="AA40" s="388"/>
    </row>
    <row r="41" spans="1:27" x14ac:dyDescent="0.35">
      <c r="A41" s="406" t="s">
        <v>3174</v>
      </c>
      <c r="B41" s="406" t="s">
        <v>3175</v>
      </c>
      <c r="C41" s="431">
        <v>1108000000</v>
      </c>
      <c r="E41" s="414">
        <v>1441000000</v>
      </c>
      <c r="G41" s="414">
        <v>1426000000</v>
      </c>
      <c r="I41" s="414">
        <v>1383000000</v>
      </c>
      <c r="K41" s="414">
        <v>1386000000</v>
      </c>
      <c r="M41" s="414">
        <v>1449000000</v>
      </c>
      <c r="N41" s="414"/>
      <c r="O41" s="410"/>
      <c r="P41" s="388"/>
      <c r="Q41" s="388"/>
      <c r="R41" s="388"/>
      <c r="S41" s="388"/>
      <c r="T41" s="388"/>
      <c r="U41" s="388"/>
      <c r="V41" s="388"/>
      <c r="W41" s="388"/>
      <c r="X41" s="388"/>
      <c r="Z41" s="388"/>
      <c r="AA41" s="388"/>
    </row>
    <row r="42" spans="1:27" x14ac:dyDescent="0.35">
      <c r="A42" s="406" t="s">
        <v>3176</v>
      </c>
      <c r="B42" s="406" t="s">
        <v>3177</v>
      </c>
      <c r="C42" s="431">
        <f>(-114-8-5-51)*1000000</f>
        <v>-178000000</v>
      </c>
      <c r="E42" s="414">
        <f>(-74-40+66+134)*1000000</f>
        <v>86000000</v>
      </c>
      <c r="G42" s="414">
        <f>(-97-39-2+44)*1000000</f>
        <v>-94000000</v>
      </c>
      <c r="I42" s="414">
        <f>(-25-31+66-72-4)*1000000</f>
        <v>-66000000</v>
      </c>
      <c r="K42" s="414">
        <f>(-17-22+25+22-40)*1000000</f>
        <v>-32000000</v>
      </c>
      <c r="M42" s="414">
        <f>(21-48+38+64-22)*1000000</f>
        <v>53000000</v>
      </c>
      <c r="N42" s="414"/>
      <c r="O42" s="410" t="s">
        <v>3178</v>
      </c>
      <c r="P42" s="388"/>
      <c r="Q42" s="388"/>
      <c r="R42" s="388"/>
      <c r="S42" s="388"/>
      <c r="T42" s="388"/>
      <c r="U42" s="388"/>
      <c r="V42" s="388"/>
      <c r="W42" s="388"/>
      <c r="X42" s="388"/>
      <c r="Z42" s="388"/>
      <c r="AA42" s="388"/>
    </row>
    <row r="43" spans="1:27" x14ac:dyDescent="0.35">
      <c r="A43" s="406" t="s">
        <v>3179</v>
      </c>
      <c r="B43" s="406" t="s">
        <v>3180</v>
      </c>
      <c r="C43" s="431">
        <v>649000000</v>
      </c>
      <c r="E43" s="414">
        <v>636000000</v>
      </c>
      <c r="G43" s="414">
        <v>604000000</v>
      </c>
      <c r="I43" s="414">
        <v>582000000</v>
      </c>
      <c r="K43" s="414">
        <v>545000000</v>
      </c>
      <c r="M43" s="414">
        <v>492000000</v>
      </c>
      <c r="N43" s="414"/>
      <c r="O43" s="406" t="s">
        <v>3181</v>
      </c>
      <c r="P43" s="396">
        <f>ROUND(C21/C52,4)*100</f>
        <v>2.91</v>
      </c>
      <c r="Q43" s="397" t="s">
        <v>1197</v>
      </c>
      <c r="R43" s="396">
        <f>ROUND(E21/E52,4)*100</f>
        <v>4.33</v>
      </c>
      <c r="S43" s="397" t="s">
        <v>1197</v>
      </c>
      <c r="T43" s="396">
        <f>ROUND(G21/G52,4)*100</f>
        <v>2.98</v>
      </c>
      <c r="U43" s="397" t="s">
        <v>1197</v>
      </c>
      <c r="V43" s="396">
        <f>ROUND(I21/I52,4)*100</f>
        <v>3.1399999999999997</v>
      </c>
      <c r="W43" s="397" t="s">
        <v>1197</v>
      </c>
      <c r="X43" s="396">
        <f>ROUND(K21/K52,4)*100</f>
        <v>3.62</v>
      </c>
      <c r="Y43" s="397" t="s">
        <v>1197</v>
      </c>
      <c r="Z43" s="396">
        <f>ROUND(AVERAGE(O43:X43),2)</f>
        <v>3.4</v>
      </c>
      <c r="AA43" s="397" t="s">
        <v>1197</v>
      </c>
    </row>
    <row r="44" spans="1:27" x14ac:dyDescent="0.35">
      <c r="A44" s="406" t="s">
        <v>3182</v>
      </c>
      <c r="B44" s="406" t="s">
        <v>3183</v>
      </c>
      <c r="C44" s="431">
        <v>188000000</v>
      </c>
      <c r="E44" s="414">
        <v>377000000</v>
      </c>
      <c r="G44" s="414">
        <v>215000000</v>
      </c>
      <c r="I44" s="414">
        <v>212000000</v>
      </c>
      <c r="K44" s="414">
        <v>222000000</v>
      </c>
      <c r="M44" s="414">
        <v>486000000</v>
      </c>
      <c r="N44" s="414"/>
      <c r="O44" s="406" t="s">
        <v>3184</v>
      </c>
      <c r="P44" s="396">
        <f>(ROUND((C52/(AVERAGE(C48,E48))*100),2))</f>
        <v>381.58</v>
      </c>
      <c r="Q44" s="388"/>
      <c r="R44" s="396">
        <f>(ROUND((E52/(AVERAGE(E48,G48))*100),2))</f>
        <v>423.56</v>
      </c>
      <c r="S44" s="388"/>
      <c r="T44" s="396">
        <f>(ROUND((G52/(AVERAGE(G48,I48))*100),2))</f>
        <v>378.13</v>
      </c>
      <c r="U44" s="388"/>
      <c r="V44" s="396">
        <f>(ROUND((I52/(AVERAGE(I48,K48))*100),2))</f>
        <v>329.18</v>
      </c>
      <c r="W44" s="388"/>
      <c r="X44" s="396">
        <f>(ROUND((K52/(AVERAGE(K48,M48))*100),2))</f>
        <v>277.58999999999997</v>
      </c>
      <c r="Z44" s="396">
        <f>ROUND(AVERAGE(O44:X44),2)</f>
        <v>358.01</v>
      </c>
      <c r="AA44" s="388"/>
    </row>
    <row r="45" spans="1:27" x14ac:dyDescent="0.35">
      <c r="O45" s="406" t="s">
        <v>3185</v>
      </c>
      <c r="P45" s="396">
        <f>ROUND(((+C26/C52)*100),2)</f>
        <v>1.69</v>
      </c>
      <c r="Q45" s="388"/>
      <c r="R45" s="396">
        <f>ROUND(((+E26/E52)*100),2)</f>
        <v>1.5</v>
      </c>
      <c r="S45" s="388"/>
      <c r="T45" s="396">
        <f>ROUND(((+G26/G52)*100),2)</f>
        <v>1.68</v>
      </c>
      <c r="U45" s="388"/>
      <c r="V45" s="396">
        <f>ROUND(((+I26/I52)*100),2)</f>
        <v>1.83</v>
      </c>
      <c r="W45" s="388"/>
      <c r="X45" s="396">
        <f>ROUND(((+K26/K52)*100),2)</f>
        <v>2.09</v>
      </c>
      <c r="Z45" s="396">
        <f>ROUND(AVERAGE(O45:X45),2)</f>
        <v>1.76</v>
      </c>
      <c r="AA45" s="388"/>
    </row>
    <row r="46" spans="1:27" x14ac:dyDescent="0.35">
      <c r="A46" s="406" t="s">
        <v>3186</v>
      </c>
      <c r="O46" s="406" t="s">
        <v>3187</v>
      </c>
      <c r="P46" s="396">
        <f>ROUND(((+C38/C34)*100),2)</f>
        <v>56.95</v>
      </c>
      <c r="Q46" s="388"/>
      <c r="R46" s="396">
        <f>ROUND(((+E38/E34)*100),2)</f>
        <v>33.89</v>
      </c>
      <c r="S46" s="388"/>
      <c r="T46" s="396">
        <f>ROUND(((+G38/G34)*100),2)</f>
        <v>54.87</v>
      </c>
      <c r="U46" s="388"/>
      <c r="V46" s="396">
        <f>ROUND(((+I38/I34)*100),2)</f>
        <v>56.84</v>
      </c>
      <c r="W46" s="388"/>
      <c r="X46" s="396">
        <f>ROUND(((+K38/K34)*100),2)</f>
        <v>56.26</v>
      </c>
      <c r="Z46" s="396">
        <f>ROUND(AVERAGE(O46:X46),2)</f>
        <v>51.76</v>
      </c>
      <c r="AA46" s="388"/>
    </row>
    <row r="47" spans="1:27" x14ac:dyDescent="0.35">
      <c r="P47" s="396"/>
      <c r="Q47" s="388"/>
      <c r="R47" s="396"/>
      <c r="S47" s="388"/>
      <c r="T47" s="396"/>
      <c r="U47" s="388"/>
      <c r="V47" s="396"/>
      <c r="W47" s="388"/>
      <c r="X47" s="396"/>
      <c r="Z47" s="396"/>
      <c r="AA47" s="388"/>
    </row>
    <row r="48" spans="1:27" x14ac:dyDescent="0.35">
      <c r="A48" s="406" t="s">
        <v>3188</v>
      </c>
      <c r="B48" s="406" t="s">
        <v>3189</v>
      </c>
      <c r="C48" s="386">
        <f>C16/C15</f>
        <v>41.094967146435408</v>
      </c>
      <c r="E48" s="386">
        <f>E16/E15</f>
        <v>40.184770875967821</v>
      </c>
      <c r="G48" s="386">
        <f>G16/G15</f>
        <v>35.598751698386991</v>
      </c>
      <c r="I48" s="386">
        <f>I16/I15</f>
        <v>33.852678364624396</v>
      </c>
      <c r="K48" s="386">
        <f>K16/K15</f>
        <v>32.454450505252808</v>
      </c>
      <c r="M48" s="386">
        <f>M16/M15</f>
        <v>30.177440999404219</v>
      </c>
      <c r="O48" s="410" t="s">
        <v>3190</v>
      </c>
      <c r="P48" s="396">
        <f>ROUND(((C34/AVERAGE(C16,E16))*100),2)</f>
        <v>10.94</v>
      </c>
      <c r="Q48" s="388" t="s">
        <v>1197</v>
      </c>
      <c r="R48" s="396">
        <f>ROUND(((E34/AVERAGE(E16,G16))*100),2)</f>
        <v>18.37</v>
      </c>
      <c r="S48" s="388" t="s">
        <v>1197</v>
      </c>
      <c r="T48" s="396">
        <f>ROUND(((G34/AVERAGE(G16,I16))*100),2)</f>
        <v>11.28</v>
      </c>
      <c r="U48" s="388" t="s">
        <v>1197</v>
      </c>
      <c r="V48" s="396">
        <f>ROUND(((I34/AVERAGE(I16,K16))*100),2)</f>
        <v>10.36</v>
      </c>
      <c r="W48" s="388" t="s">
        <v>1197</v>
      </c>
      <c r="X48" s="396">
        <f>ROUND(((K34/AVERAGE(K16,M16))*100),2)</f>
        <v>10.08</v>
      </c>
      <c r="Y48" s="388" t="s">
        <v>1197</v>
      </c>
      <c r="Z48" s="396">
        <f>ROUND(AVERAGE(O48:X48),2)</f>
        <v>12.21</v>
      </c>
      <c r="AA48" s="388" t="s">
        <v>1197</v>
      </c>
    </row>
    <row r="49" spans="1:27" x14ac:dyDescent="0.35">
      <c r="C49" s="414"/>
      <c r="E49" s="414"/>
      <c r="G49" s="414"/>
      <c r="I49" s="414"/>
      <c r="K49" s="414"/>
      <c r="M49" s="414"/>
      <c r="P49" s="396"/>
      <c r="Q49" s="388"/>
      <c r="R49" s="396"/>
      <c r="S49" s="388"/>
      <c r="T49" s="396"/>
      <c r="U49" s="388"/>
      <c r="V49" s="396"/>
      <c r="W49" s="388"/>
      <c r="X49" s="396"/>
      <c r="Z49" s="397"/>
      <c r="AA49" s="388"/>
    </row>
    <row r="50" spans="1:27" x14ac:dyDescent="0.35">
      <c r="A50" s="406" t="s">
        <v>3191</v>
      </c>
      <c r="B50" s="406" t="s">
        <v>3189</v>
      </c>
      <c r="C50" s="386">
        <f>SUM(C12:C13,C16:C17)</f>
        <v>18903000000</v>
      </c>
      <c r="E50" s="386">
        <f>SUM(E12:E13,E16:E17)</f>
        <v>17699000000</v>
      </c>
      <c r="G50" s="386">
        <f>SUM(G12:G13,G16:G17)</f>
        <v>16116000000</v>
      </c>
      <c r="I50" s="386">
        <f>SUM(I12:I13,I16:I17)</f>
        <v>14793000000</v>
      </c>
      <c r="K50" s="386">
        <f>SUM(K12:K13,K16:K17)</f>
        <v>13511000000</v>
      </c>
      <c r="M50" s="386">
        <f>SUM(M12:M13,M16:M17)</f>
        <v>12205000000</v>
      </c>
      <c r="O50" s="410" t="s">
        <v>3192</v>
      </c>
      <c r="P50" s="396">
        <f>ROUND((C54/C62),2)</f>
        <v>6.08</v>
      </c>
      <c r="Q50" s="397" t="s">
        <v>1401</v>
      </c>
      <c r="R50" s="396">
        <f>ROUND((E54/E62),2)</f>
        <v>4.1100000000000003</v>
      </c>
      <c r="S50" s="397" t="s">
        <v>1401</v>
      </c>
      <c r="T50" s="396">
        <f>ROUND((G54/G62),2)</f>
        <v>5.69</v>
      </c>
      <c r="U50" s="397" t="s">
        <v>1401</v>
      </c>
      <c r="V50" s="396">
        <f>ROUND((I54/I62),2)</f>
        <v>5.26</v>
      </c>
      <c r="W50" s="397" t="s">
        <v>1401</v>
      </c>
      <c r="X50" s="396">
        <f>ROUND((K54/K62),2)</f>
        <v>5.12</v>
      </c>
      <c r="Y50" s="397" t="s">
        <v>1401</v>
      </c>
      <c r="Z50" s="396">
        <f>ROUND(AVERAGE(O50:X50),2)</f>
        <v>5.25</v>
      </c>
      <c r="AA50" s="388" t="s">
        <v>1401</v>
      </c>
    </row>
    <row r="51" spans="1:27" x14ac:dyDescent="0.35">
      <c r="C51" s="414"/>
      <c r="E51" s="414"/>
      <c r="G51" s="414"/>
      <c r="I51" s="414"/>
      <c r="K51" s="414"/>
      <c r="M51" s="414"/>
      <c r="O51" s="410"/>
      <c r="P51" s="396"/>
      <c r="Q51" s="388"/>
      <c r="R51" s="396"/>
      <c r="S51" s="388"/>
      <c r="T51" s="396"/>
      <c r="U51" s="388"/>
      <c r="V51" s="396"/>
      <c r="W51" s="388"/>
      <c r="X51" s="396"/>
      <c r="Z51" s="396"/>
      <c r="AA51" s="388"/>
    </row>
    <row r="52" spans="1:27" x14ac:dyDescent="0.35">
      <c r="A52" s="406" t="s">
        <v>1534</v>
      </c>
      <c r="B52" s="406" t="s">
        <v>3189</v>
      </c>
      <c r="C52" s="386">
        <f>AVERAGE(C22:C23)</f>
        <v>155.07499999999999</v>
      </c>
      <c r="E52" s="386">
        <f>AVERAGE(E22:E23)</f>
        <v>160.495</v>
      </c>
      <c r="G52" s="386">
        <f>AVERAGE(G22:G23)</f>
        <v>131.31</v>
      </c>
      <c r="I52" s="386">
        <f>AVERAGE(I22:I23)</f>
        <v>109.13499999999999</v>
      </c>
      <c r="K52" s="386">
        <f>AVERAGE(K22:K23)</f>
        <v>86.93</v>
      </c>
      <c r="M52" s="386">
        <f>AVERAGE(M22:M23)</f>
        <v>81.41</v>
      </c>
      <c r="O52" s="410" t="s">
        <v>3193</v>
      </c>
      <c r="P52" s="396">
        <f>ROUND(((C60/C54)*100),2)</f>
        <v>7.24</v>
      </c>
      <c r="Q52" s="397" t="s">
        <v>1197</v>
      </c>
      <c r="R52" s="396">
        <f>ROUND(((E60/E54)*100),2)</f>
        <v>13.57</v>
      </c>
      <c r="S52" s="397" t="s">
        <v>1197</v>
      </c>
      <c r="T52" s="396">
        <f>ROUND(((G60/G54)*100),2)</f>
        <v>11.78</v>
      </c>
      <c r="U52" s="397" t="s">
        <v>1197</v>
      </c>
      <c r="V52" s="396">
        <f>ROUND(((I60/I54)*100),2)</f>
        <v>13.5</v>
      </c>
      <c r="W52" s="397" t="s">
        <v>1197</v>
      </c>
      <c r="X52" s="396">
        <f>ROUND(((K60/K54)*100),2)</f>
        <v>15.31</v>
      </c>
      <c r="Y52" s="397" t="s">
        <v>1197</v>
      </c>
      <c r="Z52" s="396">
        <f>ROUND(AVERAGE(O52:X52),2)</f>
        <v>12.28</v>
      </c>
      <c r="AA52" s="388" t="s">
        <v>1197</v>
      </c>
    </row>
    <row r="53" spans="1:27" x14ac:dyDescent="0.35">
      <c r="C53" s="414"/>
      <c r="E53" s="414"/>
      <c r="G53" s="414"/>
      <c r="I53" s="414"/>
      <c r="K53" s="414"/>
      <c r="M53" s="414"/>
      <c r="O53" s="419"/>
      <c r="P53" s="396"/>
      <c r="Q53" s="388"/>
      <c r="R53" s="396"/>
      <c r="S53" s="388"/>
      <c r="T53" s="396"/>
      <c r="U53" s="388"/>
      <c r="V53" s="396"/>
      <c r="W53" s="388"/>
      <c r="X53" s="396"/>
      <c r="Z53" s="388"/>
      <c r="AA53" s="388"/>
    </row>
    <row r="54" spans="1:27" x14ac:dyDescent="0.35">
      <c r="A54" s="406" t="s">
        <v>3194</v>
      </c>
      <c r="C54" s="386">
        <f>+C19+C12</f>
        <v>12382000000</v>
      </c>
      <c r="E54" s="386">
        <f>+E19+E12</f>
        <v>10982000000</v>
      </c>
      <c r="G54" s="386">
        <f>+G19+G12</f>
        <v>10940000000</v>
      </c>
      <c r="I54" s="386">
        <f>+I19+I12</f>
        <v>9453000000</v>
      </c>
      <c r="K54" s="386">
        <f>+K19+K12</f>
        <v>8604000000</v>
      </c>
      <c r="M54" s="386">
        <f>+M19+M12</f>
        <v>7717000000</v>
      </c>
      <c r="O54" s="419" t="s">
        <v>3195</v>
      </c>
      <c r="P54" s="396">
        <f>P33</f>
        <v>61.67</v>
      </c>
      <c r="Q54" s="397" t="s">
        <v>1197</v>
      </c>
      <c r="R54" s="396">
        <f>R33</f>
        <v>60.07</v>
      </c>
      <c r="S54" s="397" t="s">
        <v>1197</v>
      </c>
      <c r="T54" s="396">
        <f>T33</f>
        <v>62.88</v>
      </c>
      <c r="U54" s="397" t="s">
        <v>1197</v>
      </c>
      <c r="V54" s="396">
        <f>V33</f>
        <v>60.68</v>
      </c>
      <c r="W54" s="397" t="s">
        <v>1197</v>
      </c>
      <c r="X54" s="396">
        <f>X33</f>
        <v>59.44</v>
      </c>
      <c r="Y54" s="397" t="s">
        <v>1197</v>
      </c>
      <c r="Z54" s="396">
        <f>ROUND(AVERAGE(O54:X54),2)</f>
        <v>60.95</v>
      </c>
      <c r="AA54" s="397" t="s">
        <v>1197</v>
      </c>
    </row>
    <row r="55" spans="1:27" x14ac:dyDescent="0.35">
      <c r="C55" s="414"/>
      <c r="E55" s="414"/>
      <c r="G55" s="414"/>
      <c r="I55" s="414"/>
      <c r="K55" s="414"/>
      <c r="M55" s="414"/>
    </row>
    <row r="56" spans="1:27" x14ac:dyDescent="0.35">
      <c r="A56" s="406" t="s">
        <v>3196</v>
      </c>
      <c r="B56" s="406" t="s">
        <v>3189</v>
      </c>
      <c r="C56" s="386">
        <f>SUM(C50,C19)</f>
        <v>20078000000</v>
      </c>
      <c r="E56" s="386">
        <f>SUM(E50,E19)</f>
        <v>18283000000</v>
      </c>
      <c r="G56" s="386">
        <f>SUM(G50,G19)</f>
        <v>17398000000</v>
      </c>
      <c r="I56" s="386">
        <f>SUM(I50,I19)</f>
        <v>15579000000</v>
      </c>
      <c r="K56" s="386">
        <f>SUM(K50,K19)</f>
        <v>14475000000</v>
      </c>
      <c r="M56" s="386">
        <f>SUM(M50,M19)</f>
        <v>13110000000</v>
      </c>
    </row>
    <row r="57" spans="1:27" x14ac:dyDescent="0.35">
      <c r="C57" s="414"/>
      <c r="E57" s="414"/>
      <c r="G57" s="414"/>
      <c r="I57" s="414"/>
      <c r="K57" s="414"/>
      <c r="M57" s="414"/>
    </row>
    <row r="58" spans="1:27" x14ac:dyDescent="0.35">
      <c r="A58" s="406" t="s">
        <v>3197</v>
      </c>
      <c r="B58" s="406" t="s">
        <v>3189</v>
      </c>
      <c r="C58" s="386">
        <f>SUM(C13,C17)</f>
        <v>3000000</v>
      </c>
      <c r="E58" s="386">
        <f>SUM(E13,E17)</f>
        <v>3000000</v>
      </c>
      <c r="G58" s="386">
        <f>SUM(G13,G17)</f>
        <v>4000000</v>
      </c>
      <c r="I58" s="386">
        <f>SUM(I13,I17)</f>
        <v>5000000</v>
      </c>
      <c r="K58" s="386">
        <f>SUM(K13,K17)</f>
        <v>7000000</v>
      </c>
      <c r="M58" s="386">
        <f>SUM(M13,M17)</f>
        <v>8000000</v>
      </c>
    </row>
    <row r="59" spans="1:27" x14ac:dyDescent="0.35">
      <c r="C59" s="414"/>
      <c r="E59" s="414"/>
      <c r="G59" s="414"/>
      <c r="I59" s="414"/>
      <c r="K59" s="414"/>
      <c r="M59" s="414"/>
    </row>
    <row r="60" spans="1:27" x14ac:dyDescent="0.35">
      <c r="A60" s="420" t="s">
        <v>3198</v>
      </c>
      <c r="B60" s="406" t="s">
        <v>3189</v>
      </c>
      <c r="C60" s="386">
        <f>ROUND(C41+C42-C28,3)</f>
        <v>896000000</v>
      </c>
      <c r="E60" s="386">
        <f>ROUND(E41+E42-E28,3)</f>
        <v>1490000000</v>
      </c>
      <c r="G60" s="386">
        <f>ROUND(G41+G42-G28,3)</f>
        <v>1289000000</v>
      </c>
      <c r="I60" s="386">
        <f>ROUND(I41+I42-I28,3)</f>
        <v>1276000000</v>
      </c>
      <c r="K60" s="386">
        <f>ROUND(K41+K42-K28,3)</f>
        <v>1317000000</v>
      </c>
      <c r="M60" s="386">
        <f>ROUND(M41+M42-M28,3)</f>
        <v>1475000000</v>
      </c>
    </row>
    <row r="61" spans="1:27" x14ac:dyDescent="0.35">
      <c r="A61" s="420"/>
    </row>
    <row r="62" spans="1:27" x14ac:dyDescent="0.35">
      <c r="A62" s="406" t="s">
        <v>957</v>
      </c>
      <c r="B62" s="406" t="s">
        <v>3189</v>
      </c>
      <c r="C62" s="414">
        <f>C40+C43+C44+C30</f>
        <v>2038000000</v>
      </c>
      <c r="E62" s="414">
        <f>E40+E43+E44+E30</f>
        <v>2675000000</v>
      </c>
      <c r="G62" s="414">
        <f>G40+G43+G44+G30</f>
        <v>1923000000</v>
      </c>
      <c r="I62" s="414">
        <f>I40+I43+I44+I30</f>
        <v>1797000000</v>
      </c>
      <c r="K62" s="414">
        <f>K40+K43+K44+K30</f>
        <v>1682000000</v>
      </c>
      <c r="M62" s="414">
        <f>M40+M43+M44+M30</f>
        <v>1746000000</v>
      </c>
    </row>
    <row r="63" spans="1:27" x14ac:dyDescent="0.35">
      <c r="M63" s="421"/>
      <c r="N63" s="421"/>
    </row>
    <row r="64" spans="1:27" x14ac:dyDescent="0.35">
      <c r="M64" s="421"/>
      <c r="N64" s="421"/>
    </row>
    <row r="71" spans="13:14" x14ac:dyDescent="0.35">
      <c r="M71" s="421"/>
      <c r="N71" s="421"/>
    </row>
    <row r="81" spans="13:220" x14ac:dyDescent="0.35">
      <c r="HH81" s="422"/>
      <c r="HI81" s="422"/>
      <c r="HL81" s="406" t="s">
        <v>3199</v>
      </c>
    </row>
    <row r="94" spans="13:220" x14ac:dyDescent="0.35">
      <c r="M94" s="421"/>
      <c r="N94" s="421"/>
    </row>
    <row r="95" spans="13:220" x14ac:dyDescent="0.35">
      <c r="M95" s="421"/>
      <c r="N95" s="421"/>
    </row>
    <row r="96" spans="13:220" x14ac:dyDescent="0.35">
      <c r="M96" s="421"/>
      <c r="N96" s="421"/>
    </row>
    <row r="97" spans="13:14" x14ac:dyDescent="0.35">
      <c r="M97" s="421"/>
      <c r="N97" s="421"/>
    </row>
    <row r="98" spans="13:14" x14ac:dyDescent="0.35">
      <c r="M98" s="421"/>
      <c r="N98" s="421"/>
    </row>
    <row r="99" spans="13:14" x14ac:dyDescent="0.35">
      <c r="M99" s="421"/>
      <c r="N99" s="421"/>
    </row>
    <row r="100" spans="13:14" x14ac:dyDescent="0.35">
      <c r="M100" s="421"/>
      <c r="N100" s="421"/>
    </row>
    <row r="101" spans="13:14" x14ac:dyDescent="0.35">
      <c r="M101" s="421"/>
      <c r="N101" s="421"/>
    </row>
    <row r="102" spans="13:14" x14ac:dyDescent="0.35">
      <c r="M102" s="421"/>
      <c r="N102" s="421"/>
    </row>
    <row r="103" spans="13:14" x14ac:dyDescent="0.35">
      <c r="M103" s="421"/>
      <c r="N103" s="421"/>
    </row>
    <row r="104" spans="13:14" x14ac:dyDescent="0.35">
      <c r="M104" s="421"/>
      <c r="N104" s="421"/>
    </row>
    <row r="105" spans="13:14" x14ac:dyDescent="0.35">
      <c r="M105" s="421"/>
      <c r="N105" s="421"/>
    </row>
    <row r="106" spans="13:14" x14ac:dyDescent="0.35">
      <c r="M106" s="421"/>
      <c r="N106" s="421"/>
    </row>
    <row r="107" spans="13:14" x14ac:dyDescent="0.35">
      <c r="M107" s="421"/>
      <c r="N107" s="421"/>
    </row>
    <row r="108" spans="13:14" x14ac:dyDescent="0.35">
      <c r="M108" s="421"/>
      <c r="N108" s="421"/>
    </row>
    <row r="109" spans="13:14" x14ac:dyDescent="0.35">
      <c r="M109" s="421"/>
      <c r="N109" s="421"/>
    </row>
    <row r="110" spans="13:14" x14ac:dyDescent="0.35">
      <c r="M110" s="421"/>
      <c r="N110" s="421"/>
    </row>
    <row r="111" spans="13:14" x14ac:dyDescent="0.35">
      <c r="M111" s="421"/>
      <c r="N111" s="421"/>
    </row>
    <row r="112" spans="13:14" x14ac:dyDescent="0.35">
      <c r="M112" s="421"/>
      <c r="N112" s="421"/>
    </row>
    <row r="113" spans="13:14" x14ac:dyDescent="0.35">
      <c r="M113" s="421"/>
      <c r="N113" s="421"/>
    </row>
    <row r="114" spans="13:14" x14ac:dyDescent="0.35">
      <c r="M114" s="421"/>
      <c r="N114" s="421"/>
    </row>
    <row r="115" spans="13:14" x14ac:dyDescent="0.35">
      <c r="M115" s="421"/>
      <c r="N115" s="421"/>
    </row>
    <row r="116" spans="13:14" x14ac:dyDescent="0.35">
      <c r="M116" s="421"/>
      <c r="N116" s="421"/>
    </row>
    <row r="117" spans="13:14" x14ac:dyDescent="0.35">
      <c r="M117" s="421"/>
      <c r="N117" s="421"/>
    </row>
    <row r="118" spans="13:14" x14ac:dyDescent="0.35">
      <c r="M118" s="421"/>
      <c r="N118" s="421"/>
    </row>
    <row r="119" spans="13:14" x14ac:dyDescent="0.35">
      <c r="M119" s="421"/>
      <c r="N119" s="421"/>
    </row>
    <row r="120" spans="13:14" x14ac:dyDescent="0.35">
      <c r="M120" s="421"/>
      <c r="N120" s="421"/>
    </row>
    <row r="121" spans="13:14" x14ac:dyDescent="0.35">
      <c r="M121" s="421"/>
      <c r="N121" s="421"/>
    </row>
    <row r="122" spans="13:14" x14ac:dyDescent="0.35">
      <c r="M122" s="421"/>
      <c r="N122" s="421"/>
    </row>
    <row r="123" spans="13:14" x14ac:dyDescent="0.35">
      <c r="M123" s="421"/>
      <c r="N123" s="421"/>
    </row>
    <row r="124" spans="13:14" x14ac:dyDescent="0.35">
      <c r="M124" s="421"/>
      <c r="N124" s="421"/>
    </row>
    <row r="125" spans="13:14" x14ac:dyDescent="0.35">
      <c r="M125" s="421"/>
      <c r="N125" s="421"/>
    </row>
    <row r="126" spans="13:14" x14ac:dyDescent="0.35">
      <c r="M126" s="421"/>
      <c r="N126" s="421"/>
    </row>
    <row r="127" spans="13:14" x14ac:dyDescent="0.35">
      <c r="M127" s="421"/>
      <c r="N127" s="421"/>
    </row>
    <row r="128" spans="13:14" x14ac:dyDescent="0.35">
      <c r="M128" s="421"/>
      <c r="N128" s="421"/>
    </row>
    <row r="129" spans="13:14" x14ac:dyDescent="0.35">
      <c r="M129" s="421"/>
      <c r="N129" s="421"/>
    </row>
    <row r="130" spans="13:14" x14ac:dyDescent="0.35">
      <c r="M130" s="421"/>
      <c r="N130" s="421"/>
    </row>
    <row r="131" spans="13:14" x14ac:dyDescent="0.35">
      <c r="M131" s="421"/>
      <c r="N131" s="421"/>
    </row>
    <row r="132" spans="13:14" x14ac:dyDescent="0.35">
      <c r="M132" s="421"/>
      <c r="N132" s="421"/>
    </row>
    <row r="133" spans="13:14" x14ac:dyDescent="0.35">
      <c r="M133" s="421"/>
      <c r="N133" s="421"/>
    </row>
    <row r="134" spans="13:14" x14ac:dyDescent="0.35">
      <c r="M134" s="421"/>
      <c r="N134" s="421"/>
    </row>
    <row r="135" spans="13:14" x14ac:dyDescent="0.35">
      <c r="M135" s="421"/>
      <c r="N135" s="421"/>
    </row>
    <row r="136" spans="13:14" x14ac:dyDescent="0.35">
      <c r="M136" s="421"/>
      <c r="N136" s="421"/>
    </row>
    <row r="137" spans="13:14" x14ac:dyDescent="0.35">
      <c r="M137" s="421"/>
      <c r="N137" s="421"/>
    </row>
    <row r="138" spans="13:14" x14ac:dyDescent="0.35">
      <c r="M138" s="421"/>
      <c r="N138" s="421"/>
    </row>
    <row r="139" spans="13:14" x14ac:dyDescent="0.35">
      <c r="M139" s="421"/>
      <c r="N139" s="421"/>
    </row>
    <row r="140" spans="13:14" x14ac:dyDescent="0.35">
      <c r="M140" s="421"/>
      <c r="N140" s="421"/>
    </row>
    <row r="141" spans="13:14" x14ac:dyDescent="0.35">
      <c r="M141" s="421"/>
      <c r="N141" s="421"/>
    </row>
    <row r="142" spans="13:14" x14ac:dyDescent="0.35">
      <c r="M142" s="421"/>
      <c r="N142" s="421"/>
    </row>
    <row r="143" spans="13:14" x14ac:dyDescent="0.35">
      <c r="M143" s="421"/>
      <c r="N143" s="421"/>
    </row>
    <row r="144" spans="13:14" x14ac:dyDescent="0.35">
      <c r="M144" s="421"/>
      <c r="N144" s="421"/>
    </row>
    <row r="145" spans="13:14" x14ac:dyDescent="0.35">
      <c r="M145" s="421"/>
      <c r="N145" s="421"/>
    </row>
    <row r="146" spans="13:14" x14ac:dyDescent="0.35">
      <c r="M146" s="421"/>
      <c r="N146" s="421"/>
    </row>
    <row r="147" spans="13:14" x14ac:dyDescent="0.35">
      <c r="M147" s="421"/>
      <c r="N147" s="421"/>
    </row>
    <row r="148" spans="13:14" x14ac:dyDescent="0.35">
      <c r="M148" s="421"/>
      <c r="N148" s="421"/>
    </row>
    <row r="149" spans="13:14" x14ac:dyDescent="0.35">
      <c r="M149" s="421"/>
      <c r="N149" s="421"/>
    </row>
    <row r="150" spans="13:14" x14ac:dyDescent="0.35">
      <c r="M150" s="421"/>
      <c r="N150" s="421"/>
    </row>
    <row r="151" spans="13:14" x14ac:dyDescent="0.35">
      <c r="M151" s="421"/>
      <c r="N151" s="421"/>
    </row>
    <row r="152" spans="13:14" x14ac:dyDescent="0.35">
      <c r="M152" s="421"/>
      <c r="N152" s="421"/>
    </row>
    <row r="153" spans="13:14" x14ac:dyDescent="0.35">
      <c r="M153" s="421"/>
      <c r="N153" s="421"/>
    </row>
    <row r="154" spans="13:14" x14ac:dyDescent="0.35">
      <c r="M154" s="421"/>
      <c r="N154" s="421"/>
    </row>
  </sheetData>
  <mergeCells count="4">
    <mergeCell ref="C8:M8"/>
    <mergeCell ref="T13:X13"/>
    <mergeCell ref="Z24:AA24"/>
    <mergeCell ref="Z25:AA25"/>
  </mergeCells>
  <printOptions horizontalCentered="1"/>
  <pageMargins left="0.75" right="0.75" top="1" bottom="1" header="0.5" footer="0.5"/>
  <pageSetup scale="10"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CE72B-70B0-4A37-8141-06988F8BD093}">
  <sheetPr>
    <pageSetUpPr fitToPage="1"/>
  </sheetPr>
  <dimension ref="A1:HL154"/>
  <sheetViews>
    <sheetView zoomScale="85" zoomScaleNormal="85" workbookViewId="0">
      <selection sqref="A1:H1"/>
    </sheetView>
  </sheetViews>
  <sheetFormatPr defaultColWidth="9.15234375" defaultRowHeight="12.9" x14ac:dyDescent="0.35"/>
  <cols>
    <col min="1" max="1" width="35.3828125" style="406" bestFit="1" customWidth="1"/>
    <col min="2" max="2" width="19.15234375" style="406" bestFit="1" customWidth="1"/>
    <col min="3" max="3" width="17.3046875" style="406" customWidth="1"/>
    <col min="4" max="4" width="2.15234375" style="406" customWidth="1"/>
    <col min="5" max="5" width="17.3046875" style="406" customWidth="1"/>
    <col min="6" max="6" width="2.15234375" style="406" customWidth="1"/>
    <col min="7" max="7" width="19.15234375" style="406" customWidth="1"/>
    <col min="8" max="8" width="2.53515625" style="406" customWidth="1"/>
    <col min="9" max="9" width="19.15234375" style="406" customWidth="1"/>
    <col min="10" max="10" width="2.53515625" style="406" customWidth="1"/>
    <col min="11" max="11" width="19.15234375" style="406" customWidth="1"/>
    <col min="12" max="12" width="2.3828125" style="406" customWidth="1"/>
    <col min="13" max="13" width="20.15234375" style="406" bestFit="1" customWidth="1"/>
    <col min="14" max="14" width="9.15234375" style="406" customWidth="1"/>
    <col min="15" max="15" width="58.69140625" style="406" bestFit="1" customWidth="1"/>
    <col min="16" max="16" width="17.84375" style="406" customWidth="1"/>
    <col min="17" max="17" width="4.15234375" style="406" customWidth="1"/>
    <col min="18" max="18" width="17.84375" style="406" customWidth="1"/>
    <col min="19" max="19" width="4.15234375" style="406" customWidth="1"/>
    <col min="20" max="20" width="17.3828125" style="406" customWidth="1"/>
    <col min="21" max="21" width="4.3828125" style="406" customWidth="1"/>
    <col min="22" max="22" width="17.3828125" style="406" customWidth="1"/>
    <col min="23" max="23" width="2.84375" style="406" customWidth="1"/>
    <col min="24" max="24" width="13.3046875" style="406" bestFit="1" customWidth="1"/>
    <col min="25" max="25" width="3.3046875" style="406" bestFit="1" customWidth="1"/>
    <col min="26" max="26" width="8.3046875" style="406" bestFit="1" customWidth="1"/>
    <col min="27" max="27" width="3.3046875" style="406" bestFit="1" customWidth="1"/>
    <col min="28" max="28" width="9.15234375" style="406"/>
    <col min="29" max="29" width="4.3828125" style="406" customWidth="1"/>
    <col min="30" max="30" width="3.69140625" style="406" customWidth="1"/>
    <col min="31" max="31" width="22.3046875" style="406" customWidth="1"/>
    <col min="32" max="219" width="9.15234375" style="406"/>
    <col min="220" max="220" width="25.84375" style="406" bestFit="1" customWidth="1"/>
    <col min="221" max="16384" width="9.15234375" style="406"/>
  </cols>
  <sheetData>
    <row r="1" spans="1:27" ht="16.2" customHeight="1" x14ac:dyDescent="0.35"/>
    <row r="2" spans="1:27" ht="16.2" customHeight="1" x14ac:dyDescent="0.35"/>
    <row r="3" spans="1:27" ht="16.2" customHeight="1" x14ac:dyDescent="0.35"/>
    <row r="4" spans="1:27" ht="16.2" customHeight="1" thickBot="1" x14ac:dyDescent="0.4"/>
    <row r="5" spans="1:27" ht="15.45" x14ac:dyDescent="0.65">
      <c r="A5" s="407" t="s">
        <v>3200</v>
      </c>
    </row>
    <row r="6" spans="1:27" ht="13.3" thickBot="1" x14ac:dyDescent="0.4">
      <c r="A6" s="409" t="s">
        <v>1436</v>
      </c>
      <c r="G6" s="410" t="s">
        <v>3202</v>
      </c>
      <c r="H6" s="410"/>
      <c r="I6" s="410"/>
      <c r="J6" s="410"/>
      <c r="K6" s="410"/>
      <c r="L6" s="410"/>
      <c r="M6" s="410"/>
      <c r="N6" s="410"/>
      <c r="O6" s="423" t="str">
        <f>G6</f>
        <v>California Water</v>
      </c>
      <c r="P6" s="423"/>
      <c r="Q6" s="423"/>
      <c r="R6" s="423"/>
      <c r="S6" s="423"/>
      <c r="T6" s="423"/>
      <c r="U6" s="423"/>
      <c r="V6" s="423"/>
      <c r="W6" s="412"/>
      <c r="X6" s="412"/>
      <c r="Y6" s="411"/>
      <c r="Z6" s="412"/>
    </row>
    <row r="7" spans="1:27" x14ac:dyDescent="0.35">
      <c r="G7" s="406" t="s">
        <v>3124</v>
      </c>
      <c r="O7" s="412" t="str">
        <f>G7</f>
        <v>CAPITALIZATION AND FINANCIAL STATISTICS  (1)</v>
      </c>
      <c r="P7" s="412"/>
      <c r="Q7" s="412"/>
      <c r="R7" s="412"/>
      <c r="S7" s="412"/>
      <c r="T7" s="412"/>
      <c r="U7" s="412"/>
      <c r="V7" s="412"/>
      <c r="W7" s="412"/>
      <c r="X7" s="412"/>
      <c r="Y7" s="412"/>
      <c r="Z7" s="412"/>
    </row>
    <row r="8" spans="1:27" ht="14.6" x14ac:dyDescent="0.4">
      <c r="C8" s="959" t="s">
        <v>3125</v>
      </c>
      <c r="D8" s="959"/>
      <c r="E8" s="959"/>
      <c r="F8" s="959"/>
      <c r="G8" s="959"/>
      <c r="H8" s="959"/>
      <c r="I8" s="959"/>
      <c r="J8" s="959"/>
      <c r="K8" s="959"/>
      <c r="L8" s="959"/>
      <c r="M8" s="959"/>
      <c r="N8" s="408"/>
      <c r="O8" s="411" t="str">
        <f>C8</f>
        <v>2018 - 2022, Inclusive</v>
      </c>
      <c r="P8" s="411"/>
      <c r="Q8" s="411"/>
      <c r="R8" s="411"/>
      <c r="S8" s="411"/>
      <c r="T8" s="411"/>
      <c r="U8" s="411"/>
      <c r="V8" s="411"/>
      <c r="W8" s="412"/>
      <c r="X8" s="412"/>
      <c r="Y8" s="411"/>
      <c r="Z8" s="412"/>
    </row>
    <row r="9" spans="1:27" x14ac:dyDescent="0.35">
      <c r="O9" s="412"/>
      <c r="P9" s="412"/>
      <c r="Q9" s="412"/>
      <c r="R9" s="412"/>
      <c r="S9" s="412"/>
      <c r="T9" s="412"/>
      <c r="U9" s="412"/>
      <c r="V9" s="412"/>
      <c r="W9" s="412"/>
      <c r="X9" s="411"/>
      <c r="Y9" s="411"/>
      <c r="Z9" s="412"/>
    </row>
    <row r="10" spans="1:27" x14ac:dyDescent="0.35">
      <c r="B10" s="406" t="s">
        <v>3126</v>
      </c>
      <c r="C10" s="413">
        <v>2022</v>
      </c>
      <c r="E10" s="413">
        <v>2021</v>
      </c>
      <c r="G10" s="413">
        <v>2020</v>
      </c>
      <c r="I10" s="413">
        <v>2019</v>
      </c>
      <c r="K10" s="413">
        <v>2018</v>
      </c>
      <c r="M10" s="413">
        <v>2017</v>
      </c>
      <c r="N10" s="413"/>
      <c r="X10" s="411"/>
      <c r="Y10" s="411"/>
    </row>
    <row r="11" spans="1:27" x14ac:dyDescent="0.35">
      <c r="A11" s="406" t="s">
        <v>3127</v>
      </c>
    </row>
    <row r="12" spans="1:27" x14ac:dyDescent="0.35">
      <c r="A12" s="406" t="s">
        <v>3128</v>
      </c>
      <c r="B12" s="406" t="s">
        <v>3129</v>
      </c>
      <c r="C12" s="386">
        <f>1052487000+3310000</f>
        <v>1055797000</v>
      </c>
      <c r="E12" s="386">
        <f>1055794000+5192000</f>
        <v>1060986000</v>
      </c>
      <c r="G12" s="386">
        <f>781100000+5127000</f>
        <v>786227000</v>
      </c>
      <c r="I12" s="386">
        <f>786754000+21868000</f>
        <v>808622000</v>
      </c>
      <c r="K12" s="386">
        <f>710027000+104911000</f>
        <v>814938000</v>
      </c>
      <c r="M12" s="386">
        <f>515793000+15920000</f>
        <v>531713000</v>
      </c>
      <c r="N12" s="421"/>
      <c r="P12" s="413">
        <f>C10</f>
        <v>2022</v>
      </c>
      <c r="R12" s="413">
        <f>E10</f>
        <v>2021</v>
      </c>
      <c r="T12" s="413">
        <f>G10</f>
        <v>2020</v>
      </c>
      <c r="V12" s="413">
        <f>I10</f>
        <v>2019</v>
      </c>
      <c r="X12" s="387">
        <f>K10</f>
        <v>2018</v>
      </c>
      <c r="Y12" s="387"/>
      <c r="Z12" s="388"/>
      <c r="AA12" s="388"/>
    </row>
    <row r="13" spans="1:27" x14ac:dyDescent="0.35">
      <c r="A13" s="406" t="s">
        <v>3130</v>
      </c>
      <c r="B13" s="406" t="s">
        <v>3131</v>
      </c>
      <c r="C13" s="386">
        <v>0</v>
      </c>
      <c r="E13" s="386">
        <v>0</v>
      </c>
      <c r="G13" s="386">
        <v>0</v>
      </c>
      <c r="I13" s="386">
        <v>0</v>
      </c>
      <c r="K13" s="386">
        <v>0</v>
      </c>
      <c r="M13" s="386">
        <v>0</v>
      </c>
      <c r="N13" s="421"/>
      <c r="T13" s="960" t="s">
        <v>3132</v>
      </c>
      <c r="U13" s="960"/>
      <c r="V13" s="960"/>
      <c r="W13" s="960"/>
      <c r="X13" s="960"/>
      <c r="Y13" s="960"/>
      <c r="Z13" s="389" t="s">
        <v>1570</v>
      </c>
      <c r="AA13" s="388"/>
    </row>
    <row r="14" spans="1:27" x14ac:dyDescent="0.35">
      <c r="C14" s="414"/>
      <c r="E14" s="414"/>
      <c r="G14" s="414"/>
      <c r="I14" s="414"/>
      <c r="K14" s="414"/>
      <c r="M14" s="414"/>
      <c r="O14" s="410" t="s">
        <v>3133</v>
      </c>
      <c r="P14" s="410"/>
      <c r="Q14" s="410"/>
      <c r="R14" s="410"/>
      <c r="S14" s="410"/>
      <c r="T14" s="410"/>
      <c r="U14" s="410"/>
      <c r="V14" s="410"/>
      <c r="W14" s="410"/>
      <c r="X14" s="388"/>
      <c r="Y14" s="388"/>
      <c r="Z14" s="388"/>
      <c r="AA14" s="388"/>
    </row>
    <row r="15" spans="1:27" x14ac:dyDescent="0.35">
      <c r="A15" s="406" t="s">
        <v>3134</v>
      </c>
      <c r="B15" s="406" t="s">
        <v>3135</v>
      </c>
      <c r="C15" s="386">
        <v>55598000</v>
      </c>
      <c r="E15" s="386">
        <v>53716000</v>
      </c>
      <c r="G15" s="386">
        <v>50333655</v>
      </c>
      <c r="I15" s="386">
        <v>48532199</v>
      </c>
      <c r="K15" s="386">
        <v>48064707</v>
      </c>
      <c r="M15" s="386">
        <v>48012432</v>
      </c>
      <c r="N15" s="421"/>
      <c r="X15" s="388"/>
      <c r="Y15" s="388"/>
      <c r="Z15" s="388"/>
      <c r="AA15" s="388"/>
    </row>
    <row r="16" spans="1:27" x14ac:dyDescent="0.35">
      <c r="A16" s="406" t="s">
        <v>1162</v>
      </c>
      <c r="B16" s="406" t="s">
        <v>3136</v>
      </c>
      <c r="C16" s="386">
        <v>1322394000</v>
      </c>
      <c r="E16" s="386">
        <v>1182980000</v>
      </c>
      <c r="G16" s="386">
        <v>921344000</v>
      </c>
      <c r="I16" s="386">
        <v>779906000</v>
      </c>
      <c r="K16" s="386">
        <v>730157000</v>
      </c>
      <c r="M16" s="386">
        <v>693462000</v>
      </c>
      <c r="N16" s="421"/>
      <c r="O16" s="410" t="s">
        <v>3137</v>
      </c>
      <c r="P16" s="410"/>
      <c r="Q16" s="410"/>
      <c r="R16" s="410"/>
      <c r="S16" s="410"/>
      <c r="T16" s="410"/>
      <c r="U16" s="410"/>
      <c r="V16" s="410"/>
      <c r="W16" s="410"/>
      <c r="X16" s="388"/>
      <c r="Y16" s="388"/>
      <c r="Z16" s="388"/>
      <c r="AA16" s="388"/>
    </row>
    <row r="17" spans="1:27" x14ac:dyDescent="0.35">
      <c r="A17" s="406" t="s">
        <v>3138</v>
      </c>
      <c r="B17" s="406" t="s">
        <v>3135</v>
      </c>
      <c r="C17" s="386">
        <v>0</v>
      </c>
      <c r="E17" s="386">
        <v>0</v>
      </c>
      <c r="G17" s="386">
        <v>0</v>
      </c>
      <c r="I17" s="386">
        <v>0</v>
      </c>
      <c r="K17" s="386">
        <v>0</v>
      </c>
      <c r="M17" s="386">
        <v>0</v>
      </c>
      <c r="N17" s="421"/>
      <c r="O17" s="406" t="s">
        <v>3139</v>
      </c>
      <c r="P17" s="393">
        <f>C50/1000000</f>
        <v>2378.1909999999998</v>
      </c>
      <c r="R17" s="393">
        <f>E50/1000000</f>
        <v>2243.9659999999999</v>
      </c>
      <c r="T17" s="393">
        <f>G50/1000000</f>
        <v>1707.5709999999999</v>
      </c>
      <c r="V17" s="393">
        <f>I50/1000000</f>
        <v>1588.528</v>
      </c>
      <c r="X17" s="393">
        <f>K50/1000000</f>
        <v>1545.095</v>
      </c>
      <c r="Y17" s="393"/>
      <c r="Z17" s="388"/>
      <c r="AA17" s="388"/>
    </row>
    <row r="18" spans="1:27" x14ac:dyDescent="0.35">
      <c r="C18" s="414"/>
      <c r="E18" s="414"/>
      <c r="G18" s="414"/>
      <c r="I18" s="414"/>
      <c r="K18" s="414"/>
      <c r="M18" s="414"/>
      <c r="O18" s="406" t="s">
        <v>3140</v>
      </c>
      <c r="P18" s="394">
        <f>C19/1000000</f>
        <v>70</v>
      </c>
      <c r="R18" s="394">
        <f>E19/1000000</f>
        <v>35</v>
      </c>
      <c r="T18" s="394">
        <f>G19/1000000</f>
        <v>370</v>
      </c>
      <c r="V18" s="394">
        <f>I19/1000000</f>
        <v>175.1</v>
      </c>
      <c r="X18" s="394">
        <f>K19/1000000</f>
        <v>65.099999999999994</v>
      </c>
      <c r="Y18" s="393"/>
      <c r="Z18" s="388"/>
      <c r="AA18" s="388"/>
    </row>
    <row r="19" spans="1:27" x14ac:dyDescent="0.35">
      <c r="A19" s="406" t="s">
        <v>3141</v>
      </c>
      <c r="B19" s="406" t="s">
        <v>3142</v>
      </c>
      <c r="C19" s="385">
        <v>70000000</v>
      </c>
      <c r="E19" s="385">
        <v>35000000</v>
      </c>
      <c r="G19" s="385">
        <v>370000000</v>
      </c>
      <c r="I19" s="385">
        <v>175100000</v>
      </c>
      <c r="K19" s="386">
        <v>65100000</v>
      </c>
      <c r="M19" s="386">
        <v>275100000</v>
      </c>
      <c r="N19" s="421"/>
      <c r="O19" s="406" t="s">
        <v>3143</v>
      </c>
      <c r="P19" s="395">
        <f>SUM(P17:P18)</f>
        <v>2448.1909999999998</v>
      </c>
      <c r="R19" s="395">
        <f>SUM(R17:R18)</f>
        <v>2278.9659999999999</v>
      </c>
      <c r="T19" s="395">
        <f>SUM(T17:T18)</f>
        <v>2077.5709999999999</v>
      </c>
      <c r="V19" s="395">
        <f>SUM(V17:V18)</f>
        <v>1763.6279999999999</v>
      </c>
      <c r="X19" s="395">
        <f>SUM(X17:X18)</f>
        <v>1610.1949999999999</v>
      </c>
      <c r="Y19" s="393"/>
      <c r="Z19" s="388"/>
      <c r="AA19" s="388"/>
    </row>
    <row r="20" spans="1:27" x14ac:dyDescent="0.35">
      <c r="C20" s="414"/>
      <c r="E20" s="414"/>
      <c r="G20" s="414"/>
      <c r="I20" s="414"/>
      <c r="K20" s="414"/>
      <c r="M20" s="414"/>
      <c r="N20" s="421"/>
      <c r="P20" s="388"/>
      <c r="R20" s="388"/>
      <c r="T20" s="388"/>
      <c r="V20" s="388"/>
      <c r="X20" s="388"/>
      <c r="Y20" s="388"/>
      <c r="Z20" s="388"/>
      <c r="AA20" s="388"/>
    </row>
    <row r="21" spans="1:27" x14ac:dyDescent="0.35">
      <c r="A21" s="406" t="s">
        <v>3144</v>
      </c>
      <c r="B21" s="406" t="s">
        <v>3145</v>
      </c>
      <c r="C21" s="414">
        <v>1.77</v>
      </c>
      <c r="E21" s="414">
        <v>1.96</v>
      </c>
      <c r="G21" s="414">
        <v>1.97</v>
      </c>
      <c r="I21" s="414">
        <v>1.31</v>
      </c>
      <c r="K21" s="414">
        <v>1.36</v>
      </c>
      <c r="M21" s="414">
        <v>1.4</v>
      </c>
      <c r="N21" s="421"/>
      <c r="O21" s="410" t="s">
        <v>3146</v>
      </c>
      <c r="P21" s="388"/>
      <c r="Q21" s="410"/>
      <c r="R21" s="388"/>
      <c r="S21" s="410"/>
      <c r="T21" s="388"/>
      <c r="U21" s="410"/>
      <c r="V21" s="388"/>
      <c r="W21" s="410"/>
      <c r="X21" s="388"/>
      <c r="Y21" s="388"/>
      <c r="Z21" s="388"/>
      <c r="AA21" s="388"/>
    </row>
    <row r="22" spans="1:27" x14ac:dyDescent="0.35">
      <c r="A22" s="406" t="s">
        <v>3147</v>
      </c>
      <c r="B22" s="406" t="s">
        <v>1524</v>
      </c>
      <c r="C22" s="414">
        <v>71.87</v>
      </c>
      <c r="E22" s="414">
        <v>71.86</v>
      </c>
      <c r="G22" s="414">
        <v>56.8</v>
      </c>
      <c r="I22" s="414">
        <v>57.02</v>
      </c>
      <c r="K22" s="414">
        <v>48.77</v>
      </c>
      <c r="M22" s="414">
        <v>45.6</v>
      </c>
      <c r="N22" s="421"/>
      <c r="O22" s="406" t="s">
        <v>3148</v>
      </c>
      <c r="P22" s="396">
        <f>(ROUND((C30/(AVERAGE(C54,E54))*100),2))</f>
        <v>3.99</v>
      </c>
      <c r="Q22" s="397" t="s">
        <v>1197</v>
      </c>
      <c r="R22" s="396">
        <f>(ROUND((E30/(AVERAGE(E54,G54))*100),2))</f>
        <v>3.84</v>
      </c>
      <c r="S22" s="397" t="s">
        <v>1197</v>
      </c>
      <c r="T22" s="396">
        <f>(ROUND((G30/(AVERAGE(G54,I54))*100),2))</f>
        <v>3.91</v>
      </c>
      <c r="U22" s="397" t="s">
        <v>1197</v>
      </c>
      <c r="V22" s="396">
        <f>(ROUND((I30/(AVERAGE(I54,K54))*100),2))</f>
        <v>4.42</v>
      </c>
      <c r="W22" s="397" t="s">
        <v>1197</v>
      </c>
      <c r="X22" s="396">
        <f>(ROUND((K30/(AVERAGE(K54,M54))*100),2))</f>
        <v>4.49</v>
      </c>
      <c r="Y22" s="397" t="s">
        <v>1197</v>
      </c>
      <c r="Z22" s="390"/>
      <c r="AA22" s="388"/>
    </row>
    <row r="23" spans="1:27" x14ac:dyDescent="0.35">
      <c r="A23" s="406" t="s">
        <v>3149</v>
      </c>
      <c r="B23" s="406" t="s">
        <v>1524</v>
      </c>
      <c r="C23" s="414">
        <v>48.76</v>
      </c>
      <c r="E23" s="414">
        <v>52.59</v>
      </c>
      <c r="G23" s="414">
        <v>41.66</v>
      </c>
      <c r="I23" s="414">
        <v>44.86</v>
      </c>
      <c r="K23" s="414">
        <v>35.4</v>
      </c>
      <c r="M23" s="414">
        <v>32.5</v>
      </c>
      <c r="N23" s="421"/>
      <c r="O23" s="406" t="s">
        <v>3150</v>
      </c>
      <c r="P23" s="396"/>
      <c r="Q23" s="397"/>
      <c r="R23" s="396"/>
      <c r="S23" s="397"/>
      <c r="T23" s="396"/>
      <c r="U23" s="397"/>
      <c r="V23" s="396"/>
      <c r="W23" s="397"/>
      <c r="X23" s="396"/>
      <c r="Y23" s="397"/>
      <c r="Z23" s="388"/>
      <c r="AA23" s="388"/>
    </row>
    <row r="24" spans="1:27" x14ac:dyDescent="0.35">
      <c r="C24" s="414"/>
      <c r="E24" s="414"/>
      <c r="G24" s="414"/>
      <c r="I24" s="414"/>
      <c r="K24" s="414"/>
      <c r="M24" s="414"/>
      <c r="P24" s="388"/>
      <c r="Q24" s="388"/>
      <c r="R24" s="388"/>
      <c r="S24" s="388"/>
      <c r="T24" s="388"/>
      <c r="U24" s="388"/>
      <c r="V24" s="388"/>
      <c r="W24" s="388"/>
      <c r="X24" s="388"/>
      <c r="Y24" s="388"/>
      <c r="Z24" s="957" t="s">
        <v>1195</v>
      </c>
      <c r="AA24" s="957"/>
    </row>
    <row r="25" spans="1:27" x14ac:dyDescent="0.35">
      <c r="C25" s="414"/>
      <c r="E25" s="414"/>
      <c r="G25" s="414"/>
      <c r="I25" s="414"/>
      <c r="K25" s="414"/>
      <c r="M25" s="414"/>
      <c r="N25" s="421"/>
      <c r="O25" s="410" t="s">
        <v>3151</v>
      </c>
      <c r="P25" s="388"/>
      <c r="Q25" s="388"/>
      <c r="R25" s="388"/>
      <c r="S25" s="388"/>
      <c r="T25" s="388"/>
      <c r="U25" s="388"/>
      <c r="V25" s="388"/>
      <c r="W25" s="388"/>
      <c r="X25" s="388"/>
      <c r="Y25" s="388"/>
      <c r="Z25" s="957" t="s">
        <v>1196</v>
      </c>
      <c r="AA25" s="957"/>
    </row>
    <row r="26" spans="1:27" x14ac:dyDescent="0.35">
      <c r="A26" s="406" t="s">
        <v>3152</v>
      </c>
      <c r="B26" s="406" t="s">
        <v>1524</v>
      </c>
      <c r="C26" s="414">
        <v>1</v>
      </c>
      <c r="E26" s="414">
        <v>0.92</v>
      </c>
      <c r="G26" s="414">
        <v>0.85</v>
      </c>
      <c r="I26" s="414">
        <v>0.79</v>
      </c>
      <c r="K26" s="414">
        <v>0.75</v>
      </c>
      <c r="M26" s="414">
        <v>0.72</v>
      </c>
      <c r="N26" s="421"/>
      <c r="O26" s="406" t="s">
        <v>3153</v>
      </c>
      <c r="P26" s="388"/>
      <c r="Q26" s="388"/>
      <c r="R26" s="388"/>
      <c r="S26" s="388"/>
      <c r="T26" s="388"/>
      <c r="U26" s="388"/>
      <c r="V26" s="388"/>
      <c r="W26" s="388"/>
      <c r="X26" s="388"/>
      <c r="Y26" s="388"/>
      <c r="Z26" s="388"/>
      <c r="AA26" s="388"/>
    </row>
    <row r="27" spans="1:27" x14ac:dyDescent="0.35">
      <c r="C27" s="414"/>
      <c r="E27" s="414"/>
      <c r="G27" s="414"/>
      <c r="I27" s="414"/>
      <c r="K27" s="414"/>
      <c r="M27" s="414"/>
      <c r="N27" s="421"/>
      <c r="O27" s="406" t="s">
        <v>3154</v>
      </c>
      <c r="P27" s="396">
        <f>ROUND(((C12/C50)*100),2)</f>
        <v>44.39</v>
      </c>
      <c r="Q27" s="397" t="s">
        <v>1197</v>
      </c>
      <c r="R27" s="396">
        <f>ROUND(((E12/E50)*100),2)</f>
        <v>47.28</v>
      </c>
      <c r="S27" s="397" t="s">
        <v>1197</v>
      </c>
      <c r="T27" s="396">
        <f>ROUND(((G12/G50)*100),2)</f>
        <v>46.04</v>
      </c>
      <c r="U27" s="397" t="s">
        <v>1197</v>
      </c>
      <c r="V27" s="396">
        <f>ROUND(((I12/I50)*100),2)</f>
        <v>50.9</v>
      </c>
      <c r="W27" s="397" t="s">
        <v>1197</v>
      </c>
      <c r="X27" s="396">
        <f>ROUND(((K12/K50)*100),2)</f>
        <v>52.74</v>
      </c>
      <c r="Y27" s="397" t="s">
        <v>1197</v>
      </c>
      <c r="Z27" s="396">
        <f>ROUND(AVERAGE(P27:Y27),2)</f>
        <v>48.27</v>
      </c>
      <c r="AA27" s="397" t="s">
        <v>1197</v>
      </c>
    </row>
    <row r="28" spans="1:27" x14ac:dyDescent="0.35">
      <c r="A28" s="406" t="s">
        <v>3155</v>
      </c>
      <c r="B28" s="406" t="s">
        <v>3155</v>
      </c>
      <c r="C28" s="414">
        <v>2344000</v>
      </c>
      <c r="E28" s="414">
        <v>1766000</v>
      </c>
      <c r="G28" s="414">
        <v>3185000</v>
      </c>
      <c r="I28" s="414">
        <v>3670000</v>
      </c>
      <c r="K28" s="414">
        <v>2063000</v>
      </c>
      <c r="M28" s="414">
        <v>2360000</v>
      </c>
      <c r="N28" s="421"/>
      <c r="O28" s="406" t="s">
        <v>3156</v>
      </c>
      <c r="P28" s="396">
        <f>ROUND(((SUM(C13,C17)/C50)*100),2)</f>
        <v>0</v>
      </c>
      <c r="Q28" s="397"/>
      <c r="R28" s="396">
        <f>ROUND(((SUM(E13,E17)/E50)*100),2)</f>
        <v>0</v>
      </c>
      <c r="S28" s="397"/>
      <c r="T28" s="396">
        <f>ROUND(((SUM(G13,G17)/G50)*100),2)</f>
        <v>0</v>
      </c>
      <c r="U28" s="397"/>
      <c r="V28" s="396">
        <f>ROUND(((SUM(I13,I17)/I50)*100),2)</f>
        <v>0</v>
      </c>
      <c r="W28" s="397"/>
      <c r="X28" s="396">
        <f>ROUND(((SUM(K13,K17)/K50)*100),2)</f>
        <v>0</v>
      </c>
      <c r="Y28" s="397"/>
      <c r="Z28" s="396">
        <f>ROUND(AVERAGE(P28:Y28),2)</f>
        <v>0</v>
      </c>
      <c r="AA28" s="397"/>
    </row>
    <row r="29" spans="1:27" x14ac:dyDescent="0.35">
      <c r="C29" s="414"/>
      <c r="E29" s="414"/>
      <c r="G29" s="414"/>
      <c r="I29" s="414"/>
      <c r="K29" s="414"/>
      <c r="M29" s="414"/>
      <c r="N29" s="421"/>
      <c r="O29" s="406" t="s">
        <v>3157</v>
      </c>
      <c r="P29" s="398">
        <f>ROUND(((C16/C50)*100),2)</f>
        <v>55.61</v>
      </c>
      <c r="Q29" s="397"/>
      <c r="R29" s="398">
        <f>ROUND(((E16/E50)*100),2)</f>
        <v>52.72</v>
      </c>
      <c r="S29" s="397"/>
      <c r="T29" s="398">
        <f>ROUND(((G16/G50)*100),2)</f>
        <v>53.96</v>
      </c>
      <c r="U29" s="397"/>
      <c r="V29" s="398">
        <f>ROUND(((I16/I50)*100),2)</f>
        <v>49.1</v>
      </c>
      <c r="W29" s="397"/>
      <c r="X29" s="398">
        <f>ROUND(((K16/K50)*100),2)</f>
        <v>47.26</v>
      </c>
      <c r="Y29" s="397"/>
      <c r="Z29" s="396">
        <f>ROUND(AVERAGE(P29:Y29),2)</f>
        <v>51.73</v>
      </c>
      <c r="AA29" s="397"/>
    </row>
    <row r="30" spans="1:27" x14ac:dyDescent="0.35">
      <c r="A30" s="406" t="s">
        <v>3158</v>
      </c>
      <c r="B30" s="406" t="s">
        <v>3159</v>
      </c>
      <c r="C30" s="386">
        <v>44342000</v>
      </c>
      <c r="E30" s="386">
        <v>43214000</v>
      </c>
      <c r="G30" s="386">
        <v>41862000</v>
      </c>
      <c r="I30" s="386">
        <v>41221000</v>
      </c>
      <c r="K30" s="386">
        <v>37854000</v>
      </c>
      <c r="M30" s="386">
        <v>33928000</v>
      </c>
      <c r="N30" s="421"/>
      <c r="O30" s="406"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C31" s="414"/>
      <c r="E31" s="414"/>
      <c r="G31" s="414"/>
      <c r="I31" s="414"/>
      <c r="K31" s="414"/>
      <c r="M31" s="414"/>
      <c r="N31" s="421"/>
      <c r="P31" s="388"/>
      <c r="Q31" s="388"/>
      <c r="R31" s="388"/>
      <c r="S31" s="388"/>
      <c r="T31" s="388"/>
      <c r="U31" s="388"/>
      <c r="V31" s="388"/>
      <c r="W31" s="388"/>
      <c r="X31" s="388"/>
      <c r="Y31" s="388"/>
      <c r="Z31" s="388"/>
      <c r="AA31" s="388"/>
    </row>
    <row r="32" spans="1:27" x14ac:dyDescent="0.35">
      <c r="A32" s="406" t="s">
        <v>3161</v>
      </c>
      <c r="B32" s="406" t="s">
        <v>3162</v>
      </c>
      <c r="C32" s="386">
        <v>95263000</v>
      </c>
      <c r="E32" s="386">
        <v>100979000</v>
      </c>
      <c r="G32" s="386">
        <v>96831000</v>
      </c>
      <c r="I32" s="386">
        <v>63116000</v>
      </c>
      <c r="K32" s="386">
        <v>65584000</v>
      </c>
      <c r="M32" s="386">
        <v>67181000</v>
      </c>
      <c r="N32" s="421"/>
      <c r="O32" s="406" t="s">
        <v>3163</v>
      </c>
      <c r="P32" s="388"/>
      <c r="Q32" s="388"/>
      <c r="R32" s="388"/>
      <c r="S32" s="388"/>
      <c r="T32" s="388"/>
      <c r="U32" s="388"/>
      <c r="V32" s="388"/>
      <c r="W32" s="388"/>
      <c r="X32" s="388"/>
      <c r="Y32" s="388"/>
      <c r="Z32" s="388"/>
      <c r="AA32" s="388"/>
    </row>
    <row r="33" spans="1:27" x14ac:dyDescent="0.35">
      <c r="A33" s="417"/>
      <c r="B33" s="417"/>
      <c r="C33" s="418"/>
      <c r="D33" s="417"/>
      <c r="E33" s="418"/>
      <c r="F33" s="417"/>
      <c r="G33" s="418"/>
      <c r="H33" s="417"/>
      <c r="I33" s="418"/>
      <c r="J33" s="417"/>
      <c r="K33" s="418"/>
      <c r="L33" s="417"/>
      <c r="M33" s="418"/>
      <c r="N33" s="424"/>
      <c r="O33" s="406" t="s">
        <v>3164</v>
      </c>
      <c r="P33" s="396">
        <f>ROUND((((C12+C19)/C56)*100),2)</f>
        <v>45.98</v>
      </c>
      <c r="Q33" s="397" t="s">
        <v>1197</v>
      </c>
      <c r="R33" s="396">
        <f>ROUND((((E12+E19)/E56)*100),2)</f>
        <v>48.09</v>
      </c>
      <c r="S33" s="397" t="s">
        <v>1197</v>
      </c>
      <c r="T33" s="396">
        <f>ROUND((((G12+G19)/G56)*100),2)</f>
        <v>55.65</v>
      </c>
      <c r="U33" s="397" t="s">
        <v>1197</v>
      </c>
      <c r="V33" s="396">
        <f>ROUND((((I12+I19)/I56)*100),2)</f>
        <v>55.78</v>
      </c>
      <c r="W33" s="397" t="s">
        <v>1197</v>
      </c>
      <c r="X33" s="396">
        <f>ROUND((((K12+K19)/K56)*100),2)</f>
        <v>54.65</v>
      </c>
      <c r="Y33" s="397" t="s">
        <v>1197</v>
      </c>
      <c r="Z33" s="396">
        <f>ROUND(AVERAGE(P33:Y33),2)</f>
        <v>52.03</v>
      </c>
      <c r="AA33" s="397" t="s">
        <v>1197</v>
      </c>
    </row>
    <row r="34" spans="1:27" x14ac:dyDescent="0.35">
      <c r="A34" s="406" t="s">
        <v>3165</v>
      </c>
      <c r="B34" s="406" t="s">
        <v>3166</v>
      </c>
      <c r="C34" s="386">
        <v>96011000</v>
      </c>
      <c r="E34" s="386">
        <v>101125000</v>
      </c>
      <c r="G34" s="386">
        <v>96831000</v>
      </c>
      <c r="I34" s="386">
        <v>63116000</v>
      </c>
      <c r="K34" s="386">
        <v>65584000</v>
      </c>
      <c r="M34" s="386">
        <v>67181000</v>
      </c>
      <c r="N34" s="421"/>
      <c r="O34" s="406" t="s">
        <v>3156</v>
      </c>
      <c r="P34" s="396">
        <f>ROUND((((SUM(C13,C17))/C56)*100),2)</f>
        <v>0</v>
      </c>
      <c r="Q34" s="397"/>
      <c r="R34" s="396">
        <f>ROUND((((SUM(E13,E17))/E56)*100),2)</f>
        <v>0</v>
      </c>
      <c r="S34" s="397"/>
      <c r="T34" s="396">
        <f>ROUND((((SUM(G13,G17))/G56)*100),2)</f>
        <v>0</v>
      </c>
      <c r="U34" s="397"/>
      <c r="V34" s="396">
        <f>ROUND((((SUM(I13,I17))/I56)*100),2)</f>
        <v>0</v>
      </c>
      <c r="W34" s="397"/>
      <c r="X34" s="396">
        <f>ROUND((((SUM(K13,K17))/K56)*100),2)</f>
        <v>0</v>
      </c>
      <c r="Y34" s="397"/>
      <c r="Z34" s="396">
        <f>ROUND(AVERAGE(P34:Y34),2)</f>
        <v>0</v>
      </c>
      <c r="AA34" s="397"/>
    </row>
    <row r="35" spans="1:27" x14ac:dyDescent="0.35">
      <c r="C35" s="414"/>
      <c r="E35" s="414"/>
      <c r="G35" s="414"/>
      <c r="I35" s="414"/>
      <c r="K35" s="414"/>
      <c r="M35" s="414"/>
      <c r="O35" s="406" t="s">
        <v>3157</v>
      </c>
      <c r="P35" s="398">
        <f>ROUND((((C16)/C56)*100),2)</f>
        <v>54.02</v>
      </c>
      <c r="Q35" s="397"/>
      <c r="R35" s="398">
        <f>ROUND((((E16)/E56)*100),2)</f>
        <v>51.91</v>
      </c>
      <c r="S35" s="397"/>
      <c r="T35" s="398">
        <f>ROUND((((G16)/G56)*100),2)</f>
        <v>44.35</v>
      </c>
      <c r="U35" s="397"/>
      <c r="V35" s="398">
        <f>ROUND((((I16)/I56)*100),2)</f>
        <v>44.22</v>
      </c>
      <c r="W35" s="397"/>
      <c r="X35" s="398">
        <f>ROUND((((K16)/K56)*100),2)</f>
        <v>45.35</v>
      </c>
      <c r="Y35" s="397"/>
      <c r="Z35" s="396">
        <f>ROUND(AVERAGE(P35:Y35),2)</f>
        <v>47.97</v>
      </c>
      <c r="AA35" s="397"/>
    </row>
    <row r="36" spans="1:27" x14ac:dyDescent="0.35">
      <c r="A36" s="406" t="s">
        <v>3167</v>
      </c>
      <c r="B36" s="406" t="s">
        <v>3168</v>
      </c>
      <c r="C36" s="414">
        <v>0</v>
      </c>
      <c r="E36" s="414">
        <v>0</v>
      </c>
      <c r="G36" s="414">
        <v>0</v>
      </c>
      <c r="I36" s="414">
        <v>0</v>
      </c>
      <c r="K36" s="414">
        <v>0</v>
      </c>
      <c r="M36" s="414">
        <v>0</v>
      </c>
      <c r="N36" s="421"/>
      <c r="O36" s="406" t="s">
        <v>3160</v>
      </c>
      <c r="P36" s="399">
        <f>SUM(P33:P35)</f>
        <v>100</v>
      </c>
      <c r="Q36" s="397" t="s">
        <v>1197</v>
      </c>
      <c r="R36" s="399">
        <f>SUM(R33:R35)</f>
        <v>100</v>
      </c>
      <c r="S36" s="397" t="s">
        <v>1197</v>
      </c>
      <c r="T36" s="399">
        <f>SUM(T33:T35)</f>
        <v>100</v>
      </c>
      <c r="U36" s="397" t="s">
        <v>1197</v>
      </c>
      <c r="V36" s="399">
        <f>SUM(V33:V35)</f>
        <v>100</v>
      </c>
      <c r="W36" s="397" t="s">
        <v>1197</v>
      </c>
      <c r="X36" s="399">
        <f>SUM(X33:X35)</f>
        <v>100</v>
      </c>
      <c r="Y36" s="397" t="s">
        <v>1197</v>
      </c>
      <c r="Z36" s="399">
        <f>SUM(Z33:Z35)</f>
        <v>100</v>
      </c>
      <c r="AA36" s="397" t="s">
        <v>1197</v>
      </c>
    </row>
    <row r="37" spans="1:27" x14ac:dyDescent="0.35">
      <c r="C37" s="414"/>
      <c r="E37" s="414"/>
      <c r="G37" s="414"/>
      <c r="I37" s="414"/>
      <c r="K37" s="414"/>
      <c r="M37" s="414"/>
      <c r="P37" s="388"/>
      <c r="Q37" s="388"/>
      <c r="R37" s="388"/>
      <c r="S37" s="388"/>
      <c r="T37" s="388"/>
      <c r="U37" s="388"/>
      <c r="V37" s="388"/>
      <c r="W37" s="388"/>
      <c r="X37" s="388"/>
      <c r="Y37" s="388"/>
      <c r="Z37" s="388"/>
      <c r="AA37" s="388"/>
    </row>
    <row r="38" spans="1:27" x14ac:dyDescent="0.35">
      <c r="A38" s="406" t="s">
        <v>3169</v>
      </c>
      <c r="B38" s="406" t="s">
        <v>3170</v>
      </c>
      <c r="C38" s="386">
        <v>54186000</v>
      </c>
      <c r="E38" s="386">
        <v>47398000</v>
      </c>
      <c r="G38" s="386">
        <v>41768000</v>
      </c>
      <c r="I38" s="386">
        <v>38023000</v>
      </c>
      <c r="K38" s="386">
        <v>36043000</v>
      </c>
      <c r="M38" s="386">
        <v>34563000</v>
      </c>
      <c r="N38" s="421"/>
      <c r="P38" s="388"/>
      <c r="Q38" s="388"/>
      <c r="R38" s="388"/>
      <c r="S38" s="388"/>
      <c r="T38" s="388"/>
      <c r="U38" s="388"/>
      <c r="V38" s="388"/>
      <c r="W38" s="388"/>
      <c r="X38" s="388"/>
      <c r="Y38" s="388"/>
      <c r="Z38" s="388"/>
      <c r="AA38" s="388"/>
    </row>
    <row r="39" spans="1:27" x14ac:dyDescent="0.35">
      <c r="C39" s="414"/>
      <c r="E39" s="414"/>
      <c r="G39" s="414"/>
      <c r="I39" s="414"/>
      <c r="K39" s="414"/>
      <c r="M39" s="414"/>
      <c r="N39" s="421"/>
      <c r="P39" s="388"/>
      <c r="Q39" s="388"/>
      <c r="R39" s="388"/>
      <c r="S39" s="388"/>
      <c r="T39" s="388"/>
      <c r="U39" s="388"/>
      <c r="V39" s="388"/>
      <c r="W39" s="388"/>
      <c r="X39" s="388"/>
      <c r="Y39" s="388"/>
      <c r="Z39" s="388"/>
      <c r="AA39" s="388"/>
    </row>
    <row r="40" spans="1:27" x14ac:dyDescent="0.35">
      <c r="A40" s="406" t="s">
        <v>3171</v>
      </c>
      <c r="B40" s="406" t="s">
        <v>3172</v>
      </c>
      <c r="C40" s="386">
        <v>95263000</v>
      </c>
      <c r="E40" s="386">
        <v>100979000</v>
      </c>
      <c r="G40" s="386">
        <v>96831000</v>
      </c>
      <c r="I40" s="385">
        <v>63116000</v>
      </c>
      <c r="K40" s="386">
        <v>65584000</v>
      </c>
      <c r="M40" s="386">
        <v>67181000</v>
      </c>
      <c r="N40" s="421"/>
      <c r="O40" s="410" t="s">
        <v>3173</v>
      </c>
      <c r="P40" s="388"/>
      <c r="Q40" s="388"/>
      <c r="R40" s="388"/>
      <c r="S40" s="388"/>
      <c r="T40" s="388"/>
      <c r="U40" s="388"/>
      <c r="V40" s="388"/>
      <c r="W40" s="388"/>
      <c r="X40" s="388"/>
      <c r="Y40" s="388"/>
      <c r="Z40" s="388"/>
      <c r="AA40" s="388"/>
    </row>
    <row r="41" spans="1:27" x14ac:dyDescent="0.35">
      <c r="A41" s="406" t="s">
        <v>3174</v>
      </c>
      <c r="B41" s="406" t="s">
        <v>3175</v>
      </c>
      <c r="C41" s="385">
        <v>243772000</v>
      </c>
      <c r="E41" s="385">
        <v>231718000</v>
      </c>
      <c r="G41" s="385">
        <v>117924000</v>
      </c>
      <c r="I41" s="385">
        <v>168794000</v>
      </c>
      <c r="K41" s="386">
        <v>179019000</v>
      </c>
      <c r="M41" s="386">
        <v>147842000</v>
      </c>
      <c r="N41" s="421"/>
      <c r="O41" s="410"/>
      <c r="P41" s="388"/>
      <c r="Q41" s="388"/>
      <c r="R41" s="388"/>
      <c r="S41" s="388"/>
      <c r="T41" s="388"/>
      <c r="U41" s="388"/>
      <c r="V41" s="388"/>
      <c r="W41" s="388"/>
      <c r="X41" s="388"/>
      <c r="Y41" s="388"/>
      <c r="Z41" s="388"/>
      <c r="AA41" s="388"/>
    </row>
    <row r="42" spans="1:27" x14ac:dyDescent="0.35">
      <c r="A42" s="406" t="s">
        <v>3176</v>
      </c>
      <c r="B42" s="406" t="s">
        <v>3177</v>
      </c>
      <c r="C42" s="385">
        <f>(-40687+20836-3609-381-5104-7626+7941+23629)*1000</f>
        <v>-5001000</v>
      </c>
      <c r="E42" s="385">
        <f>(-12833+1309-2745-2938+1141)*1000</f>
        <v>-16066000</v>
      </c>
      <c r="G42" s="385">
        <f>(-18343+1148-3647+373-6097)*1000</f>
        <v>-26566000</v>
      </c>
      <c r="I42" s="385">
        <f>(-4580-1452-3545+10719+1282)*1000</f>
        <v>2424000</v>
      </c>
      <c r="K42" s="386">
        <f>(20442-3671-587+4701-4382)*1000</f>
        <v>16503000</v>
      </c>
      <c r="M42" s="386">
        <f>(-31871-4528-3718+1564+2164)*1000</f>
        <v>-36389000</v>
      </c>
      <c r="N42" s="421"/>
      <c r="O42" s="410" t="s">
        <v>3178</v>
      </c>
      <c r="P42" s="388"/>
      <c r="Q42" s="388"/>
      <c r="R42" s="388"/>
      <c r="S42" s="388"/>
      <c r="T42" s="388"/>
      <c r="U42" s="388"/>
      <c r="V42" s="388"/>
      <c r="W42" s="388"/>
      <c r="X42" s="388"/>
      <c r="Y42" s="388"/>
      <c r="Z42" s="388"/>
      <c r="AA42" s="388"/>
    </row>
    <row r="43" spans="1:27" x14ac:dyDescent="0.35">
      <c r="A43" s="406" t="s">
        <v>3179</v>
      </c>
      <c r="B43" s="406" t="s">
        <v>3180</v>
      </c>
      <c r="C43" s="385">
        <v>114575000</v>
      </c>
      <c r="E43" s="385">
        <v>108715000</v>
      </c>
      <c r="G43" s="385">
        <v>98505000</v>
      </c>
      <c r="I43" s="385">
        <v>89220000</v>
      </c>
      <c r="K43" s="386">
        <v>83781000</v>
      </c>
      <c r="M43" s="386">
        <v>76783000</v>
      </c>
      <c r="N43" s="421"/>
      <c r="O43" s="406" t="s">
        <v>3181</v>
      </c>
      <c r="P43" s="396">
        <f>ROUND(C21/C52,4)*100</f>
        <v>2.93</v>
      </c>
      <c r="Q43" s="397" t="s">
        <v>1197</v>
      </c>
      <c r="R43" s="396">
        <f>ROUND(E21/E52,4)*100</f>
        <v>3.15</v>
      </c>
      <c r="S43" s="397" t="s">
        <v>1197</v>
      </c>
      <c r="T43" s="396">
        <f>ROUND(G21/G52,4)*100</f>
        <v>4</v>
      </c>
      <c r="U43" s="397" t="s">
        <v>1197</v>
      </c>
      <c r="V43" s="396">
        <f>ROUND(I21/I52,4)*100</f>
        <v>2.5700000000000003</v>
      </c>
      <c r="W43" s="397" t="s">
        <v>1197</v>
      </c>
      <c r="X43" s="396">
        <f>ROUND(K21/K52,4)*100</f>
        <v>3.2300000000000004</v>
      </c>
      <c r="Y43" s="397" t="s">
        <v>1197</v>
      </c>
      <c r="Z43" s="396">
        <f>ROUND(AVERAGE(P43:Y43),2)</f>
        <v>3.18</v>
      </c>
      <c r="AA43" s="397" t="s">
        <v>1197</v>
      </c>
    </row>
    <row r="44" spans="1:27" x14ac:dyDescent="0.35">
      <c r="A44" s="406" t="s">
        <v>3182</v>
      </c>
      <c r="B44" s="406" t="s">
        <v>3183</v>
      </c>
      <c r="C44" s="425">
        <f>3262000+3113000</f>
        <v>6375000</v>
      </c>
      <c r="D44" s="376"/>
      <c r="E44" s="425">
        <f>2805000+1287000</f>
        <v>4092000</v>
      </c>
      <c r="F44" s="376"/>
      <c r="G44" s="425">
        <f>11435000+583000</f>
        <v>12018000</v>
      </c>
      <c r="H44" s="376"/>
      <c r="I44" s="425">
        <f>16280000+1391000</f>
        <v>17671000</v>
      </c>
      <c r="K44" s="386">
        <f>18589000+2717000</f>
        <v>21306000</v>
      </c>
      <c r="M44" s="386">
        <f>28928000+4435000</f>
        <v>33363000</v>
      </c>
      <c r="O44" s="406" t="s">
        <v>3184</v>
      </c>
      <c r="P44" s="396">
        <f>(ROUND((C52/(AVERAGE(C48,E48))*100),2))</f>
        <v>263.33999999999997</v>
      </c>
      <c r="Q44" s="388"/>
      <c r="R44" s="396">
        <f>(ROUND((E52/(AVERAGE(E48,G48))*100),2))</f>
        <v>308.60000000000002</v>
      </c>
      <c r="S44" s="388"/>
      <c r="T44" s="396">
        <f>(ROUND((G52/(AVERAGE(G48,I48))*100),2))</f>
        <v>286.43</v>
      </c>
      <c r="U44" s="388"/>
      <c r="V44" s="396">
        <f>(ROUND((I52/(AVERAGE(I48,K48))*100),2))</f>
        <v>325.89999999999998</v>
      </c>
      <c r="W44" s="388"/>
      <c r="X44" s="396">
        <f>(ROUND((K52/(AVERAGE(K48,M48))*100),2))</f>
        <v>284.02999999999997</v>
      </c>
      <c r="Y44" s="388"/>
      <c r="Z44" s="396">
        <f>ROUND(AVERAGE(P44:Y44),2)</f>
        <v>293.66000000000003</v>
      </c>
      <c r="AA44" s="388"/>
    </row>
    <row r="45" spans="1:27" x14ac:dyDescent="0.35">
      <c r="O45" s="406" t="s">
        <v>3185</v>
      </c>
      <c r="P45" s="396">
        <f>ROUND(((+C26/C52)*100),2)</f>
        <v>1.66</v>
      </c>
      <c r="Q45" s="388"/>
      <c r="R45" s="396">
        <f>ROUND(((+E26/E52)*100),2)</f>
        <v>1.48</v>
      </c>
      <c r="S45" s="388"/>
      <c r="T45" s="396">
        <f>ROUND(((+G26/G52)*100),2)</f>
        <v>1.73</v>
      </c>
      <c r="U45" s="388"/>
      <c r="V45" s="396">
        <f>ROUND(((+I26/I52)*100),2)</f>
        <v>1.55</v>
      </c>
      <c r="W45" s="388"/>
      <c r="X45" s="396">
        <f>ROUND(((+K26/K52)*100),2)</f>
        <v>1.78</v>
      </c>
      <c r="Y45" s="388"/>
      <c r="Z45" s="396">
        <f>ROUND(AVERAGE(P45:Y45),2)</f>
        <v>1.64</v>
      </c>
      <c r="AA45" s="388"/>
    </row>
    <row r="46" spans="1:27" x14ac:dyDescent="0.35">
      <c r="A46" s="406" t="s">
        <v>3186</v>
      </c>
      <c r="N46" s="421"/>
      <c r="O46" s="406" t="s">
        <v>3187</v>
      </c>
      <c r="P46" s="396">
        <f>ROUND(((+C38/C34)*100),2)</f>
        <v>56.44</v>
      </c>
      <c r="Q46" s="388"/>
      <c r="R46" s="396">
        <f>ROUND(((+E38/E34)*100),2)</f>
        <v>46.87</v>
      </c>
      <c r="S46" s="388"/>
      <c r="T46" s="396">
        <f>ROUND(((+G38/G34)*100),2)</f>
        <v>43.13</v>
      </c>
      <c r="U46" s="388"/>
      <c r="V46" s="396">
        <f>ROUND(((+I38/I34)*100),2)</f>
        <v>60.24</v>
      </c>
      <c r="W46" s="388"/>
      <c r="X46" s="396">
        <f>ROUND(((+K38/K34)*100),2)</f>
        <v>54.96</v>
      </c>
      <c r="Y46" s="388"/>
      <c r="Z46" s="396">
        <f>ROUND(AVERAGE(P46:Y46),2)</f>
        <v>52.33</v>
      </c>
      <c r="AA46" s="388"/>
    </row>
    <row r="47" spans="1:27" x14ac:dyDescent="0.35">
      <c r="N47" s="421"/>
      <c r="P47" s="396"/>
      <c r="Q47" s="388"/>
      <c r="R47" s="396"/>
      <c r="S47" s="388"/>
      <c r="T47" s="396"/>
      <c r="U47" s="388"/>
      <c r="V47" s="396"/>
      <c r="W47" s="388"/>
      <c r="X47" s="396"/>
      <c r="Y47" s="388"/>
      <c r="Z47" s="396"/>
      <c r="AA47" s="388"/>
    </row>
    <row r="48" spans="1:27" x14ac:dyDescent="0.35">
      <c r="A48" s="406" t="s">
        <v>3188</v>
      </c>
      <c r="B48" s="406" t="s">
        <v>3189</v>
      </c>
      <c r="C48" s="386">
        <f>C16/C15</f>
        <v>23.78492032087485</v>
      </c>
      <c r="E48" s="386">
        <f>E16/E15</f>
        <v>22.022860972522153</v>
      </c>
      <c r="G48" s="386">
        <f>G16/G15</f>
        <v>18.304730701555449</v>
      </c>
      <c r="I48" s="386">
        <f>I16/I15</f>
        <v>16.069867347243012</v>
      </c>
      <c r="K48" s="386">
        <f>K16/K15</f>
        <v>15.191125579939559</v>
      </c>
      <c r="M48" s="386">
        <f>M16/M15</f>
        <v>14.443384163501653</v>
      </c>
      <c r="N48" s="421"/>
      <c r="O48" s="410" t="s">
        <v>3190</v>
      </c>
      <c r="P48" s="396">
        <f>ROUND(((C34/AVERAGE(C16,E16))*100),2)</f>
        <v>7.66</v>
      </c>
      <c r="Q48" s="388" t="s">
        <v>1197</v>
      </c>
      <c r="R48" s="396">
        <f>ROUND(((E34/AVERAGE(E16,G16))*100),2)</f>
        <v>9.61</v>
      </c>
      <c r="S48" s="388" t="s">
        <v>1197</v>
      </c>
      <c r="T48" s="396">
        <f>ROUND(((G34/AVERAGE(G16,I16))*100),2)</f>
        <v>11.38</v>
      </c>
      <c r="U48" s="388" t="s">
        <v>1197</v>
      </c>
      <c r="V48" s="396">
        <f>ROUND(((I34/AVERAGE(I16,K16))*100),2)</f>
        <v>8.36</v>
      </c>
      <c r="W48" s="388" t="s">
        <v>1197</v>
      </c>
      <c r="X48" s="396">
        <f>ROUND(((K34/AVERAGE(K16,M16))*100),2)</f>
        <v>9.2100000000000009</v>
      </c>
      <c r="Y48" s="388" t="s">
        <v>1197</v>
      </c>
      <c r="Z48" s="396">
        <f>ROUND(AVERAGE(P48:Y48),2)</f>
        <v>9.24</v>
      </c>
      <c r="AA48" s="388" t="s">
        <v>1197</v>
      </c>
    </row>
    <row r="49" spans="1:27" x14ac:dyDescent="0.35">
      <c r="C49" s="414"/>
      <c r="E49" s="414"/>
      <c r="G49" s="414"/>
      <c r="I49" s="414"/>
      <c r="K49" s="414"/>
      <c r="M49" s="414"/>
      <c r="N49" s="421"/>
      <c r="P49" s="396"/>
      <c r="Q49" s="388"/>
      <c r="R49" s="396"/>
      <c r="S49" s="388"/>
      <c r="T49" s="396"/>
      <c r="U49" s="388"/>
      <c r="V49" s="396"/>
      <c r="W49" s="388"/>
      <c r="X49" s="396"/>
      <c r="Y49" s="388"/>
      <c r="Z49" s="397"/>
      <c r="AA49" s="388"/>
    </row>
    <row r="50" spans="1:27" x14ac:dyDescent="0.35">
      <c r="A50" s="406" t="s">
        <v>3191</v>
      </c>
      <c r="B50" s="406" t="s">
        <v>3189</v>
      </c>
      <c r="C50" s="386">
        <f>SUM(C12:C13,C16:C17)</f>
        <v>2378191000</v>
      </c>
      <c r="E50" s="386">
        <f>SUM(E12:E13,E16:E17)</f>
        <v>2243966000</v>
      </c>
      <c r="G50" s="386">
        <f>SUM(G12:G13,G16:G17)</f>
        <v>1707571000</v>
      </c>
      <c r="I50" s="386">
        <f>SUM(I12:I13,I16:I17)</f>
        <v>1588528000</v>
      </c>
      <c r="K50" s="386">
        <f>SUM(K12:K13,K16:K17)</f>
        <v>1545095000</v>
      </c>
      <c r="M50" s="386">
        <f>SUM(M12:M13,M16:M17)</f>
        <v>1225175000</v>
      </c>
      <c r="N50" s="421"/>
      <c r="O50" s="410" t="s">
        <v>3192</v>
      </c>
      <c r="P50" s="396">
        <f>ROUND((C54/C62),2)</f>
        <v>4.32</v>
      </c>
      <c r="Q50" s="397" t="s">
        <v>1401</v>
      </c>
      <c r="R50" s="396">
        <f>ROUND((E54/E62),2)</f>
        <v>4.26</v>
      </c>
      <c r="S50" s="397" t="s">
        <v>1401</v>
      </c>
      <c r="T50" s="396">
        <f>ROUND((G54/G62),2)</f>
        <v>4.6399999999999997</v>
      </c>
      <c r="U50" s="397" t="s">
        <v>1401</v>
      </c>
      <c r="V50" s="396">
        <f>ROUND((I54/I62),2)</f>
        <v>4.66</v>
      </c>
      <c r="W50" s="397" t="s">
        <v>1401</v>
      </c>
      <c r="X50" s="396">
        <f>ROUND((K54/K62),2)</f>
        <v>4.22</v>
      </c>
      <c r="Y50" s="397" t="s">
        <v>1401</v>
      </c>
      <c r="Z50" s="396">
        <f>ROUND(AVERAGE(P50:Y50),2)</f>
        <v>4.42</v>
      </c>
      <c r="AA50" s="388" t="s">
        <v>1401</v>
      </c>
    </row>
    <row r="51" spans="1:27" x14ac:dyDescent="0.35">
      <c r="C51" s="414"/>
      <c r="E51" s="414"/>
      <c r="G51" s="414"/>
      <c r="I51" s="414"/>
      <c r="K51" s="414"/>
      <c r="M51" s="414"/>
      <c r="N51" s="421"/>
      <c r="O51" s="410"/>
      <c r="P51" s="396"/>
      <c r="Q51" s="388"/>
      <c r="R51" s="396"/>
      <c r="S51" s="388"/>
      <c r="T51" s="396"/>
      <c r="U51" s="388"/>
      <c r="V51" s="396"/>
      <c r="W51" s="388"/>
      <c r="X51" s="396"/>
      <c r="Y51" s="388"/>
      <c r="Z51" s="396"/>
      <c r="AA51" s="388"/>
    </row>
    <row r="52" spans="1:27" x14ac:dyDescent="0.35">
      <c r="A52" s="406" t="s">
        <v>1534</v>
      </c>
      <c r="B52" s="406" t="s">
        <v>3189</v>
      </c>
      <c r="C52" s="386">
        <f>AVERAGE(C22:C23)</f>
        <v>60.314999999999998</v>
      </c>
      <c r="E52" s="386">
        <f>AVERAGE(E22:E23)</f>
        <v>62.225000000000001</v>
      </c>
      <c r="G52" s="386">
        <f>AVERAGE(G22:G23)</f>
        <v>49.23</v>
      </c>
      <c r="I52" s="386">
        <f>AVERAGE(I22:I23)</f>
        <v>50.94</v>
      </c>
      <c r="K52" s="386">
        <f>AVERAGE(K22:K23)</f>
        <v>42.085000000000001</v>
      </c>
      <c r="M52" s="386">
        <f>AVERAGE(M22:M23)</f>
        <v>39.049999999999997</v>
      </c>
      <c r="N52" s="421"/>
      <c r="O52" s="410" t="s">
        <v>3193</v>
      </c>
      <c r="P52" s="396">
        <f>ROUND(((C60/C54)*100),2)</f>
        <v>21</v>
      </c>
      <c r="Q52" s="397" t="s">
        <v>1197</v>
      </c>
      <c r="R52" s="396">
        <f>ROUND(((E60/E54)*100),2)</f>
        <v>19.52</v>
      </c>
      <c r="S52" s="397" t="s">
        <v>1197</v>
      </c>
      <c r="T52" s="396">
        <f>ROUND(((G60/G54)*100),2)</f>
        <v>7.63</v>
      </c>
      <c r="U52" s="397" t="s">
        <v>1197</v>
      </c>
      <c r="V52" s="396">
        <f>ROUND(((I60/I54)*100),2)</f>
        <v>17.03</v>
      </c>
      <c r="W52" s="397" t="s">
        <v>1197</v>
      </c>
      <c r="X52" s="396">
        <f>ROUND(((K60/K54)*100),2)</f>
        <v>21.98</v>
      </c>
      <c r="Y52" s="397" t="s">
        <v>1197</v>
      </c>
      <c r="Z52" s="396">
        <f>ROUND(AVERAGE(P52:Y52),2)</f>
        <v>17.43</v>
      </c>
      <c r="AA52" s="388" t="s">
        <v>1197</v>
      </c>
    </row>
    <row r="53" spans="1:27" x14ac:dyDescent="0.35">
      <c r="C53" s="414"/>
      <c r="E53" s="414"/>
      <c r="G53" s="414"/>
      <c r="I53" s="414"/>
      <c r="K53" s="414"/>
      <c r="M53" s="414"/>
      <c r="N53" s="421"/>
      <c r="O53" s="419"/>
      <c r="P53" s="396"/>
      <c r="Q53" s="388"/>
      <c r="R53" s="396"/>
      <c r="S53" s="388"/>
      <c r="T53" s="396"/>
      <c r="U53" s="388"/>
      <c r="V53" s="396"/>
      <c r="W53" s="388"/>
      <c r="X53" s="396"/>
      <c r="Y53" s="388"/>
      <c r="Z53" s="388"/>
      <c r="AA53" s="388"/>
    </row>
    <row r="54" spans="1:27" x14ac:dyDescent="0.35">
      <c r="A54" s="406" t="s">
        <v>3194</v>
      </c>
      <c r="C54" s="386">
        <f>+C19+C12</f>
        <v>1125797000</v>
      </c>
      <c r="E54" s="386">
        <f>+E19+E12</f>
        <v>1095986000</v>
      </c>
      <c r="G54" s="386">
        <f>+G19+G12</f>
        <v>1156227000</v>
      </c>
      <c r="I54" s="386">
        <f>+I19+I12</f>
        <v>983722000</v>
      </c>
      <c r="K54" s="386">
        <f>+K19+K12</f>
        <v>880038000</v>
      </c>
      <c r="M54" s="386">
        <f>+M19+M12</f>
        <v>806813000</v>
      </c>
      <c r="N54" s="426"/>
      <c r="O54" s="419" t="s">
        <v>3195</v>
      </c>
      <c r="P54" s="396">
        <f>P33</f>
        <v>45.98</v>
      </c>
      <c r="Q54" s="397" t="s">
        <v>1197</v>
      </c>
      <c r="R54" s="396">
        <f>R33</f>
        <v>48.09</v>
      </c>
      <c r="S54" s="397" t="s">
        <v>1197</v>
      </c>
      <c r="T54" s="396">
        <f>T33</f>
        <v>55.65</v>
      </c>
      <c r="U54" s="397" t="s">
        <v>1197</v>
      </c>
      <c r="V54" s="396">
        <f>V33</f>
        <v>55.78</v>
      </c>
      <c r="W54" s="397" t="s">
        <v>1197</v>
      </c>
      <c r="X54" s="396">
        <f>X33</f>
        <v>54.65</v>
      </c>
      <c r="Y54" s="397" t="s">
        <v>1197</v>
      </c>
      <c r="Z54" s="396">
        <f>ROUND(AVERAGE(P54:Y54),2)</f>
        <v>52.03</v>
      </c>
      <c r="AA54" s="397" t="s">
        <v>1197</v>
      </c>
    </row>
    <row r="55" spans="1:27" x14ac:dyDescent="0.35">
      <c r="C55" s="414"/>
      <c r="E55" s="414"/>
      <c r="G55" s="414"/>
      <c r="I55" s="414"/>
      <c r="K55" s="414"/>
      <c r="M55" s="414"/>
      <c r="N55" s="421"/>
    </row>
    <row r="56" spans="1:27" x14ac:dyDescent="0.35">
      <c r="A56" s="406" t="s">
        <v>3196</v>
      </c>
      <c r="B56" s="406" t="s">
        <v>3189</v>
      </c>
      <c r="C56" s="386">
        <f>SUM(C50,C19)</f>
        <v>2448191000</v>
      </c>
      <c r="E56" s="386">
        <f>SUM(E50,E19)</f>
        <v>2278966000</v>
      </c>
      <c r="G56" s="386">
        <f>SUM(G50,G19)</f>
        <v>2077571000</v>
      </c>
      <c r="I56" s="386">
        <f>SUM(I50,I19)</f>
        <v>1763628000</v>
      </c>
      <c r="K56" s="386">
        <f>SUM(K50,K19)</f>
        <v>1610195000</v>
      </c>
      <c r="M56" s="386">
        <f>SUM(M50,M19)</f>
        <v>1500275000</v>
      </c>
      <c r="N56" s="421"/>
    </row>
    <row r="57" spans="1:27" x14ac:dyDescent="0.35">
      <c r="C57" s="414"/>
      <c r="E57" s="414"/>
      <c r="G57" s="414"/>
      <c r="I57" s="414"/>
      <c r="K57" s="414"/>
      <c r="M57" s="414"/>
      <c r="N57" s="421"/>
    </row>
    <row r="58" spans="1:27" x14ac:dyDescent="0.35">
      <c r="A58" s="406" t="s">
        <v>3197</v>
      </c>
      <c r="B58" s="406" t="s">
        <v>3189</v>
      </c>
      <c r="C58" s="386">
        <f>SUM(C13,C17)</f>
        <v>0</v>
      </c>
      <c r="E58" s="386">
        <f>SUM(E13,E17)</f>
        <v>0</v>
      </c>
      <c r="G58" s="386">
        <f>SUM(G13,G17)</f>
        <v>0</v>
      </c>
      <c r="I58" s="386">
        <f>SUM(I13,I17)</f>
        <v>0</v>
      </c>
      <c r="K58" s="386">
        <f>SUM(K13,K17)</f>
        <v>0</v>
      </c>
      <c r="M58" s="386">
        <f>SUM(M13,M17)</f>
        <v>0</v>
      </c>
      <c r="N58" s="421"/>
    </row>
    <row r="59" spans="1:27" x14ac:dyDescent="0.35">
      <c r="C59" s="414"/>
      <c r="E59" s="414"/>
      <c r="G59" s="414"/>
      <c r="I59" s="414"/>
      <c r="K59" s="414"/>
      <c r="M59" s="414"/>
      <c r="N59" s="421"/>
    </row>
    <row r="60" spans="1:27" x14ac:dyDescent="0.35">
      <c r="A60" s="420" t="s">
        <v>3198</v>
      </c>
      <c r="B60" s="406" t="s">
        <v>3189</v>
      </c>
      <c r="C60" s="386">
        <f>ROUND(C41+C42-C28,3)</f>
        <v>236427000</v>
      </c>
      <c r="E60" s="386">
        <f>ROUND(E41+E42-E28,3)</f>
        <v>213886000</v>
      </c>
      <c r="G60" s="386">
        <f>ROUND(G41+G42-G28,3)</f>
        <v>88173000</v>
      </c>
      <c r="I60" s="386">
        <f>ROUND(I41+I42-I28,3)</f>
        <v>167548000</v>
      </c>
      <c r="K60" s="386">
        <f>ROUND(K41+K42-K28,3)</f>
        <v>193459000</v>
      </c>
      <c r="M60" s="386">
        <f>ROUND(M41+M42-M28,3)</f>
        <v>109093000</v>
      </c>
      <c r="N60" s="421"/>
    </row>
    <row r="61" spans="1:27" x14ac:dyDescent="0.35">
      <c r="A61" s="420"/>
      <c r="N61" s="421"/>
    </row>
    <row r="62" spans="1:27" x14ac:dyDescent="0.35">
      <c r="A62" s="406" t="s">
        <v>957</v>
      </c>
      <c r="B62" s="406" t="s">
        <v>3189</v>
      </c>
      <c r="C62" s="414">
        <f>C40+C43+C44+C30</f>
        <v>260555000</v>
      </c>
      <c r="E62" s="414">
        <f>E40+E43+E44+E30</f>
        <v>257000000</v>
      </c>
      <c r="G62" s="414">
        <f>G40+G43+G44+G30</f>
        <v>249216000</v>
      </c>
      <c r="I62" s="414">
        <f>I40+I43+I44+I30</f>
        <v>211228000</v>
      </c>
      <c r="K62" s="414">
        <f>K40+K43+K44+K30</f>
        <v>208525000</v>
      </c>
      <c r="M62" s="414">
        <f>M40+M43+M44+M30</f>
        <v>211255000</v>
      </c>
    </row>
    <row r="63" spans="1:27" x14ac:dyDescent="0.35">
      <c r="M63" s="421"/>
      <c r="N63" s="421"/>
    </row>
    <row r="64" spans="1:27" x14ac:dyDescent="0.35">
      <c r="M64" s="427"/>
      <c r="N64" s="421"/>
    </row>
    <row r="65" spans="13:14" x14ac:dyDescent="0.35">
      <c r="M65" s="428"/>
    </row>
    <row r="66" spans="13:14" x14ac:dyDescent="0.35">
      <c r="M66" s="428"/>
    </row>
    <row r="71" spans="13:14" x14ac:dyDescent="0.35">
      <c r="M71" s="421"/>
      <c r="N71" s="421"/>
    </row>
    <row r="81" spans="13:220" x14ac:dyDescent="0.35">
      <c r="HH81" s="422"/>
      <c r="HI81" s="422"/>
      <c r="HL81" s="406" t="s">
        <v>3199</v>
      </c>
    </row>
    <row r="94" spans="13:220" x14ac:dyDescent="0.35">
      <c r="M94" s="421"/>
      <c r="N94" s="421"/>
    </row>
    <row r="95" spans="13:220" x14ac:dyDescent="0.35">
      <c r="M95" s="421"/>
      <c r="N95" s="421"/>
    </row>
    <row r="96" spans="13:220" x14ac:dyDescent="0.35">
      <c r="M96" s="421"/>
      <c r="N96" s="421"/>
    </row>
    <row r="97" spans="13:14" x14ac:dyDescent="0.35">
      <c r="M97" s="421"/>
      <c r="N97" s="421"/>
    </row>
    <row r="98" spans="13:14" x14ac:dyDescent="0.35">
      <c r="M98" s="421"/>
      <c r="N98" s="421"/>
    </row>
    <row r="99" spans="13:14" x14ac:dyDescent="0.35">
      <c r="M99" s="421"/>
      <c r="N99" s="421"/>
    </row>
    <row r="100" spans="13:14" x14ac:dyDescent="0.35">
      <c r="M100" s="421"/>
      <c r="N100" s="421"/>
    </row>
    <row r="101" spans="13:14" x14ac:dyDescent="0.35">
      <c r="M101" s="421"/>
      <c r="N101" s="421"/>
    </row>
    <row r="102" spans="13:14" x14ac:dyDescent="0.35">
      <c r="M102" s="421"/>
      <c r="N102" s="421"/>
    </row>
    <row r="103" spans="13:14" x14ac:dyDescent="0.35">
      <c r="M103" s="421"/>
      <c r="N103" s="421"/>
    </row>
    <row r="104" spans="13:14" x14ac:dyDescent="0.35">
      <c r="M104" s="421"/>
      <c r="N104" s="421"/>
    </row>
    <row r="105" spans="13:14" x14ac:dyDescent="0.35">
      <c r="M105" s="421"/>
      <c r="N105" s="421"/>
    </row>
    <row r="106" spans="13:14" x14ac:dyDescent="0.35">
      <c r="M106" s="421"/>
      <c r="N106" s="421"/>
    </row>
    <row r="107" spans="13:14" x14ac:dyDescent="0.35">
      <c r="M107" s="421"/>
      <c r="N107" s="421"/>
    </row>
    <row r="108" spans="13:14" x14ac:dyDescent="0.35">
      <c r="M108" s="421"/>
      <c r="N108" s="421"/>
    </row>
    <row r="109" spans="13:14" x14ac:dyDescent="0.35">
      <c r="M109" s="421"/>
      <c r="N109" s="421"/>
    </row>
    <row r="110" spans="13:14" x14ac:dyDescent="0.35">
      <c r="M110" s="421"/>
      <c r="N110" s="421"/>
    </row>
    <row r="111" spans="13:14" x14ac:dyDescent="0.35">
      <c r="M111" s="421"/>
      <c r="N111" s="421"/>
    </row>
    <row r="112" spans="13:14" x14ac:dyDescent="0.35">
      <c r="M112" s="421"/>
      <c r="N112" s="421"/>
    </row>
    <row r="113" spans="13:14" x14ac:dyDescent="0.35">
      <c r="M113" s="421"/>
      <c r="N113" s="421"/>
    </row>
    <row r="114" spans="13:14" x14ac:dyDescent="0.35">
      <c r="M114" s="421"/>
      <c r="N114" s="421"/>
    </row>
    <row r="115" spans="13:14" x14ac:dyDescent="0.35">
      <c r="M115" s="421"/>
      <c r="N115" s="421"/>
    </row>
    <row r="116" spans="13:14" x14ac:dyDescent="0.35">
      <c r="M116" s="421"/>
      <c r="N116" s="421"/>
    </row>
    <row r="117" spans="13:14" x14ac:dyDescent="0.35">
      <c r="M117" s="421"/>
      <c r="N117" s="421"/>
    </row>
    <row r="118" spans="13:14" x14ac:dyDescent="0.35">
      <c r="M118" s="421"/>
      <c r="N118" s="421"/>
    </row>
    <row r="119" spans="13:14" x14ac:dyDescent="0.35">
      <c r="M119" s="421"/>
      <c r="N119" s="421"/>
    </row>
    <row r="120" spans="13:14" x14ac:dyDescent="0.35">
      <c r="M120" s="421"/>
      <c r="N120" s="421"/>
    </row>
    <row r="121" spans="13:14" x14ac:dyDescent="0.35">
      <c r="M121" s="421"/>
      <c r="N121" s="421"/>
    </row>
    <row r="122" spans="13:14" x14ac:dyDescent="0.35">
      <c r="M122" s="421"/>
      <c r="N122" s="421"/>
    </row>
    <row r="123" spans="13:14" x14ac:dyDescent="0.35">
      <c r="M123" s="421"/>
      <c r="N123" s="421"/>
    </row>
    <row r="124" spans="13:14" x14ac:dyDescent="0.35">
      <c r="M124" s="421"/>
      <c r="N124" s="421"/>
    </row>
    <row r="125" spans="13:14" x14ac:dyDescent="0.35">
      <c r="M125" s="421"/>
      <c r="N125" s="421"/>
    </row>
    <row r="126" spans="13:14" x14ac:dyDescent="0.35">
      <c r="M126" s="421"/>
      <c r="N126" s="421"/>
    </row>
    <row r="127" spans="13:14" x14ac:dyDescent="0.35">
      <c r="M127" s="421"/>
      <c r="N127" s="421"/>
    </row>
    <row r="128" spans="13:14" x14ac:dyDescent="0.35">
      <c r="M128" s="421"/>
      <c r="N128" s="421"/>
    </row>
    <row r="129" spans="13:14" x14ac:dyDescent="0.35">
      <c r="M129" s="421"/>
      <c r="N129" s="421"/>
    </row>
    <row r="130" spans="13:14" x14ac:dyDescent="0.35">
      <c r="M130" s="421"/>
      <c r="N130" s="421"/>
    </row>
    <row r="131" spans="13:14" x14ac:dyDescent="0.35">
      <c r="M131" s="421"/>
      <c r="N131" s="421"/>
    </row>
    <row r="132" spans="13:14" x14ac:dyDescent="0.35">
      <c r="M132" s="421"/>
      <c r="N132" s="421"/>
    </row>
    <row r="133" spans="13:14" x14ac:dyDescent="0.35">
      <c r="M133" s="421"/>
      <c r="N133" s="421"/>
    </row>
    <row r="134" spans="13:14" x14ac:dyDescent="0.35">
      <c r="M134" s="421"/>
      <c r="N134" s="421"/>
    </row>
    <row r="135" spans="13:14" x14ac:dyDescent="0.35">
      <c r="M135" s="421"/>
      <c r="N135" s="421"/>
    </row>
    <row r="136" spans="13:14" x14ac:dyDescent="0.35">
      <c r="M136" s="421"/>
      <c r="N136" s="421"/>
    </row>
    <row r="137" spans="13:14" x14ac:dyDescent="0.35">
      <c r="M137" s="421"/>
      <c r="N137" s="421"/>
    </row>
    <row r="138" spans="13:14" x14ac:dyDescent="0.35">
      <c r="M138" s="421"/>
      <c r="N138" s="421"/>
    </row>
    <row r="139" spans="13:14" x14ac:dyDescent="0.35">
      <c r="M139" s="421"/>
      <c r="N139" s="421"/>
    </row>
    <row r="140" spans="13:14" x14ac:dyDescent="0.35">
      <c r="M140" s="421"/>
      <c r="N140" s="421"/>
    </row>
    <row r="141" spans="13:14" x14ac:dyDescent="0.35">
      <c r="M141" s="421"/>
      <c r="N141" s="421"/>
    </row>
    <row r="142" spans="13:14" x14ac:dyDescent="0.35">
      <c r="M142" s="421"/>
      <c r="N142" s="421"/>
    </row>
    <row r="143" spans="13:14" x14ac:dyDescent="0.35">
      <c r="M143" s="421"/>
      <c r="N143" s="421"/>
    </row>
    <row r="144" spans="13:14" x14ac:dyDescent="0.35">
      <c r="M144" s="421"/>
      <c r="N144" s="421"/>
    </row>
    <row r="145" spans="13:14" x14ac:dyDescent="0.35">
      <c r="M145" s="421"/>
      <c r="N145" s="421"/>
    </row>
    <row r="146" spans="13:14" x14ac:dyDescent="0.35">
      <c r="M146" s="421"/>
      <c r="N146" s="421"/>
    </row>
    <row r="147" spans="13:14" x14ac:dyDescent="0.35">
      <c r="M147" s="421"/>
      <c r="N147" s="421"/>
    </row>
    <row r="148" spans="13:14" x14ac:dyDescent="0.35">
      <c r="M148" s="421"/>
      <c r="N148" s="421"/>
    </row>
    <row r="149" spans="13:14" x14ac:dyDescent="0.35">
      <c r="M149" s="421"/>
      <c r="N149" s="421"/>
    </row>
    <row r="150" spans="13:14" x14ac:dyDescent="0.35">
      <c r="M150" s="421"/>
      <c r="N150" s="421"/>
    </row>
    <row r="151" spans="13:14" x14ac:dyDescent="0.35">
      <c r="M151" s="421"/>
      <c r="N151" s="421"/>
    </row>
    <row r="152" spans="13:14" x14ac:dyDescent="0.35">
      <c r="M152" s="421"/>
      <c r="N152" s="421"/>
    </row>
    <row r="153" spans="13:14" x14ac:dyDescent="0.35">
      <c r="M153" s="421"/>
      <c r="N153" s="421"/>
    </row>
    <row r="154" spans="13:14" x14ac:dyDescent="0.35">
      <c r="M154" s="421"/>
      <c r="N154" s="421"/>
    </row>
  </sheetData>
  <mergeCells count="4">
    <mergeCell ref="C8:M8"/>
    <mergeCell ref="T13:Y13"/>
    <mergeCell ref="Z24:AA24"/>
    <mergeCell ref="Z25:AA25"/>
  </mergeCells>
  <printOptions horizontalCentered="1"/>
  <pageMargins left="0.75" right="0.75" top="1" bottom="1" header="0.5" footer="0.5"/>
  <pageSetup scale="10" orientation="landscape"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C5578-4DA8-44F7-BBB5-8CFA1225D39E}">
  <sheetPr>
    <pageSetUpPr fitToPage="1"/>
  </sheetPr>
  <dimension ref="A1:HL154"/>
  <sheetViews>
    <sheetView zoomScale="85" zoomScaleNormal="85" workbookViewId="0">
      <selection sqref="A1:H1"/>
    </sheetView>
  </sheetViews>
  <sheetFormatPr defaultColWidth="9.15234375" defaultRowHeight="12.9" x14ac:dyDescent="0.35"/>
  <cols>
    <col min="1" max="1" width="35.3828125" style="406" bestFit="1" customWidth="1"/>
    <col min="2" max="2" width="19.15234375" style="406" bestFit="1" customWidth="1"/>
    <col min="3" max="3" width="17.3046875" style="406" customWidth="1"/>
    <col min="4" max="4" width="2.15234375" style="406" customWidth="1"/>
    <col min="5" max="5" width="17.3046875" style="406" customWidth="1"/>
    <col min="6" max="6" width="2.15234375" style="406" customWidth="1"/>
    <col min="7" max="7" width="17.3046875" style="406" customWidth="1"/>
    <col min="8" max="8" width="2.15234375" style="406" customWidth="1"/>
    <col min="9" max="9" width="17.3046875" style="406" customWidth="1"/>
    <col min="10" max="10" width="2.15234375" style="406" customWidth="1"/>
    <col min="11" max="11" width="17.3046875" style="406" customWidth="1"/>
    <col min="12" max="12" width="1.69140625" style="406" customWidth="1"/>
    <col min="13" max="13" width="17.3046875" style="406" customWidth="1"/>
    <col min="14" max="14" width="9.53515625" style="406" customWidth="1"/>
    <col min="15" max="15" width="46.3828125" style="406" customWidth="1"/>
    <col min="16" max="16" width="13" style="406" customWidth="1"/>
    <col min="17" max="17" width="3.3046875" style="406" customWidth="1"/>
    <col min="18" max="18" width="13" style="406" customWidth="1"/>
    <col min="19" max="19" width="3.3046875" style="406" customWidth="1"/>
    <col min="20" max="20" width="13" style="406" customWidth="1"/>
    <col min="21" max="21" width="3.3046875" style="406" customWidth="1"/>
    <col min="22" max="22" width="13" style="406" customWidth="1"/>
    <col min="23" max="23" width="3.3046875" style="406" customWidth="1"/>
    <col min="24" max="24" width="13" style="406" customWidth="1"/>
    <col min="25" max="25" width="3.3046875" style="406" customWidth="1"/>
    <col min="26" max="26" width="8.15234375" style="406" bestFit="1" customWidth="1"/>
    <col min="27" max="27" width="3.3046875" style="406" bestFit="1" customWidth="1"/>
    <col min="28" max="28" width="9.15234375" style="406"/>
    <col min="29" max="29" width="4.3828125" style="406" customWidth="1"/>
    <col min="30" max="30" width="3.69140625" style="406" customWidth="1"/>
    <col min="31" max="31" width="22.3046875" style="406" customWidth="1"/>
    <col min="32" max="219" width="9.15234375" style="406"/>
    <col min="220" max="220" width="25.84375" style="406" bestFit="1" customWidth="1"/>
    <col min="221" max="16384" width="9.15234375" style="406"/>
  </cols>
  <sheetData>
    <row r="1" spans="1:27" ht="16.2" customHeight="1" x14ac:dyDescent="0.35"/>
    <row r="2" spans="1:27" ht="16.2" customHeight="1" x14ac:dyDescent="0.35"/>
    <row r="3" spans="1:27" ht="16.2" customHeight="1" x14ac:dyDescent="0.35"/>
    <row r="4" spans="1:27" ht="16.2" customHeight="1" thickBot="1" x14ac:dyDescent="0.45">
      <c r="C4" s="408"/>
      <c r="E4" s="408"/>
    </row>
    <row r="5" spans="1:27" ht="16.75" x14ac:dyDescent="0.65">
      <c r="A5" s="407" t="s">
        <v>3200</v>
      </c>
      <c r="C5" s="408"/>
      <c r="E5" s="408"/>
    </row>
    <row r="6" spans="1:27" ht="13.3" thickBot="1" x14ac:dyDescent="0.4">
      <c r="A6" s="409" t="s">
        <v>1438</v>
      </c>
      <c r="C6" s="958" t="s">
        <v>3203</v>
      </c>
      <c r="D6" s="958"/>
      <c r="E6" s="958"/>
      <c r="F6" s="958"/>
      <c r="G6" s="958"/>
      <c r="H6" s="958"/>
      <c r="I6" s="958"/>
      <c r="J6" s="958"/>
      <c r="K6" s="958"/>
      <c r="L6" s="958"/>
      <c r="M6" s="958"/>
      <c r="O6" s="423" t="str">
        <f>C6</f>
        <v>Essential Utilities, Inc.</v>
      </c>
      <c r="P6" s="423"/>
      <c r="Q6" s="412"/>
      <c r="R6" s="423"/>
      <c r="S6" s="412"/>
      <c r="T6" s="423"/>
      <c r="U6" s="412"/>
      <c r="V6" s="423"/>
      <c r="W6" s="412"/>
      <c r="X6" s="412"/>
      <c r="Y6" s="411"/>
      <c r="Z6" s="412"/>
    </row>
    <row r="7" spans="1:27" ht="14.6" x14ac:dyDescent="0.4">
      <c r="A7" s="408"/>
      <c r="C7" s="959" t="s">
        <v>3124</v>
      </c>
      <c r="D7" s="959"/>
      <c r="E7" s="959"/>
      <c r="F7" s="959"/>
      <c r="G7" s="959"/>
      <c r="H7" s="959"/>
      <c r="I7" s="959"/>
      <c r="J7" s="959"/>
      <c r="K7" s="959"/>
      <c r="L7" s="959"/>
      <c r="M7" s="959"/>
      <c r="O7" s="412" t="str">
        <f>C7</f>
        <v>CAPITALIZATION AND FINANCIAL STATISTICS  (1)</v>
      </c>
      <c r="P7" s="412"/>
      <c r="Q7" s="412"/>
      <c r="R7" s="412"/>
      <c r="S7" s="412"/>
      <c r="T7" s="412"/>
      <c r="U7" s="412"/>
      <c r="V7" s="412"/>
      <c r="W7" s="412"/>
      <c r="X7" s="412"/>
      <c r="Y7" s="412"/>
      <c r="Z7" s="412"/>
    </row>
    <row r="8" spans="1:27" ht="14.5" customHeight="1" x14ac:dyDescent="0.35">
      <c r="C8" s="959" t="s">
        <v>3125</v>
      </c>
      <c r="D8" s="959"/>
      <c r="E8" s="959"/>
      <c r="F8" s="959"/>
      <c r="G8" s="959"/>
      <c r="H8" s="959"/>
      <c r="I8" s="959"/>
      <c r="J8" s="959"/>
      <c r="K8" s="959"/>
      <c r="L8" s="959"/>
      <c r="M8" s="959"/>
      <c r="O8" s="411" t="str">
        <f>C8</f>
        <v>2018 - 2022, Inclusive</v>
      </c>
      <c r="P8" s="411"/>
      <c r="Q8" s="412"/>
      <c r="R8" s="411"/>
      <c r="S8" s="412"/>
      <c r="T8" s="411"/>
      <c r="U8" s="412"/>
      <c r="V8" s="411"/>
      <c r="W8" s="412"/>
      <c r="X8" s="412"/>
      <c r="Y8" s="411"/>
      <c r="Z8" s="412"/>
    </row>
    <row r="9" spans="1:27" x14ac:dyDescent="0.35">
      <c r="O9" s="412"/>
      <c r="P9" s="412"/>
      <c r="Q9" s="412"/>
      <c r="R9" s="412"/>
      <c r="S9" s="412"/>
      <c r="T9" s="412"/>
      <c r="U9" s="412"/>
      <c r="V9" s="412"/>
      <c r="W9" s="412"/>
      <c r="X9" s="411"/>
      <c r="Y9" s="411"/>
      <c r="Z9" s="412"/>
    </row>
    <row r="10" spans="1:27" x14ac:dyDescent="0.35">
      <c r="B10" s="406" t="s">
        <v>3126</v>
      </c>
      <c r="C10" s="413">
        <v>2022</v>
      </c>
      <c r="E10" s="413">
        <v>2021</v>
      </c>
      <c r="G10" s="413">
        <v>2020</v>
      </c>
      <c r="I10" s="413">
        <v>2019</v>
      </c>
      <c r="K10" s="413">
        <v>2018</v>
      </c>
      <c r="M10" s="413">
        <v>2017</v>
      </c>
      <c r="X10" s="411"/>
      <c r="Y10" s="411"/>
    </row>
    <row r="11" spans="1:27" x14ac:dyDescent="0.35">
      <c r="A11" s="406" t="s">
        <v>3127</v>
      </c>
    </row>
    <row r="12" spans="1:27" x14ac:dyDescent="0.35">
      <c r="A12" s="406" t="s">
        <v>3128</v>
      </c>
      <c r="B12" s="406" t="s">
        <v>3129</v>
      </c>
      <c r="C12" s="386">
        <f>6371057000+199356000</f>
        <v>6570413000</v>
      </c>
      <c r="E12" s="386">
        <f>5779504000+132146000</f>
        <v>5911650000</v>
      </c>
      <c r="G12" s="386">
        <f>5507744000+84353000</f>
        <v>5592097000</v>
      </c>
      <c r="I12" s="386">
        <f>2972349000+105051000</f>
        <v>3077400000</v>
      </c>
      <c r="K12" s="386">
        <f>2419115000+144545000</f>
        <v>2563660000</v>
      </c>
      <c r="M12" s="386">
        <f>2029358000+113769000</f>
        <v>2143127000</v>
      </c>
      <c r="P12" s="413">
        <f>C10</f>
        <v>2022</v>
      </c>
      <c r="R12" s="413">
        <f>E10</f>
        <v>2021</v>
      </c>
      <c r="T12" s="413">
        <f>G10</f>
        <v>2020</v>
      </c>
      <c r="V12" s="413">
        <f>I10</f>
        <v>2019</v>
      </c>
      <c r="X12" s="413">
        <f>K10</f>
        <v>2018</v>
      </c>
      <c r="Y12" s="387"/>
      <c r="Z12" s="388"/>
      <c r="AA12" s="388"/>
    </row>
    <row r="13" spans="1:27" x14ac:dyDescent="0.35">
      <c r="A13" s="406" t="s">
        <v>3130</v>
      </c>
      <c r="B13" s="406" t="s">
        <v>3131</v>
      </c>
      <c r="C13" s="386">
        <v>0</v>
      </c>
      <c r="E13" s="386">
        <v>0</v>
      </c>
      <c r="G13" s="386">
        <v>0</v>
      </c>
      <c r="I13" s="386">
        <v>0</v>
      </c>
      <c r="K13" s="386">
        <v>0</v>
      </c>
      <c r="M13" s="386">
        <v>0</v>
      </c>
      <c r="T13" s="960" t="s">
        <v>3132</v>
      </c>
      <c r="U13" s="960"/>
      <c r="V13" s="960"/>
      <c r="W13" s="960"/>
      <c r="X13" s="960"/>
      <c r="Y13" s="960"/>
      <c r="Z13" s="389" t="s">
        <v>1570</v>
      </c>
      <c r="AA13" s="388"/>
    </row>
    <row r="14" spans="1:27" x14ac:dyDescent="0.35">
      <c r="M14" s="414"/>
      <c r="O14" s="410" t="s">
        <v>3133</v>
      </c>
      <c r="P14" s="410"/>
      <c r="Q14" s="410"/>
      <c r="R14" s="410"/>
      <c r="S14" s="410"/>
      <c r="T14" s="410"/>
      <c r="U14" s="410"/>
      <c r="V14" s="410"/>
      <c r="W14" s="410"/>
      <c r="X14" s="388"/>
      <c r="Y14" s="388"/>
      <c r="Z14" s="388"/>
      <c r="AA14" s="388"/>
    </row>
    <row r="15" spans="1:27" x14ac:dyDescent="0.35">
      <c r="A15" s="406" t="s">
        <v>3134</v>
      </c>
      <c r="B15" s="406" t="s">
        <v>3135</v>
      </c>
      <c r="C15" s="386">
        <f>266973321-3236237</f>
        <v>263737084</v>
      </c>
      <c r="E15" s="386">
        <f>256102388-3234765</f>
        <v>252867623</v>
      </c>
      <c r="G15" s="386">
        <f>248571355-3180887</f>
        <v>245390468</v>
      </c>
      <c r="I15" s="386">
        <f>223871284-3112565</f>
        <v>220758719</v>
      </c>
      <c r="K15" s="386">
        <f>181151827-3060206</f>
        <v>178091621</v>
      </c>
      <c r="M15" s="386">
        <f>180700251-2986308</f>
        <v>177713943</v>
      </c>
      <c r="X15" s="388"/>
      <c r="Y15" s="388"/>
      <c r="Z15" s="388"/>
      <c r="AA15" s="388"/>
    </row>
    <row r="16" spans="1:27" x14ac:dyDescent="0.35">
      <c r="A16" s="406" t="s">
        <v>1162</v>
      </c>
      <c r="B16" s="406" t="s">
        <v>3136</v>
      </c>
      <c r="C16" s="386">
        <v>5377386000</v>
      </c>
      <c r="E16" s="386">
        <v>5184450000</v>
      </c>
      <c r="G16" s="386">
        <v>4683877000</v>
      </c>
      <c r="I16" s="386">
        <v>3880860000</v>
      </c>
      <c r="K16" s="386">
        <v>2009364000</v>
      </c>
      <c r="M16" s="386">
        <v>1957621000</v>
      </c>
      <c r="O16" s="410" t="s">
        <v>3137</v>
      </c>
      <c r="P16" s="410"/>
      <c r="Q16" s="410"/>
      <c r="R16" s="410"/>
      <c r="S16" s="410"/>
      <c r="T16" s="410"/>
      <c r="U16" s="410"/>
      <c r="V16" s="410"/>
      <c r="W16" s="410"/>
      <c r="X16" s="388"/>
      <c r="Y16" s="388"/>
      <c r="Z16" s="388"/>
      <c r="AA16" s="388"/>
    </row>
    <row r="17" spans="1:27" x14ac:dyDescent="0.35">
      <c r="A17" s="406" t="s">
        <v>3138</v>
      </c>
      <c r="B17" s="406" t="s">
        <v>3135</v>
      </c>
      <c r="M17" s="386">
        <v>0</v>
      </c>
      <c r="O17" s="406" t="s">
        <v>3139</v>
      </c>
      <c r="P17" s="393">
        <f>C50/1000000</f>
        <v>11947.799000000001</v>
      </c>
      <c r="R17" s="393">
        <f>E50/1000000</f>
        <v>11096.1</v>
      </c>
      <c r="T17" s="393">
        <f>G50/1000000</f>
        <v>10275.974</v>
      </c>
      <c r="V17" s="393">
        <f>I50/1000000</f>
        <v>6958.26</v>
      </c>
      <c r="X17" s="393">
        <f>K50/1000000</f>
        <v>4573.0240000000003</v>
      </c>
      <c r="Y17" s="393"/>
      <c r="Z17" s="388"/>
      <c r="AA17" s="388"/>
    </row>
    <row r="18" spans="1:27" x14ac:dyDescent="0.35">
      <c r="M18" s="414"/>
      <c r="O18" s="406" t="s">
        <v>3140</v>
      </c>
      <c r="P18" s="394">
        <f>C19/1000000</f>
        <v>228.5</v>
      </c>
      <c r="R18" s="394">
        <f>E19/1000000</f>
        <v>65</v>
      </c>
      <c r="T18" s="394">
        <f>G19/1000000</f>
        <v>78.197999999999993</v>
      </c>
      <c r="V18" s="394">
        <f>I19/1000000</f>
        <v>25.724</v>
      </c>
      <c r="X18" s="394">
        <f>K19/1000000</f>
        <v>15.449</v>
      </c>
      <c r="Y18" s="393"/>
      <c r="Z18" s="388"/>
      <c r="AA18" s="388"/>
    </row>
    <row r="19" spans="1:27" x14ac:dyDescent="0.35">
      <c r="A19" s="406" t="s">
        <v>3141</v>
      </c>
      <c r="B19" s="406" t="s">
        <v>3142</v>
      </c>
      <c r="C19" s="386">
        <v>228500000</v>
      </c>
      <c r="E19" s="386">
        <v>65000000</v>
      </c>
      <c r="G19" s="386">
        <v>78198000</v>
      </c>
      <c r="I19" s="386">
        <v>25724000</v>
      </c>
      <c r="K19" s="386">
        <v>15449000</v>
      </c>
      <c r="M19" s="386">
        <v>3650000</v>
      </c>
      <c r="O19" s="406" t="s">
        <v>3143</v>
      </c>
      <c r="P19" s="395">
        <f>SUM(P17:P18)</f>
        <v>12176.299000000001</v>
      </c>
      <c r="R19" s="395">
        <f>SUM(R17:R18)</f>
        <v>11161.1</v>
      </c>
      <c r="T19" s="395">
        <f>SUM(T17:T18)</f>
        <v>10354.172</v>
      </c>
      <c r="V19" s="395">
        <f>SUM(V17:V18)</f>
        <v>6983.9840000000004</v>
      </c>
      <c r="X19" s="395">
        <f>SUM(X17:X18)</f>
        <v>4588.473</v>
      </c>
      <c r="Y19" s="393"/>
      <c r="Z19" s="388"/>
      <c r="AA19" s="388"/>
    </row>
    <row r="20" spans="1:27" x14ac:dyDescent="0.35">
      <c r="M20" s="414"/>
      <c r="P20" s="388"/>
      <c r="R20" s="388"/>
      <c r="T20" s="388"/>
      <c r="V20" s="388"/>
      <c r="X20" s="388"/>
      <c r="Y20" s="388"/>
      <c r="Z20" s="388"/>
      <c r="AA20" s="388"/>
    </row>
    <row r="21" spans="1:27" x14ac:dyDescent="0.35">
      <c r="A21" s="406" t="s">
        <v>3144</v>
      </c>
      <c r="B21" s="406" t="s">
        <v>3145</v>
      </c>
      <c r="C21" s="414">
        <v>1.77</v>
      </c>
      <c r="E21" s="414">
        <v>1.67</v>
      </c>
      <c r="G21" s="414">
        <v>1.1200000000000001</v>
      </c>
      <c r="I21" s="414">
        <v>1.04</v>
      </c>
      <c r="K21" s="414">
        <v>1.08</v>
      </c>
      <c r="M21" s="414">
        <v>1.35</v>
      </c>
      <c r="O21" s="410" t="s">
        <v>3146</v>
      </c>
      <c r="P21" s="388"/>
      <c r="Q21" s="410"/>
      <c r="R21" s="388"/>
      <c r="S21" s="410"/>
      <c r="T21" s="388"/>
      <c r="U21" s="410"/>
      <c r="V21" s="388"/>
      <c r="W21" s="410"/>
      <c r="X21" s="388"/>
      <c r="Y21" s="388"/>
      <c r="Z21" s="388"/>
      <c r="AA21" s="388"/>
    </row>
    <row r="22" spans="1:27" x14ac:dyDescent="0.35">
      <c r="A22" s="406" t="s">
        <v>3147</v>
      </c>
      <c r="B22" s="406" t="s">
        <v>1524</v>
      </c>
      <c r="C22" s="406">
        <v>53.13</v>
      </c>
      <c r="E22" s="406">
        <v>53.69</v>
      </c>
      <c r="G22" s="414">
        <v>54.07</v>
      </c>
      <c r="I22" s="414">
        <v>47.08</v>
      </c>
      <c r="K22" s="414">
        <v>39.229999999999997</v>
      </c>
      <c r="M22" s="414">
        <v>39.33</v>
      </c>
      <c r="O22" s="406" t="s">
        <v>3148</v>
      </c>
      <c r="P22" s="396">
        <f>(ROUND((C30/(AVERAGE(C54,E54))*100),2))</f>
        <v>3.73</v>
      </c>
      <c r="Q22" s="397" t="s">
        <v>1197</v>
      </c>
      <c r="R22" s="396">
        <f>(ROUND((E30/(AVERAGE(E54,G54))*100),2))</f>
        <v>3.53</v>
      </c>
      <c r="S22" s="397" t="s">
        <v>1197</v>
      </c>
      <c r="T22" s="396">
        <f>(ROUND((G30/(AVERAGE(G54,I54))*100),2))</f>
        <v>4.17</v>
      </c>
      <c r="U22" s="397" t="s">
        <v>1197</v>
      </c>
      <c r="V22" s="396">
        <f>(ROUND((I30/(AVERAGE(I54,K54))*100),2))</f>
        <v>3.52</v>
      </c>
      <c r="W22" s="397" t="s">
        <v>1197</v>
      </c>
      <c r="X22" s="396">
        <f>(ROUND((K30/(AVERAGE(K54,M54))*100),2))</f>
        <v>4.1900000000000004</v>
      </c>
      <c r="Y22" s="397" t="s">
        <v>1197</v>
      </c>
      <c r="Z22" s="390"/>
      <c r="AA22" s="388"/>
    </row>
    <row r="23" spans="1:27" x14ac:dyDescent="0.35">
      <c r="A23" s="406" t="s">
        <v>3149</v>
      </c>
      <c r="B23" s="406" t="s">
        <v>1524</v>
      </c>
      <c r="C23" s="406">
        <v>39.409999999999997</v>
      </c>
      <c r="E23" s="406">
        <v>41.5</v>
      </c>
      <c r="G23" s="414">
        <v>32.65</v>
      </c>
      <c r="I23" s="414">
        <v>32.83</v>
      </c>
      <c r="K23" s="414">
        <v>32.369999999999997</v>
      </c>
      <c r="M23" s="414">
        <v>29.54</v>
      </c>
      <c r="O23" s="406" t="s">
        <v>3150</v>
      </c>
      <c r="P23" s="396"/>
      <c r="Q23" s="397"/>
      <c r="R23" s="396"/>
      <c r="S23" s="397"/>
      <c r="T23" s="396"/>
      <c r="U23" s="397"/>
      <c r="V23" s="396"/>
      <c r="W23" s="397"/>
      <c r="X23" s="396"/>
      <c r="Y23" s="397"/>
      <c r="Z23" s="388"/>
      <c r="AA23" s="388"/>
    </row>
    <row r="24" spans="1:27" x14ac:dyDescent="0.35">
      <c r="M24" s="414"/>
      <c r="P24" s="388"/>
      <c r="Q24" s="388"/>
      <c r="R24" s="388"/>
      <c r="S24" s="388"/>
      <c r="T24" s="388"/>
      <c r="U24" s="388"/>
      <c r="V24" s="388"/>
      <c r="W24" s="388"/>
      <c r="X24" s="388"/>
      <c r="Y24" s="388"/>
      <c r="Z24" s="957" t="s">
        <v>1195</v>
      </c>
      <c r="AA24" s="957"/>
    </row>
    <row r="25" spans="1:27" x14ac:dyDescent="0.35">
      <c r="M25" s="414"/>
      <c r="O25" s="410" t="s">
        <v>3151</v>
      </c>
      <c r="P25" s="388"/>
      <c r="Q25" s="388"/>
      <c r="R25" s="388"/>
      <c r="S25" s="388"/>
      <c r="T25" s="388"/>
      <c r="U25" s="388"/>
      <c r="V25" s="388"/>
      <c r="W25" s="388"/>
      <c r="X25" s="388"/>
      <c r="Y25" s="388"/>
      <c r="Z25" s="957" t="s">
        <v>1196</v>
      </c>
      <c r="AA25" s="957"/>
    </row>
    <row r="26" spans="1:27" x14ac:dyDescent="0.35">
      <c r="A26" s="406" t="s">
        <v>3152</v>
      </c>
      <c r="B26" s="406" t="s">
        <v>1524</v>
      </c>
      <c r="C26" s="414">
        <v>1.1479999999999999</v>
      </c>
      <c r="E26" s="414">
        <v>1.0378000000000001</v>
      </c>
      <c r="G26" s="414">
        <v>0.97</v>
      </c>
      <c r="I26" s="414">
        <v>0.90659999999999996</v>
      </c>
      <c r="K26" s="414">
        <v>0.84740000000000004</v>
      </c>
      <c r="M26" s="414">
        <v>0.79200000000000004</v>
      </c>
      <c r="O26" s="406" t="s">
        <v>3153</v>
      </c>
      <c r="P26" s="388"/>
      <c r="Q26" s="388"/>
      <c r="R26" s="388"/>
      <c r="S26" s="388"/>
      <c r="T26" s="388"/>
      <c r="U26" s="388"/>
      <c r="V26" s="388"/>
      <c r="W26" s="388"/>
      <c r="X26" s="388"/>
      <c r="Y26" s="388"/>
      <c r="Z26" s="388"/>
      <c r="AA26" s="388"/>
    </row>
    <row r="27" spans="1:27" x14ac:dyDescent="0.35">
      <c r="M27" s="414"/>
      <c r="O27" s="406" t="s">
        <v>3154</v>
      </c>
      <c r="P27" s="396">
        <f>ROUND(((C12/C50)*100),2)</f>
        <v>54.99</v>
      </c>
      <c r="Q27" s="397" t="s">
        <v>1197</v>
      </c>
      <c r="R27" s="396">
        <f>ROUND(((E12/E50)*100),2)</f>
        <v>53.28</v>
      </c>
      <c r="S27" s="397" t="s">
        <v>1197</v>
      </c>
      <c r="T27" s="396">
        <f>ROUND(((G12/G50)*100),2)</f>
        <v>54.42</v>
      </c>
      <c r="U27" s="397" t="s">
        <v>1197</v>
      </c>
      <c r="V27" s="396">
        <f>ROUND(((I12/I50)*100),2)</f>
        <v>44.23</v>
      </c>
      <c r="W27" s="397" t="s">
        <v>1197</v>
      </c>
      <c r="X27" s="396">
        <f>ROUND(((K12/K50)*100),2)</f>
        <v>56.06</v>
      </c>
      <c r="Y27" s="397" t="s">
        <v>1197</v>
      </c>
      <c r="Z27" s="396">
        <f>ROUND(AVERAGE(P27:Y27),2)</f>
        <v>52.6</v>
      </c>
      <c r="AA27" s="397" t="s">
        <v>1197</v>
      </c>
    </row>
    <row r="28" spans="1:27" x14ac:dyDescent="0.35">
      <c r="A28" s="406" t="s">
        <v>3155</v>
      </c>
      <c r="B28" s="406" t="s">
        <v>3155</v>
      </c>
      <c r="C28" s="414">
        <v>23665000</v>
      </c>
      <c r="E28" s="414">
        <v>20792000</v>
      </c>
      <c r="G28" s="414">
        <v>12687000</v>
      </c>
      <c r="I28" s="414">
        <v>16172000</v>
      </c>
      <c r="K28" s="414">
        <v>13023000</v>
      </c>
      <c r="M28" s="414">
        <v>15211000</v>
      </c>
      <c r="O28" s="406" t="s">
        <v>3156</v>
      </c>
      <c r="P28" s="396">
        <f>ROUND(((SUM(C13,C17)/C50)*100),2)</f>
        <v>0</v>
      </c>
      <c r="Q28" s="397"/>
      <c r="R28" s="396">
        <f>ROUND(((SUM(E13,E17)/E50)*100),2)</f>
        <v>0</v>
      </c>
      <c r="S28" s="397"/>
      <c r="T28" s="396">
        <f>ROUND(((SUM(G13,G17)/G50)*100),2)</f>
        <v>0</v>
      </c>
      <c r="U28" s="397"/>
      <c r="V28" s="396">
        <f>ROUND(((SUM(I13,I17)/I50)*100),2)</f>
        <v>0</v>
      </c>
      <c r="W28" s="397"/>
      <c r="X28" s="396">
        <f>ROUND(((SUM(K13,K17)/K50)*100),2)</f>
        <v>0</v>
      </c>
      <c r="Y28" s="397"/>
      <c r="Z28" s="396">
        <f>ROUND(AVERAGE(P28:Y28),2)</f>
        <v>0</v>
      </c>
      <c r="AA28" s="397"/>
    </row>
    <row r="29" spans="1:27" x14ac:dyDescent="0.35">
      <c r="M29" s="414"/>
      <c r="O29" s="406" t="s">
        <v>3157</v>
      </c>
      <c r="P29" s="398">
        <f>ROUND(((C16/C50)*100),2)</f>
        <v>45.01</v>
      </c>
      <c r="Q29" s="397"/>
      <c r="R29" s="398">
        <f>ROUND(((E16/E50)*100),2)</f>
        <v>46.72</v>
      </c>
      <c r="S29" s="397"/>
      <c r="T29" s="398">
        <f>ROUND(((G16/G50)*100),2)</f>
        <v>45.58</v>
      </c>
      <c r="U29" s="397"/>
      <c r="V29" s="398">
        <f>ROUND(((I16/I50)*100),2)</f>
        <v>55.77</v>
      </c>
      <c r="W29" s="397"/>
      <c r="X29" s="398">
        <f>ROUND(((K16/K50)*100),2)</f>
        <v>43.94</v>
      </c>
      <c r="Y29" s="397"/>
      <c r="Z29" s="396">
        <f>ROUND(AVERAGE(P29:Y29),2)</f>
        <v>47.4</v>
      </c>
      <c r="AA29" s="397"/>
    </row>
    <row r="30" spans="1:27" x14ac:dyDescent="0.35">
      <c r="A30" s="406" t="s">
        <v>3158</v>
      </c>
      <c r="B30" s="406" t="s">
        <v>3159</v>
      </c>
      <c r="C30" s="386">
        <v>238116000</v>
      </c>
      <c r="E30" s="386">
        <f>207709000-2384000</f>
        <v>205325000</v>
      </c>
      <c r="G30" s="386">
        <f>188435000-5363000</f>
        <v>183072000</v>
      </c>
      <c r="I30" s="386">
        <f>125383000-25406000</f>
        <v>99977000</v>
      </c>
      <c r="K30" s="386">
        <v>98902000</v>
      </c>
      <c r="M30" s="386">
        <v>88341000</v>
      </c>
      <c r="O30" s="406"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M31" s="414"/>
      <c r="P31" s="388"/>
      <c r="Q31" s="388"/>
      <c r="R31" s="388"/>
      <c r="S31" s="388"/>
      <c r="T31" s="388"/>
      <c r="U31" s="388"/>
      <c r="V31" s="388"/>
      <c r="W31" s="388"/>
      <c r="X31" s="388"/>
      <c r="Y31" s="388"/>
      <c r="Z31" s="388"/>
      <c r="AA31" s="388"/>
    </row>
    <row r="32" spans="1:27" x14ac:dyDescent="0.35">
      <c r="A32" s="406" t="s">
        <v>3161</v>
      </c>
      <c r="B32" s="406" t="s">
        <v>3162</v>
      </c>
      <c r="C32" s="386">
        <v>465237000</v>
      </c>
      <c r="E32" s="386">
        <v>431612000</v>
      </c>
      <c r="G32" s="386">
        <v>284849000</v>
      </c>
      <c r="I32" s="386">
        <v>224543000</v>
      </c>
      <c r="K32" s="386">
        <v>191988000</v>
      </c>
      <c r="M32" s="386">
        <v>239738000</v>
      </c>
      <c r="O32" s="406" t="s">
        <v>3163</v>
      </c>
      <c r="P32" s="388"/>
      <c r="Q32" s="388"/>
      <c r="R32" s="388"/>
      <c r="S32" s="388"/>
      <c r="T32" s="388"/>
      <c r="U32" s="388"/>
      <c r="V32" s="388"/>
      <c r="W32" s="388"/>
      <c r="X32" s="388"/>
      <c r="Y32" s="388"/>
      <c r="Z32" s="388"/>
      <c r="AA32" s="388"/>
    </row>
    <row r="33" spans="1:27" x14ac:dyDescent="0.35">
      <c r="A33" s="417"/>
      <c r="B33" s="417"/>
      <c r="C33" s="417"/>
      <c r="D33" s="417"/>
      <c r="E33" s="417"/>
      <c r="F33" s="417"/>
      <c r="G33" s="417"/>
      <c r="H33" s="417"/>
      <c r="I33" s="417"/>
      <c r="J33" s="417"/>
      <c r="K33" s="417"/>
      <c r="L33" s="417"/>
      <c r="M33" s="418"/>
      <c r="O33" s="406" t="s">
        <v>3164</v>
      </c>
      <c r="P33" s="396">
        <f>ROUND((((C12+C19)/C56)*100),2)</f>
        <v>55.84</v>
      </c>
      <c r="Q33" s="397" t="s">
        <v>1197</v>
      </c>
      <c r="R33" s="396">
        <f>ROUND((((E12+E19)/E56)*100),2)</f>
        <v>53.55</v>
      </c>
      <c r="S33" s="397" t="s">
        <v>1197</v>
      </c>
      <c r="T33" s="396">
        <f>ROUND((((G12+G19)/G56)*100),2)</f>
        <v>54.76</v>
      </c>
      <c r="U33" s="397" t="s">
        <v>1197</v>
      </c>
      <c r="V33" s="396">
        <f>ROUND((((I12+I19)/I56)*100),2)</f>
        <v>44.43</v>
      </c>
      <c r="W33" s="397" t="s">
        <v>1197</v>
      </c>
      <c r="X33" s="396">
        <f>ROUND((((K12+K19)/K56)*100),2)</f>
        <v>56.21</v>
      </c>
      <c r="Y33" s="397" t="s">
        <v>1197</v>
      </c>
      <c r="Z33" s="396">
        <f>ROUND(AVERAGE(P33:Y33),2)</f>
        <v>52.96</v>
      </c>
      <c r="AA33" s="397" t="s">
        <v>1197</v>
      </c>
    </row>
    <row r="34" spans="1:27" x14ac:dyDescent="0.35">
      <c r="A34" s="406" t="s">
        <v>3165</v>
      </c>
      <c r="B34" s="406" t="s">
        <v>3166</v>
      </c>
      <c r="C34" s="386">
        <f>C32</f>
        <v>465237000</v>
      </c>
      <c r="E34" s="386">
        <f>E32</f>
        <v>431612000</v>
      </c>
      <c r="G34" s="386">
        <v>284849000</v>
      </c>
      <c r="I34" s="386">
        <v>224543000</v>
      </c>
      <c r="K34" s="386">
        <v>191988000</v>
      </c>
      <c r="M34" s="386">
        <v>239738000</v>
      </c>
      <c r="O34" s="406" t="s">
        <v>3156</v>
      </c>
      <c r="P34" s="396">
        <f>ROUND((((SUM(C13,C17))/C56)*100),2)</f>
        <v>0</v>
      </c>
      <c r="Q34" s="397"/>
      <c r="R34" s="396">
        <f>ROUND((((SUM(E13,E17))/E56)*100),2)</f>
        <v>0</v>
      </c>
      <c r="S34" s="397"/>
      <c r="T34" s="396">
        <f>ROUND((((SUM(G13,G17))/G56)*100),2)</f>
        <v>0</v>
      </c>
      <c r="U34" s="397"/>
      <c r="V34" s="396">
        <f>ROUND((((SUM(I13,I17))/I56)*100),2)</f>
        <v>0</v>
      </c>
      <c r="W34" s="397"/>
      <c r="X34" s="396">
        <f>ROUND((((SUM(K13,K17))/K56)*100),2)</f>
        <v>0</v>
      </c>
      <c r="Y34" s="397"/>
      <c r="Z34" s="396">
        <f>ROUND(AVERAGE(P34:Y34),2)</f>
        <v>0</v>
      </c>
      <c r="AA34" s="397"/>
    </row>
    <row r="35" spans="1:27" x14ac:dyDescent="0.35">
      <c r="M35" s="414"/>
      <c r="O35" s="406" t="s">
        <v>3157</v>
      </c>
      <c r="P35" s="398">
        <f>ROUND((((C16)/C56)*100),2)</f>
        <v>44.16</v>
      </c>
      <c r="Q35" s="397"/>
      <c r="R35" s="398">
        <f>ROUND((((E16)/E56)*100),2)</f>
        <v>46.45</v>
      </c>
      <c r="S35" s="397"/>
      <c r="T35" s="398">
        <f>ROUND((((G16)/G56)*100),2)</f>
        <v>45.24</v>
      </c>
      <c r="U35" s="397"/>
      <c r="V35" s="398">
        <f>ROUND((((I16)/I56)*100),2)</f>
        <v>55.57</v>
      </c>
      <c r="W35" s="397"/>
      <c r="X35" s="398">
        <f>ROUND((((K16)/K56)*100),2)</f>
        <v>43.79</v>
      </c>
      <c r="Y35" s="397"/>
      <c r="Z35" s="396">
        <f>ROUND(AVERAGE(P35:Y35),2)</f>
        <v>47.04</v>
      </c>
      <c r="AA35" s="397"/>
    </row>
    <row r="36" spans="1:27" x14ac:dyDescent="0.35">
      <c r="A36" s="406" t="s">
        <v>3167</v>
      </c>
      <c r="B36" s="406" t="s">
        <v>3168</v>
      </c>
      <c r="C36" s="414">
        <v>0</v>
      </c>
      <c r="E36" s="414">
        <v>0</v>
      </c>
      <c r="G36" s="414">
        <v>0</v>
      </c>
      <c r="I36" s="414">
        <v>0</v>
      </c>
      <c r="K36" s="414">
        <v>0</v>
      </c>
      <c r="M36" s="414">
        <v>0</v>
      </c>
      <c r="O36" s="406" t="s">
        <v>3160</v>
      </c>
      <c r="P36" s="399">
        <f>SUM(P33:P35)</f>
        <v>100</v>
      </c>
      <c r="Q36" s="397" t="s">
        <v>1197</v>
      </c>
      <c r="R36" s="399">
        <f>SUM(R33:R35)</f>
        <v>100</v>
      </c>
      <c r="S36" s="397" t="s">
        <v>1197</v>
      </c>
      <c r="T36" s="399">
        <f>SUM(T33:T35)</f>
        <v>100</v>
      </c>
      <c r="U36" s="397" t="s">
        <v>1197</v>
      </c>
      <c r="V36" s="399">
        <f>SUM(V33:V35)</f>
        <v>100</v>
      </c>
      <c r="W36" s="397" t="s">
        <v>1197</v>
      </c>
      <c r="X36" s="399">
        <f>SUM(X33:X35)</f>
        <v>100</v>
      </c>
      <c r="Y36" s="397" t="s">
        <v>1197</v>
      </c>
      <c r="Z36" s="399">
        <f>SUM(Z33:Z35)</f>
        <v>100</v>
      </c>
      <c r="AA36" s="397" t="s">
        <v>1197</v>
      </c>
    </row>
    <row r="37" spans="1:27" x14ac:dyDescent="0.35">
      <c r="M37" s="414"/>
      <c r="P37" s="388"/>
      <c r="Q37" s="388"/>
      <c r="R37" s="388"/>
      <c r="S37" s="388"/>
      <c r="T37" s="388"/>
      <c r="U37" s="388"/>
      <c r="V37" s="388"/>
      <c r="W37" s="388"/>
      <c r="X37" s="388"/>
      <c r="Y37" s="388"/>
      <c r="Z37" s="388"/>
      <c r="AA37" s="388"/>
    </row>
    <row r="38" spans="1:27" x14ac:dyDescent="0.35">
      <c r="A38" s="406" t="s">
        <v>3169</v>
      </c>
      <c r="B38" s="406" t="s">
        <v>3170</v>
      </c>
      <c r="C38" s="386">
        <v>288632000</v>
      </c>
      <c r="E38" s="386">
        <v>258650000</v>
      </c>
      <c r="G38" s="386">
        <v>232571000</v>
      </c>
      <c r="I38" s="386">
        <v>188512000</v>
      </c>
      <c r="K38" s="386">
        <v>150736000</v>
      </c>
      <c r="M38" s="386">
        <v>140660000</v>
      </c>
      <c r="P38" s="388"/>
      <c r="Q38" s="388"/>
      <c r="R38" s="388"/>
      <c r="S38" s="388"/>
      <c r="T38" s="388"/>
      <c r="U38" s="388"/>
      <c r="V38" s="388"/>
      <c r="W38" s="388"/>
      <c r="X38" s="388"/>
      <c r="Y38" s="388"/>
      <c r="Z38" s="388"/>
      <c r="AA38" s="388"/>
    </row>
    <row r="39" spans="1:27" x14ac:dyDescent="0.35">
      <c r="M39" s="414"/>
      <c r="P39" s="388"/>
      <c r="Q39" s="388"/>
      <c r="R39" s="388"/>
      <c r="S39" s="388"/>
      <c r="T39" s="388"/>
      <c r="U39" s="388"/>
      <c r="V39" s="388"/>
      <c r="W39" s="388"/>
      <c r="X39" s="388"/>
      <c r="Y39" s="388"/>
      <c r="Z39" s="388"/>
      <c r="AA39" s="388"/>
    </row>
    <row r="40" spans="1:27" x14ac:dyDescent="0.35">
      <c r="A40" s="406" t="s">
        <v>3171</v>
      </c>
      <c r="B40" s="406" t="s">
        <v>3172</v>
      </c>
      <c r="C40" s="386">
        <v>465237000</v>
      </c>
      <c r="E40" s="386">
        <v>431612000</v>
      </c>
      <c r="G40" s="386">
        <v>284849000</v>
      </c>
      <c r="I40" s="386">
        <v>188512000</v>
      </c>
      <c r="K40" s="386">
        <v>191988000</v>
      </c>
      <c r="M40" s="386">
        <v>239738000</v>
      </c>
      <c r="O40" s="410" t="s">
        <v>3173</v>
      </c>
      <c r="P40" s="388"/>
      <c r="Q40" s="388"/>
      <c r="R40" s="388"/>
      <c r="S40" s="388"/>
      <c r="T40" s="388"/>
      <c r="U40" s="388"/>
      <c r="V40" s="388"/>
      <c r="W40" s="388"/>
      <c r="X40" s="388"/>
      <c r="Y40" s="388"/>
      <c r="Z40" s="388"/>
      <c r="AA40" s="388"/>
    </row>
    <row r="41" spans="1:27" x14ac:dyDescent="0.35">
      <c r="A41" s="406" t="s">
        <v>3174</v>
      </c>
      <c r="B41" s="406" t="s">
        <v>3175</v>
      </c>
      <c r="C41" s="386">
        <v>600306000</v>
      </c>
      <c r="E41" s="386">
        <v>644679000</v>
      </c>
      <c r="G41" s="386">
        <v>508024000</v>
      </c>
      <c r="I41" s="386">
        <v>338523000</v>
      </c>
      <c r="K41" s="386">
        <v>368522000</v>
      </c>
      <c r="M41" s="386">
        <v>381318000</v>
      </c>
      <c r="O41" s="410"/>
      <c r="P41" s="388"/>
      <c r="Q41" s="388"/>
      <c r="R41" s="388"/>
      <c r="S41" s="388"/>
      <c r="T41" s="388"/>
      <c r="U41" s="388"/>
      <c r="V41" s="388"/>
      <c r="W41" s="388"/>
      <c r="X41" s="388"/>
      <c r="Y41" s="388"/>
      <c r="Z41" s="388"/>
      <c r="AA41" s="388"/>
    </row>
    <row r="42" spans="1:27" x14ac:dyDescent="0.35">
      <c r="A42" s="406" t="s">
        <v>3176</v>
      </c>
      <c r="B42" s="406" t="s">
        <v>3177</v>
      </c>
      <c r="C42" s="386">
        <f>(-223335+53761)*1000</f>
        <v>-169574000</v>
      </c>
      <c r="E42" s="386">
        <f>(-109605+5190)*1000</f>
        <v>-104415000</v>
      </c>
      <c r="G42" s="386">
        <f>(-35348-1819)*1000</f>
        <v>-37167000</v>
      </c>
      <c r="I42" s="386">
        <f>(-4335+5108)*1000</f>
        <v>773000</v>
      </c>
      <c r="K42" s="386">
        <f>(-18024+567)*1000</f>
        <v>-17457000</v>
      </c>
      <c r="M42" s="386">
        <f>(-6458-763)*1000</f>
        <v>-7221000</v>
      </c>
      <c r="O42" s="410" t="s">
        <v>3178</v>
      </c>
      <c r="P42" s="388"/>
      <c r="Q42" s="388"/>
      <c r="R42" s="388"/>
      <c r="S42" s="388"/>
      <c r="T42" s="388"/>
      <c r="U42" s="388"/>
      <c r="V42" s="388"/>
      <c r="W42" s="388"/>
      <c r="X42" s="388"/>
      <c r="Y42" s="388"/>
      <c r="Z42" s="388"/>
      <c r="AA42" s="388"/>
    </row>
    <row r="43" spans="1:27" x14ac:dyDescent="0.35">
      <c r="A43" s="406" t="s">
        <v>3179</v>
      </c>
      <c r="B43" s="406" t="s">
        <v>3180</v>
      </c>
      <c r="C43" s="386">
        <f>(315811+5366)*1000</f>
        <v>321177000</v>
      </c>
      <c r="E43" s="386">
        <f>(292191+5761)*1000</f>
        <v>297952000</v>
      </c>
      <c r="G43" s="386">
        <f>(251443+5616)*1000</f>
        <v>257059000</v>
      </c>
      <c r="I43" s="386">
        <f>(158179-1703)*1000</f>
        <v>156476000</v>
      </c>
      <c r="K43" s="386">
        <f>(146032+641)*1000</f>
        <v>146673000</v>
      </c>
      <c r="M43" s="386">
        <v>136724000</v>
      </c>
      <c r="O43" s="406" t="s">
        <v>3181</v>
      </c>
      <c r="P43" s="396">
        <f>ROUND(C21/C52,4)*100</f>
        <v>3.83</v>
      </c>
      <c r="Q43" s="397" t="s">
        <v>1197</v>
      </c>
      <c r="R43" s="396">
        <f>ROUND(E21/E52,4)*100</f>
        <v>3.51</v>
      </c>
      <c r="S43" s="397" t="s">
        <v>1197</v>
      </c>
      <c r="T43" s="396">
        <f>ROUND(G21/G52,4)*100</f>
        <v>2.58</v>
      </c>
      <c r="U43" s="397" t="s">
        <v>1197</v>
      </c>
      <c r="V43" s="396">
        <f>ROUND(I21/I52,4)*100</f>
        <v>2.6</v>
      </c>
      <c r="W43" s="397" t="s">
        <v>1197</v>
      </c>
      <c r="X43" s="396">
        <f>ROUND(K21/K52,4)*100</f>
        <v>3.02</v>
      </c>
      <c r="Y43" s="397" t="s">
        <v>1197</v>
      </c>
      <c r="Z43" s="396">
        <f>ROUND(AVERAGE(P43:Y43),2)</f>
        <v>3.11</v>
      </c>
      <c r="AA43" s="397" t="s">
        <v>1197</v>
      </c>
    </row>
    <row r="44" spans="1:27" x14ac:dyDescent="0.35">
      <c r="A44" s="406" t="s">
        <v>3182</v>
      </c>
      <c r="B44" s="406" t="s">
        <v>3183</v>
      </c>
      <c r="C44" s="386">
        <v>-14329000</v>
      </c>
      <c r="E44" s="386">
        <v>-9612000</v>
      </c>
      <c r="G44" s="386">
        <v>-19878000</v>
      </c>
      <c r="I44" s="386">
        <v>-13017000</v>
      </c>
      <c r="K44" s="386">
        <v>-13669000</v>
      </c>
      <c r="M44" s="386">
        <v>16914000</v>
      </c>
      <c r="O44" s="406" t="s">
        <v>3184</v>
      </c>
      <c r="P44" s="396">
        <f>(ROUND((C52/(AVERAGE(C48,E48))*100),2))</f>
        <v>226.3</v>
      </c>
      <c r="Q44" s="388"/>
      <c r="R44" s="396">
        <f>(ROUND((E52/(AVERAGE(E48,G48))*100),2))</f>
        <v>240.44</v>
      </c>
      <c r="S44" s="388"/>
      <c r="T44" s="396">
        <f>(ROUND((G52/(AVERAGE(G48,I48))*100),2))</f>
        <v>236.51</v>
      </c>
      <c r="U44" s="388"/>
      <c r="V44" s="396">
        <f>(ROUND((I52/(AVERAGE(I48,K48))*100),2))</f>
        <v>276.87</v>
      </c>
      <c r="W44" s="388"/>
      <c r="X44" s="396">
        <f>(ROUND((K52/(AVERAGE(K48,M48))*100),2))</f>
        <v>321.10000000000002</v>
      </c>
      <c r="Y44" s="388"/>
      <c r="Z44" s="396">
        <f>ROUND(AVERAGE(P44:Y44),2)</f>
        <v>260.24</v>
      </c>
      <c r="AA44" s="388"/>
    </row>
    <row r="45" spans="1:27" x14ac:dyDescent="0.35">
      <c r="O45" s="406" t="s">
        <v>3185</v>
      </c>
      <c r="P45" s="396">
        <f>ROUND(((+C26/C52)*100),2)</f>
        <v>2.48</v>
      </c>
      <c r="Q45" s="388"/>
      <c r="R45" s="396">
        <f>ROUND(((+E26/E52)*100),2)</f>
        <v>2.1800000000000002</v>
      </c>
      <c r="S45" s="388"/>
      <c r="T45" s="396">
        <f>ROUND(((+G26/G52)*100),2)</f>
        <v>2.2400000000000002</v>
      </c>
      <c r="U45" s="388"/>
      <c r="V45" s="396">
        <f>ROUND(((+I26/I52)*100),2)</f>
        <v>2.27</v>
      </c>
      <c r="W45" s="388"/>
      <c r="X45" s="396">
        <f>ROUND(((+K26/K52)*100),2)</f>
        <v>2.37</v>
      </c>
      <c r="Y45" s="388"/>
      <c r="Z45" s="396">
        <f>ROUND(AVERAGE(P45:Y45),2)</f>
        <v>2.31</v>
      </c>
      <c r="AA45" s="388"/>
    </row>
    <row r="46" spans="1:27" x14ac:dyDescent="0.35">
      <c r="A46" s="406" t="s">
        <v>3186</v>
      </c>
      <c r="O46" s="406" t="s">
        <v>3187</v>
      </c>
      <c r="P46" s="396">
        <f>ROUND(((+C38/C34)*100),2)</f>
        <v>62.04</v>
      </c>
      <c r="Q46" s="388"/>
      <c r="R46" s="396">
        <f>ROUND(((+E38/E34)*100),2)</f>
        <v>59.93</v>
      </c>
      <c r="S46" s="388"/>
      <c r="T46" s="396">
        <f>ROUND(((+G38/G34)*100),2)</f>
        <v>81.650000000000006</v>
      </c>
      <c r="U46" s="388"/>
      <c r="V46" s="396">
        <f>ROUND(((+I38/I34)*100),2)</f>
        <v>83.95</v>
      </c>
      <c r="W46" s="388"/>
      <c r="X46" s="396">
        <f>ROUND(((+K38/K34)*100),2)</f>
        <v>78.510000000000005</v>
      </c>
      <c r="Y46" s="388"/>
      <c r="Z46" s="396">
        <f>ROUND(AVERAGE(P46:Y46),2)</f>
        <v>73.22</v>
      </c>
      <c r="AA46" s="388"/>
    </row>
    <row r="47" spans="1:27" x14ac:dyDescent="0.35">
      <c r="P47" s="396"/>
      <c r="Q47" s="388"/>
      <c r="R47" s="396"/>
      <c r="S47" s="388"/>
      <c r="T47" s="396"/>
      <c r="U47" s="388"/>
      <c r="V47" s="396"/>
      <c r="W47" s="388"/>
      <c r="X47" s="396"/>
      <c r="Y47" s="388"/>
      <c r="Z47" s="396"/>
      <c r="AA47" s="388"/>
    </row>
    <row r="48" spans="1:27" x14ac:dyDescent="0.35">
      <c r="A48" s="406" t="s">
        <v>3188</v>
      </c>
      <c r="B48" s="406" t="s">
        <v>3189</v>
      </c>
      <c r="C48" s="386">
        <f>C16/C15</f>
        <v>20.38919183621519</v>
      </c>
      <c r="E48" s="386">
        <f>E16/E15</f>
        <v>20.502624806181693</v>
      </c>
      <c r="G48" s="386">
        <f>G16/G15</f>
        <v>19.087444749483911</v>
      </c>
      <c r="I48" s="386">
        <f>I16/I15</f>
        <v>17.579645404628391</v>
      </c>
      <c r="K48" s="386">
        <f>K16/K15</f>
        <v>11.28275428522266</v>
      </c>
      <c r="M48" s="386">
        <f>M16/M15</f>
        <v>11.015573493859174</v>
      </c>
      <c r="O48" s="410" t="s">
        <v>3190</v>
      </c>
      <c r="P48" s="396">
        <f>ROUND(((C34/AVERAGE(C16,E16))*100),2)</f>
        <v>8.81</v>
      </c>
      <c r="Q48" s="388" t="s">
        <v>1197</v>
      </c>
      <c r="R48" s="396">
        <f>ROUND(((E34/AVERAGE(E16,G16))*100),2)</f>
        <v>8.75</v>
      </c>
      <c r="S48" s="388" t="s">
        <v>1197</v>
      </c>
      <c r="T48" s="396">
        <f>ROUND(((G34/AVERAGE(G16,I16))*100),2)</f>
        <v>6.65</v>
      </c>
      <c r="U48" s="388" t="s">
        <v>1197</v>
      </c>
      <c r="V48" s="396">
        <f>ROUND(((I34/AVERAGE(I16,K16))*100),2)</f>
        <v>7.62</v>
      </c>
      <c r="W48" s="388" t="s">
        <v>1197</v>
      </c>
      <c r="X48" s="396">
        <f>ROUND(((K34/AVERAGE(K16,M16))*100),2)</f>
        <v>9.68</v>
      </c>
      <c r="Y48" s="388" t="s">
        <v>1197</v>
      </c>
      <c r="Z48" s="396">
        <f>ROUND(AVERAGE(P48:Y48),2)</f>
        <v>8.3000000000000007</v>
      </c>
      <c r="AA48" s="388" t="s">
        <v>1197</v>
      </c>
    </row>
    <row r="49" spans="1:27" x14ac:dyDescent="0.35">
      <c r="C49" s="414"/>
      <c r="E49" s="414"/>
      <c r="G49" s="414"/>
      <c r="I49" s="414"/>
      <c r="K49" s="414"/>
      <c r="M49" s="414"/>
      <c r="P49" s="396"/>
      <c r="Q49" s="388"/>
      <c r="R49" s="396"/>
      <c r="S49" s="388"/>
      <c r="T49" s="396"/>
      <c r="U49" s="388"/>
      <c r="V49" s="396"/>
      <c r="W49" s="388"/>
      <c r="X49" s="396"/>
      <c r="Y49" s="388"/>
      <c r="Z49" s="397"/>
      <c r="AA49" s="388"/>
    </row>
    <row r="50" spans="1:27" x14ac:dyDescent="0.35">
      <c r="A50" s="406" t="s">
        <v>3191</v>
      </c>
      <c r="B50" s="406" t="s">
        <v>3189</v>
      </c>
      <c r="C50" s="386">
        <f>SUM(C12:C13,C16:C17)</f>
        <v>11947799000</v>
      </c>
      <c r="E50" s="386">
        <f>SUM(E12:E13,E16:E17)</f>
        <v>11096100000</v>
      </c>
      <c r="G50" s="386">
        <f>SUM(G12:G13,G16:G17)</f>
        <v>10275974000</v>
      </c>
      <c r="I50" s="386">
        <f>SUM(I12:I13,I16:I17)</f>
        <v>6958260000</v>
      </c>
      <c r="K50" s="386">
        <f>SUM(K12:K13,K16:K17)</f>
        <v>4573024000</v>
      </c>
      <c r="M50" s="386">
        <f>SUM(M12:M13,M16:M17)</f>
        <v>4100748000</v>
      </c>
      <c r="O50" s="410" t="s">
        <v>3192</v>
      </c>
      <c r="P50" s="396">
        <f>ROUND((C54/C62),2)</f>
        <v>6.73</v>
      </c>
      <c r="Q50" s="397" t="s">
        <v>1401</v>
      </c>
      <c r="R50" s="396">
        <f>ROUND((E54/E62),2)</f>
        <v>6.46</v>
      </c>
      <c r="S50" s="397" t="s">
        <v>1401</v>
      </c>
      <c r="T50" s="396">
        <f>ROUND((G54/G62),2)</f>
        <v>8.0399999999999991</v>
      </c>
      <c r="U50" s="397" t="s">
        <v>1401</v>
      </c>
      <c r="V50" s="396">
        <f>ROUND((I54/I62),2)</f>
        <v>7.18</v>
      </c>
      <c r="W50" s="397" t="s">
        <v>1401</v>
      </c>
      <c r="X50" s="396">
        <f>ROUND((K54/K62),2)</f>
        <v>6.08</v>
      </c>
      <c r="Y50" s="397" t="s">
        <v>1401</v>
      </c>
      <c r="Z50" s="396">
        <f>ROUND(AVERAGE(P50:Y50),2)</f>
        <v>6.9</v>
      </c>
      <c r="AA50" s="388" t="s">
        <v>1401</v>
      </c>
    </row>
    <row r="51" spans="1:27" x14ac:dyDescent="0.35">
      <c r="C51" s="414"/>
      <c r="E51" s="414"/>
      <c r="G51" s="414"/>
      <c r="I51" s="414"/>
      <c r="K51" s="414"/>
      <c r="M51" s="414"/>
      <c r="O51" s="410"/>
      <c r="P51" s="396"/>
      <c r="Q51" s="388"/>
      <c r="R51" s="396"/>
      <c r="S51" s="388"/>
      <c r="T51" s="396"/>
      <c r="U51" s="388"/>
      <c r="V51" s="396"/>
      <c r="W51" s="388"/>
      <c r="X51" s="396"/>
      <c r="Y51" s="388"/>
      <c r="Z51" s="396"/>
      <c r="AA51" s="388"/>
    </row>
    <row r="52" spans="1:27" x14ac:dyDescent="0.35">
      <c r="A52" s="406" t="s">
        <v>1534</v>
      </c>
      <c r="B52" s="406" t="s">
        <v>3189</v>
      </c>
      <c r="C52" s="386">
        <f>AVERAGE(C22:C23)</f>
        <v>46.269999999999996</v>
      </c>
      <c r="E52" s="386">
        <f>AVERAGE(E22:E23)</f>
        <v>47.594999999999999</v>
      </c>
      <c r="G52" s="386">
        <f>AVERAGE(G22:G23)</f>
        <v>43.36</v>
      </c>
      <c r="I52" s="386">
        <f>AVERAGE(I22:I23)</f>
        <v>39.954999999999998</v>
      </c>
      <c r="K52" s="386">
        <f>AVERAGE(K22:K23)</f>
        <v>35.799999999999997</v>
      </c>
      <c r="M52" s="386">
        <f>AVERAGE(M22:M23)</f>
        <v>34.435000000000002</v>
      </c>
      <c r="O52" s="410" t="s">
        <v>3193</v>
      </c>
      <c r="P52" s="396">
        <f>ROUND(((C60/C54)*100),2)</f>
        <v>5.99</v>
      </c>
      <c r="Q52" s="397" t="s">
        <v>1197</v>
      </c>
      <c r="R52" s="396">
        <f>ROUND(((E60/E54)*100),2)</f>
        <v>8.69</v>
      </c>
      <c r="S52" s="397" t="s">
        <v>1197</v>
      </c>
      <c r="T52" s="396">
        <f>ROUND(((G60/G54)*100),2)</f>
        <v>8.08</v>
      </c>
      <c r="U52" s="397" t="s">
        <v>1197</v>
      </c>
      <c r="V52" s="396">
        <f>ROUND(((I60/I54)*100),2)</f>
        <v>10.41</v>
      </c>
      <c r="W52" s="397" t="s">
        <v>1197</v>
      </c>
      <c r="X52" s="396">
        <f>ROUND(((K60/K54)*100),2)</f>
        <v>13.11</v>
      </c>
      <c r="Y52" s="397" t="s">
        <v>1197</v>
      </c>
      <c r="Z52" s="396">
        <f>ROUND(AVERAGE(P52:Y52),2)</f>
        <v>9.26</v>
      </c>
      <c r="AA52" s="388" t="s">
        <v>1197</v>
      </c>
    </row>
    <row r="53" spans="1:27" x14ac:dyDescent="0.35">
      <c r="C53" s="414"/>
      <c r="E53" s="414"/>
      <c r="G53" s="414"/>
      <c r="I53" s="414"/>
      <c r="K53" s="414"/>
      <c r="M53" s="414"/>
      <c r="O53" s="419"/>
      <c r="P53" s="396"/>
      <c r="Q53" s="388"/>
      <c r="R53" s="396"/>
      <c r="S53" s="388"/>
      <c r="T53" s="396"/>
      <c r="U53" s="388"/>
      <c r="V53" s="396"/>
      <c r="W53" s="388"/>
      <c r="X53" s="396"/>
      <c r="Y53" s="388"/>
      <c r="Z53" s="388"/>
      <c r="AA53" s="388"/>
    </row>
    <row r="54" spans="1:27" x14ac:dyDescent="0.35">
      <c r="A54" s="406" t="s">
        <v>3194</v>
      </c>
      <c r="C54" s="386">
        <f>+C19+C12</f>
        <v>6798913000</v>
      </c>
      <c r="E54" s="386">
        <f>+E19+E12</f>
        <v>5976650000</v>
      </c>
      <c r="G54" s="386">
        <f>+G19+G12</f>
        <v>5670295000</v>
      </c>
      <c r="I54" s="386">
        <f>+I19+I12</f>
        <v>3103124000</v>
      </c>
      <c r="K54" s="386">
        <f>+K19+K12</f>
        <v>2579109000</v>
      </c>
      <c r="M54" s="386">
        <f>+M19+M12</f>
        <v>2146777000</v>
      </c>
      <c r="O54" s="419" t="s">
        <v>3195</v>
      </c>
      <c r="P54" s="396">
        <f>P33</f>
        <v>55.84</v>
      </c>
      <c r="Q54" s="397" t="s">
        <v>1197</v>
      </c>
      <c r="R54" s="396">
        <f>R33</f>
        <v>53.55</v>
      </c>
      <c r="S54" s="397" t="s">
        <v>1197</v>
      </c>
      <c r="T54" s="396">
        <f>T33</f>
        <v>54.76</v>
      </c>
      <c r="U54" s="397" t="s">
        <v>1197</v>
      </c>
      <c r="V54" s="396">
        <f>V33</f>
        <v>44.43</v>
      </c>
      <c r="W54" s="397" t="s">
        <v>1197</v>
      </c>
      <c r="X54" s="396">
        <f>X33</f>
        <v>56.21</v>
      </c>
      <c r="Y54" s="397" t="s">
        <v>1197</v>
      </c>
      <c r="Z54" s="396">
        <f>ROUND(AVERAGE(P54:Y54),2)</f>
        <v>52.96</v>
      </c>
      <c r="AA54" s="397" t="s">
        <v>1197</v>
      </c>
    </row>
    <row r="55" spans="1:27" x14ac:dyDescent="0.35">
      <c r="C55" s="414"/>
      <c r="E55" s="414"/>
      <c r="G55" s="414"/>
      <c r="I55" s="414"/>
      <c r="K55" s="414"/>
      <c r="M55" s="414"/>
    </row>
    <row r="56" spans="1:27" x14ac:dyDescent="0.35">
      <c r="A56" s="406" t="s">
        <v>3196</v>
      </c>
      <c r="B56" s="406" t="s">
        <v>3189</v>
      </c>
      <c r="C56" s="386">
        <f>SUM(C50,C19)</f>
        <v>12176299000</v>
      </c>
      <c r="E56" s="386">
        <f>SUM(E50,E19)</f>
        <v>11161100000</v>
      </c>
      <c r="G56" s="386">
        <f>SUM(G50,G19)</f>
        <v>10354172000</v>
      </c>
      <c r="I56" s="386">
        <f>SUM(I50,I19)</f>
        <v>6983984000</v>
      </c>
      <c r="K56" s="386">
        <f>SUM(K50,K19)</f>
        <v>4588473000</v>
      </c>
      <c r="M56" s="386">
        <f>SUM(M50,M19)</f>
        <v>4104398000</v>
      </c>
    </row>
    <row r="57" spans="1:27" x14ac:dyDescent="0.35">
      <c r="C57" s="414"/>
      <c r="E57" s="414"/>
      <c r="G57" s="414"/>
      <c r="I57" s="414"/>
      <c r="K57" s="414"/>
      <c r="M57" s="414"/>
    </row>
    <row r="58" spans="1:27" x14ac:dyDescent="0.35">
      <c r="A58" s="406" t="s">
        <v>3197</v>
      </c>
      <c r="B58" s="406" t="s">
        <v>3189</v>
      </c>
      <c r="C58" s="386">
        <f>SUM(C13,C17)</f>
        <v>0</v>
      </c>
      <c r="E58" s="386">
        <f>SUM(E13,E17)</f>
        <v>0</v>
      </c>
      <c r="G58" s="386">
        <f>SUM(G13,G17)</f>
        <v>0</v>
      </c>
      <c r="I58" s="386">
        <f>SUM(I13,I17)</f>
        <v>0</v>
      </c>
      <c r="K58" s="386">
        <f>SUM(K13,K17)</f>
        <v>0</v>
      </c>
      <c r="M58" s="386">
        <f>SUM(M13,M17)</f>
        <v>0</v>
      </c>
    </row>
    <row r="59" spans="1:27" x14ac:dyDescent="0.35">
      <c r="C59" s="414"/>
      <c r="E59" s="414"/>
      <c r="G59" s="414"/>
      <c r="I59" s="414"/>
      <c r="K59" s="414"/>
      <c r="M59" s="414"/>
    </row>
    <row r="60" spans="1:27" x14ac:dyDescent="0.35">
      <c r="A60" s="420" t="s">
        <v>3198</v>
      </c>
      <c r="B60" s="406" t="s">
        <v>3189</v>
      </c>
      <c r="C60" s="386">
        <f>ROUND(C41+C42-C28,3)</f>
        <v>407067000</v>
      </c>
      <c r="E60" s="386">
        <f>ROUND(E41+E42-E28,3)</f>
        <v>519472000</v>
      </c>
      <c r="G60" s="386">
        <f>ROUND(G41+G42-G28,3)</f>
        <v>458170000</v>
      </c>
      <c r="I60" s="386">
        <f>ROUND(I41+I42-I28,3)</f>
        <v>323124000</v>
      </c>
      <c r="K60" s="386">
        <f>ROUND(K41+K42-K28,3)</f>
        <v>338042000</v>
      </c>
      <c r="M60" s="386">
        <f>ROUND(M41+M42-M28,3)</f>
        <v>358886000</v>
      </c>
    </row>
    <row r="61" spans="1:27" x14ac:dyDescent="0.35">
      <c r="A61" s="420"/>
    </row>
    <row r="62" spans="1:27" x14ac:dyDescent="0.35">
      <c r="A62" s="406" t="s">
        <v>957</v>
      </c>
      <c r="B62" s="406" t="s">
        <v>3189</v>
      </c>
      <c r="C62" s="414">
        <f>C40+C43+C44+C30</f>
        <v>1010201000</v>
      </c>
      <c r="E62" s="414">
        <f>E40+E43+E44+E30</f>
        <v>925277000</v>
      </c>
      <c r="G62" s="414">
        <f>G40+G43+G44+G30</f>
        <v>705102000</v>
      </c>
      <c r="I62" s="414">
        <f>I40+I43+I44+I30</f>
        <v>431948000</v>
      </c>
      <c r="K62" s="414">
        <f>K40+K43+K44+K30</f>
        <v>423894000</v>
      </c>
      <c r="M62" s="414">
        <f>M40+M43+M44+M30</f>
        <v>481717000</v>
      </c>
    </row>
    <row r="63" spans="1:27" x14ac:dyDescent="0.35">
      <c r="M63" s="421"/>
    </row>
    <row r="64" spans="1:27" x14ac:dyDescent="0.35">
      <c r="M64" s="421"/>
    </row>
    <row r="71" spans="13:13" x14ac:dyDescent="0.35">
      <c r="M71" s="421"/>
    </row>
    <row r="81" spans="13:220" x14ac:dyDescent="0.35">
      <c r="HH81" s="422"/>
      <c r="HI81" s="422"/>
      <c r="HL81" s="406" t="s">
        <v>3199</v>
      </c>
    </row>
    <row r="94" spans="13:220" x14ac:dyDescent="0.35">
      <c r="M94" s="421"/>
    </row>
    <row r="95" spans="13:220" x14ac:dyDescent="0.35">
      <c r="M95" s="421"/>
    </row>
    <row r="96" spans="13:220" x14ac:dyDescent="0.35">
      <c r="M96" s="421"/>
    </row>
    <row r="97" spans="13:13" x14ac:dyDescent="0.35">
      <c r="M97" s="421"/>
    </row>
    <row r="98" spans="13:13" x14ac:dyDescent="0.35">
      <c r="M98" s="421"/>
    </row>
    <row r="99" spans="13:13" x14ac:dyDescent="0.35">
      <c r="M99" s="421"/>
    </row>
    <row r="100" spans="13:13" x14ac:dyDescent="0.35">
      <c r="M100" s="421"/>
    </row>
    <row r="101" spans="13:13" x14ac:dyDescent="0.35">
      <c r="M101" s="421"/>
    </row>
    <row r="102" spans="13:13" x14ac:dyDescent="0.35">
      <c r="M102" s="421"/>
    </row>
    <row r="103" spans="13:13" x14ac:dyDescent="0.35">
      <c r="M103" s="421"/>
    </row>
    <row r="104" spans="13:13" x14ac:dyDescent="0.35">
      <c r="M104" s="421"/>
    </row>
    <row r="105" spans="13:13" x14ac:dyDescent="0.35">
      <c r="M105" s="421"/>
    </row>
    <row r="106" spans="13:13" x14ac:dyDescent="0.35">
      <c r="M106" s="421"/>
    </row>
    <row r="107" spans="13:13" x14ac:dyDescent="0.35">
      <c r="M107" s="421"/>
    </row>
    <row r="108" spans="13:13" x14ac:dyDescent="0.35">
      <c r="M108" s="421"/>
    </row>
    <row r="109" spans="13:13" x14ac:dyDescent="0.35">
      <c r="M109" s="421"/>
    </row>
    <row r="110" spans="13:13" x14ac:dyDescent="0.35">
      <c r="M110" s="421"/>
    </row>
    <row r="111" spans="13:13" x14ac:dyDescent="0.35">
      <c r="M111" s="421"/>
    </row>
    <row r="112" spans="13:13" x14ac:dyDescent="0.35">
      <c r="M112" s="421"/>
    </row>
    <row r="113" spans="13:13" x14ac:dyDescent="0.35">
      <c r="M113" s="421"/>
    </row>
    <row r="114" spans="13:13" x14ac:dyDescent="0.35">
      <c r="M114" s="421"/>
    </row>
    <row r="115" spans="13:13" x14ac:dyDescent="0.35">
      <c r="M115" s="421"/>
    </row>
    <row r="116" spans="13:13" x14ac:dyDescent="0.35">
      <c r="M116" s="421"/>
    </row>
    <row r="117" spans="13:13" x14ac:dyDescent="0.35">
      <c r="M117" s="421"/>
    </row>
    <row r="118" spans="13:13" x14ac:dyDescent="0.35">
      <c r="M118" s="421"/>
    </row>
    <row r="119" spans="13:13" x14ac:dyDescent="0.35">
      <c r="M119" s="421"/>
    </row>
    <row r="120" spans="13:13" x14ac:dyDescent="0.35">
      <c r="M120" s="421"/>
    </row>
    <row r="121" spans="13:13" x14ac:dyDescent="0.35">
      <c r="M121" s="421"/>
    </row>
    <row r="122" spans="13:13" x14ac:dyDescent="0.35">
      <c r="M122" s="421"/>
    </row>
    <row r="123" spans="13:13" x14ac:dyDescent="0.35">
      <c r="M123" s="421"/>
    </row>
    <row r="124" spans="13:13" x14ac:dyDescent="0.35">
      <c r="M124" s="421"/>
    </row>
    <row r="125" spans="13:13" x14ac:dyDescent="0.35">
      <c r="M125" s="421"/>
    </row>
    <row r="126" spans="13:13" x14ac:dyDescent="0.35">
      <c r="M126" s="421"/>
    </row>
    <row r="127" spans="13:13" x14ac:dyDescent="0.35">
      <c r="M127" s="421"/>
    </row>
    <row r="128" spans="13:13" x14ac:dyDescent="0.35">
      <c r="M128" s="421"/>
    </row>
    <row r="129" spans="13:13" x14ac:dyDescent="0.35">
      <c r="M129" s="421"/>
    </row>
    <row r="130" spans="13:13" x14ac:dyDescent="0.35">
      <c r="M130" s="421"/>
    </row>
    <row r="131" spans="13:13" x14ac:dyDescent="0.35">
      <c r="M131" s="421"/>
    </row>
    <row r="132" spans="13:13" x14ac:dyDescent="0.35">
      <c r="M132" s="421"/>
    </row>
    <row r="133" spans="13:13" x14ac:dyDescent="0.35">
      <c r="M133" s="421"/>
    </row>
    <row r="134" spans="13:13" x14ac:dyDescent="0.35">
      <c r="M134" s="421"/>
    </row>
    <row r="135" spans="13:13" x14ac:dyDescent="0.35">
      <c r="M135" s="421"/>
    </row>
    <row r="136" spans="13:13" x14ac:dyDescent="0.35">
      <c r="M136" s="421"/>
    </row>
    <row r="137" spans="13:13" x14ac:dyDescent="0.35">
      <c r="M137" s="421"/>
    </row>
    <row r="138" spans="13:13" x14ac:dyDescent="0.35">
      <c r="M138" s="421"/>
    </row>
    <row r="139" spans="13:13" x14ac:dyDescent="0.35">
      <c r="M139" s="421"/>
    </row>
    <row r="140" spans="13:13" x14ac:dyDescent="0.35">
      <c r="M140" s="421"/>
    </row>
    <row r="141" spans="13:13" x14ac:dyDescent="0.35">
      <c r="M141" s="421"/>
    </row>
    <row r="142" spans="13:13" x14ac:dyDescent="0.35">
      <c r="M142" s="421"/>
    </row>
    <row r="143" spans="13:13" x14ac:dyDescent="0.35">
      <c r="M143" s="421"/>
    </row>
    <row r="144" spans="13:13" x14ac:dyDescent="0.35">
      <c r="M144" s="421"/>
    </row>
    <row r="145" spans="13:13" x14ac:dyDescent="0.35">
      <c r="M145" s="421"/>
    </row>
    <row r="146" spans="13:13" x14ac:dyDescent="0.35">
      <c r="M146" s="421"/>
    </row>
    <row r="147" spans="13:13" x14ac:dyDescent="0.35">
      <c r="M147" s="421"/>
    </row>
    <row r="148" spans="13:13" x14ac:dyDescent="0.35">
      <c r="M148" s="421"/>
    </row>
    <row r="149" spans="13:13" x14ac:dyDescent="0.35">
      <c r="M149" s="421"/>
    </row>
    <row r="150" spans="13:13" x14ac:dyDescent="0.35">
      <c r="M150" s="421"/>
    </row>
    <row r="151" spans="13:13" x14ac:dyDescent="0.35">
      <c r="M151" s="421"/>
    </row>
    <row r="152" spans="13:13" x14ac:dyDescent="0.35">
      <c r="M152" s="421"/>
    </row>
    <row r="153" spans="13:13" x14ac:dyDescent="0.35">
      <c r="M153" s="421"/>
    </row>
    <row r="154" spans="13:13" x14ac:dyDescent="0.35">
      <c r="M154" s="421"/>
    </row>
  </sheetData>
  <mergeCells count="6">
    <mergeCell ref="Z25:AA25"/>
    <mergeCell ref="C6:M6"/>
    <mergeCell ref="C7:M7"/>
    <mergeCell ref="C8:M8"/>
    <mergeCell ref="T13:Y13"/>
    <mergeCell ref="Z24:AA24"/>
  </mergeCells>
  <printOptions horizontalCentered="1"/>
  <pageMargins left="0.75" right="0.75" top="1" bottom="1" header="0.5" footer="0.5"/>
  <pageSetup scale="1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E9D36-CD17-42D3-8F3D-B2A0E0C6B622}">
  <sheetPr>
    <pageSetUpPr fitToPage="1"/>
  </sheetPr>
  <dimension ref="A1:HL154"/>
  <sheetViews>
    <sheetView zoomScale="85" zoomScaleNormal="85" workbookViewId="0">
      <selection sqref="A1:H1"/>
    </sheetView>
  </sheetViews>
  <sheetFormatPr defaultColWidth="9.15234375" defaultRowHeight="12.9" x14ac:dyDescent="0.35"/>
  <cols>
    <col min="1" max="1" width="35.3828125" style="406" bestFit="1" customWidth="1"/>
    <col min="2" max="2" width="19.84375" style="406" bestFit="1" customWidth="1"/>
    <col min="3" max="3" width="18.53515625" style="406" customWidth="1"/>
    <col min="4" max="4" width="4.53515625" style="406" customWidth="1"/>
    <col min="5" max="5" width="18.53515625" style="406" customWidth="1"/>
    <col min="6" max="6" width="4.53515625" style="406" customWidth="1"/>
    <col min="7" max="7" width="19.84375" style="406" customWidth="1"/>
    <col min="8" max="8" width="4.3046875" style="406" customWidth="1"/>
    <col min="9" max="9" width="19.84375" style="406" customWidth="1"/>
    <col min="10" max="10" width="4.3046875" style="406" customWidth="1"/>
    <col min="11" max="11" width="19.84375" style="406" customWidth="1"/>
    <col min="12" max="12" width="3.15234375" style="406" customWidth="1"/>
    <col min="13" max="13" width="21.3046875" style="406" bestFit="1" customWidth="1"/>
    <col min="14" max="14" width="9.15234375" style="406" customWidth="1"/>
    <col min="15" max="15" width="64.3828125" style="406" customWidth="1"/>
    <col min="16" max="16" width="14.15234375" style="406" customWidth="1"/>
    <col min="17" max="17" width="3.69140625" style="406" bestFit="1" customWidth="1"/>
    <col min="18" max="18" width="14.15234375" style="406" customWidth="1"/>
    <col min="19" max="19" width="3.69140625" style="406" bestFit="1" customWidth="1"/>
    <col min="20" max="20" width="13" style="406" bestFit="1" customWidth="1"/>
    <col min="21" max="21" width="3.69140625" style="406" bestFit="1" customWidth="1"/>
    <col min="22" max="22" width="13" style="406" bestFit="1" customWidth="1"/>
    <col min="23" max="23" width="2.84375" style="406" customWidth="1"/>
    <col min="24" max="24" width="13" style="406" bestFit="1" customWidth="1"/>
    <col min="25" max="25" width="3.69140625" style="406" bestFit="1" customWidth="1"/>
    <col min="26" max="26" width="9" style="406" bestFit="1" customWidth="1"/>
    <col min="27" max="27" width="3.69140625" style="406" bestFit="1" customWidth="1"/>
    <col min="28" max="28" width="9.15234375" style="406"/>
    <col min="29" max="29" width="4.3828125" style="406" customWidth="1"/>
    <col min="30" max="30" width="3.69140625" style="406" customWidth="1"/>
    <col min="31" max="31" width="22.3046875" style="406" customWidth="1"/>
    <col min="32" max="219" width="9.15234375" style="406"/>
    <col min="220" max="220" width="30.53515625" style="406" bestFit="1" customWidth="1"/>
    <col min="221" max="16384" width="9.15234375" style="406"/>
  </cols>
  <sheetData>
    <row r="1" spans="1:27" ht="16.2" customHeight="1" x14ac:dyDescent="0.35"/>
    <row r="2" spans="1:27" ht="16.2" customHeight="1" x14ac:dyDescent="0.35"/>
    <row r="3" spans="1:27" ht="16.2" customHeight="1" x14ac:dyDescent="0.35"/>
    <row r="4" spans="1:27" ht="16.2" customHeight="1" thickBot="1" x14ac:dyDescent="0.4"/>
    <row r="5" spans="1:27" ht="16.75" x14ac:dyDescent="0.65">
      <c r="A5" s="407" t="s">
        <v>3200</v>
      </c>
      <c r="C5" s="408"/>
      <c r="E5" s="408"/>
    </row>
    <row r="6" spans="1:27" ht="15.75" customHeight="1" thickBot="1" x14ac:dyDescent="0.45">
      <c r="A6" s="409" t="s">
        <v>1439</v>
      </c>
      <c r="C6" s="408"/>
      <c r="E6" s="408"/>
      <c r="G6" s="410" t="s">
        <v>3204</v>
      </c>
      <c r="H6" s="410"/>
      <c r="I6" s="410"/>
      <c r="J6" s="410"/>
      <c r="K6" s="410"/>
      <c r="L6" s="410"/>
      <c r="M6" s="410"/>
      <c r="N6" s="410"/>
      <c r="O6" s="411" t="str">
        <f>G6</f>
        <v>Middlesex Water</v>
      </c>
      <c r="P6" s="411"/>
      <c r="Q6" s="411"/>
      <c r="R6" s="411"/>
      <c r="S6" s="411"/>
      <c r="T6" s="412"/>
      <c r="U6" s="411"/>
      <c r="V6" s="412"/>
      <c r="W6" s="412"/>
      <c r="X6" s="412"/>
      <c r="Y6" s="411"/>
      <c r="Z6" s="412"/>
    </row>
    <row r="7" spans="1:27" x14ac:dyDescent="0.35">
      <c r="G7" s="406" t="s">
        <v>3124</v>
      </c>
      <c r="O7" s="412" t="str">
        <f>G7</f>
        <v>CAPITALIZATION AND FINANCIAL STATISTICS  (1)</v>
      </c>
      <c r="P7" s="412"/>
      <c r="Q7" s="412"/>
      <c r="R7" s="412"/>
      <c r="S7" s="412"/>
      <c r="T7" s="412"/>
      <c r="U7" s="412"/>
      <c r="V7" s="412"/>
      <c r="W7" s="412"/>
      <c r="X7" s="412"/>
      <c r="Y7" s="412"/>
      <c r="Z7" s="412"/>
    </row>
    <row r="8" spans="1:27" x14ac:dyDescent="0.35">
      <c r="C8" s="958" t="s">
        <v>3125</v>
      </c>
      <c r="D8" s="958"/>
      <c r="E8" s="958"/>
      <c r="F8" s="958"/>
      <c r="G8" s="958"/>
      <c r="H8" s="958"/>
      <c r="I8" s="958"/>
      <c r="J8" s="958"/>
      <c r="K8" s="958"/>
      <c r="L8" s="958"/>
      <c r="M8" s="958"/>
      <c r="N8" s="410"/>
      <c r="O8" s="411" t="str">
        <f>C8</f>
        <v>2018 - 2022, Inclusive</v>
      </c>
      <c r="P8" s="411"/>
      <c r="Q8" s="411"/>
      <c r="R8" s="411"/>
      <c r="S8" s="411"/>
      <c r="T8" s="412"/>
      <c r="U8" s="411"/>
      <c r="V8" s="412"/>
      <c r="W8" s="412"/>
      <c r="X8" s="412"/>
      <c r="Y8" s="411"/>
      <c r="Z8" s="412"/>
    </row>
    <row r="9" spans="1:27" x14ac:dyDescent="0.35">
      <c r="O9" s="412"/>
      <c r="P9" s="412"/>
      <c r="Q9" s="411"/>
      <c r="R9" s="412"/>
      <c r="S9" s="411"/>
      <c r="T9" s="411"/>
      <c r="U9" s="411"/>
      <c r="V9" s="411"/>
      <c r="W9" s="412"/>
      <c r="X9" s="411"/>
      <c r="Y9" s="411"/>
      <c r="Z9" s="412"/>
    </row>
    <row r="10" spans="1:27" x14ac:dyDescent="0.35">
      <c r="B10" s="406" t="s">
        <v>3126</v>
      </c>
      <c r="C10" s="413">
        <v>2022</v>
      </c>
      <c r="E10" s="413">
        <v>2021</v>
      </c>
      <c r="G10" s="413">
        <v>2020</v>
      </c>
      <c r="I10" s="413">
        <v>2019</v>
      </c>
      <c r="K10" s="413">
        <v>2018</v>
      </c>
      <c r="M10" s="413">
        <v>2017</v>
      </c>
      <c r="Q10" s="411"/>
      <c r="S10" s="411"/>
      <c r="T10" s="411"/>
      <c r="U10" s="411"/>
      <c r="V10" s="411"/>
      <c r="X10" s="411"/>
      <c r="Y10" s="411"/>
    </row>
    <row r="11" spans="1:27" x14ac:dyDescent="0.35">
      <c r="A11" s="406" t="s">
        <v>3127</v>
      </c>
    </row>
    <row r="12" spans="1:27" x14ac:dyDescent="0.35">
      <c r="A12" s="406" t="s">
        <v>3128</v>
      </c>
      <c r="B12" s="406" t="s">
        <v>3129</v>
      </c>
      <c r="C12" s="385">
        <f>290280000+17462000</f>
        <v>307742000</v>
      </c>
      <c r="E12" s="385">
        <f>306520000+6731000</f>
        <v>313251000</v>
      </c>
      <c r="G12" s="385">
        <f>273244000+7255000</f>
        <v>280499000</v>
      </c>
      <c r="I12" s="385">
        <f>230777000+7178000</f>
        <v>237955000</v>
      </c>
      <c r="K12" s="386">
        <f>152851000+7343000</f>
        <v>160194000</v>
      </c>
      <c r="M12" s="386">
        <f>139045000+6865000</f>
        <v>145910000</v>
      </c>
      <c r="P12" s="387">
        <f>C10</f>
        <v>2022</v>
      </c>
      <c r="Q12" s="387"/>
      <c r="R12" s="387">
        <f>E10</f>
        <v>2021</v>
      </c>
      <c r="S12" s="387"/>
      <c r="T12" s="387">
        <f>G10</f>
        <v>2020</v>
      </c>
      <c r="U12" s="387"/>
      <c r="V12" s="387">
        <f>I10</f>
        <v>2019</v>
      </c>
      <c r="X12" s="387">
        <f>K10</f>
        <v>2018</v>
      </c>
      <c r="Y12" s="387"/>
      <c r="Z12" s="388"/>
      <c r="AA12" s="388"/>
    </row>
    <row r="13" spans="1:27" x14ac:dyDescent="0.35">
      <c r="A13" s="406" t="s">
        <v>3130</v>
      </c>
      <c r="B13" s="406" t="s">
        <v>3131</v>
      </c>
      <c r="C13" s="385">
        <v>2084000</v>
      </c>
      <c r="E13" s="385">
        <v>2084000</v>
      </c>
      <c r="G13" s="385">
        <v>2084000</v>
      </c>
      <c r="I13" s="385">
        <v>2084000</v>
      </c>
      <c r="K13" s="386">
        <v>2433000</v>
      </c>
      <c r="M13" s="386">
        <v>2433000</v>
      </c>
      <c r="T13" s="960" t="s">
        <v>3132</v>
      </c>
      <c r="U13" s="960"/>
      <c r="V13" s="960"/>
      <c r="W13" s="960"/>
      <c r="X13" s="960"/>
      <c r="Y13" s="960"/>
      <c r="Z13" s="389" t="s">
        <v>1570</v>
      </c>
      <c r="AA13" s="388"/>
    </row>
    <row r="14" spans="1:27" x14ac:dyDescent="0.35">
      <c r="C14" s="414"/>
      <c r="E14" s="414"/>
      <c r="G14" s="414"/>
      <c r="I14" s="414"/>
      <c r="K14" s="414"/>
      <c r="M14" s="414"/>
      <c r="O14" s="410" t="s">
        <v>3133</v>
      </c>
      <c r="P14" s="410"/>
      <c r="Q14" s="388"/>
      <c r="R14" s="410"/>
      <c r="S14" s="388"/>
      <c r="T14" s="388"/>
      <c r="U14" s="388"/>
      <c r="V14" s="388"/>
      <c r="W14" s="410"/>
      <c r="X14" s="388"/>
      <c r="Y14" s="388"/>
      <c r="Z14" s="388"/>
      <c r="AA14" s="388"/>
    </row>
    <row r="15" spans="1:27" x14ac:dyDescent="0.35">
      <c r="A15" s="406" t="s">
        <v>3134</v>
      </c>
      <c r="B15" s="406" t="s">
        <v>3135</v>
      </c>
      <c r="C15" s="386">
        <v>17642000</v>
      </c>
      <c r="E15" s="386">
        <v>17522000</v>
      </c>
      <c r="G15" s="386">
        <v>17473000</v>
      </c>
      <c r="I15" s="386">
        <v>17434000</v>
      </c>
      <c r="K15" s="386">
        <v>16403000</v>
      </c>
      <c r="M15" s="386">
        <v>16352000</v>
      </c>
      <c r="Q15" s="388"/>
      <c r="S15" s="388"/>
      <c r="T15" s="388"/>
      <c r="U15" s="388"/>
      <c r="V15" s="388"/>
      <c r="X15" s="388"/>
      <c r="Y15" s="388"/>
      <c r="Z15" s="388"/>
      <c r="AA15" s="388"/>
    </row>
    <row r="16" spans="1:27" x14ac:dyDescent="0.35">
      <c r="A16" s="406" t="s">
        <v>1162</v>
      </c>
      <c r="B16" s="406" t="s">
        <v>3136</v>
      </c>
      <c r="C16" s="385">
        <v>400328000</v>
      </c>
      <c r="E16" s="385">
        <v>367726000</v>
      </c>
      <c r="G16" s="385">
        <v>346208000</v>
      </c>
      <c r="I16" s="385">
        <v>323792000</v>
      </c>
      <c r="K16" s="386">
        <v>248787000</v>
      </c>
      <c r="M16" s="386">
        <v>229175000</v>
      </c>
      <c r="O16" s="410" t="s">
        <v>3137</v>
      </c>
      <c r="P16" s="410"/>
      <c r="Q16" s="388"/>
      <c r="R16" s="410"/>
      <c r="S16" s="388"/>
      <c r="T16" s="388"/>
      <c r="U16" s="388"/>
      <c r="V16" s="388"/>
      <c r="W16" s="410"/>
      <c r="X16" s="388"/>
      <c r="Y16" s="388"/>
      <c r="Z16" s="388"/>
      <c r="AA16" s="388"/>
    </row>
    <row r="17" spans="1:27" x14ac:dyDescent="0.35">
      <c r="A17" s="406" t="s">
        <v>3138</v>
      </c>
      <c r="B17" s="406" t="s">
        <v>3135</v>
      </c>
      <c r="C17" s="386">
        <v>0</v>
      </c>
      <c r="E17" s="386">
        <v>0</v>
      </c>
      <c r="G17" s="386">
        <v>0</v>
      </c>
      <c r="I17" s="386">
        <v>0</v>
      </c>
      <c r="K17" s="386">
        <v>0</v>
      </c>
      <c r="M17" s="386">
        <v>0</v>
      </c>
      <c r="O17" s="406" t="s">
        <v>3139</v>
      </c>
      <c r="P17" s="393">
        <f>C50/1000000</f>
        <v>710.154</v>
      </c>
      <c r="Q17" s="393"/>
      <c r="R17" s="393">
        <f>E50/1000000</f>
        <v>683.06100000000004</v>
      </c>
      <c r="S17" s="393"/>
      <c r="T17" s="393">
        <f>G50/1000000</f>
        <v>628.79100000000005</v>
      </c>
      <c r="U17" s="393"/>
      <c r="V17" s="393">
        <f>I50/1000000</f>
        <v>563.83100000000002</v>
      </c>
      <c r="X17" s="393">
        <f>K50/1000000</f>
        <v>411.41399999999999</v>
      </c>
      <c r="Y17" s="393"/>
      <c r="Z17" s="388"/>
      <c r="AA17" s="388"/>
    </row>
    <row r="18" spans="1:27" x14ac:dyDescent="0.35">
      <c r="C18" s="414"/>
      <c r="E18" s="414"/>
      <c r="G18" s="414"/>
      <c r="I18" s="414"/>
      <c r="K18" s="414"/>
      <c r="M18" s="414"/>
      <c r="O18" s="406" t="s">
        <v>3140</v>
      </c>
      <c r="P18" s="394">
        <f>C19/1000000</f>
        <v>55.5</v>
      </c>
      <c r="Q18" s="393"/>
      <c r="R18" s="394">
        <f>E19/1000000</f>
        <v>13</v>
      </c>
      <c r="S18" s="393"/>
      <c r="T18" s="394">
        <f>G19/1000000</f>
        <v>2</v>
      </c>
      <c r="U18" s="393"/>
      <c r="V18" s="394">
        <f>I19/1000000</f>
        <v>20</v>
      </c>
      <c r="X18" s="394">
        <f>K19/1000000</f>
        <v>48.5</v>
      </c>
      <c r="Y18" s="393"/>
      <c r="Z18" s="388"/>
      <c r="AA18" s="388"/>
    </row>
    <row r="19" spans="1:27" x14ac:dyDescent="0.35">
      <c r="A19" s="406" t="s">
        <v>3141</v>
      </c>
      <c r="B19" s="406" t="s">
        <v>3142</v>
      </c>
      <c r="C19" s="386">
        <v>55500000</v>
      </c>
      <c r="E19" s="386">
        <v>13000000</v>
      </c>
      <c r="G19" s="386">
        <v>2000000</v>
      </c>
      <c r="I19" s="386">
        <v>20000000</v>
      </c>
      <c r="K19" s="386">
        <v>48500000</v>
      </c>
      <c r="M19" s="386">
        <v>28000000</v>
      </c>
      <c r="O19" s="406" t="s">
        <v>3143</v>
      </c>
      <c r="P19" s="395">
        <f>SUM(P17:P18)</f>
        <v>765.654</v>
      </c>
      <c r="Q19" s="393"/>
      <c r="R19" s="395">
        <f>SUM(R17:R18)</f>
        <v>696.06100000000004</v>
      </c>
      <c r="S19" s="393"/>
      <c r="T19" s="395">
        <f>SUM(T17:T18)</f>
        <v>630.79100000000005</v>
      </c>
      <c r="U19" s="393"/>
      <c r="V19" s="395">
        <f>SUM(V17:V18)</f>
        <v>583.83100000000002</v>
      </c>
      <c r="X19" s="395">
        <f>SUM(X17:X18)</f>
        <v>459.91399999999999</v>
      </c>
      <c r="Y19" s="393"/>
      <c r="Z19" s="388"/>
      <c r="AA19" s="388"/>
    </row>
    <row r="20" spans="1:27" x14ac:dyDescent="0.35">
      <c r="C20" s="414"/>
      <c r="E20" s="414"/>
      <c r="G20" s="414"/>
      <c r="I20" s="414"/>
      <c r="K20" s="414"/>
      <c r="M20" s="414"/>
      <c r="P20" s="388"/>
      <c r="Q20" s="388"/>
      <c r="R20" s="388"/>
      <c r="S20" s="388"/>
      <c r="T20" s="388"/>
      <c r="U20" s="388"/>
      <c r="V20" s="388"/>
      <c r="X20" s="388"/>
      <c r="Y20" s="388"/>
      <c r="Z20" s="388"/>
      <c r="AA20" s="388"/>
    </row>
    <row r="21" spans="1:27" x14ac:dyDescent="0.35">
      <c r="A21" s="406" t="s">
        <v>3144</v>
      </c>
      <c r="B21" s="406" t="s">
        <v>3145</v>
      </c>
      <c r="C21" s="414">
        <v>2.39</v>
      </c>
      <c r="E21" s="414">
        <v>2.0699999999999998</v>
      </c>
      <c r="G21" s="414">
        <v>2.1800000000000002</v>
      </c>
      <c r="I21" s="414">
        <v>2.0099999999999998</v>
      </c>
      <c r="K21" s="414">
        <v>1.96</v>
      </c>
      <c r="M21" s="414">
        <v>1.38</v>
      </c>
      <c r="O21" s="410" t="s">
        <v>3146</v>
      </c>
      <c r="P21" s="388"/>
      <c r="Q21" s="388"/>
      <c r="R21" s="388"/>
      <c r="S21" s="388"/>
      <c r="T21" s="388"/>
      <c r="U21" s="388"/>
      <c r="V21" s="388"/>
      <c r="W21" s="410"/>
      <c r="X21" s="388"/>
      <c r="Y21" s="388"/>
      <c r="Z21" s="388"/>
      <c r="AA21" s="388"/>
    </row>
    <row r="22" spans="1:27" x14ac:dyDescent="0.35">
      <c r="A22" s="406" t="s">
        <v>3147</v>
      </c>
      <c r="B22" s="406" t="s">
        <v>1524</v>
      </c>
      <c r="C22" s="406">
        <v>119.13</v>
      </c>
      <c r="E22" s="406">
        <v>120.3</v>
      </c>
      <c r="G22" s="414">
        <v>74.58</v>
      </c>
      <c r="I22" s="414">
        <v>67.25</v>
      </c>
      <c r="K22" s="414">
        <v>58.56</v>
      </c>
      <c r="M22" s="414">
        <v>46.4</v>
      </c>
      <c r="O22" s="406" t="s">
        <v>3148</v>
      </c>
      <c r="P22" s="396">
        <f>(ROUND((C30/(AVERAGE(C54,E54))*100),2))</f>
        <v>2.72</v>
      </c>
      <c r="Q22" s="397" t="s">
        <v>1197</v>
      </c>
      <c r="R22" s="396">
        <f>(ROUND((E30/(AVERAGE(E54,G54))*100),2))</f>
        <v>2.67</v>
      </c>
      <c r="S22" s="397" t="s">
        <v>1197</v>
      </c>
      <c r="T22" s="396">
        <f>(ROUND((G30/(AVERAGE(G54,I54))*100),2))</f>
        <v>2.77</v>
      </c>
      <c r="U22" s="397" t="s">
        <v>1197</v>
      </c>
      <c r="V22" s="396">
        <f>(ROUND((I30/(AVERAGE(I54,K54))*100),2))</f>
        <v>3.11</v>
      </c>
      <c r="X22" s="396">
        <f>(ROUND((K30/(AVERAGE(K54,M54))*100),2))</f>
        <v>3.53</v>
      </c>
      <c r="Y22" s="397" t="s">
        <v>1197</v>
      </c>
      <c r="Z22" s="390"/>
      <c r="AA22" s="388"/>
    </row>
    <row r="23" spans="1:27" x14ac:dyDescent="0.35">
      <c r="A23" s="406" t="s">
        <v>3149</v>
      </c>
      <c r="B23" s="406" t="s">
        <v>1524</v>
      </c>
      <c r="C23" s="406">
        <v>75.08</v>
      </c>
      <c r="E23" s="406">
        <v>67.52</v>
      </c>
      <c r="G23" s="414">
        <v>49.45</v>
      </c>
      <c r="I23" s="414">
        <v>51.85</v>
      </c>
      <c r="K23" s="414">
        <v>34.520000000000003</v>
      </c>
      <c r="M23" s="414">
        <v>32.99</v>
      </c>
      <c r="O23" s="406" t="s">
        <v>3150</v>
      </c>
      <c r="P23" s="415">
        <f>(ROUND((C36/(AVERAGE(C58,E58))*100),2))</f>
        <v>5.76</v>
      </c>
      <c r="Q23" s="416"/>
      <c r="R23" s="415">
        <f>(ROUND((E36/(AVERAGE(E58,G58))*100),2))</f>
        <v>5.76</v>
      </c>
      <c r="S23" s="416"/>
      <c r="T23" s="415">
        <f>(ROUND((G36/(AVERAGE(G58,I58))*100),2))</f>
        <v>5.76</v>
      </c>
      <c r="U23" s="416"/>
      <c r="V23" s="415">
        <f>(ROUND((I36/(AVERAGE(I58,K58))*100),2))</f>
        <v>5.84</v>
      </c>
      <c r="X23" s="415">
        <f>(ROUND((K36/(AVERAGE(K58,M58))*100),2))</f>
        <v>5.92</v>
      </c>
      <c r="Y23" s="416"/>
      <c r="Z23" s="388"/>
      <c r="AA23" s="388"/>
    </row>
    <row r="24" spans="1:27" x14ac:dyDescent="0.35">
      <c r="C24" s="414"/>
      <c r="E24" s="414"/>
      <c r="G24" s="414"/>
      <c r="I24" s="414"/>
      <c r="K24" s="414"/>
      <c r="M24" s="414"/>
      <c r="P24" s="388"/>
      <c r="Q24" s="388"/>
      <c r="R24" s="388"/>
      <c r="S24" s="388"/>
      <c r="T24" s="388"/>
      <c r="U24" s="388"/>
      <c r="V24" s="388"/>
      <c r="X24" s="388"/>
      <c r="Y24" s="388"/>
      <c r="Z24" s="957" t="s">
        <v>1195</v>
      </c>
      <c r="AA24" s="957"/>
    </row>
    <row r="25" spans="1:27" x14ac:dyDescent="0.35">
      <c r="C25" s="414"/>
      <c r="E25" s="414"/>
      <c r="G25" s="414"/>
      <c r="I25" s="414"/>
      <c r="K25" s="414"/>
      <c r="M25" s="414"/>
      <c r="O25" s="410" t="s">
        <v>3151</v>
      </c>
      <c r="P25" s="388"/>
      <c r="Q25" s="388"/>
      <c r="R25" s="388"/>
      <c r="S25" s="388"/>
      <c r="T25" s="388"/>
      <c r="U25" s="388"/>
      <c r="V25" s="388"/>
      <c r="W25" s="410"/>
      <c r="X25" s="388"/>
      <c r="Y25" s="388"/>
      <c r="Z25" s="957" t="s">
        <v>1196</v>
      </c>
      <c r="AA25" s="957"/>
    </row>
    <row r="26" spans="1:27" x14ac:dyDescent="0.35">
      <c r="A26" s="406" t="s">
        <v>3152</v>
      </c>
      <c r="B26" s="406" t="s">
        <v>1524</v>
      </c>
      <c r="C26" s="414">
        <v>1.25</v>
      </c>
      <c r="E26" s="414">
        <v>1.1080000000000001</v>
      </c>
      <c r="G26" s="414">
        <v>1.0409999999999999</v>
      </c>
      <c r="I26" s="414">
        <v>0.97599999999999998</v>
      </c>
      <c r="K26" s="414">
        <v>0.91100000000000003</v>
      </c>
      <c r="M26" s="414">
        <v>0.85750000000000004</v>
      </c>
      <c r="O26" s="406" t="s">
        <v>3153</v>
      </c>
      <c r="P26" s="388"/>
      <c r="Q26" s="388"/>
      <c r="R26" s="388"/>
      <c r="S26" s="388"/>
      <c r="T26" s="388"/>
      <c r="U26" s="388"/>
      <c r="V26" s="388"/>
      <c r="X26" s="388"/>
      <c r="Y26" s="388"/>
      <c r="Z26" s="388"/>
      <c r="AA26" s="388"/>
    </row>
    <row r="27" spans="1:27" x14ac:dyDescent="0.35">
      <c r="C27" s="414"/>
      <c r="E27" s="414"/>
      <c r="G27" s="414"/>
      <c r="I27" s="414"/>
      <c r="K27" s="414"/>
      <c r="M27" s="414"/>
      <c r="O27" s="406" t="s">
        <v>3154</v>
      </c>
      <c r="P27" s="396">
        <f>ROUND(((C12/C50)*100),2)+0.01</f>
        <v>43.339999999999996</v>
      </c>
      <c r="Q27" s="397" t="s">
        <v>1197</v>
      </c>
      <c r="R27" s="396">
        <f>ROUND(((E12/E50)*100),2)</f>
        <v>45.86</v>
      </c>
      <c r="S27" s="397" t="s">
        <v>1197</v>
      </c>
      <c r="T27" s="396">
        <f>ROUND(((G12/G50)*100),2)</f>
        <v>44.61</v>
      </c>
      <c r="U27" s="397" t="s">
        <v>1197</v>
      </c>
      <c r="V27" s="396">
        <f>ROUND(((I12/I50)*100),2)</f>
        <v>42.2</v>
      </c>
      <c r="W27" s="397" t="s">
        <v>1197</v>
      </c>
      <c r="X27" s="396">
        <f>ROUND(((K12/K50)*100),2)</f>
        <v>38.94</v>
      </c>
      <c r="Y27" s="397" t="s">
        <v>1197</v>
      </c>
      <c r="Z27" s="396">
        <f>ROUND(AVERAGE(P27:Y27),2)</f>
        <v>42.99</v>
      </c>
      <c r="AA27" s="397" t="s">
        <v>1197</v>
      </c>
    </row>
    <row r="28" spans="1:27" x14ac:dyDescent="0.35">
      <c r="A28" s="406" t="s">
        <v>3155</v>
      </c>
      <c r="B28" s="406" t="s">
        <v>3155</v>
      </c>
      <c r="C28" s="414">
        <v>2314000</v>
      </c>
      <c r="E28" s="414">
        <v>2653000</v>
      </c>
      <c r="G28" s="414">
        <v>4016000</v>
      </c>
      <c r="I28" s="414">
        <v>3146000</v>
      </c>
      <c r="K28" s="414">
        <v>1362000</v>
      </c>
      <c r="M28" s="414">
        <v>702000</v>
      </c>
      <c r="O28" s="406" t="s">
        <v>3156</v>
      </c>
      <c r="P28" s="396">
        <f>ROUND(((SUM(C13,C17)/C50)*100),2)</f>
        <v>0.28999999999999998</v>
      </c>
      <c r="Q28" s="397"/>
      <c r="R28" s="396">
        <f>ROUND(((SUM(E13,E17)/E50)*100),2)-0.01</f>
        <v>0.3</v>
      </c>
      <c r="S28" s="397"/>
      <c r="T28" s="396">
        <f>ROUND(((SUM(G13,G17)/G50)*100),2)</f>
        <v>0.33</v>
      </c>
      <c r="U28" s="397"/>
      <c r="V28" s="396">
        <f>ROUND(((SUM(I13,I17)/I50)*100),2)</f>
        <v>0.37</v>
      </c>
      <c r="W28" s="397"/>
      <c r="X28" s="396">
        <f>ROUND(((SUM(K13,K17)/K50)*100),2)</f>
        <v>0.59</v>
      </c>
      <c r="Y28" s="397"/>
      <c r="Z28" s="396">
        <f>ROUND(AVERAGE(P28:Y28),2)</f>
        <v>0.38</v>
      </c>
      <c r="AA28" s="397"/>
    </row>
    <row r="29" spans="1:27" x14ac:dyDescent="0.35">
      <c r="C29" s="414"/>
      <c r="E29" s="414"/>
      <c r="G29" s="414"/>
      <c r="I29" s="414"/>
      <c r="K29" s="414"/>
      <c r="M29" s="414"/>
      <c r="O29" s="406" t="s">
        <v>3157</v>
      </c>
      <c r="P29" s="398">
        <f>ROUND(((C16/C50)*100),2)</f>
        <v>56.37</v>
      </c>
      <c r="Q29" s="397"/>
      <c r="R29" s="398">
        <f>ROUND(((E16/E50)*100),2)</f>
        <v>53.84</v>
      </c>
      <c r="S29" s="397"/>
      <c r="T29" s="398">
        <f>ROUND(((G16/G50)*100),2)</f>
        <v>55.06</v>
      </c>
      <c r="U29" s="397"/>
      <c r="V29" s="398">
        <f>ROUND(((I16/I50)*100),2)</f>
        <v>57.43</v>
      </c>
      <c r="W29" s="397"/>
      <c r="X29" s="398">
        <f>ROUND(((K16/K50)*100),2)</f>
        <v>60.47</v>
      </c>
      <c r="Y29" s="397"/>
      <c r="Z29" s="396">
        <f>ROUND(AVERAGE(P29:Y29),2)</f>
        <v>56.63</v>
      </c>
      <c r="AA29" s="397"/>
    </row>
    <row r="30" spans="1:27" x14ac:dyDescent="0.35">
      <c r="A30" s="406" t="s">
        <v>3158</v>
      </c>
      <c r="B30" s="406" t="s">
        <v>3159</v>
      </c>
      <c r="C30" s="385">
        <v>9367000</v>
      </c>
      <c r="E30" s="385">
        <v>8114000</v>
      </c>
      <c r="G30" s="385">
        <v>7493000</v>
      </c>
      <c r="I30" s="385">
        <v>7264000</v>
      </c>
      <c r="K30" s="386">
        <v>6758000</v>
      </c>
      <c r="M30" s="386">
        <v>5506000</v>
      </c>
      <c r="O30" s="406"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C31" s="414"/>
      <c r="E31" s="414"/>
      <c r="G31" s="414"/>
      <c r="I31" s="414"/>
      <c r="K31" s="414"/>
      <c r="M31" s="414"/>
      <c r="P31" s="388"/>
      <c r="Q31" s="388"/>
      <c r="R31" s="388"/>
      <c r="S31" s="388"/>
      <c r="T31" s="388"/>
      <c r="U31" s="388"/>
      <c r="V31" s="388"/>
      <c r="W31" s="388"/>
      <c r="X31" s="388"/>
      <c r="Y31" s="388"/>
      <c r="Z31" s="388"/>
      <c r="AA31" s="388"/>
    </row>
    <row r="32" spans="1:27" x14ac:dyDescent="0.35">
      <c r="A32" s="406" t="s">
        <v>3161</v>
      </c>
      <c r="B32" s="406" t="s">
        <v>3162</v>
      </c>
      <c r="C32" s="386">
        <v>42429000</v>
      </c>
      <c r="E32" s="386">
        <v>36543000</v>
      </c>
      <c r="G32" s="386">
        <v>38425000</v>
      </c>
      <c r="I32" s="386">
        <v>33888000</v>
      </c>
      <c r="K32" s="386">
        <v>32452000</v>
      </c>
      <c r="M32" s="386">
        <v>22809000</v>
      </c>
      <c r="O32" s="406" t="s">
        <v>3163</v>
      </c>
      <c r="P32" s="388"/>
      <c r="Q32" s="388"/>
      <c r="R32" s="388"/>
      <c r="S32" s="388"/>
      <c r="T32" s="388"/>
      <c r="U32" s="388"/>
      <c r="V32" s="388"/>
      <c r="W32" s="388"/>
      <c r="X32" s="388"/>
      <c r="Y32" s="388"/>
      <c r="Z32" s="388"/>
      <c r="AA32" s="388"/>
    </row>
    <row r="33" spans="1:27" x14ac:dyDescent="0.35">
      <c r="A33" s="417"/>
      <c r="B33" s="417"/>
      <c r="C33" s="418"/>
      <c r="D33" s="417"/>
      <c r="E33" s="418"/>
      <c r="F33" s="417"/>
      <c r="G33" s="418"/>
      <c r="H33" s="417"/>
      <c r="I33" s="418"/>
      <c r="J33" s="417"/>
      <c r="K33" s="418"/>
      <c r="L33" s="417"/>
      <c r="M33" s="418"/>
      <c r="N33" s="417"/>
      <c r="O33" s="406" t="s">
        <v>3164</v>
      </c>
      <c r="P33" s="396">
        <f>ROUND((((C12+C19)/C56)*100),2)</f>
        <v>47.44</v>
      </c>
      <c r="Q33" s="397" t="s">
        <v>1197</v>
      </c>
      <c r="R33" s="396">
        <f>ROUND((((E12+E19)/E56)*100),2)</f>
        <v>46.87</v>
      </c>
      <c r="S33" s="397" t="s">
        <v>1197</v>
      </c>
      <c r="T33" s="396">
        <f>ROUND((((G12+G19)/G56)*100),2)</f>
        <v>44.78</v>
      </c>
      <c r="U33" s="397" t="s">
        <v>1197</v>
      </c>
      <c r="V33" s="396">
        <f>ROUND((((I12+I19)/I56)*100),2)</f>
        <v>44.18</v>
      </c>
      <c r="W33" s="397" t="s">
        <v>1197</v>
      </c>
      <c r="X33" s="396">
        <f>ROUND((((K12+K19)/K56)*100),2)</f>
        <v>45.38</v>
      </c>
      <c r="Y33" s="397" t="s">
        <v>1197</v>
      </c>
      <c r="Z33" s="396">
        <f>ROUND(AVERAGE(P33:Y33),2)</f>
        <v>45.73</v>
      </c>
      <c r="AA33" s="397" t="s">
        <v>1197</v>
      </c>
    </row>
    <row r="34" spans="1:27" x14ac:dyDescent="0.35">
      <c r="A34" s="406" t="s">
        <v>3165</v>
      </c>
      <c r="B34" s="406" t="s">
        <v>3166</v>
      </c>
      <c r="C34" s="386">
        <v>42309000</v>
      </c>
      <c r="E34" s="386">
        <v>36423000</v>
      </c>
      <c r="G34" s="386">
        <v>38305000</v>
      </c>
      <c r="I34" s="386">
        <v>33756000</v>
      </c>
      <c r="K34" s="386">
        <v>32308000</v>
      </c>
      <c r="M34" s="386">
        <v>22665000</v>
      </c>
      <c r="O34" s="406" t="s">
        <v>3156</v>
      </c>
      <c r="P34" s="396">
        <f>ROUND((((SUM(C13,C17))/C56)*100),2)</f>
        <v>0.27</v>
      </c>
      <c r="Q34" s="397"/>
      <c r="R34" s="396">
        <f>ROUND((((SUM(E13,E17))/E56)*100),2)</f>
        <v>0.3</v>
      </c>
      <c r="S34" s="397"/>
      <c r="T34" s="396">
        <f>ROUND((((SUM(G13,G17))/G56)*100),2)</f>
        <v>0.33</v>
      </c>
      <c r="U34" s="397"/>
      <c r="V34" s="396">
        <f>ROUND((((SUM(I13,I17))/I56)*100),2)</f>
        <v>0.36</v>
      </c>
      <c r="W34" s="397"/>
      <c r="X34" s="396">
        <f>ROUND((((SUM(K13,K17))/K56)*100),2)</f>
        <v>0.53</v>
      </c>
      <c r="Y34" s="397"/>
      <c r="Z34" s="396">
        <f>ROUND(AVERAGE(P34:Y34),2)</f>
        <v>0.36</v>
      </c>
      <c r="AA34" s="397"/>
    </row>
    <row r="35" spans="1:27" x14ac:dyDescent="0.35">
      <c r="C35" s="414"/>
      <c r="E35" s="414"/>
      <c r="G35" s="414"/>
      <c r="I35" s="414"/>
      <c r="K35" s="414"/>
      <c r="M35" s="414"/>
      <c r="O35" s="406" t="s">
        <v>3157</v>
      </c>
      <c r="P35" s="398">
        <f>ROUND((((C16)/C56)*100),2)</f>
        <v>52.29</v>
      </c>
      <c r="Q35" s="397"/>
      <c r="R35" s="398">
        <f>ROUND((((E16)/E56)*100),2)</f>
        <v>52.83</v>
      </c>
      <c r="S35" s="397"/>
      <c r="T35" s="398">
        <f>ROUND((((G16)/G56)*100),2)</f>
        <v>54.88</v>
      </c>
      <c r="U35" s="397"/>
      <c r="V35" s="398">
        <f>ROUND((((I16)/I56)*100),2)</f>
        <v>55.46</v>
      </c>
      <c r="W35" s="397"/>
      <c r="X35" s="398">
        <f>ROUND((((K16)/K56)*100),2)</f>
        <v>54.09</v>
      </c>
      <c r="Y35" s="397"/>
      <c r="Z35" s="396">
        <f>ROUND(AVERAGE(P35:Y35),2)</f>
        <v>53.91</v>
      </c>
      <c r="AA35" s="397"/>
    </row>
    <row r="36" spans="1:27" x14ac:dyDescent="0.35">
      <c r="A36" s="406" t="s">
        <v>3167</v>
      </c>
      <c r="B36" s="406" t="s">
        <v>3168</v>
      </c>
      <c r="C36" s="414">
        <v>120000</v>
      </c>
      <c r="E36" s="414">
        <v>120000</v>
      </c>
      <c r="G36" s="414">
        <v>120000</v>
      </c>
      <c r="I36" s="414">
        <v>132000</v>
      </c>
      <c r="K36" s="414">
        <v>144000</v>
      </c>
      <c r="M36" s="414">
        <v>144000</v>
      </c>
      <c r="O36" s="406" t="s">
        <v>3160</v>
      </c>
      <c r="P36" s="399">
        <f>SUM(P33:P35)</f>
        <v>100</v>
      </c>
      <c r="Q36" s="397" t="s">
        <v>1197</v>
      </c>
      <c r="R36" s="399">
        <f>SUM(R33:R35)</f>
        <v>100</v>
      </c>
      <c r="S36" s="397" t="s">
        <v>1197</v>
      </c>
      <c r="T36" s="399">
        <f>SUM(T33:T35)</f>
        <v>99.990000000000009</v>
      </c>
      <c r="U36" s="397" t="s">
        <v>1197</v>
      </c>
      <c r="V36" s="399">
        <f>SUM(V33:V35)</f>
        <v>100</v>
      </c>
      <c r="W36" s="397" t="s">
        <v>1197</v>
      </c>
      <c r="X36" s="399">
        <f>SUM(X33:X35)</f>
        <v>100</v>
      </c>
      <c r="Y36" s="397" t="s">
        <v>1197</v>
      </c>
      <c r="Z36" s="399">
        <f>SUM(Z33:Z35)</f>
        <v>100</v>
      </c>
      <c r="AA36" s="397" t="s">
        <v>1197</v>
      </c>
    </row>
    <row r="37" spans="1:27" x14ac:dyDescent="0.35">
      <c r="C37" s="414"/>
      <c r="E37" s="414"/>
      <c r="G37" s="414"/>
      <c r="I37" s="414"/>
      <c r="K37" s="414"/>
      <c r="M37" s="414"/>
      <c r="P37" s="388"/>
      <c r="Q37" s="388"/>
      <c r="R37" s="388"/>
      <c r="S37" s="388"/>
      <c r="T37" s="388"/>
      <c r="U37" s="388"/>
      <c r="V37" s="388"/>
      <c r="W37" s="388"/>
      <c r="X37" s="388"/>
      <c r="Y37" s="388"/>
      <c r="Z37" s="388"/>
      <c r="AA37" s="388"/>
    </row>
    <row r="38" spans="1:27" x14ac:dyDescent="0.35">
      <c r="A38" s="406" t="s">
        <v>3169</v>
      </c>
      <c r="B38" s="406" t="s">
        <v>3170</v>
      </c>
      <c r="C38" s="386">
        <v>20810000</v>
      </c>
      <c r="E38" s="386">
        <v>19373000</v>
      </c>
      <c r="G38" s="386">
        <v>18178000</v>
      </c>
      <c r="I38" s="386">
        <v>16165000</v>
      </c>
      <c r="K38" s="386">
        <v>14930000</v>
      </c>
      <c r="M38" s="386">
        <v>14002000</v>
      </c>
      <c r="P38" s="388"/>
      <c r="Q38" s="388"/>
      <c r="R38" s="388"/>
      <c r="S38" s="388"/>
      <c r="T38" s="388"/>
      <c r="U38" s="388"/>
      <c r="V38" s="388"/>
      <c r="W38" s="388"/>
      <c r="X38" s="388"/>
      <c r="Y38" s="388"/>
      <c r="Z38" s="388"/>
      <c r="AA38" s="388"/>
    </row>
    <row r="39" spans="1:27" x14ac:dyDescent="0.35">
      <c r="C39" s="414"/>
      <c r="E39" s="414"/>
      <c r="G39" s="414"/>
      <c r="I39" s="414"/>
      <c r="K39" s="414"/>
      <c r="M39" s="414"/>
      <c r="P39" s="388"/>
      <c r="Q39" s="388"/>
      <c r="R39" s="388"/>
      <c r="S39" s="388"/>
      <c r="T39" s="388"/>
      <c r="U39" s="388"/>
      <c r="V39" s="388"/>
      <c r="W39" s="388"/>
      <c r="X39" s="388"/>
      <c r="Y39" s="388"/>
      <c r="Z39" s="388"/>
      <c r="AA39" s="388"/>
    </row>
    <row r="40" spans="1:27" x14ac:dyDescent="0.35">
      <c r="A40" s="406" t="s">
        <v>3171</v>
      </c>
      <c r="B40" s="406" t="s">
        <v>3172</v>
      </c>
      <c r="C40" s="386">
        <f>C32</f>
        <v>42429000</v>
      </c>
      <c r="E40" s="386">
        <f>E32</f>
        <v>36543000</v>
      </c>
      <c r="G40" s="386">
        <v>38425000</v>
      </c>
      <c r="I40" s="386">
        <v>33888000</v>
      </c>
      <c r="K40" s="386">
        <v>32452000</v>
      </c>
      <c r="M40" s="386">
        <v>22809000</v>
      </c>
      <c r="O40" s="410" t="s">
        <v>3173</v>
      </c>
      <c r="P40" s="388"/>
      <c r="Q40" s="388"/>
      <c r="R40" s="388"/>
      <c r="S40" s="388"/>
      <c r="T40" s="388"/>
      <c r="U40" s="388"/>
      <c r="V40" s="388"/>
      <c r="W40" s="388"/>
      <c r="X40" s="388"/>
      <c r="Y40" s="388"/>
      <c r="Z40" s="388"/>
      <c r="AA40" s="388"/>
    </row>
    <row r="41" spans="1:27" x14ac:dyDescent="0.35">
      <c r="A41" s="406" t="s">
        <v>3174</v>
      </c>
      <c r="B41" s="406" t="s">
        <v>3175</v>
      </c>
      <c r="C41" s="386">
        <v>61361000</v>
      </c>
      <c r="E41" s="386">
        <v>33028000</v>
      </c>
      <c r="G41" s="386">
        <v>53355000</v>
      </c>
      <c r="I41" s="386">
        <v>36053000</v>
      </c>
      <c r="K41" s="386">
        <v>45864000</v>
      </c>
      <c r="M41" s="386">
        <v>42843000</v>
      </c>
      <c r="O41" s="410"/>
      <c r="P41" s="388"/>
      <c r="Q41" s="388"/>
      <c r="R41" s="388"/>
      <c r="S41" s="388"/>
      <c r="T41" s="388"/>
      <c r="U41" s="388"/>
      <c r="V41" s="388"/>
      <c r="W41" s="388"/>
      <c r="X41" s="388"/>
      <c r="Y41" s="388"/>
      <c r="Z41" s="388"/>
      <c r="AA41" s="388"/>
    </row>
    <row r="42" spans="1:27" x14ac:dyDescent="0.35">
      <c r="A42" s="406" t="s">
        <v>3176</v>
      </c>
      <c r="B42" s="406" t="s">
        <v>3177</v>
      </c>
      <c r="C42" s="386">
        <f>(-707-1386-819+256+3722+3541+549-4266+35+454)*1000</f>
        <v>1379000</v>
      </c>
      <c r="E42" s="386">
        <f>(-742-208-246+6-9318-1517-151-2645+75-4276)*1000</f>
        <v>-19022000</v>
      </c>
      <c r="G42" s="386">
        <f>(-2661+118+333-519+7137+2503+106-1377+44+3696)*1000</f>
        <v>9380000</v>
      </c>
      <c r="I42" s="386">
        <f>(-146+110-34+277+3981-6595+742-1112+175+866)*1000</f>
        <v>-1736000</v>
      </c>
      <c r="K42" s="386">
        <f>(-977-294-1293-236+5396+2812+196-2114+85+2589)*1000</f>
        <v>6164000</v>
      </c>
      <c r="M42" s="386">
        <f>(-656-409-24-384+1586-967+9-1920+28-169)*1000</f>
        <v>-2906000</v>
      </c>
      <c r="O42" s="410" t="s">
        <v>3178</v>
      </c>
      <c r="P42" s="388"/>
      <c r="Q42" s="388"/>
      <c r="R42" s="388"/>
      <c r="S42" s="388"/>
      <c r="T42" s="388"/>
      <c r="U42" s="388"/>
      <c r="V42" s="388"/>
      <c r="W42" s="388"/>
      <c r="X42" s="388"/>
      <c r="Y42" s="388"/>
      <c r="Z42" s="388"/>
      <c r="AA42" s="388"/>
    </row>
    <row r="43" spans="1:27" x14ac:dyDescent="0.35">
      <c r="A43" s="406" t="s">
        <v>3179</v>
      </c>
      <c r="B43" s="406" t="s">
        <v>3180</v>
      </c>
      <c r="C43" s="386">
        <v>27475000</v>
      </c>
      <c r="E43" s="386">
        <v>26799000</v>
      </c>
      <c r="G43" s="386">
        <v>20838000</v>
      </c>
      <c r="I43" s="386">
        <v>16716000</v>
      </c>
      <c r="K43" s="386">
        <v>15037000</v>
      </c>
      <c r="M43" s="386">
        <v>14846000</v>
      </c>
      <c r="O43" s="406" t="s">
        <v>3181</v>
      </c>
      <c r="P43" s="396">
        <f>ROUND(C21/C52,4)*100</f>
        <v>2.46</v>
      </c>
      <c r="Q43" s="397" t="s">
        <v>1197</v>
      </c>
      <c r="R43" s="396">
        <f>ROUND(E21/E52,4)*100</f>
        <v>2.1999999999999997</v>
      </c>
      <c r="S43" s="397" t="s">
        <v>1197</v>
      </c>
      <c r="T43" s="396">
        <f>ROUND(G21/G52,4)*100</f>
        <v>3.52</v>
      </c>
      <c r="U43" s="397" t="s">
        <v>1197</v>
      </c>
      <c r="V43" s="396">
        <f>ROUND(I21/I52,4)*100</f>
        <v>3.38</v>
      </c>
      <c r="W43" s="397" t="s">
        <v>1197</v>
      </c>
      <c r="X43" s="396">
        <f>ROUND(K21/K52,4)*100</f>
        <v>4.21</v>
      </c>
      <c r="Y43" s="397" t="s">
        <v>1197</v>
      </c>
      <c r="Z43" s="396">
        <f>ROUND(AVERAGE(P43:Y43),2)</f>
        <v>3.15</v>
      </c>
      <c r="AA43" s="397" t="s">
        <v>1197</v>
      </c>
    </row>
    <row r="44" spans="1:27" x14ac:dyDescent="0.35">
      <c r="A44" s="406" t="s">
        <v>3182</v>
      </c>
      <c r="B44" s="406" t="s">
        <v>3183</v>
      </c>
      <c r="C44" s="386">
        <v>3240000</v>
      </c>
      <c r="E44" s="386">
        <v>-5488000</v>
      </c>
      <c r="G44" s="386">
        <v>-4119000</v>
      </c>
      <c r="I44" s="386">
        <v>-3140000</v>
      </c>
      <c r="K44" s="386">
        <v>924000</v>
      </c>
      <c r="M44" s="386">
        <v>11100000</v>
      </c>
      <c r="O44" s="406" t="s">
        <v>3184</v>
      </c>
      <c r="P44" s="396">
        <f>(ROUND((C52/(AVERAGE(C48,E48))*100),2))</f>
        <v>444.64</v>
      </c>
      <c r="Q44" s="388"/>
      <c r="R44" s="396">
        <f>(ROUND((E52/(AVERAGE(E48,G48))*100),2))</f>
        <v>460.34</v>
      </c>
      <c r="S44" s="388"/>
      <c r="T44" s="396">
        <f>(ROUND((G52/(AVERAGE(G48,I48))*100),2))</f>
        <v>323.11</v>
      </c>
      <c r="U44" s="388"/>
      <c r="V44" s="396">
        <f>(ROUND((I52/(AVERAGE(I48,K48))*100),2))</f>
        <v>353</v>
      </c>
      <c r="W44" s="388"/>
      <c r="X44" s="396">
        <f>(ROUND((K52/(AVERAGE(K48,M48))*100),2))</f>
        <v>318.95999999999998</v>
      </c>
      <c r="Y44" s="388"/>
      <c r="Z44" s="396">
        <f>ROUND(AVERAGE(P44:Y44),2)</f>
        <v>380.01</v>
      </c>
      <c r="AA44" s="388"/>
    </row>
    <row r="45" spans="1:27" x14ac:dyDescent="0.35">
      <c r="O45" s="406" t="s">
        <v>3185</v>
      </c>
      <c r="P45" s="396">
        <f>ROUND(((+C26/C52)*100),2)</f>
        <v>1.29</v>
      </c>
      <c r="Q45" s="388"/>
      <c r="R45" s="396">
        <f>ROUND(((+E26/E52)*100),2)</f>
        <v>1.18</v>
      </c>
      <c r="S45" s="388"/>
      <c r="T45" s="396">
        <f>ROUND(((+G26/G52)*100),2)</f>
        <v>1.68</v>
      </c>
      <c r="U45" s="388"/>
      <c r="V45" s="396">
        <f>ROUND(((+I26/I52)*100),2)</f>
        <v>1.64</v>
      </c>
      <c r="W45" s="388"/>
      <c r="X45" s="396">
        <f>ROUND(((+K26/K52)*100),2)</f>
        <v>1.96</v>
      </c>
      <c r="Y45" s="388"/>
      <c r="Z45" s="396">
        <f>ROUND(AVERAGE(P45:Y45),2)</f>
        <v>1.55</v>
      </c>
      <c r="AA45" s="388"/>
    </row>
    <row r="46" spans="1:27" x14ac:dyDescent="0.35">
      <c r="A46" s="406" t="s">
        <v>3186</v>
      </c>
      <c r="O46" s="406" t="s">
        <v>3187</v>
      </c>
      <c r="P46" s="396">
        <f>ROUND(((+C38/C34)*100),2)</f>
        <v>49.19</v>
      </c>
      <c r="Q46" s="388"/>
      <c r="R46" s="396">
        <f>ROUND(((+E38/E34)*100),2)</f>
        <v>53.19</v>
      </c>
      <c r="S46" s="388"/>
      <c r="T46" s="396">
        <f>ROUND(((+G38/G34)*100),2)</f>
        <v>47.46</v>
      </c>
      <c r="U46" s="388"/>
      <c r="V46" s="396">
        <f>ROUND(((+I38/I34)*100),2)</f>
        <v>47.89</v>
      </c>
      <c r="W46" s="388"/>
      <c r="X46" s="396">
        <f>ROUND(((+K38/K34)*100),2)</f>
        <v>46.21</v>
      </c>
      <c r="Y46" s="388"/>
      <c r="Z46" s="396">
        <f>ROUND(AVERAGE(P46:Y46),2)</f>
        <v>48.79</v>
      </c>
      <c r="AA46" s="388"/>
    </row>
    <row r="47" spans="1:27" x14ac:dyDescent="0.35">
      <c r="P47" s="396"/>
      <c r="Q47" s="388"/>
      <c r="R47" s="396"/>
      <c r="S47" s="388"/>
      <c r="T47" s="396"/>
      <c r="U47" s="388"/>
      <c r="V47" s="396"/>
      <c r="W47" s="388"/>
      <c r="X47" s="396"/>
      <c r="Y47" s="388"/>
      <c r="Z47" s="396"/>
      <c r="AA47" s="388"/>
    </row>
    <row r="48" spans="1:27" x14ac:dyDescent="0.35">
      <c r="A48" s="406" t="s">
        <v>3188</v>
      </c>
      <c r="B48" s="406" t="s">
        <v>3189</v>
      </c>
      <c r="C48" s="386">
        <f>C16/C15</f>
        <v>22.691758304047159</v>
      </c>
      <c r="E48" s="386">
        <f>E16/E15</f>
        <v>20.9865312178975</v>
      </c>
      <c r="G48" s="386">
        <f>G16/G15</f>
        <v>19.813884278601272</v>
      </c>
      <c r="I48" s="386">
        <f>I16/I15</f>
        <v>18.572444648388206</v>
      </c>
      <c r="K48" s="386">
        <f>K16/K15</f>
        <v>15.16716454307139</v>
      </c>
      <c r="M48" s="386">
        <f>M16/M15</f>
        <v>14.015105185909981</v>
      </c>
      <c r="O48" s="410" t="s">
        <v>3190</v>
      </c>
      <c r="P48" s="396">
        <f>ROUND(((C34/AVERAGE(C16,E16))*100),2)</f>
        <v>11.02</v>
      </c>
      <c r="Q48" s="388" t="s">
        <v>1197</v>
      </c>
      <c r="R48" s="396">
        <f>ROUND(((E34/AVERAGE(E16,G16))*100),2)</f>
        <v>10.199999999999999</v>
      </c>
      <c r="S48" s="388" t="s">
        <v>1197</v>
      </c>
      <c r="T48" s="396">
        <f>ROUND(((G34/AVERAGE(G16,I16))*100),2)</f>
        <v>11.43</v>
      </c>
      <c r="U48" s="388" t="s">
        <v>1197</v>
      </c>
      <c r="V48" s="396">
        <f>ROUND(((I34/AVERAGE(I16,K16))*100),2)</f>
        <v>11.79</v>
      </c>
      <c r="W48" s="388" t="s">
        <v>1197</v>
      </c>
      <c r="X48" s="396">
        <f>ROUND(((K34/AVERAGE(K16,M16))*100),2)</f>
        <v>13.52</v>
      </c>
      <c r="Y48" s="388" t="s">
        <v>1197</v>
      </c>
      <c r="Z48" s="396">
        <f>ROUND(AVERAGE(P48:Y48),2)</f>
        <v>11.59</v>
      </c>
      <c r="AA48" s="388" t="s">
        <v>1197</v>
      </c>
    </row>
    <row r="49" spans="1:27" x14ac:dyDescent="0.35">
      <c r="C49" s="414"/>
      <c r="E49" s="414"/>
      <c r="G49" s="414"/>
      <c r="I49" s="414"/>
      <c r="K49" s="414"/>
      <c r="M49" s="414"/>
      <c r="P49" s="396"/>
      <c r="Q49" s="388"/>
      <c r="R49" s="396"/>
      <c r="S49" s="388"/>
      <c r="T49" s="396"/>
      <c r="U49" s="388"/>
      <c r="V49" s="396"/>
      <c r="W49" s="388"/>
      <c r="X49" s="396"/>
      <c r="Y49" s="388"/>
      <c r="Z49" s="397"/>
      <c r="AA49" s="388"/>
    </row>
    <row r="50" spans="1:27" x14ac:dyDescent="0.35">
      <c r="A50" s="406" t="s">
        <v>3191</v>
      </c>
      <c r="B50" s="406" t="s">
        <v>3189</v>
      </c>
      <c r="C50" s="386">
        <f>SUM(C12:C13,C16:C17)</f>
        <v>710154000</v>
      </c>
      <c r="E50" s="386">
        <f>SUM(E12:E13,E16:E17)</f>
        <v>683061000</v>
      </c>
      <c r="G50" s="386">
        <f>SUM(G12:G13,G16:G17)</f>
        <v>628791000</v>
      </c>
      <c r="I50" s="386">
        <f>SUM(I12:I13,I16:I17)</f>
        <v>563831000</v>
      </c>
      <c r="K50" s="386">
        <f>SUM(K12:K13,K16:K17)</f>
        <v>411414000</v>
      </c>
      <c r="M50" s="386">
        <f>SUM(M12:M13,M16:M17)</f>
        <v>377518000</v>
      </c>
      <c r="O50" s="410" t="s">
        <v>3192</v>
      </c>
      <c r="P50" s="396">
        <f>ROUND((C54/C62),2)</f>
        <v>4.4000000000000004</v>
      </c>
      <c r="Q50" s="397" t="s">
        <v>1401</v>
      </c>
      <c r="R50" s="396">
        <f>ROUND((E54/E62),2)</f>
        <v>4.95</v>
      </c>
      <c r="S50" s="397" t="s">
        <v>1401</v>
      </c>
      <c r="T50" s="396">
        <f>ROUND((G54/G62),2)</f>
        <v>4.51</v>
      </c>
      <c r="U50" s="397" t="s">
        <v>1401</v>
      </c>
      <c r="V50" s="396">
        <f>ROUND((I54/I62),2)</f>
        <v>4.71</v>
      </c>
      <c r="W50" s="397" t="s">
        <v>1401</v>
      </c>
      <c r="X50" s="396">
        <f>ROUND((K54/K62),2)</f>
        <v>3.78</v>
      </c>
      <c r="Y50" s="397" t="s">
        <v>1401</v>
      </c>
      <c r="Z50" s="396">
        <f>ROUND(AVERAGE(P50:Y50),2)</f>
        <v>4.47</v>
      </c>
      <c r="AA50" s="388" t="s">
        <v>1401</v>
      </c>
    </row>
    <row r="51" spans="1:27" x14ac:dyDescent="0.35">
      <c r="C51" s="414"/>
      <c r="E51" s="414"/>
      <c r="G51" s="414"/>
      <c r="I51" s="414"/>
      <c r="K51" s="414"/>
      <c r="M51" s="414"/>
      <c r="O51" s="410"/>
      <c r="P51" s="396"/>
      <c r="Q51" s="388"/>
      <c r="R51" s="396"/>
      <c r="S51" s="388"/>
      <c r="T51" s="396"/>
      <c r="U51" s="388"/>
      <c r="V51" s="396"/>
      <c r="W51" s="388"/>
      <c r="X51" s="396"/>
      <c r="Y51" s="388"/>
      <c r="Z51" s="396"/>
      <c r="AA51" s="388"/>
    </row>
    <row r="52" spans="1:27" x14ac:dyDescent="0.35">
      <c r="A52" s="406" t="s">
        <v>1534</v>
      </c>
      <c r="B52" s="406" t="s">
        <v>3189</v>
      </c>
      <c r="C52" s="386">
        <f>AVERAGE(C22:C23)</f>
        <v>97.10499999999999</v>
      </c>
      <c r="E52" s="386">
        <f>AVERAGE(E22:E23)</f>
        <v>93.91</v>
      </c>
      <c r="G52" s="386">
        <f>AVERAGE(G22:G23)</f>
        <v>62.015000000000001</v>
      </c>
      <c r="I52" s="386">
        <f>AVERAGE(I22:I23)</f>
        <v>59.55</v>
      </c>
      <c r="K52" s="386">
        <f>AVERAGE(K22:K23)</f>
        <v>46.540000000000006</v>
      </c>
      <c r="M52" s="386">
        <f>AVERAGE(M22:M23)</f>
        <v>39.695</v>
      </c>
      <c r="O52" s="410" t="s">
        <v>3193</v>
      </c>
      <c r="P52" s="396">
        <f>ROUND(((C60/C54)*100),2)</f>
        <v>16.64</v>
      </c>
      <c r="Q52" s="397" t="s">
        <v>1197</v>
      </c>
      <c r="R52" s="396">
        <f>ROUND(((E60/E54)*100),2)</f>
        <v>3.48</v>
      </c>
      <c r="S52" s="397" t="s">
        <v>1197</v>
      </c>
      <c r="T52" s="396">
        <f>ROUND(((G60/G54)*100),2)</f>
        <v>20.79</v>
      </c>
      <c r="U52" s="397" t="s">
        <v>1197</v>
      </c>
      <c r="V52" s="396">
        <f>ROUND(((I60/I54)*100),2)</f>
        <v>12.08</v>
      </c>
      <c r="W52" s="397" t="s">
        <v>1197</v>
      </c>
      <c r="X52" s="396">
        <f>ROUND(((K60/K54)*100),2)</f>
        <v>24.28</v>
      </c>
      <c r="Y52" s="397" t="s">
        <v>1197</v>
      </c>
      <c r="Z52" s="396">
        <f>ROUND(AVERAGE(P52:Y52),2)</f>
        <v>15.45</v>
      </c>
      <c r="AA52" s="388" t="s">
        <v>1197</v>
      </c>
    </row>
    <row r="53" spans="1:27" x14ac:dyDescent="0.35">
      <c r="C53" s="414"/>
      <c r="E53" s="414"/>
      <c r="G53" s="414"/>
      <c r="I53" s="414"/>
      <c r="K53" s="414"/>
      <c r="M53" s="414"/>
      <c r="O53" s="419"/>
      <c r="P53" s="396"/>
      <c r="Q53" s="388"/>
      <c r="R53" s="396"/>
      <c r="S53" s="388"/>
      <c r="T53" s="396"/>
      <c r="U53" s="388"/>
      <c r="V53" s="396"/>
      <c r="W53" s="388"/>
      <c r="X53" s="396"/>
      <c r="Y53" s="388"/>
      <c r="Z53" s="388"/>
      <c r="AA53" s="388"/>
    </row>
    <row r="54" spans="1:27" x14ac:dyDescent="0.35">
      <c r="A54" s="406" t="s">
        <v>3194</v>
      </c>
      <c r="C54" s="386">
        <f>+C19+C12</f>
        <v>363242000</v>
      </c>
      <c r="E54" s="386">
        <f>+E19+E12</f>
        <v>326251000</v>
      </c>
      <c r="G54" s="386">
        <f>+G19+G12</f>
        <v>282499000</v>
      </c>
      <c r="I54" s="386">
        <f>+I19+I12</f>
        <v>257955000</v>
      </c>
      <c r="K54" s="386">
        <f>+K19+K12</f>
        <v>208694000</v>
      </c>
      <c r="M54" s="386">
        <f>+M19+M12</f>
        <v>173910000</v>
      </c>
      <c r="O54" s="419" t="s">
        <v>3195</v>
      </c>
      <c r="P54" s="396">
        <f>P33</f>
        <v>47.44</v>
      </c>
      <c r="Q54" s="397" t="s">
        <v>1197</v>
      </c>
      <c r="R54" s="396">
        <f>R33</f>
        <v>46.87</v>
      </c>
      <c r="S54" s="397" t="s">
        <v>1197</v>
      </c>
      <c r="T54" s="396">
        <f>T33</f>
        <v>44.78</v>
      </c>
      <c r="U54" s="397" t="s">
        <v>1197</v>
      </c>
      <c r="V54" s="396">
        <f>V33</f>
        <v>44.18</v>
      </c>
      <c r="W54" s="397" t="s">
        <v>1197</v>
      </c>
      <c r="X54" s="396">
        <f>X33</f>
        <v>45.38</v>
      </c>
      <c r="Y54" s="397" t="s">
        <v>1197</v>
      </c>
      <c r="Z54" s="396">
        <f>ROUND(AVERAGE(P54:Y54),2)</f>
        <v>45.73</v>
      </c>
      <c r="AA54" s="397" t="s">
        <v>1197</v>
      </c>
    </row>
    <row r="55" spans="1:27" x14ac:dyDescent="0.35">
      <c r="C55" s="414"/>
      <c r="E55" s="414"/>
      <c r="G55" s="414"/>
      <c r="I55" s="414"/>
      <c r="K55" s="414"/>
      <c r="M55" s="414"/>
    </row>
    <row r="56" spans="1:27" x14ac:dyDescent="0.35">
      <c r="A56" s="406" t="s">
        <v>3196</v>
      </c>
      <c r="B56" s="406" t="s">
        <v>3189</v>
      </c>
      <c r="C56" s="386">
        <f>SUM(C50,C19)</f>
        <v>765654000</v>
      </c>
      <c r="E56" s="386">
        <f>SUM(E50,E19)</f>
        <v>696061000</v>
      </c>
      <c r="G56" s="386">
        <f>SUM(G50,G19)</f>
        <v>630791000</v>
      </c>
      <c r="I56" s="386">
        <f>SUM(I50,I19)</f>
        <v>583831000</v>
      </c>
      <c r="K56" s="386">
        <f>SUM(K50,K19)</f>
        <v>459914000</v>
      </c>
      <c r="M56" s="386">
        <f>SUM(M50,M19)</f>
        <v>405518000</v>
      </c>
    </row>
    <row r="57" spans="1:27" x14ac:dyDescent="0.35">
      <c r="C57" s="414"/>
      <c r="E57" s="414"/>
      <c r="G57" s="414"/>
      <c r="I57" s="414"/>
      <c r="K57" s="414"/>
      <c r="M57" s="414"/>
    </row>
    <row r="58" spans="1:27" x14ac:dyDescent="0.35">
      <c r="A58" s="406" t="s">
        <v>3197</v>
      </c>
      <c r="B58" s="406" t="s">
        <v>3189</v>
      </c>
      <c r="C58" s="386">
        <f>SUM(C13,C17)</f>
        <v>2084000</v>
      </c>
      <c r="E58" s="386">
        <f>SUM(E13,E17)</f>
        <v>2084000</v>
      </c>
      <c r="G58" s="386">
        <f>SUM(G13,G17)</f>
        <v>2084000</v>
      </c>
      <c r="I58" s="386">
        <f>SUM(I13,I17)</f>
        <v>2084000</v>
      </c>
      <c r="K58" s="386">
        <f>SUM(K13,K17)</f>
        <v>2433000</v>
      </c>
      <c r="M58" s="386">
        <f>SUM(M13,M17)</f>
        <v>2433000</v>
      </c>
    </row>
    <row r="59" spans="1:27" x14ac:dyDescent="0.35">
      <c r="C59" s="414"/>
      <c r="E59" s="414"/>
      <c r="G59" s="414"/>
      <c r="I59" s="414"/>
      <c r="K59" s="414"/>
      <c r="M59" s="414"/>
    </row>
    <row r="60" spans="1:27" x14ac:dyDescent="0.35">
      <c r="A60" s="420" t="s">
        <v>3198</v>
      </c>
      <c r="B60" s="406" t="s">
        <v>3189</v>
      </c>
      <c r="C60" s="386">
        <f>ROUND(C41+C42-C28,3)</f>
        <v>60426000</v>
      </c>
      <c r="E60" s="386">
        <f>ROUND(E41+E42-E28,3)</f>
        <v>11353000</v>
      </c>
      <c r="G60" s="386">
        <f>ROUND(G41+G42-G28,3)</f>
        <v>58719000</v>
      </c>
      <c r="I60" s="386">
        <f>ROUND(I41+I42-I28,3)</f>
        <v>31171000</v>
      </c>
      <c r="K60" s="386">
        <f>ROUND(K41+K42-K28,3)</f>
        <v>50666000</v>
      </c>
      <c r="M60" s="386">
        <f>ROUND(M41+M42-M28,3)</f>
        <v>39235000</v>
      </c>
    </row>
    <row r="61" spans="1:27" x14ac:dyDescent="0.35">
      <c r="A61" s="420"/>
    </row>
    <row r="62" spans="1:27" x14ac:dyDescent="0.35">
      <c r="A62" s="406" t="s">
        <v>957</v>
      </c>
      <c r="B62" s="406" t="s">
        <v>3189</v>
      </c>
      <c r="C62" s="414">
        <f>C40+C43+C44+C30</f>
        <v>82511000</v>
      </c>
      <c r="E62" s="414">
        <f>E40+E43+E44+E30</f>
        <v>65968000</v>
      </c>
      <c r="G62" s="414">
        <f>G40+G43+G44+G30</f>
        <v>62637000</v>
      </c>
      <c r="I62" s="414">
        <f>I40+I43+I44+I30</f>
        <v>54728000</v>
      </c>
      <c r="K62" s="414">
        <f>K40+K43+K44+K30</f>
        <v>55171000</v>
      </c>
      <c r="M62" s="414">
        <f>M40+M43+M44+M30</f>
        <v>54261000</v>
      </c>
    </row>
    <row r="63" spans="1:27" x14ac:dyDescent="0.35">
      <c r="M63" s="421"/>
      <c r="N63" s="421"/>
    </row>
    <row r="64" spans="1:27" x14ac:dyDescent="0.35">
      <c r="M64" s="421"/>
      <c r="N64" s="421"/>
    </row>
    <row r="71" spans="13:14" x14ac:dyDescent="0.35">
      <c r="M71" s="421"/>
      <c r="N71" s="421"/>
    </row>
    <row r="81" spans="13:220" x14ac:dyDescent="0.35">
      <c r="HH81" s="422"/>
      <c r="HI81" s="422"/>
      <c r="HL81" s="406" t="s">
        <v>3199</v>
      </c>
    </row>
    <row r="94" spans="13:220" x14ac:dyDescent="0.35">
      <c r="M94" s="421"/>
      <c r="N94" s="421"/>
    </row>
    <row r="95" spans="13:220" x14ac:dyDescent="0.35">
      <c r="M95" s="421"/>
      <c r="N95" s="421"/>
    </row>
    <row r="96" spans="13:220" x14ac:dyDescent="0.35">
      <c r="M96" s="421"/>
      <c r="N96" s="421"/>
    </row>
    <row r="97" spans="13:14" x14ac:dyDescent="0.35">
      <c r="M97" s="421"/>
      <c r="N97" s="421"/>
    </row>
    <row r="98" spans="13:14" x14ac:dyDescent="0.35">
      <c r="M98" s="421"/>
      <c r="N98" s="421"/>
    </row>
    <row r="99" spans="13:14" x14ac:dyDescent="0.35">
      <c r="M99" s="421"/>
      <c r="N99" s="421"/>
    </row>
    <row r="100" spans="13:14" x14ac:dyDescent="0.35">
      <c r="M100" s="421"/>
      <c r="N100" s="421"/>
    </row>
    <row r="101" spans="13:14" x14ac:dyDescent="0.35">
      <c r="M101" s="421"/>
      <c r="N101" s="421"/>
    </row>
    <row r="102" spans="13:14" x14ac:dyDescent="0.35">
      <c r="M102" s="421"/>
      <c r="N102" s="421"/>
    </row>
    <row r="103" spans="13:14" x14ac:dyDescent="0.35">
      <c r="M103" s="421"/>
      <c r="N103" s="421"/>
    </row>
    <row r="104" spans="13:14" x14ac:dyDescent="0.35">
      <c r="M104" s="421"/>
      <c r="N104" s="421"/>
    </row>
    <row r="105" spans="13:14" x14ac:dyDescent="0.35">
      <c r="M105" s="421"/>
      <c r="N105" s="421"/>
    </row>
    <row r="106" spans="13:14" x14ac:dyDescent="0.35">
      <c r="M106" s="421"/>
      <c r="N106" s="421"/>
    </row>
    <row r="107" spans="13:14" x14ac:dyDescent="0.35">
      <c r="M107" s="421"/>
      <c r="N107" s="421"/>
    </row>
    <row r="108" spans="13:14" x14ac:dyDescent="0.35">
      <c r="M108" s="421"/>
      <c r="N108" s="421"/>
    </row>
    <row r="109" spans="13:14" x14ac:dyDescent="0.35">
      <c r="M109" s="421"/>
      <c r="N109" s="421"/>
    </row>
    <row r="110" spans="13:14" x14ac:dyDescent="0.35">
      <c r="M110" s="421"/>
      <c r="N110" s="421"/>
    </row>
    <row r="111" spans="13:14" x14ac:dyDescent="0.35">
      <c r="M111" s="421"/>
      <c r="N111" s="421"/>
    </row>
    <row r="112" spans="13:14" x14ac:dyDescent="0.35">
      <c r="M112" s="421"/>
      <c r="N112" s="421"/>
    </row>
    <row r="113" spans="13:14" x14ac:dyDescent="0.35">
      <c r="M113" s="421"/>
      <c r="N113" s="421"/>
    </row>
    <row r="114" spans="13:14" x14ac:dyDescent="0.35">
      <c r="M114" s="421"/>
      <c r="N114" s="421"/>
    </row>
    <row r="115" spans="13:14" x14ac:dyDescent="0.35">
      <c r="M115" s="421"/>
      <c r="N115" s="421"/>
    </row>
    <row r="116" spans="13:14" x14ac:dyDescent="0.35">
      <c r="M116" s="421"/>
      <c r="N116" s="421"/>
    </row>
    <row r="117" spans="13:14" x14ac:dyDescent="0.35">
      <c r="M117" s="421"/>
      <c r="N117" s="421"/>
    </row>
    <row r="118" spans="13:14" x14ac:dyDescent="0.35">
      <c r="M118" s="421"/>
      <c r="N118" s="421"/>
    </row>
    <row r="119" spans="13:14" x14ac:dyDescent="0.35">
      <c r="M119" s="421"/>
      <c r="N119" s="421"/>
    </row>
    <row r="120" spans="13:14" x14ac:dyDescent="0.35">
      <c r="M120" s="421"/>
      <c r="N120" s="421"/>
    </row>
    <row r="121" spans="13:14" x14ac:dyDescent="0.35">
      <c r="M121" s="421"/>
      <c r="N121" s="421"/>
    </row>
    <row r="122" spans="13:14" x14ac:dyDescent="0.35">
      <c r="M122" s="421"/>
      <c r="N122" s="421"/>
    </row>
    <row r="123" spans="13:14" x14ac:dyDescent="0.35">
      <c r="M123" s="421"/>
      <c r="N123" s="421"/>
    </row>
    <row r="124" spans="13:14" x14ac:dyDescent="0.35">
      <c r="M124" s="421"/>
      <c r="N124" s="421"/>
    </row>
    <row r="125" spans="13:14" x14ac:dyDescent="0.35">
      <c r="M125" s="421"/>
      <c r="N125" s="421"/>
    </row>
    <row r="126" spans="13:14" x14ac:dyDescent="0.35">
      <c r="M126" s="421"/>
      <c r="N126" s="421"/>
    </row>
    <row r="127" spans="13:14" x14ac:dyDescent="0.35">
      <c r="M127" s="421"/>
      <c r="N127" s="421"/>
    </row>
    <row r="128" spans="13:14" x14ac:dyDescent="0.35">
      <c r="M128" s="421"/>
      <c r="N128" s="421"/>
    </row>
    <row r="129" spans="13:14" x14ac:dyDescent="0.35">
      <c r="M129" s="421"/>
      <c r="N129" s="421"/>
    </row>
    <row r="130" spans="13:14" x14ac:dyDescent="0.35">
      <c r="M130" s="421"/>
      <c r="N130" s="421"/>
    </row>
    <row r="131" spans="13:14" x14ac:dyDescent="0.35">
      <c r="M131" s="421"/>
      <c r="N131" s="421"/>
    </row>
    <row r="132" spans="13:14" x14ac:dyDescent="0.35">
      <c r="M132" s="421"/>
      <c r="N132" s="421"/>
    </row>
    <row r="133" spans="13:14" x14ac:dyDescent="0.35">
      <c r="M133" s="421"/>
      <c r="N133" s="421"/>
    </row>
    <row r="134" spans="13:14" x14ac:dyDescent="0.35">
      <c r="M134" s="421"/>
      <c r="N134" s="421"/>
    </row>
    <row r="135" spans="13:14" x14ac:dyDescent="0.35">
      <c r="M135" s="421"/>
      <c r="N135" s="421"/>
    </row>
    <row r="136" spans="13:14" x14ac:dyDescent="0.35">
      <c r="M136" s="421"/>
      <c r="N136" s="421"/>
    </row>
    <row r="137" spans="13:14" x14ac:dyDescent="0.35">
      <c r="M137" s="421"/>
      <c r="N137" s="421"/>
    </row>
    <row r="138" spans="13:14" x14ac:dyDescent="0.35">
      <c r="M138" s="421"/>
      <c r="N138" s="421"/>
    </row>
    <row r="139" spans="13:14" x14ac:dyDescent="0.35">
      <c r="M139" s="421"/>
      <c r="N139" s="421"/>
    </row>
    <row r="140" spans="13:14" x14ac:dyDescent="0.35">
      <c r="M140" s="421"/>
      <c r="N140" s="421"/>
    </row>
    <row r="141" spans="13:14" x14ac:dyDescent="0.35">
      <c r="M141" s="421"/>
      <c r="N141" s="421"/>
    </row>
    <row r="142" spans="13:14" x14ac:dyDescent="0.35">
      <c r="M142" s="421"/>
      <c r="N142" s="421"/>
    </row>
    <row r="143" spans="13:14" x14ac:dyDescent="0.35">
      <c r="M143" s="421"/>
      <c r="N143" s="421"/>
    </row>
    <row r="144" spans="13:14" x14ac:dyDescent="0.35">
      <c r="M144" s="421"/>
      <c r="N144" s="421"/>
    </row>
    <row r="145" spans="13:14" x14ac:dyDescent="0.35">
      <c r="M145" s="421"/>
      <c r="N145" s="421"/>
    </row>
    <row r="146" spans="13:14" x14ac:dyDescent="0.35">
      <c r="M146" s="421"/>
      <c r="N146" s="421"/>
    </row>
    <row r="147" spans="13:14" x14ac:dyDescent="0.35">
      <c r="M147" s="421"/>
      <c r="N147" s="421"/>
    </row>
    <row r="148" spans="13:14" x14ac:dyDescent="0.35">
      <c r="M148" s="421"/>
      <c r="N148" s="421"/>
    </row>
    <row r="149" spans="13:14" x14ac:dyDescent="0.35">
      <c r="M149" s="421"/>
      <c r="N149" s="421"/>
    </row>
    <row r="150" spans="13:14" x14ac:dyDescent="0.35">
      <c r="M150" s="421"/>
      <c r="N150" s="421"/>
    </row>
    <row r="151" spans="13:14" x14ac:dyDescent="0.35">
      <c r="M151" s="421"/>
      <c r="N151" s="421"/>
    </row>
    <row r="152" spans="13:14" x14ac:dyDescent="0.35">
      <c r="M152" s="421"/>
      <c r="N152" s="421"/>
    </row>
    <row r="153" spans="13:14" x14ac:dyDescent="0.35">
      <c r="M153" s="421"/>
      <c r="N153" s="421"/>
    </row>
    <row r="154" spans="13:14" x14ac:dyDescent="0.35">
      <c r="M154" s="421"/>
      <c r="N154" s="421"/>
    </row>
  </sheetData>
  <mergeCells count="4">
    <mergeCell ref="C8:M8"/>
    <mergeCell ref="T13:Y13"/>
    <mergeCell ref="Z24:AA24"/>
    <mergeCell ref="Z25:AA25"/>
  </mergeCells>
  <printOptions horizontalCentered="1"/>
  <pageMargins left="0.75" right="0.75" top="1" bottom="1" header="0.5" footer="0.5"/>
  <pageSetup scale="71"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D9687-45BF-455D-A50F-33F95B2751E5}">
  <sheetPr>
    <pageSetUpPr fitToPage="1"/>
  </sheetPr>
  <dimension ref="A1:HL154"/>
  <sheetViews>
    <sheetView zoomScale="85" zoomScaleNormal="85" workbookViewId="0">
      <selection sqref="A1:H1"/>
    </sheetView>
  </sheetViews>
  <sheetFormatPr defaultColWidth="9.15234375" defaultRowHeight="12.9" x14ac:dyDescent="0.35"/>
  <cols>
    <col min="1" max="1" width="36.3046875" style="378" customWidth="1"/>
    <col min="2" max="2" width="18" style="378" bestFit="1" customWidth="1"/>
    <col min="3" max="3" width="17.3046875" style="378" customWidth="1"/>
    <col min="4" max="4" width="2.53515625" style="378" customWidth="1"/>
    <col min="5" max="5" width="17.3046875" style="378" customWidth="1"/>
    <col min="6" max="6" width="2.53515625" style="378" customWidth="1"/>
    <col min="7" max="7" width="17.3046875" style="378" customWidth="1"/>
    <col min="8" max="8" width="3.53515625" style="378" customWidth="1"/>
    <col min="9" max="9" width="17.3046875" style="378" customWidth="1"/>
    <col min="10" max="10" width="3.53515625" style="378" customWidth="1"/>
    <col min="11" max="11" width="17.3046875" style="378" customWidth="1"/>
    <col min="12" max="12" width="2" style="378" customWidth="1"/>
    <col min="13" max="13" width="17.3046875" style="378" customWidth="1"/>
    <col min="14" max="14" width="8.69140625" style="378" customWidth="1"/>
    <col min="15" max="15" width="53.3046875" style="378" bestFit="1" customWidth="1"/>
    <col min="16" max="16" width="13" style="378" customWidth="1"/>
    <col min="17" max="17" width="3.3046875" style="378" bestFit="1" customWidth="1"/>
    <col min="18" max="18" width="13" style="378" customWidth="1"/>
    <col min="19" max="19" width="3.3046875" style="378" bestFit="1" customWidth="1"/>
    <col min="20" max="20" width="11.3828125" style="378" bestFit="1" customWidth="1"/>
    <col min="21" max="21" width="3.3046875" style="378" bestFit="1" customWidth="1"/>
    <col min="22" max="22" width="11.3828125" style="378" bestFit="1" customWidth="1"/>
    <col min="23" max="23" width="3.3046875" style="378" bestFit="1" customWidth="1"/>
    <col min="24" max="24" width="11.3828125" style="378" bestFit="1" customWidth="1"/>
    <col min="25" max="25" width="3.3046875" style="378" bestFit="1" customWidth="1"/>
    <col min="26" max="26" width="10.53515625" style="378" customWidth="1"/>
    <col min="27" max="27" width="2.69140625" style="378" customWidth="1"/>
    <col min="28" max="28" width="9.15234375" style="378"/>
    <col min="29" max="29" width="4.3828125" style="378" customWidth="1"/>
    <col min="30" max="30" width="3.69140625" style="378" customWidth="1"/>
    <col min="31" max="31" width="22.3046875" style="378" customWidth="1"/>
    <col min="32" max="16384" width="9.15234375" style="378"/>
  </cols>
  <sheetData>
    <row r="1" spans="1:27" ht="16.2" customHeight="1" x14ac:dyDescent="0.35">
      <c r="A1" s="378" t="s">
        <v>1570</v>
      </c>
    </row>
    <row r="2" spans="1:27" ht="16.2" customHeight="1" x14ac:dyDescent="0.35"/>
    <row r="3" spans="1:27" ht="16.2" customHeight="1" x14ac:dyDescent="0.35"/>
    <row r="4" spans="1:27" ht="16.2" customHeight="1" thickBot="1" x14ac:dyDescent="0.4"/>
    <row r="5" spans="1:27" ht="15.45" x14ac:dyDescent="0.65">
      <c r="A5" s="379" t="s">
        <v>3200</v>
      </c>
    </row>
    <row r="6" spans="1:27" ht="16.5" customHeight="1" thickBot="1" x14ac:dyDescent="0.4">
      <c r="A6" s="380" t="s">
        <v>1441</v>
      </c>
      <c r="C6" s="961" t="s">
        <v>3205</v>
      </c>
      <c r="D6" s="961"/>
      <c r="E6" s="961"/>
      <c r="F6" s="961"/>
      <c r="G6" s="961"/>
      <c r="H6" s="961"/>
      <c r="I6" s="961"/>
      <c r="J6" s="961"/>
      <c r="K6" s="961"/>
      <c r="L6" s="961"/>
      <c r="M6" s="961"/>
      <c r="O6" s="382" t="str">
        <f>C6</f>
        <v>SJW Corp.</v>
      </c>
      <c r="P6" s="382"/>
      <c r="Q6" s="383"/>
      <c r="R6" s="382"/>
      <c r="S6" s="383"/>
      <c r="T6" s="384"/>
      <c r="U6" s="383"/>
      <c r="V6" s="384"/>
      <c r="W6" s="383"/>
      <c r="X6" s="384"/>
      <c r="Y6" s="384"/>
      <c r="Z6" s="384"/>
    </row>
    <row r="7" spans="1:27" ht="15.75" customHeight="1" x14ac:dyDescent="0.35">
      <c r="C7" s="962" t="s">
        <v>3124</v>
      </c>
      <c r="D7" s="962"/>
      <c r="E7" s="962"/>
      <c r="F7" s="962"/>
      <c r="G7" s="962"/>
      <c r="H7" s="962"/>
      <c r="I7" s="962"/>
      <c r="J7" s="962"/>
      <c r="K7" s="962"/>
      <c r="L7" s="962"/>
      <c r="M7" s="962"/>
      <c r="O7" s="384" t="str">
        <f>C7</f>
        <v>CAPITALIZATION AND FINANCIAL STATISTICS  (1)</v>
      </c>
      <c r="P7" s="384"/>
      <c r="Q7" s="384"/>
      <c r="R7" s="384"/>
      <c r="S7" s="384"/>
      <c r="T7" s="384"/>
      <c r="U7" s="384"/>
      <c r="V7" s="384"/>
      <c r="W7" s="384"/>
      <c r="X7" s="384"/>
      <c r="Y7" s="384"/>
      <c r="Z7" s="384"/>
    </row>
    <row r="8" spans="1:27" ht="15.75" customHeight="1" x14ac:dyDescent="0.35">
      <c r="C8" s="961" t="s">
        <v>3125</v>
      </c>
      <c r="D8" s="961"/>
      <c r="E8" s="961"/>
      <c r="F8" s="961"/>
      <c r="G8" s="961"/>
      <c r="H8" s="961"/>
      <c r="I8" s="961"/>
      <c r="J8" s="961"/>
      <c r="K8" s="961"/>
      <c r="L8" s="961"/>
      <c r="M8" s="961"/>
      <c r="O8" s="383" t="str">
        <f>C8</f>
        <v>2018 - 2022, Inclusive</v>
      </c>
      <c r="P8" s="383"/>
      <c r="Q8" s="383"/>
      <c r="R8" s="383"/>
      <c r="S8" s="383"/>
      <c r="T8" s="384"/>
      <c r="U8" s="383"/>
      <c r="V8" s="384"/>
      <c r="W8" s="383"/>
      <c r="X8" s="384"/>
      <c r="Y8" s="384"/>
      <c r="Z8" s="384"/>
    </row>
    <row r="9" spans="1:27" x14ac:dyDescent="0.35">
      <c r="O9" s="384"/>
      <c r="P9" s="384"/>
      <c r="Q9" s="383"/>
      <c r="R9" s="384"/>
      <c r="S9" s="383"/>
      <c r="T9" s="383"/>
      <c r="U9" s="383"/>
      <c r="V9" s="383"/>
      <c r="W9" s="383"/>
      <c r="X9" s="384"/>
      <c r="Y9" s="384"/>
      <c r="Z9" s="384"/>
    </row>
    <row r="10" spans="1:27" x14ac:dyDescent="0.35">
      <c r="B10" s="378" t="s">
        <v>3126</v>
      </c>
      <c r="C10" s="381">
        <v>2022</v>
      </c>
      <c r="E10" s="381">
        <v>2021</v>
      </c>
      <c r="G10" s="381">
        <v>2020</v>
      </c>
      <c r="I10" s="381">
        <v>2019</v>
      </c>
      <c r="K10" s="381">
        <v>2018</v>
      </c>
      <c r="M10" s="381">
        <v>2017</v>
      </c>
      <c r="Q10" s="383"/>
      <c r="S10" s="383"/>
      <c r="T10" s="383"/>
      <c r="U10" s="383"/>
      <c r="V10" s="383"/>
      <c r="W10" s="383"/>
      <c r="X10" s="384"/>
      <c r="Y10" s="384"/>
    </row>
    <row r="11" spans="1:27" x14ac:dyDescent="0.35">
      <c r="A11" s="378" t="s">
        <v>3127</v>
      </c>
    </row>
    <row r="12" spans="1:27" x14ac:dyDescent="0.35">
      <c r="A12" s="378" t="s">
        <v>3128</v>
      </c>
      <c r="B12" s="378" t="s">
        <v>3129</v>
      </c>
      <c r="C12" s="385">
        <f>1491965000+4360000</f>
        <v>1496325000</v>
      </c>
      <c r="E12" s="385">
        <f>1492935000+39106000</f>
        <v>1532041000</v>
      </c>
      <c r="G12" s="385">
        <f>1287580000+76241000</f>
        <v>1363821000</v>
      </c>
      <c r="I12" s="385">
        <v>1283597000</v>
      </c>
      <c r="K12" s="386">
        <v>431424000</v>
      </c>
      <c r="M12" s="386">
        <v>431092000</v>
      </c>
      <c r="P12" s="381">
        <f>C10</f>
        <v>2022</v>
      </c>
      <c r="Q12" s="387"/>
      <c r="R12" s="381">
        <f>E10</f>
        <v>2021</v>
      </c>
      <c r="S12" s="387"/>
      <c r="T12" s="381">
        <f>G10</f>
        <v>2020</v>
      </c>
      <c r="U12" s="387"/>
      <c r="V12" s="387">
        <f>I10</f>
        <v>2019</v>
      </c>
      <c r="W12" s="387"/>
      <c r="X12" s="387">
        <f>K10</f>
        <v>2018</v>
      </c>
      <c r="Y12" s="387"/>
      <c r="Z12" s="388"/>
      <c r="AA12" s="388"/>
    </row>
    <row r="13" spans="1:27" x14ac:dyDescent="0.35">
      <c r="A13" s="378" t="s">
        <v>3130</v>
      </c>
      <c r="B13" s="378" t="s">
        <v>3131</v>
      </c>
      <c r="C13" s="386">
        <v>0</v>
      </c>
      <c r="E13" s="386">
        <v>0</v>
      </c>
      <c r="G13" s="386">
        <v>0</v>
      </c>
      <c r="I13" s="386">
        <v>0</v>
      </c>
      <c r="K13" s="386">
        <v>0</v>
      </c>
      <c r="M13" s="386">
        <v>0</v>
      </c>
      <c r="Q13" s="389"/>
      <c r="S13" s="389"/>
      <c r="T13" s="960" t="s">
        <v>3132</v>
      </c>
      <c r="U13" s="960"/>
      <c r="V13" s="960"/>
      <c r="W13" s="960"/>
      <c r="X13" s="960"/>
      <c r="Y13" s="960"/>
      <c r="Z13" s="389" t="s">
        <v>1570</v>
      </c>
      <c r="AA13" s="388"/>
    </row>
    <row r="14" spans="1:27" x14ac:dyDescent="0.35">
      <c r="C14" s="391"/>
      <c r="E14" s="391"/>
      <c r="G14" s="391"/>
      <c r="I14" s="391"/>
      <c r="K14" s="391"/>
      <c r="M14" s="391"/>
      <c r="O14" s="392" t="s">
        <v>3133</v>
      </c>
      <c r="P14" s="392"/>
      <c r="Q14" s="388"/>
      <c r="R14" s="392"/>
      <c r="S14" s="388"/>
      <c r="T14" s="388"/>
      <c r="U14" s="388"/>
      <c r="V14" s="388"/>
      <c r="W14" s="388"/>
      <c r="X14" s="388"/>
      <c r="Y14" s="388"/>
      <c r="Z14" s="388"/>
      <c r="AA14" s="388"/>
    </row>
    <row r="15" spans="1:27" x14ac:dyDescent="0.35">
      <c r="A15" s="378" t="s">
        <v>3134</v>
      </c>
      <c r="B15" s="378" t="s">
        <v>3135</v>
      </c>
      <c r="C15" s="385">
        <v>30801912</v>
      </c>
      <c r="E15" s="385">
        <v>30181348</v>
      </c>
      <c r="G15" s="385">
        <v>28556605</v>
      </c>
      <c r="I15" s="385">
        <v>28456508</v>
      </c>
      <c r="K15" s="386">
        <v>28404316</v>
      </c>
      <c r="M15" s="386">
        <v>20520856</v>
      </c>
      <c r="Q15" s="388"/>
      <c r="S15" s="388"/>
      <c r="T15" s="388"/>
      <c r="U15" s="388"/>
      <c r="V15" s="388"/>
      <c r="W15" s="388"/>
      <c r="X15" s="388"/>
      <c r="Y15" s="388"/>
      <c r="Z15" s="388"/>
      <c r="AA15" s="388"/>
    </row>
    <row r="16" spans="1:27" x14ac:dyDescent="0.35">
      <c r="A16" s="378" t="s">
        <v>1162</v>
      </c>
      <c r="B16" s="378" t="s">
        <v>3136</v>
      </c>
      <c r="C16" s="385">
        <v>1110868000</v>
      </c>
      <c r="E16" s="385">
        <v>1034519000</v>
      </c>
      <c r="G16" s="385">
        <v>917160000</v>
      </c>
      <c r="I16" s="385">
        <v>889984000</v>
      </c>
      <c r="K16" s="386">
        <v>889312000</v>
      </c>
      <c r="M16" s="386">
        <v>463209000</v>
      </c>
      <c r="O16" s="392" t="s">
        <v>3137</v>
      </c>
      <c r="P16" s="392"/>
      <c r="Q16" s="388"/>
      <c r="R16" s="392"/>
      <c r="S16" s="388"/>
      <c r="T16" s="388"/>
      <c r="U16" s="388"/>
      <c r="V16" s="388"/>
      <c r="W16" s="388"/>
      <c r="X16" s="388"/>
      <c r="Y16" s="388"/>
      <c r="Z16" s="388"/>
      <c r="AA16" s="388"/>
    </row>
    <row r="17" spans="1:27" x14ac:dyDescent="0.35">
      <c r="A17" s="378" t="s">
        <v>3138</v>
      </c>
      <c r="B17" s="378" t="s">
        <v>3135</v>
      </c>
      <c r="C17" s="386">
        <v>0</v>
      </c>
      <c r="E17" s="386">
        <v>0</v>
      </c>
      <c r="G17" s="386">
        <v>0</v>
      </c>
      <c r="I17" s="386">
        <v>0</v>
      </c>
      <c r="K17" s="386">
        <v>0</v>
      </c>
      <c r="M17" s="386">
        <v>0</v>
      </c>
      <c r="O17" s="378" t="s">
        <v>3139</v>
      </c>
      <c r="P17" s="393">
        <f>C50/1000000</f>
        <v>2607.1930000000002</v>
      </c>
      <c r="R17" s="393">
        <f>E50/1000000</f>
        <v>2566.56</v>
      </c>
      <c r="T17" s="393">
        <f>G50/1000000</f>
        <v>2280.9810000000002</v>
      </c>
      <c r="V17" s="393">
        <f>I50/1000000</f>
        <v>2173.5810000000001</v>
      </c>
      <c r="X17" s="393">
        <f>K50/1000000</f>
        <v>1320.7360000000001</v>
      </c>
      <c r="Y17" s="393"/>
      <c r="Z17" s="388"/>
      <c r="AA17" s="388"/>
    </row>
    <row r="18" spans="1:27" x14ac:dyDescent="0.35">
      <c r="C18" s="391"/>
      <c r="E18" s="391"/>
      <c r="G18" s="391"/>
      <c r="I18" s="391"/>
      <c r="K18" s="391"/>
      <c r="M18" s="391"/>
      <c r="O18" s="378" t="s">
        <v>3140</v>
      </c>
      <c r="P18" s="394">
        <f>C19/1000000</f>
        <v>159.578</v>
      </c>
      <c r="R18" s="394">
        <f>E19/1000000</f>
        <v>62.996000000000002</v>
      </c>
      <c r="T18" s="394">
        <f>G19/1000000</f>
        <v>175.09399999999999</v>
      </c>
      <c r="V18" s="394">
        <f>I19/1000000</f>
        <v>117.209</v>
      </c>
      <c r="X18" s="394">
        <f>K19/1000000</f>
        <v>100</v>
      </c>
      <c r="Y18" s="393"/>
      <c r="Z18" s="388"/>
      <c r="AA18" s="388"/>
    </row>
    <row r="19" spans="1:27" x14ac:dyDescent="0.35">
      <c r="A19" s="378" t="s">
        <v>3141</v>
      </c>
      <c r="B19" s="378" t="s">
        <v>3142</v>
      </c>
      <c r="C19" s="385">
        <v>159578000</v>
      </c>
      <c r="E19" s="385">
        <v>62996000</v>
      </c>
      <c r="G19" s="385">
        <v>175094000</v>
      </c>
      <c r="I19" s="385">
        <v>117209000</v>
      </c>
      <c r="K19" s="386">
        <v>100000000</v>
      </c>
      <c r="M19" s="386">
        <v>25000000</v>
      </c>
      <c r="O19" s="378" t="s">
        <v>3143</v>
      </c>
      <c r="P19" s="395">
        <f>SUM(P17:P18)</f>
        <v>2766.7710000000002</v>
      </c>
      <c r="R19" s="395">
        <f>SUM(R17:R18)</f>
        <v>2629.556</v>
      </c>
      <c r="T19" s="395">
        <f>SUM(T17:T18)</f>
        <v>2456.0750000000003</v>
      </c>
      <c r="V19" s="395">
        <f>SUM(V17:V18)</f>
        <v>2290.79</v>
      </c>
      <c r="X19" s="395">
        <f>SUM(X17:X18)</f>
        <v>1420.7360000000001</v>
      </c>
      <c r="Y19" s="393"/>
      <c r="Z19" s="388"/>
      <c r="AA19" s="388"/>
    </row>
    <row r="20" spans="1:27" x14ac:dyDescent="0.35">
      <c r="C20" s="391"/>
      <c r="E20" s="391"/>
      <c r="G20" s="391"/>
      <c r="I20" s="391"/>
      <c r="K20" s="391"/>
      <c r="M20" s="391"/>
      <c r="P20" s="388"/>
      <c r="R20" s="388"/>
      <c r="T20" s="388"/>
      <c r="V20" s="388"/>
      <c r="X20" s="388"/>
      <c r="Y20" s="388"/>
      <c r="Z20" s="388"/>
      <c r="AA20" s="388"/>
    </row>
    <row r="21" spans="1:27" x14ac:dyDescent="0.35">
      <c r="A21" s="378" t="s">
        <v>3144</v>
      </c>
      <c r="B21" s="378" t="s">
        <v>3145</v>
      </c>
      <c r="C21" s="391">
        <v>2.4300000000000002</v>
      </c>
      <c r="E21" s="391">
        <v>2.0299999999999998</v>
      </c>
      <c r="G21" s="391">
        <v>2.14</v>
      </c>
      <c r="I21" s="391">
        <v>0.82</v>
      </c>
      <c r="K21" s="391">
        <v>1.82</v>
      </c>
      <c r="M21" s="391">
        <v>2.86</v>
      </c>
      <c r="O21" s="392" t="s">
        <v>3146</v>
      </c>
      <c r="P21" s="388"/>
      <c r="Q21" s="392"/>
      <c r="R21" s="388"/>
      <c r="S21" s="392"/>
      <c r="T21" s="388"/>
      <c r="U21" s="392"/>
      <c r="V21" s="388"/>
      <c r="W21" s="392"/>
      <c r="X21" s="388"/>
      <c r="Y21" s="388"/>
      <c r="Z21" s="388"/>
      <c r="AA21" s="388"/>
    </row>
    <row r="22" spans="1:27" x14ac:dyDescent="0.35">
      <c r="A22" s="378" t="s">
        <v>3147</v>
      </c>
      <c r="B22" s="378" t="s">
        <v>1524</v>
      </c>
      <c r="C22" s="378">
        <v>83.55</v>
      </c>
      <c r="E22" s="378">
        <v>73.2</v>
      </c>
      <c r="G22" s="391">
        <v>74.73</v>
      </c>
      <c r="I22" s="391">
        <v>74.47</v>
      </c>
      <c r="K22" s="391">
        <v>68.150000000000006</v>
      </c>
      <c r="M22" s="391">
        <v>68.13</v>
      </c>
      <c r="O22" s="378" t="s">
        <v>3148</v>
      </c>
      <c r="P22" s="396">
        <f>(ROUND((C30/(AVERAGE(C54,E54))*100),2))</f>
        <v>3.57</v>
      </c>
      <c r="Q22" s="397" t="s">
        <v>1197</v>
      </c>
      <c r="R22" s="396">
        <f>(ROUND((E30/(AVERAGE(E54,G54))*100),2))</f>
        <v>3.47</v>
      </c>
      <c r="S22" s="397" t="s">
        <v>1197</v>
      </c>
      <c r="T22" s="396">
        <f>(ROUND((G30/(AVERAGE(G54,I54))*100),2))</f>
        <v>3.69</v>
      </c>
      <c r="U22" s="397" t="s">
        <v>1197</v>
      </c>
      <c r="V22" s="396">
        <f>(ROUND((I30/(AVERAGE(I54,K54))*100),2))</f>
        <v>3.29</v>
      </c>
      <c r="W22" s="397" t="s">
        <v>1197</v>
      </c>
      <c r="X22" s="396">
        <f>(ROUND((K30/(AVERAGE(K54,M54))*100),2))</f>
        <v>4.93</v>
      </c>
      <c r="Y22" s="397" t="s">
        <v>1197</v>
      </c>
      <c r="Z22" s="390"/>
      <c r="AA22" s="388"/>
    </row>
    <row r="23" spans="1:27" x14ac:dyDescent="0.35">
      <c r="A23" s="378" t="s">
        <v>3149</v>
      </c>
      <c r="B23" s="378" t="s">
        <v>1524</v>
      </c>
      <c r="C23" s="378">
        <v>56.6</v>
      </c>
      <c r="E23" s="378">
        <v>58.81</v>
      </c>
      <c r="G23" s="391">
        <v>49.48</v>
      </c>
      <c r="I23" s="391">
        <v>54.74</v>
      </c>
      <c r="K23" s="391">
        <v>51.68</v>
      </c>
      <c r="M23" s="391">
        <v>45.74</v>
      </c>
      <c r="O23" s="378" t="s">
        <v>3150</v>
      </c>
      <c r="P23" s="396"/>
      <c r="Q23" s="397"/>
      <c r="R23" s="396"/>
      <c r="S23" s="397"/>
      <c r="T23" s="396"/>
      <c r="U23" s="397"/>
      <c r="V23" s="396"/>
      <c r="W23" s="397"/>
      <c r="X23" s="396"/>
      <c r="Y23" s="397"/>
      <c r="Z23" s="388"/>
      <c r="AA23" s="388"/>
    </row>
    <row r="24" spans="1:27" x14ac:dyDescent="0.35">
      <c r="C24" s="391"/>
      <c r="E24" s="391"/>
      <c r="G24" s="391"/>
      <c r="I24" s="391"/>
      <c r="K24" s="391"/>
      <c r="M24" s="391"/>
      <c r="P24" s="388"/>
      <c r="Q24" s="388"/>
      <c r="R24" s="388"/>
      <c r="S24" s="388"/>
      <c r="T24" s="388"/>
      <c r="U24" s="388"/>
      <c r="V24" s="388"/>
      <c r="W24" s="388"/>
      <c r="X24" s="388"/>
      <c r="Y24" s="388"/>
      <c r="Z24" s="957" t="s">
        <v>1195</v>
      </c>
      <c r="AA24" s="957"/>
    </row>
    <row r="25" spans="1:27" x14ac:dyDescent="0.35">
      <c r="C25" s="391"/>
      <c r="E25" s="391"/>
      <c r="G25" s="391"/>
      <c r="I25" s="391"/>
      <c r="K25" s="391"/>
      <c r="M25" s="391"/>
      <c r="O25" s="392" t="s">
        <v>3151</v>
      </c>
      <c r="P25" s="388"/>
      <c r="Q25" s="388"/>
      <c r="R25" s="388"/>
      <c r="S25" s="388"/>
      <c r="T25" s="388"/>
      <c r="U25" s="388"/>
      <c r="V25" s="388"/>
      <c r="W25" s="388"/>
      <c r="X25" s="388"/>
      <c r="Y25" s="388"/>
      <c r="Z25" s="957" t="s">
        <v>1196</v>
      </c>
      <c r="AA25" s="957"/>
    </row>
    <row r="26" spans="1:27" x14ac:dyDescent="0.35">
      <c r="A26" s="378" t="s">
        <v>3152</v>
      </c>
      <c r="B26" s="378" t="s">
        <v>1524</v>
      </c>
      <c r="C26" s="391">
        <v>1.44</v>
      </c>
      <c r="E26" s="391">
        <v>1.36</v>
      </c>
      <c r="G26" s="391">
        <v>1.28</v>
      </c>
      <c r="I26" s="391">
        <v>1.2</v>
      </c>
      <c r="K26" s="391">
        <v>1.1200000000000001</v>
      </c>
      <c r="M26" s="391">
        <v>1.04</v>
      </c>
      <c r="O26" s="378" t="s">
        <v>3153</v>
      </c>
      <c r="P26" s="388"/>
      <c r="Q26" s="388"/>
      <c r="R26" s="388"/>
      <c r="S26" s="388"/>
      <c r="T26" s="388"/>
      <c r="U26" s="388"/>
      <c r="V26" s="388"/>
      <c r="W26" s="388"/>
      <c r="X26" s="388"/>
      <c r="Y26" s="388"/>
      <c r="Z26" s="388"/>
      <c r="AA26" s="388"/>
    </row>
    <row r="27" spans="1:27" x14ac:dyDescent="0.35">
      <c r="C27" s="391"/>
      <c r="E27" s="391"/>
      <c r="G27" s="391"/>
      <c r="I27" s="391"/>
      <c r="K27" s="391"/>
      <c r="M27" s="391"/>
      <c r="O27" s="378" t="s">
        <v>3154</v>
      </c>
      <c r="P27" s="396">
        <f>ROUND(((C12/C50)*100),2)</f>
        <v>57.39</v>
      </c>
      <c r="Q27" s="397" t="s">
        <v>1197</v>
      </c>
      <c r="R27" s="396">
        <f>ROUND(((E12/E50)*100),2)</f>
        <v>59.69</v>
      </c>
      <c r="S27" s="397" t="s">
        <v>1197</v>
      </c>
      <c r="T27" s="396">
        <f>ROUND(((G12/G50)*100),2)</f>
        <v>59.79</v>
      </c>
      <c r="U27" s="397" t="s">
        <v>1197</v>
      </c>
      <c r="V27" s="396">
        <f>ROUND(((I12/I50)*100),2)</f>
        <v>59.05</v>
      </c>
      <c r="W27" s="397" t="s">
        <v>1197</v>
      </c>
      <c r="X27" s="396">
        <f>ROUND(((K12/K50)*100),2)</f>
        <v>32.67</v>
      </c>
      <c r="Y27" s="397" t="s">
        <v>1197</v>
      </c>
      <c r="Z27" s="396">
        <f>ROUND(AVERAGE(P27:Y27),2)</f>
        <v>53.72</v>
      </c>
      <c r="AA27" s="397" t="s">
        <v>1197</v>
      </c>
    </row>
    <row r="28" spans="1:27" x14ac:dyDescent="0.35">
      <c r="A28" s="378" t="s">
        <v>3155</v>
      </c>
      <c r="B28" s="378" t="s">
        <v>3155</v>
      </c>
      <c r="C28" s="391">
        <v>0</v>
      </c>
      <c r="E28" s="391">
        <v>0</v>
      </c>
      <c r="G28" s="391">
        <v>0</v>
      </c>
      <c r="I28" s="391">
        <v>0</v>
      </c>
      <c r="K28" s="391">
        <v>0</v>
      </c>
      <c r="M28" s="391">
        <v>0</v>
      </c>
      <c r="O28" s="378" t="s">
        <v>3156</v>
      </c>
      <c r="P28" s="396">
        <f>ROUND(((SUM(C13,C17)/C50)*100),2)</f>
        <v>0</v>
      </c>
      <c r="Q28" s="397"/>
      <c r="R28" s="396">
        <f>ROUND(((SUM(E13,E17)/E50)*100),2)</f>
        <v>0</v>
      </c>
      <c r="S28" s="397"/>
      <c r="T28" s="396">
        <f>ROUND(((SUM(G13,G17)/G50)*100),2)</f>
        <v>0</v>
      </c>
      <c r="U28" s="397"/>
      <c r="V28" s="396">
        <f>ROUND(((SUM(I13,I17)/I50)*100),2)</f>
        <v>0</v>
      </c>
      <c r="W28" s="397"/>
      <c r="X28" s="396">
        <f>ROUND(((SUM(K13,K17)/K50)*100),2)</f>
        <v>0</v>
      </c>
      <c r="Y28" s="397"/>
      <c r="Z28" s="396">
        <f>ROUND(AVERAGE(P28:Y28),2)</f>
        <v>0</v>
      </c>
      <c r="AA28" s="397"/>
    </row>
    <row r="29" spans="1:27" x14ac:dyDescent="0.35">
      <c r="C29" s="391"/>
      <c r="E29" s="391"/>
      <c r="G29" s="391"/>
      <c r="I29" s="391"/>
      <c r="K29" s="391"/>
      <c r="M29" s="391"/>
      <c r="O29" s="378" t="s">
        <v>3157</v>
      </c>
      <c r="P29" s="398">
        <f>ROUND(((C16/C50)*100),2)</f>
        <v>42.61</v>
      </c>
      <c r="Q29" s="397"/>
      <c r="R29" s="398">
        <f>ROUND(((E16/E50)*100),2)</f>
        <v>40.31</v>
      </c>
      <c r="S29" s="397"/>
      <c r="T29" s="398">
        <f>ROUND(((G16/G50)*100),2)</f>
        <v>40.21</v>
      </c>
      <c r="U29" s="397"/>
      <c r="V29" s="398">
        <f>ROUND(((I16/I50)*100),2)</f>
        <v>40.950000000000003</v>
      </c>
      <c r="W29" s="397"/>
      <c r="X29" s="398">
        <f>ROUND(((K16/K50)*100),2)</f>
        <v>67.33</v>
      </c>
      <c r="Y29" s="397"/>
      <c r="Z29" s="396">
        <f>ROUND(AVERAGE(P29:Y29),2)</f>
        <v>46.28</v>
      </c>
      <c r="AA29" s="397"/>
    </row>
    <row r="30" spans="1:27" x14ac:dyDescent="0.35">
      <c r="A30" s="378" t="s">
        <v>3158</v>
      </c>
      <c r="B30" s="378" t="s">
        <v>3159</v>
      </c>
      <c r="C30" s="386">
        <v>58062000</v>
      </c>
      <c r="E30" s="386">
        <v>54339000</v>
      </c>
      <c r="G30" s="386">
        <v>54255000</v>
      </c>
      <c r="I30" s="386">
        <v>31796000</v>
      </c>
      <c r="K30" s="386">
        <v>24332000</v>
      </c>
      <c r="M30" s="386">
        <v>22929000</v>
      </c>
      <c r="O30" s="378" t="s">
        <v>3160</v>
      </c>
      <c r="P30" s="399">
        <f>SUM(P27:P29)</f>
        <v>100</v>
      </c>
      <c r="Q30" s="397" t="s">
        <v>1197</v>
      </c>
      <c r="R30" s="399">
        <f>SUM(R27:R29)</f>
        <v>100</v>
      </c>
      <c r="S30" s="397" t="s">
        <v>1197</v>
      </c>
      <c r="T30" s="399">
        <f>SUM(T27:T29)</f>
        <v>100</v>
      </c>
      <c r="U30" s="397" t="s">
        <v>1197</v>
      </c>
      <c r="V30" s="399">
        <f>SUM(V27:V29)</f>
        <v>100</v>
      </c>
      <c r="W30" s="397" t="s">
        <v>1197</v>
      </c>
      <c r="X30" s="399">
        <f>SUM(X27:X29)</f>
        <v>100</v>
      </c>
      <c r="Y30" s="397" t="s">
        <v>1197</v>
      </c>
      <c r="Z30" s="399">
        <f>SUM(Z27:Z29)</f>
        <v>100</v>
      </c>
      <c r="AA30" s="397" t="s">
        <v>1197</v>
      </c>
    </row>
    <row r="31" spans="1:27" x14ac:dyDescent="0.35">
      <c r="C31" s="391"/>
      <c r="E31" s="391"/>
      <c r="G31" s="391"/>
      <c r="I31" s="391"/>
      <c r="K31" s="391"/>
      <c r="M31" s="391"/>
      <c r="P31" s="388"/>
      <c r="Q31" s="388"/>
      <c r="R31" s="388"/>
      <c r="S31" s="388"/>
      <c r="T31" s="388"/>
      <c r="U31" s="388"/>
      <c r="V31" s="388"/>
      <c r="W31" s="388"/>
      <c r="X31" s="388"/>
      <c r="Y31" s="388"/>
      <c r="Z31" s="388"/>
      <c r="AA31" s="388"/>
    </row>
    <row r="32" spans="1:27" x14ac:dyDescent="0.35">
      <c r="A32" s="378" t="s">
        <v>3161</v>
      </c>
      <c r="B32" s="378" t="s">
        <v>3162</v>
      </c>
      <c r="C32" s="386">
        <v>73828000</v>
      </c>
      <c r="E32" s="386">
        <v>60478000</v>
      </c>
      <c r="G32" s="386">
        <v>61515000</v>
      </c>
      <c r="I32" s="386">
        <v>23627000</v>
      </c>
      <c r="K32" s="386">
        <v>38767000</v>
      </c>
      <c r="M32" s="386">
        <v>61100000</v>
      </c>
      <c r="O32" s="378" t="s">
        <v>3163</v>
      </c>
      <c r="P32" s="388"/>
      <c r="Q32" s="388"/>
      <c r="R32" s="388"/>
      <c r="S32" s="388"/>
      <c r="T32" s="388"/>
      <c r="U32" s="388"/>
      <c r="V32" s="388"/>
      <c r="W32" s="388"/>
      <c r="X32" s="388"/>
      <c r="Y32" s="388"/>
      <c r="Z32" s="388"/>
      <c r="AA32" s="388"/>
    </row>
    <row r="33" spans="1:27" x14ac:dyDescent="0.35">
      <c r="A33" s="400"/>
      <c r="B33" s="400"/>
      <c r="C33" s="401"/>
      <c r="D33" s="400"/>
      <c r="E33" s="401"/>
      <c r="F33" s="400"/>
      <c r="G33" s="401"/>
      <c r="H33" s="400"/>
      <c r="I33" s="401"/>
      <c r="J33" s="400"/>
      <c r="K33" s="401"/>
      <c r="L33" s="400"/>
      <c r="M33" s="401"/>
      <c r="O33" s="378" t="s">
        <v>3164</v>
      </c>
      <c r="P33" s="396">
        <f>ROUND((((C12+C19)/C56)*100),2)</f>
        <v>59.85</v>
      </c>
      <c r="Q33" s="397" t="s">
        <v>1197</v>
      </c>
      <c r="R33" s="396">
        <f>ROUND((((E12+E19)/E56)*100),2)</f>
        <v>60.66</v>
      </c>
      <c r="S33" s="397" t="s">
        <v>1197</v>
      </c>
      <c r="T33" s="396">
        <f>ROUND((((G12+G19)/G56)*100),2)</f>
        <v>62.66</v>
      </c>
      <c r="U33" s="397" t="s">
        <v>1197</v>
      </c>
      <c r="V33" s="396">
        <f>ROUND((((I12+I19)/I56)*100),2)</f>
        <v>61.15</v>
      </c>
      <c r="W33" s="397" t="s">
        <v>1197</v>
      </c>
      <c r="X33" s="396">
        <f>ROUND((((K12+K19)/K56)*100),2)</f>
        <v>37.4</v>
      </c>
      <c r="Y33" s="397" t="s">
        <v>1197</v>
      </c>
      <c r="Z33" s="396">
        <f>ROUND(AVERAGE(P33:Y33),2)</f>
        <v>56.34</v>
      </c>
      <c r="AA33" s="397" t="s">
        <v>1197</v>
      </c>
    </row>
    <row r="34" spans="1:27" x14ac:dyDescent="0.35">
      <c r="A34" s="378" t="s">
        <v>3165</v>
      </c>
      <c r="B34" s="378" t="s">
        <v>3166</v>
      </c>
      <c r="C34" s="386">
        <f>C32</f>
        <v>73828000</v>
      </c>
      <c r="E34" s="386">
        <f>E32</f>
        <v>60478000</v>
      </c>
      <c r="G34" s="386">
        <v>61515000</v>
      </c>
      <c r="I34" s="386">
        <v>23627000</v>
      </c>
      <c r="K34" s="386">
        <v>38767000</v>
      </c>
      <c r="M34" s="386">
        <v>61100000</v>
      </c>
      <c r="O34" s="378" t="s">
        <v>3156</v>
      </c>
      <c r="P34" s="396">
        <f>ROUND((((SUM(C13,C17))/C56)*100),2)</f>
        <v>0</v>
      </c>
      <c r="Q34" s="397"/>
      <c r="R34" s="396">
        <f>ROUND((((SUM(E13,E17))/E56)*100),2)</f>
        <v>0</v>
      </c>
      <c r="S34" s="397"/>
      <c r="T34" s="396">
        <f>ROUND((((SUM(G13,G17))/G56)*100),2)</f>
        <v>0</v>
      </c>
      <c r="U34" s="397"/>
      <c r="V34" s="396">
        <f>ROUND((((SUM(I13,I17))/I56)*100),2)</f>
        <v>0</v>
      </c>
      <c r="W34" s="397"/>
      <c r="X34" s="396">
        <f>ROUND((((SUM(K13,K17))/K56)*100),2)</f>
        <v>0</v>
      </c>
      <c r="Y34" s="397"/>
      <c r="Z34" s="396">
        <f>ROUND(AVERAGE(P34:Y34),2)</f>
        <v>0</v>
      </c>
      <c r="AA34" s="397"/>
    </row>
    <row r="35" spans="1:27" x14ac:dyDescent="0.35">
      <c r="C35" s="391"/>
      <c r="E35" s="391"/>
      <c r="G35" s="391"/>
      <c r="I35" s="391"/>
      <c r="K35" s="391"/>
      <c r="M35" s="391"/>
      <c r="O35" s="378" t="s">
        <v>3157</v>
      </c>
      <c r="P35" s="398">
        <f>ROUND((((C16)/C56)*100),2)</f>
        <v>40.15</v>
      </c>
      <c r="Q35" s="397"/>
      <c r="R35" s="398">
        <f>ROUND((((E16)/E56)*100),2)</f>
        <v>39.340000000000003</v>
      </c>
      <c r="S35" s="397"/>
      <c r="T35" s="398">
        <f>ROUND((((G16)/G56)*100),2)</f>
        <v>37.340000000000003</v>
      </c>
      <c r="U35" s="397"/>
      <c r="V35" s="398">
        <f>ROUND((((I16)/I56)*100),2)</f>
        <v>38.85</v>
      </c>
      <c r="W35" s="397"/>
      <c r="X35" s="398">
        <f>ROUND((((K16)/K56)*100),2)</f>
        <v>62.6</v>
      </c>
      <c r="Y35" s="397"/>
      <c r="Z35" s="396">
        <f>ROUND(AVERAGE(P35:Y35),2)</f>
        <v>43.66</v>
      </c>
      <c r="AA35" s="397"/>
    </row>
    <row r="36" spans="1:27" x14ac:dyDescent="0.35">
      <c r="A36" s="378" t="s">
        <v>3167</v>
      </c>
      <c r="B36" s="378" t="s">
        <v>3168</v>
      </c>
      <c r="C36" s="391">
        <v>0</v>
      </c>
      <c r="E36" s="391">
        <v>0</v>
      </c>
      <c r="G36" s="391">
        <v>0</v>
      </c>
      <c r="I36" s="391">
        <v>0</v>
      </c>
      <c r="K36" s="391">
        <v>0</v>
      </c>
      <c r="M36" s="391">
        <v>0</v>
      </c>
      <c r="O36" s="378" t="s">
        <v>3160</v>
      </c>
      <c r="P36" s="399">
        <f>SUM(P33:P35)</f>
        <v>100</v>
      </c>
      <c r="Q36" s="397" t="s">
        <v>1197</v>
      </c>
      <c r="R36" s="399">
        <f>SUM(R33:R35)</f>
        <v>100</v>
      </c>
      <c r="S36" s="397" t="s">
        <v>1197</v>
      </c>
      <c r="T36" s="399">
        <f>SUM(T33:T35)</f>
        <v>100</v>
      </c>
      <c r="U36" s="397" t="s">
        <v>1197</v>
      </c>
      <c r="V36" s="399">
        <f>SUM(V33:V35)</f>
        <v>100</v>
      </c>
      <c r="W36" s="397" t="s">
        <v>1197</v>
      </c>
      <c r="X36" s="399">
        <f>SUM(X33:X35)</f>
        <v>100</v>
      </c>
      <c r="Y36" s="397" t="s">
        <v>1197</v>
      </c>
      <c r="Z36" s="399">
        <f>SUM(Z33:Z35)</f>
        <v>100</v>
      </c>
      <c r="AA36" s="397" t="s">
        <v>1197</v>
      </c>
    </row>
    <row r="37" spans="1:27" x14ac:dyDescent="0.35">
      <c r="C37" s="391"/>
      <c r="E37" s="391"/>
      <c r="G37" s="391"/>
      <c r="I37" s="391"/>
      <c r="K37" s="391"/>
      <c r="M37" s="391"/>
      <c r="P37" s="388"/>
      <c r="Q37" s="388"/>
      <c r="R37" s="388"/>
      <c r="S37" s="388"/>
      <c r="T37" s="388"/>
      <c r="U37" s="388"/>
      <c r="V37" s="388"/>
      <c r="W37" s="388"/>
      <c r="X37" s="388"/>
      <c r="Y37" s="388"/>
      <c r="Z37" s="388"/>
      <c r="AA37" s="388"/>
    </row>
    <row r="38" spans="1:27" x14ac:dyDescent="0.35">
      <c r="A38" s="378" t="s">
        <v>3169</v>
      </c>
      <c r="B38" s="378" t="s">
        <v>3170</v>
      </c>
      <c r="C38" s="386">
        <v>43582000</v>
      </c>
      <c r="E38" s="386">
        <v>40137000</v>
      </c>
      <c r="G38" s="386">
        <v>36509000</v>
      </c>
      <c r="I38" s="386">
        <v>34134000</v>
      </c>
      <c r="K38" s="386">
        <v>23074000</v>
      </c>
      <c r="M38" s="386">
        <v>21332000</v>
      </c>
      <c r="P38" s="388"/>
      <c r="Q38" s="388"/>
      <c r="R38" s="388"/>
      <c r="S38" s="388"/>
      <c r="T38" s="388"/>
      <c r="U38" s="388"/>
      <c r="V38" s="388"/>
      <c r="W38" s="388"/>
      <c r="X38" s="388"/>
      <c r="Y38" s="388"/>
      <c r="Z38" s="388"/>
      <c r="AA38" s="388"/>
    </row>
    <row r="39" spans="1:27" x14ac:dyDescent="0.35">
      <c r="C39" s="391"/>
      <c r="E39" s="391"/>
      <c r="G39" s="391"/>
      <c r="I39" s="391"/>
      <c r="K39" s="391"/>
      <c r="M39" s="391"/>
      <c r="P39" s="388"/>
      <c r="Q39" s="388"/>
      <c r="R39" s="388"/>
      <c r="S39" s="388"/>
      <c r="T39" s="388"/>
      <c r="U39" s="388"/>
      <c r="V39" s="388"/>
      <c r="W39" s="388"/>
      <c r="X39" s="388"/>
      <c r="Y39" s="388"/>
      <c r="Z39" s="388"/>
      <c r="AA39" s="388"/>
    </row>
    <row r="40" spans="1:27" x14ac:dyDescent="0.35">
      <c r="A40" s="378" t="s">
        <v>3171</v>
      </c>
      <c r="B40" s="378" t="s">
        <v>3172</v>
      </c>
      <c r="C40" s="386">
        <v>73828000</v>
      </c>
      <c r="E40" s="386">
        <v>60478000</v>
      </c>
      <c r="G40" s="386">
        <v>61515000</v>
      </c>
      <c r="I40" s="385">
        <v>23627000</v>
      </c>
      <c r="K40" s="386">
        <v>38767000</v>
      </c>
      <c r="M40" s="386">
        <v>61100000</v>
      </c>
      <c r="O40" s="392" t="s">
        <v>3173</v>
      </c>
      <c r="P40" s="388"/>
      <c r="Q40" s="388"/>
      <c r="R40" s="388"/>
      <c r="S40" s="388"/>
      <c r="T40" s="388"/>
      <c r="U40" s="388"/>
      <c r="V40" s="388"/>
      <c r="W40" s="388"/>
      <c r="X40" s="388"/>
      <c r="Y40" s="388"/>
      <c r="Z40" s="388"/>
      <c r="AA40" s="388"/>
    </row>
    <row r="41" spans="1:27" x14ac:dyDescent="0.35">
      <c r="A41" s="378" t="s">
        <v>3174</v>
      </c>
      <c r="B41" s="378" t="s">
        <v>3175</v>
      </c>
      <c r="C41" s="385">
        <v>166199000</v>
      </c>
      <c r="E41" s="385">
        <v>130040000</v>
      </c>
      <c r="G41" s="385">
        <v>104051000</v>
      </c>
      <c r="I41" s="385">
        <v>130005000</v>
      </c>
      <c r="K41" s="386">
        <v>91343000</v>
      </c>
      <c r="M41" s="386">
        <v>101112000</v>
      </c>
      <c r="O41" s="392"/>
      <c r="P41" s="388"/>
      <c r="Q41" s="388"/>
      <c r="R41" s="388"/>
      <c r="S41" s="388"/>
      <c r="T41" s="388"/>
      <c r="U41" s="388"/>
      <c r="V41" s="388"/>
      <c r="W41" s="388"/>
      <c r="X41" s="388"/>
      <c r="Y41" s="388"/>
      <c r="Z41" s="388"/>
      <c r="AA41" s="388"/>
    </row>
    <row r="42" spans="1:27" x14ac:dyDescent="0.35">
      <c r="A42" s="378" t="s">
        <v>3176</v>
      </c>
      <c r="B42" s="378" t="s">
        <v>3177</v>
      </c>
      <c r="C42" s="385">
        <f>(-8222-1388+2507-11954-7108+1714-1600+17923+261)*1000</f>
        <v>-7867000</v>
      </c>
      <c r="E42" s="385">
        <f>(-5931+4843-1984-6416-4312-14629+13381-2123)*1000</f>
        <v>-17171000</v>
      </c>
      <c r="G42" s="385">
        <f>(-18918-357+1973-3557-2965-14459-5000+751-2413)*1000</f>
        <v>-44945000</v>
      </c>
      <c r="I42" s="385">
        <f>(-3860+1946+2853-6044-4000+30838+7439+7469)*1000</f>
        <v>36641000</v>
      </c>
      <c r="K42" s="386">
        <f>(-2003+2130-688+5841+203-6488+1923+1697)*1000</f>
        <v>2615000</v>
      </c>
      <c r="M42" s="386">
        <f>(-1702+2888+3536+2164-769-979+741+827)*1000</f>
        <v>6706000</v>
      </c>
      <c r="O42" s="392" t="s">
        <v>3178</v>
      </c>
      <c r="P42" s="388"/>
      <c r="Q42" s="388"/>
      <c r="R42" s="388"/>
      <c r="S42" s="388"/>
      <c r="T42" s="388"/>
      <c r="U42" s="388"/>
      <c r="V42" s="388"/>
      <c r="W42" s="388"/>
      <c r="X42" s="388"/>
      <c r="Y42" s="388"/>
      <c r="Z42" s="388"/>
      <c r="AA42" s="388"/>
    </row>
    <row r="43" spans="1:27" x14ac:dyDescent="0.35">
      <c r="A43" s="378" t="s">
        <v>3179</v>
      </c>
      <c r="B43" s="378" t="s">
        <v>3180</v>
      </c>
      <c r="C43" s="385">
        <v>104417000</v>
      </c>
      <c r="E43" s="385">
        <v>94400000</v>
      </c>
      <c r="G43" s="385">
        <v>89279000</v>
      </c>
      <c r="I43" s="385">
        <v>65592000</v>
      </c>
      <c r="K43" s="386">
        <v>54601000</v>
      </c>
      <c r="M43" s="386">
        <v>48292000</v>
      </c>
      <c r="O43" s="378" t="s">
        <v>3181</v>
      </c>
      <c r="P43" s="396">
        <f>ROUND(C21/C52,4)*100</f>
        <v>3.47</v>
      </c>
      <c r="Q43" s="397" t="s">
        <v>1197</v>
      </c>
      <c r="R43" s="396">
        <f>ROUND(E21/E52,4)*100</f>
        <v>3.08</v>
      </c>
      <c r="S43" s="397" t="s">
        <v>1197</v>
      </c>
      <c r="T43" s="396">
        <f>ROUND(G21/G52,4)*100</f>
        <v>3.45</v>
      </c>
      <c r="U43" s="397" t="s">
        <v>1197</v>
      </c>
      <c r="V43" s="396">
        <f>ROUND(I21/I52,4)*100</f>
        <v>1.27</v>
      </c>
      <c r="W43" s="397" t="s">
        <v>1197</v>
      </c>
      <c r="X43" s="396">
        <f>ROUND(K21/K52,4)*100</f>
        <v>3.04</v>
      </c>
      <c r="Y43" s="397" t="s">
        <v>1197</v>
      </c>
      <c r="Z43" s="396">
        <f>ROUND(AVERAGE(P43:Y43),2)</f>
        <v>2.86</v>
      </c>
      <c r="AA43" s="397" t="s">
        <v>1197</v>
      </c>
    </row>
    <row r="44" spans="1:27" x14ac:dyDescent="0.35">
      <c r="A44" s="378" t="s">
        <v>3182</v>
      </c>
      <c r="B44" s="378" t="s">
        <v>3183</v>
      </c>
      <c r="C44" s="385">
        <v>8496000</v>
      </c>
      <c r="E44" s="385">
        <v>8369000</v>
      </c>
      <c r="G44" s="385">
        <v>8380000</v>
      </c>
      <c r="I44" s="385">
        <v>8454000</v>
      </c>
      <c r="K44" s="386">
        <v>10065000</v>
      </c>
      <c r="M44" s="386">
        <v>35393000</v>
      </c>
      <c r="O44" s="378" t="s">
        <v>3184</v>
      </c>
      <c r="P44" s="396">
        <f>(ROUND((C52/(AVERAGE(C48,E48))*100),2))</f>
        <v>199.24</v>
      </c>
      <c r="Q44" s="388"/>
      <c r="R44" s="396">
        <f>(ROUND((E52/(AVERAGE(E48,G48))*100),2))</f>
        <v>198.83</v>
      </c>
      <c r="S44" s="388"/>
      <c r="T44" s="396">
        <f>(ROUND((G52/(AVERAGE(G48,I48))*100),2))</f>
        <v>195.94</v>
      </c>
      <c r="U44" s="388"/>
      <c r="V44" s="396">
        <f>(ROUND((I52/(AVERAGE(I48,K48))*100),2))</f>
        <v>206.46</v>
      </c>
      <c r="W44" s="388"/>
      <c r="X44" s="396">
        <f>(ROUND((K52/(AVERAGE(K48,M48))*100),2))</f>
        <v>222.39</v>
      </c>
      <c r="Y44" s="388"/>
      <c r="Z44" s="396">
        <f>ROUND(AVERAGE(P44:Y44),2)</f>
        <v>204.57</v>
      </c>
      <c r="AA44" s="388"/>
    </row>
    <row r="45" spans="1:27" x14ac:dyDescent="0.35">
      <c r="M45" s="391"/>
      <c r="O45" s="378" t="s">
        <v>3185</v>
      </c>
      <c r="P45" s="396">
        <f>ROUND(((+C26/C52)*100),2)</f>
        <v>2.0499999999999998</v>
      </c>
      <c r="Q45" s="388"/>
      <c r="R45" s="396">
        <f>ROUND(((+E26/E52)*100),2)</f>
        <v>2.06</v>
      </c>
      <c r="S45" s="388"/>
      <c r="T45" s="396">
        <f>ROUND(((+G26/G52)*100),2)</f>
        <v>2.06</v>
      </c>
      <c r="U45" s="388"/>
      <c r="V45" s="396">
        <f>ROUND(((+I26/I52)*100),2)</f>
        <v>1.86</v>
      </c>
      <c r="W45" s="388"/>
      <c r="X45" s="396">
        <f>ROUND(((+K26/K52)*100),2)</f>
        <v>1.87</v>
      </c>
      <c r="Y45" s="388"/>
      <c r="Z45" s="396">
        <f>ROUND(AVERAGE(P45:Y45),2)</f>
        <v>1.98</v>
      </c>
      <c r="AA45" s="388"/>
    </row>
    <row r="46" spans="1:27" x14ac:dyDescent="0.35">
      <c r="A46" s="378" t="s">
        <v>3186</v>
      </c>
      <c r="M46" s="391"/>
      <c r="O46" s="378" t="s">
        <v>3187</v>
      </c>
      <c r="P46" s="396">
        <f>ROUND(((+C38/C34)*100),2)</f>
        <v>59.03</v>
      </c>
      <c r="Q46" s="388"/>
      <c r="R46" s="396">
        <f>ROUND(((+E38/E34)*100),2)</f>
        <v>66.37</v>
      </c>
      <c r="S46" s="388"/>
      <c r="T46" s="396">
        <f>ROUND(((+G38/G34)*100),2)</f>
        <v>59.35</v>
      </c>
      <c r="U46" s="388"/>
      <c r="V46" s="396">
        <f>ROUND(((+I38/I34)*100),2)</f>
        <v>144.47</v>
      </c>
      <c r="W46" s="388"/>
      <c r="X46" s="396">
        <f>ROUND(((+K38/K34)*100),2)</f>
        <v>59.52</v>
      </c>
      <c r="Y46" s="388"/>
      <c r="Z46" s="396">
        <f>ROUND(AVERAGE(P46:Y46),2)</f>
        <v>77.75</v>
      </c>
      <c r="AA46" s="388"/>
    </row>
    <row r="47" spans="1:27" x14ac:dyDescent="0.35">
      <c r="M47" s="391"/>
      <c r="P47" s="396"/>
      <c r="Q47" s="388"/>
      <c r="R47" s="396"/>
      <c r="S47" s="388"/>
      <c r="T47" s="396"/>
      <c r="U47" s="388"/>
      <c r="V47" s="396"/>
      <c r="W47" s="388"/>
      <c r="X47" s="396"/>
      <c r="Y47" s="388"/>
      <c r="Z47" s="396"/>
      <c r="AA47" s="388"/>
    </row>
    <row r="48" spans="1:27" x14ac:dyDescent="0.35">
      <c r="A48" s="378" t="s">
        <v>3188</v>
      </c>
      <c r="B48" s="378" t="s">
        <v>3189</v>
      </c>
      <c r="C48" s="386">
        <f>C16/C15</f>
        <v>36.064904022841176</v>
      </c>
      <c r="E48" s="386">
        <f>E16/E15</f>
        <v>34.276765901907361</v>
      </c>
      <c r="G48" s="386">
        <f>G16/G15</f>
        <v>32.117263239100026</v>
      </c>
      <c r="I48" s="386">
        <f>I16/I15</f>
        <v>31.275235879258272</v>
      </c>
      <c r="K48" s="386">
        <f>K16/K15</f>
        <v>31.309044724048274</v>
      </c>
      <c r="M48" s="386">
        <f>M16/M15</f>
        <v>22.572596386817391</v>
      </c>
      <c r="O48" s="392" t="s">
        <v>3190</v>
      </c>
      <c r="P48" s="396">
        <f>ROUND(((C34/AVERAGE(C16,E16))*100),2)</f>
        <v>6.88</v>
      </c>
      <c r="Q48" s="388" t="s">
        <v>1197</v>
      </c>
      <c r="R48" s="396">
        <f>ROUND(((E34/AVERAGE(E16,G16))*100),2)</f>
        <v>6.2</v>
      </c>
      <c r="S48" s="388" t="s">
        <v>1197</v>
      </c>
      <c r="T48" s="396">
        <f>ROUND(((G34/AVERAGE(G16,I16))*100),2)</f>
        <v>6.81</v>
      </c>
      <c r="U48" s="388" t="s">
        <v>1197</v>
      </c>
      <c r="V48" s="396">
        <f>ROUND(((I34/AVERAGE(I16,K16))*100),2)</f>
        <v>2.66</v>
      </c>
      <c r="W48" s="388" t="s">
        <v>1197</v>
      </c>
      <c r="X48" s="396">
        <f>ROUND(((K34/AVERAGE(K16,M16))*100),2)</f>
        <v>5.73</v>
      </c>
      <c r="Y48" s="388" t="s">
        <v>1197</v>
      </c>
      <c r="Z48" s="396">
        <f>ROUND(AVERAGE(P48:Y48),2)</f>
        <v>5.66</v>
      </c>
      <c r="AA48" s="388" t="s">
        <v>1197</v>
      </c>
    </row>
    <row r="49" spans="1:27" x14ac:dyDescent="0.35">
      <c r="C49" s="391"/>
      <c r="E49" s="391"/>
      <c r="G49" s="391"/>
      <c r="I49" s="391"/>
      <c r="K49" s="391"/>
      <c r="M49" s="391"/>
      <c r="P49" s="396"/>
      <c r="Q49" s="388"/>
      <c r="R49" s="396"/>
      <c r="S49" s="388"/>
      <c r="T49" s="396"/>
      <c r="U49" s="388"/>
      <c r="V49" s="396"/>
      <c r="W49" s="388"/>
      <c r="X49" s="396"/>
      <c r="Y49" s="388"/>
      <c r="Z49" s="397"/>
      <c r="AA49" s="388"/>
    </row>
    <row r="50" spans="1:27" x14ac:dyDescent="0.35">
      <c r="A50" s="378" t="s">
        <v>3191</v>
      </c>
      <c r="B50" s="378" t="s">
        <v>3189</v>
      </c>
      <c r="C50" s="386">
        <f>SUM(C12:C13,C16:C17)</f>
        <v>2607193000</v>
      </c>
      <c r="E50" s="386">
        <f>SUM(E12:E13,E16:E17)</f>
        <v>2566560000</v>
      </c>
      <c r="G50" s="386">
        <f>SUM(G12:G13,G16:G17)</f>
        <v>2280981000</v>
      </c>
      <c r="I50" s="386">
        <f>SUM(I12:I13,I16:I17)</f>
        <v>2173581000</v>
      </c>
      <c r="K50" s="386">
        <f>SUM(K12:K13,K16:K17)</f>
        <v>1320736000</v>
      </c>
      <c r="M50" s="386">
        <f>SUM(M12:M13,M16:M17)</f>
        <v>894301000</v>
      </c>
      <c r="O50" s="392" t="s">
        <v>3192</v>
      </c>
      <c r="P50" s="396">
        <f>ROUND((C54/C62),2)</f>
        <v>6.76</v>
      </c>
      <c r="Q50" s="397" t="s">
        <v>1401</v>
      </c>
      <c r="R50" s="396">
        <f>ROUND((E54/E62),2)</f>
        <v>7.33</v>
      </c>
      <c r="S50" s="397" t="s">
        <v>1401</v>
      </c>
      <c r="T50" s="396">
        <f>ROUND((G54/G62),2)</f>
        <v>7.21</v>
      </c>
      <c r="U50" s="397" t="s">
        <v>1401</v>
      </c>
      <c r="V50" s="396">
        <f>ROUND((I54/I62),2)</f>
        <v>10.82</v>
      </c>
      <c r="W50" s="397" t="s">
        <v>1401</v>
      </c>
      <c r="X50" s="396">
        <f>ROUND((K54/K62),2)</f>
        <v>4.16</v>
      </c>
      <c r="Y50" s="397" t="s">
        <v>1401</v>
      </c>
      <c r="Z50" s="396">
        <f>ROUND(AVERAGE(P50:Y50),2)</f>
        <v>7.26</v>
      </c>
      <c r="AA50" s="388" t="s">
        <v>1401</v>
      </c>
    </row>
    <row r="51" spans="1:27" x14ac:dyDescent="0.35">
      <c r="C51" s="391"/>
      <c r="E51" s="391"/>
      <c r="G51" s="391"/>
      <c r="I51" s="391"/>
      <c r="K51" s="391"/>
      <c r="M51" s="391"/>
      <c r="O51" s="392"/>
      <c r="P51" s="396"/>
      <c r="Q51" s="388"/>
      <c r="R51" s="396"/>
      <c r="S51" s="388"/>
      <c r="T51" s="396"/>
      <c r="U51" s="388"/>
      <c r="V51" s="396"/>
      <c r="W51" s="388"/>
      <c r="X51" s="396"/>
      <c r="Y51" s="388"/>
      <c r="Z51" s="396"/>
      <c r="AA51" s="388"/>
    </row>
    <row r="52" spans="1:27" x14ac:dyDescent="0.35">
      <c r="A52" s="378" t="s">
        <v>1534</v>
      </c>
      <c r="B52" s="378" t="s">
        <v>3189</v>
      </c>
      <c r="C52" s="386">
        <f>AVERAGE(C22:C23)</f>
        <v>70.075000000000003</v>
      </c>
      <c r="E52" s="386">
        <f>AVERAGE(E22:E23)</f>
        <v>66.004999999999995</v>
      </c>
      <c r="G52" s="386">
        <f>AVERAGE(G22:G23)</f>
        <v>62.105000000000004</v>
      </c>
      <c r="I52" s="386">
        <f>AVERAGE(I22:I23)</f>
        <v>64.605000000000004</v>
      </c>
      <c r="K52" s="386">
        <f>AVERAGE(K22:K23)</f>
        <v>59.915000000000006</v>
      </c>
      <c r="M52" s="386">
        <f>AVERAGE(M22:M23)</f>
        <v>56.935000000000002</v>
      </c>
      <c r="O52" s="392" t="s">
        <v>3193</v>
      </c>
      <c r="P52" s="396">
        <f>ROUND(((C60/C54)*100),2)</f>
        <v>9.56</v>
      </c>
      <c r="Q52" s="397" t="s">
        <v>1197</v>
      </c>
      <c r="R52" s="396">
        <f>ROUND(((E60/E54)*100),2)</f>
        <v>7.08</v>
      </c>
      <c r="S52" s="397" t="s">
        <v>1197</v>
      </c>
      <c r="T52" s="396">
        <f>ROUND(((G60/G54)*100),2)</f>
        <v>3.84</v>
      </c>
      <c r="U52" s="397" t="s">
        <v>1197</v>
      </c>
      <c r="V52" s="396">
        <f>ROUND(((I60/I54)*100),2)</f>
        <v>11.9</v>
      </c>
      <c r="W52" s="397" t="s">
        <v>1197</v>
      </c>
      <c r="X52" s="396">
        <f>ROUND(((K60/K54)*100),2)</f>
        <v>17.68</v>
      </c>
      <c r="Y52" s="397" t="s">
        <v>1197</v>
      </c>
      <c r="Z52" s="396">
        <f>ROUND(AVERAGE(P52:Y52),2)</f>
        <v>10.01</v>
      </c>
      <c r="AA52" s="388" t="s">
        <v>1197</v>
      </c>
    </row>
    <row r="53" spans="1:27" x14ac:dyDescent="0.35">
      <c r="C53" s="391"/>
      <c r="E53" s="391"/>
      <c r="G53" s="391"/>
      <c r="I53" s="391"/>
      <c r="K53" s="391"/>
      <c r="M53" s="391"/>
      <c r="O53" s="402"/>
      <c r="P53" s="396"/>
      <c r="Q53" s="388"/>
      <c r="R53" s="396"/>
      <c r="S53" s="388"/>
      <c r="T53" s="396"/>
      <c r="U53" s="388"/>
      <c r="V53" s="396"/>
      <c r="W53" s="388"/>
      <c r="X53" s="396"/>
      <c r="Y53" s="388"/>
      <c r="Z53" s="388"/>
      <c r="AA53" s="388"/>
    </row>
    <row r="54" spans="1:27" x14ac:dyDescent="0.35">
      <c r="A54" s="378" t="s">
        <v>3194</v>
      </c>
      <c r="C54" s="386">
        <f>+C19+C12</f>
        <v>1655903000</v>
      </c>
      <c r="E54" s="386">
        <f>+E19+E12</f>
        <v>1595037000</v>
      </c>
      <c r="G54" s="386">
        <f>+G19+G12</f>
        <v>1538915000</v>
      </c>
      <c r="I54" s="386">
        <f>+I19+I12</f>
        <v>1400806000</v>
      </c>
      <c r="K54" s="386">
        <f>+K19+K12</f>
        <v>531424000</v>
      </c>
      <c r="M54" s="386">
        <f>+M19+M12</f>
        <v>456092000</v>
      </c>
      <c r="O54" s="402" t="s">
        <v>3195</v>
      </c>
      <c r="P54" s="396">
        <f>P33</f>
        <v>59.85</v>
      </c>
      <c r="Q54" s="397" t="s">
        <v>1197</v>
      </c>
      <c r="R54" s="396">
        <f>R33</f>
        <v>60.66</v>
      </c>
      <c r="S54" s="397" t="s">
        <v>1197</v>
      </c>
      <c r="T54" s="396">
        <f>T33</f>
        <v>62.66</v>
      </c>
      <c r="U54" s="397" t="s">
        <v>1197</v>
      </c>
      <c r="V54" s="396">
        <f>V33</f>
        <v>61.15</v>
      </c>
      <c r="W54" s="397" t="s">
        <v>1197</v>
      </c>
      <c r="X54" s="396">
        <f>X33</f>
        <v>37.4</v>
      </c>
      <c r="Y54" s="397" t="s">
        <v>1197</v>
      </c>
      <c r="Z54" s="396">
        <f>ROUND(AVERAGE(P54:Y54),2)</f>
        <v>56.34</v>
      </c>
      <c r="AA54" s="397" t="s">
        <v>1197</v>
      </c>
    </row>
    <row r="55" spans="1:27" x14ac:dyDescent="0.35">
      <c r="C55" s="391"/>
      <c r="E55" s="391"/>
      <c r="G55" s="391"/>
      <c r="I55" s="391"/>
      <c r="K55" s="391"/>
      <c r="M55" s="391"/>
    </row>
    <row r="56" spans="1:27" x14ac:dyDescent="0.35">
      <c r="A56" s="378" t="s">
        <v>3196</v>
      </c>
      <c r="B56" s="378" t="s">
        <v>3189</v>
      </c>
      <c r="C56" s="386">
        <f>SUM(C50,C19)</f>
        <v>2766771000</v>
      </c>
      <c r="E56" s="386">
        <f>SUM(E50,E19)</f>
        <v>2629556000</v>
      </c>
      <c r="G56" s="386">
        <f>SUM(G50,G19)</f>
        <v>2456075000</v>
      </c>
      <c r="I56" s="386">
        <f>SUM(I50,I19)</f>
        <v>2290790000</v>
      </c>
      <c r="K56" s="386">
        <f>SUM(K50,K19)</f>
        <v>1420736000</v>
      </c>
      <c r="M56" s="386">
        <f>SUM(M50,M19)</f>
        <v>919301000</v>
      </c>
    </row>
    <row r="57" spans="1:27" x14ac:dyDescent="0.35">
      <c r="C57" s="391"/>
      <c r="E57" s="391"/>
      <c r="G57" s="391"/>
      <c r="I57" s="391"/>
      <c r="K57" s="391"/>
      <c r="M57" s="391"/>
    </row>
    <row r="58" spans="1:27" x14ac:dyDescent="0.35">
      <c r="A58" s="378" t="s">
        <v>3197</v>
      </c>
      <c r="B58" s="378" t="s">
        <v>3189</v>
      </c>
      <c r="C58" s="386">
        <f>SUM(C13,C17)</f>
        <v>0</v>
      </c>
      <c r="E58" s="386">
        <f>SUM(E13,E17)</f>
        <v>0</v>
      </c>
      <c r="G58" s="386">
        <f>SUM(G13,G17)</f>
        <v>0</v>
      </c>
      <c r="I58" s="386">
        <f>SUM(I13,I17)</f>
        <v>0</v>
      </c>
      <c r="K58" s="386">
        <f>SUM(K13,K17)</f>
        <v>0</v>
      </c>
      <c r="M58" s="386">
        <f>SUM(M13,M17)</f>
        <v>0</v>
      </c>
    </row>
    <row r="59" spans="1:27" x14ac:dyDescent="0.35">
      <c r="C59" s="391"/>
      <c r="E59" s="391"/>
      <c r="G59" s="391"/>
      <c r="I59" s="391"/>
      <c r="K59" s="391"/>
      <c r="M59" s="391"/>
    </row>
    <row r="60" spans="1:27" x14ac:dyDescent="0.35">
      <c r="A60" s="403" t="s">
        <v>3198</v>
      </c>
      <c r="B60" s="378" t="s">
        <v>3189</v>
      </c>
      <c r="C60" s="386">
        <f>ROUND(C41+C42-C28,3)</f>
        <v>158332000</v>
      </c>
      <c r="E60" s="386">
        <f>ROUND(E41+E42-E28,3)</f>
        <v>112869000</v>
      </c>
      <c r="G60" s="386">
        <f>ROUND(G41+G42-G28,3)</f>
        <v>59106000</v>
      </c>
      <c r="I60" s="386">
        <f>ROUND(I41+I42-I28,3)</f>
        <v>166646000</v>
      </c>
      <c r="K60" s="386">
        <f>ROUND(K41+K42-K28,3)</f>
        <v>93958000</v>
      </c>
      <c r="M60" s="386">
        <f>ROUND(M41+M42-M28,3)</f>
        <v>107818000</v>
      </c>
    </row>
    <row r="61" spans="1:27" x14ac:dyDescent="0.35">
      <c r="A61" s="403"/>
    </row>
    <row r="62" spans="1:27" x14ac:dyDescent="0.35">
      <c r="A62" s="378" t="s">
        <v>957</v>
      </c>
      <c r="B62" s="378" t="s">
        <v>3189</v>
      </c>
      <c r="C62" s="391">
        <f>C40+C43+C44+C30</f>
        <v>244803000</v>
      </c>
      <c r="E62" s="391">
        <f>E40+E43+E44+E30</f>
        <v>217586000</v>
      </c>
      <c r="G62" s="391">
        <f>G40+G43+G44+G30</f>
        <v>213429000</v>
      </c>
      <c r="I62" s="391">
        <f>I40+I43+I44+I30</f>
        <v>129469000</v>
      </c>
      <c r="K62" s="391">
        <f>K40+K43+K44+K30</f>
        <v>127765000</v>
      </c>
      <c r="M62" s="391">
        <f>M40+M43+M44+M30</f>
        <v>167714000</v>
      </c>
    </row>
    <row r="63" spans="1:27" x14ac:dyDescent="0.35">
      <c r="K63" s="404"/>
      <c r="L63" s="404"/>
      <c r="M63" s="404"/>
    </row>
    <row r="64" spans="1:27" x14ac:dyDescent="0.35">
      <c r="K64" s="404"/>
      <c r="L64" s="404"/>
      <c r="M64" s="404"/>
    </row>
    <row r="71" spans="11:13" x14ac:dyDescent="0.35">
      <c r="K71" s="404"/>
      <c r="L71" s="404"/>
      <c r="M71" s="404"/>
    </row>
    <row r="81" spans="11:220" x14ac:dyDescent="0.35">
      <c r="HH81" s="405"/>
      <c r="HI81" s="405"/>
      <c r="HL81" s="378" t="s">
        <v>3199</v>
      </c>
    </row>
    <row r="94" spans="11:220" x14ac:dyDescent="0.35">
      <c r="K94" s="404"/>
      <c r="L94" s="404"/>
      <c r="M94" s="404"/>
    </row>
    <row r="95" spans="11:220" x14ac:dyDescent="0.35">
      <c r="K95" s="404"/>
      <c r="L95" s="404"/>
      <c r="M95" s="404"/>
    </row>
    <row r="96" spans="11:220" x14ac:dyDescent="0.35">
      <c r="K96" s="404"/>
      <c r="L96" s="404"/>
      <c r="M96" s="404"/>
    </row>
    <row r="97" spans="11:13" x14ac:dyDescent="0.35">
      <c r="K97" s="404"/>
      <c r="L97" s="404"/>
      <c r="M97" s="404"/>
    </row>
    <row r="98" spans="11:13" x14ac:dyDescent="0.35">
      <c r="K98" s="404"/>
      <c r="L98" s="404"/>
      <c r="M98" s="404"/>
    </row>
    <row r="99" spans="11:13" x14ac:dyDescent="0.35">
      <c r="K99" s="404"/>
      <c r="L99" s="404"/>
      <c r="M99" s="404"/>
    </row>
    <row r="100" spans="11:13" x14ac:dyDescent="0.35">
      <c r="K100" s="404"/>
      <c r="L100" s="404"/>
      <c r="M100" s="404"/>
    </row>
    <row r="101" spans="11:13" x14ac:dyDescent="0.35">
      <c r="K101" s="404"/>
      <c r="L101" s="404"/>
      <c r="M101" s="404"/>
    </row>
    <row r="102" spans="11:13" x14ac:dyDescent="0.35">
      <c r="K102" s="404"/>
      <c r="L102" s="404"/>
      <c r="M102" s="404"/>
    </row>
    <row r="103" spans="11:13" x14ac:dyDescent="0.35">
      <c r="K103" s="404"/>
      <c r="L103" s="404"/>
      <c r="M103" s="404"/>
    </row>
    <row r="104" spans="11:13" x14ac:dyDescent="0.35">
      <c r="K104" s="404"/>
      <c r="L104" s="404"/>
      <c r="M104" s="404"/>
    </row>
    <row r="105" spans="11:13" x14ac:dyDescent="0.35">
      <c r="K105" s="404"/>
      <c r="L105" s="404"/>
      <c r="M105" s="404"/>
    </row>
    <row r="106" spans="11:13" x14ac:dyDescent="0.35">
      <c r="K106" s="404"/>
      <c r="L106" s="404"/>
      <c r="M106" s="404"/>
    </row>
    <row r="107" spans="11:13" x14ac:dyDescent="0.35">
      <c r="K107" s="404"/>
      <c r="L107" s="404"/>
      <c r="M107" s="404"/>
    </row>
    <row r="108" spans="11:13" x14ac:dyDescent="0.35">
      <c r="K108" s="404"/>
      <c r="L108" s="404"/>
      <c r="M108" s="404"/>
    </row>
    <row r="109" spans="11:13" x14ac:dyDescent="0.35">
      <c r="K109" s="404"/>
      <c r="L109" s="404"/>
      <c r="M109" s="404"/>
    </row>
    <row r="110" spans="11:13" x14ac:dyDescent="0.35">
      <c r="K110" s="404"/>
      <c r="L110" s="404"/>
      <c r="M110" s="404"/>
    </row>
    <row r="111" spans="11:13" x14ac:dyDescent="0.35">
      <c r="K111" s="404"/>
      <c r="L111" s="404"/>
      <c r="M111" s="404"/>
    </row>
    <row r="112" spans="11:13" x14ac:dyDescent="0.35">
      <c r="K112" s="404"/>
      <c r="L112" s="404"/>
      <c r="M112" s="404"/>
    </row>
    <row r="113" spans="11:13" x14ac:dyDescent="0.35">
      <c r="K113" s="404"/>
      <c r="L113" s="404"/>
      <c r="M113" s="404"/>
    </row>
    <row r="114" spans="11:13" x14ac:dyDescent="0.35">
      <c r="K114" s="404"/>
      <c r="L114" s="404"/>
      <c r="M114" s="404"/>
    </row>
    <row r="115" spans="11:13" x14ac:dyDescent="0.35">
      <c r="K115" s="404"/>
      <c r="L115" s="404"/>
      <c r="M115" s="404"/>
    </row>
    <row r="116" spans="11:13" x14ac:dyDescent="0.35">
      <c r="K116" s="404"/>
      <c r="L116" s="404"/>
      <c r="M116" s="404"/>
    </row>
    <row r="117" spans="11:13" x14ac:dyDescent="0.35">
      <c r="K117" s="404"/>
      <c r="L117" s="404"/>
      <c r="M117" s="404"/>
    </row>
    <row r="118" spans="11:13" x14ac:dyDescent="0.35">
      <c r="K118" s="404"/>
      <c r="L118" s="404"/>
      <c r="M118" s="404"/>
    </row>
    <row r="119" spans="11:13" x14ac:dyDescent="0.35">
      <c r="K119" s="404"/>
      <c r="L119" s="404"/>
      <c r="M119" s="404"/>
    </row>
    <row r="120" spans="11:13" x14ac:dyDescent="0.35">
      <c r="K120" s="404"/>
      <c r="L120" s="404"/>
      <c r="M120" s="404"/>
    </row>
    <row r="121" spans="11:13" x14ac:dyDescent="0.35">
      <c r="K121" s="404"/>
      <c r="L121" s="404"/>
      <c r="M121" s="404"/>
    </row>
    <row r="122" spans="11:13" x14ac:dyDescent="0.35">
      <c r="K122" s="404"/>
      <c r="L122" s="404"/>
      <c r="M122" s="404"/>
    </row>
    <row r="123" spans="11:13" x14ac:dyDescent="0.35">
      <c r="K123" s="404"/>
      <c r="L123" s="404"/>
      <c r="M123" s="404"/>
    </row>
    <row r="124" spans="11:13" x14ac:dyDescent="0.35">
      <c r="K124" s="404"/>
      <c r="L124" s="404"/>
      <c r="M124" s="404"/>
    </row>
    <row r="125" spans="11:13" x14ac:dyDescent="0.35">
      <c r="K125" s="404"/>
      <c r="L125" s="404"/>
      <c r="M125" s="404"/>
    </row>
    <row r="126" spans="11:13" x14ac:dyDescent="0.35">
      <c r="K126" s="404"/>
      <c r="L126" s="404"/>
      <c r="M126" s="404"/>
    </row>
    <row r="127" spans="11:13" x14ac:dyDescent="0.35">
      <c r="K127" s="404"/>
      <c r="L127" s="404"/>
      <c r="M127" s="404"/>
    </row>
    <row r="128" spans="11:13" x14ac:dyDescent="0.35">
      <c r="K128" s="404"/>
      <c r="L128" s="404"/>
      <c r="M128" s="404"/>
    </row>
    <row r="129" spans="11:13" x14ac:dyDescent="0.35">
      <c r="K129" s="404"/>
      <c r="L129" s="404"/>
      <c r="M129" s="404"/>
    </row>
    <row r="130" spans="11:13" x14ac:dyDescent="0.35">
      <c r="K130" s="404"/>
      <c r="L130" s="404"/>
      <c r="M130" s="404"/>
    </row>
    <row r="131" spans="11:13" x14ac:dyDescent="0.35">
      <c r="K131" s="404"/>
      <c r="L131" s="404"/>
      <c r="M131" s="404"/>
    </row>
    <row r="132" spans="11:13" x14ac:dyDescent="0.35">
      <c r="K132" s="404"/>
      <c r="L132" s="404"/>
      <c r="M132" s="404"/>
    </row>
    <row r="133" spans="11:13" x14ac:dyDescent="0.35">
      <c r="K133" s="404"/>
      <c r="L133" s="404"/>
      <c r="M133" s="404"/>
    </row>
    <row r="134" spans="11:13" x14ac:dyDescent="0.35">
      <c r="K134" s="404"/>
      <c r="L134" s="404"/>
      <c r="M134" s="404"/>
    </row>
    <row r="135" spans="11:13" x14ac:dyDescent="0.35">
      <c r="K135" s="404"/>
      <c r="L135" s="404"/>
      <c r="M135" s="404"/>
    </row>
    <row r="136" spans="11:13" x14ac:dyDescent="0.35">
      <c r="K136" s="404"/>
      <c r="L136" s="404"/>
      <c r="M136" s="404"/>
    </row>
    <row r="137" spans="11:13" x14ac:dyDescent="0.35">
      <c r="K137" s="404"/>
      <c r="L137" s="404"/>
      <c r="M137" s="404"/>
    </row>
    <row r="138" spans="11:13" x14ac:dyDescent="0.35">
      <c r="K138" s="404"/>
      <c r="L138" s="404"/>
      <c r="M138" s="404"/>
    </row>
    <row r="139" spans="11:13" x14ac:dyDescent="0.35">
      <c r="K139" s="404"/>
      <c r="L139" s="404"/>
      <c r="M139" s="404"/>
    </row>
    <row r="140" spans="11:13" x14ac:dyDescent="0.35">
      <c r="K140" s="404"/>
      <c r="L140" s="404"/>
      <c r="M140" s="404"/>
    </row>
    <row r="141" spans="11:13" x14ac:dyDescent="0.35">
      <c r="K141" s="404"/>
      <c r="L141" s="404"/>
      <c r="M141" s="404"/>
    </row>
    <row r="142" spans="11:13" x14ac:dyDescent="0.35">
      <c r="K142" s="404"/>
      <c r="L142" s="404"/>
      <c r="M142" s="404"/>
    </row>
    <row r="143" spans="11:13" x14ac:dyDescent="0.35">
      <c r="K143" s="404"/>
      <c r="L143" s="404"/>
      <c r="M143" s="404"/>
    </row>
    <row r="144" spans="11:13" x14ac:dyDescent="0.35">
      <c r="K144" s="404"/>
      <c r="L144" s="404"/>
      <c r="M144" s="404"/>
    </row>
    <row r="145" spans="11:13" x14ac:dyDescent="0.35">
      <c r="K145" s="404"/>
      <c r="L145" s="404"/>
      <c r="M145" s="404"/>
    </row>
    <row r="146" spans="11:13" x14ac:dyDescent="0.35">
      <c r="K146" s="404"/>
      <c r="L146" s="404"/>
      <c r="M146" s="404"/>
    </row>
    <row r="147" spans="11:13" x14ac:dyDescent="0.35">
      <c r="K147" s="404"/>
      <c r="L147" s="404"/>
      <c r="M147" s="404"/>
    </row>
    <row r="148" spans="11:13" x14ac:dyDescent="0.35">
      <c r="K148" s="404"/>
      <c r="L148" s="404"/>
      <c r="M148" s="404"/>
    </row>
    <row r="149" spans="11:13" x14ac:dyDescent="0.35">
      <c r="K149" s="404"/>
      <c r="L149" s="404"/>
      <c r="M149" s="404"/>
    </row>
    <row r="150" spans="11:13" x14ac:dyDescent="0.35">
      <c r="K150" s="404"/>
      <c r="L150" s="404"/>
      <c r="M150" s="404"/>
    </row>
    <row r="151" spans="11:13" x14ac:dyDescent="0.35">
      <c r="K151" s="404"/>
      <c r="L151" s="404"/>
      <c r="M151" s="404"/>
    </row>
    <row r="152" spans="11:13" x14ac:dyDescent="0.35">
      <c r="K152" s="404"/>
      <c r="L152" s="404"/>
      <c r="M152" s="404"/>
    </row>
    <row r="153" spans="11:13" x14ac:dyDescent="0.35">
      <c r="K153" s="404"/>
      <c r="L153" s="404"/>
      <c r="M153" s="404"/>
    </row>
    <row r="154" spans="11:13" x14ac:dyDescent="0.35">
      <c r="K154" s="404"/>
      <c r="L154" s="404"/>
      <c r="M154" s="404"/>
    </row>
  </sheetData>
  <mergeCells count="6">
    <mergeCell ref="Z25:AA25"/>
    <mergeCell ref="C6:M6"/>
    <mergeCell ref="C7:M7"/>
    <mergeCell ref="C8:M8"/>
    <mergeCell ref="T13:Y13"/>
    <mergeCell ref="Z24:AA24"/>
  </mergeCells>
  <printOptions horizontalCentered="1"/>
  <pageMargins left="0.75" right="0.75" top="1" bottom="1" header="0.5" footer="0.5"/>
  <pageSetup scale="10"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CD225-0423-4BC3-BB5F-AA9071441630}">
  <dimension ref="A1:T211"/>
  <sheetViews>
    <sheetView view="pageBreakPreview" zoomScaleNormal="100" zoomScaleSheetLayoutView="100" workbookViewId="0">
      <selection sqref="A1:C1"/>
    </sheetView>
  </sheetViews>
  <sheetFormatPr defaultColWidth="8.69140625" defaultRowHeight="14.15" x14ac:dyDescent="0.35"/>
  <cols>
    <col min="1" max="1" width="39.3828125" style="141" customWidth="1"/>
    <col min="2" max="2" width="7.3828125" style="141" customWidth="1"/>
    <col min="3" max="3" width="20.53515625" style="141" customWidth="1"/>
    <col min="4" max="4" width="2.69140625" style="141" customWidth="1"/>
    <col min="5" max="5" width="37.69140625" style="141" bestFit="1" customWidth="1"/>
    <col min="6" max="11" width="10.69140625" style="141" customWidth="1"/>
    <col min="12" max="12" width="2.69140625" style="141" customWidth="1"/>
    <col min="13" max="13" width="37.69140625" style="141" bestFit="1" customWidth="1"/>
    <col min="14" max="19" width="10.69140625" style="141" customWidth="1"/>
    <col min="20" max="16384" width="8.69140625" style="141"/>
  </cols>
  <sheetData>
    <row r="1" spans="1:20" x14ac:dyDescent="0.35">
      <c r="A1" s="868" t="str">
        <f>Summary!A1</f>
        <v>City of Ansonia</v>
      </c>
      <c r="B1" s="868"/>
      <c r="C1" s="868"/>
      <c r="D1" s="142"/>
    </row>
    <row r="2" spans="1:20" ht="27.75" customHeight="1" x14ac:dyDescent="0.35">
      <c r="A2" s="869" t="s">
        <v>711</v>
      </c>
      <c r="B2" s="869"/>
      <c r="C2" s="869"/>
      <c r="D2" s="215"/>
      <c r="E2" s="192" t="s">
        <v>722</v>
      </c>
    </row>
    <row r="3" spans="1:20" x14ac:dyDescent="0.35">
      <c r="A3" s="868" t="s">
        <v>975</v>
      </c>
      <c r="B3" s="868"/>
      <c r="C3" s="868"/>
      <c r="D3" s="216"/>
    </row>
    <row r="5" spans="1:20" ht="56.6" x14ac:dyDescent="0.35">
      <c r="A5" s="149" t="s">
        <v>712</v>
      </c>
      <c r="C5" s="227" t="s">
        <v>976</v>
      </c>
      <c r="D5" s="220"/>
      <c r="E5" s="150"/>
      <c r="F5" s="225" t="s">
        <v>971</v>
      </c>
      <c r="G5" s="225" t="s">
        <v>972</v>
      </c>
      <c r="H5" s="225" t="s">
        <v>973</v>
      </c>
      <c r="I5" s="226" t="s">
        <v>713</v>
      </c>
      <c r="J5" s="225" t="s">
        <v>974</v>
      </c>
      <c r="K5" s="225" t="s">
        <v>714</v>
      </c>
      <c r="L5" s="197"/>
      <c r="N5" s="225" t="s">
        <v>971</v>
      </c>
      <c r="O5" s="225" t="s">
        <v>972</v>
      </c>
      <c r="P5" s="225" t="s">
        <v>973</v>
      </c>
      <c r="Q5" s="226" t="s">
        <v>713</v>
      </c>
      <c r="R5" s="225" t="s">
        <v>974</v>
      </c>
      <c r="S5" s="225" t="s">
        <v>714</v>
      </c>
    </row>
    <row r="6" spans="1:20" x14ac:dyDescent="0.35">
      <c r="C6" s="151"/>
      <c r="D6" s="151"/>
      <c r="E6" s="224">
        <v>44561</v>
      </c>
      <c r="F6" s="198"/>
      <c r="G6" s="198"/>
      <c r="H6" s="198"/>
      <c r="I6" s="198"/>
      <c r="J6" s="198"/>
      <c r="K6" s="198"/>
      <c r="L6" s="198"/>
      <c r="M6" s="224">
        <v>44926</v>
      </c>
    </row>
    <row r="7" spans="1:20" x14ac:dyDescent="0.35">
      <c r="A7" s="141" t="s">
        <v>715</v>
      </c>
      <c r="C7" s="152">
        <f t="shared" ref="C7:C12" si="0">S7</f>
        <v>2.192357475284616</v>
      </c>
      <c r="D7" s="152"/>
      <c r="E7" s="150" t="str">
        <f t="shared" ref="E7:E12" si="1">A7</f>
        <v>American States Water Company</v>
      </c>
      <c r="F7" s="229">
        <v>490.85199999999998</v>
      </c>
      <c r="G7" s="229">
        <v>0</v>
      </c>
      <c r="H7" s="229">
        <v>3820.6858999999999</v>
      </c>
      <c r="I7" s="229">
        <f t="shared" ref="I7:I12" si="2">SUM(F7:H7)</f>
        <v>4311.5379000000003</v>
      </c>
      <c r="J7" s="230">
        <v>1626.0039999999999</v>
      </c>
      <c r="K7" s="229">
        <f t="shared" ref="K7:K12" si="3">I7/J7</f>
        <v>2.6516158016831448</v>
      </c>
      <c r="L7" s="199"/>
      <c r="M7" s="141" t="str">
        <f t="shared" ref="M7:M12" si="4">E7</f>
        <v>American States Water Company</v>
      </c>
      <c r="N7" s="223">
        <v>424.15100000000001</v>
      </c>
      <c r="O7" s="223">
        <v>0</v>
      </c>
      <c r="P7" s="223">
        <v>3420.7310000000002</v>
      </c>
      <c r="Q7" s="223">
        <f t="shared" ref="Q7:Q12" si="5">SUM(N7:P7)</f>
        <v>3844.8820000000001</v>
      </c>
      <c r="R7" s="223">
        <v>1753.7660000000001</v>
      </c>
      <c r="S7" s="223">
        <f t="shared" ref="S7:S12" si="6">Q7/R7</f>
        <v>2.192357475284616</v>
      </c>
    </row>
    <row r="8" spans="1:20" x14ac:dyDescent="0.35">
      <c r="A8" s="141" t="s">
        <v>716</v>
      </c>
      <c r="C8" s="152">
        <f t="shared" si="0"/>
        <v>1.6273610041768936</v>
      </c>
      <c r="D8" s="152"/>
      <c r="E8" s="150" t="str">
        <f t="shared" si="1"/>
        <v>American Water Works Company, Inc.</v>
      </c>
      <c r="F8" s="229">
        <v>11818</v>
      </c>
      <c r="G8" s="229">
        <v>6</v>
      </c>
      <c r="H8" s="229">
        <v>34285.219100000002</v>
      </c>
      <c r="I8" s="229">
        <f t="shared" si="2"/>
        <v>46109.219100000002</v>
      </c>
      <c r="J8" s="230">
        <v>21084</v>
      </c>
      <c r="K8" s="229">
        <f t="shared" si="3"/>
        <v>2.1869293824701197</v>
      </c>
      <c r="L8" s="199"/>
      <c r="M8" s="141" t="str">
        <f t="shared" si="4"/>
        <v>American Water Works Company, Inc.</v>
      </c>
      <c r="N8" s="223">
        <v>10075</v>
      </c>
      <c r="O8" s="223">
        <v>3</v>
      </c>
      <c r="P8" s="223">
        <v>27714.204600000001</v>
      </c>
      <c r="Q8" s="223">
        <f t="shared" si="5"/>
        <v>37792.204599999997</v>
      </c>
      <c r="R8" s="223">
        <v>23223</v>
      </c>
      <c r="S8" s="223">
        <f t="shared" si="6"/>
        <v>1.6273610041768936</v>
      </c>
    </row>
    <row r="9" spans="1:20" x14ac:dyDescent="0.35">
      <c r="A9" s="141" t="s">
        <v>717</v>
      </c>
      <c r="C9" s="152">
        <f t="shared" si="0"/>
        <v>1.4063214193476676</v>
      </c>
      <c r="D9" s="152"/>
      <c r="E9" s="150" t="str">
        <f t="shared" si="1"/>
        <v>California Water Service Group</v>
      </c>
      <c r="F9" s="229">
        <v>1338.8309999999999</v>
      </c>
      <c r="G9" s="229">
        <v>0</v>
      </c>
      <c r="H9" s="229">
        <v>3780.4108999999999</v>
      </c>
      <c r="I9" s="229">
        <f t="shared" si="2"/>
        <v>5119.2419</v>
      </c>
      <c r="J9" s="230">
        <v>2846.8620000000001</v>
      </c>
      <c r="K9" s="229">
        <f t="shared" si="3"/>
        <v>1.7982051465789348</v>
      </c>
      <c r="L9" s="199"/>
      <c r="M9" s="141" t="str">
        <f t="shared" si="4"/>
        <v>California Water Service Group</v>
      </c>
      <c r="N9" s="223">
        <v>977.22699999999998</v>
      </c>
      <c r="O9" s="223">
        <v>0</v>
      </c>
      <c r="P9" s="223">
        <v>3324.5273999999999</v>
      </c>
      <c r="Q9" s="223">
        <f t="shared" si="5"/>
        <v>4301.7543999999998</v>
      </c>
      <c r="R9" s="223">
        <v>3058.87</v>
      </c>
      <c r="S9" s="223">
        <f t="shared" si="6"/>
        <v>1.4063214193476676</v>
      </c>
    </row>
    <row r="10" spans="1:20" x14ac:dyDescent="0.35">
      <c r="A10" s="141" t="s">
        <v>718</v>
      </c>
      <c r="C10" s="152">
        <f t="shared" si="0"/>
        <v>1.6213602689295232</v>
      </c>
      <c r="D10" s="152"/>
      <c r="E10" s="150" t="str">
        <f t="shared" si="1"/>
        <v xml:space="preserve">Essential Utilities Inc.        </v>
      </c>
      <c r="F10" s="231">
        <v>6482.4989999999998</v>
      </c>
      <c r="G10" s="232">
        <v>0</v>
      </c>
      <c r="H10" s="231">
        <v>13569.765299999999</v>
      </c>
      <c r="I10" s="229">
        <f t="shared" si="2"/>
        <v>20052.264299999999</v>
      </c>
      <c r="J10" s="231">
        <v>10251.866</v>
      </c>
      <c r="K10" s="229">
        <f t="shared" si="3"/>
        <v>1.9559623877253174</v>
      </c>
      <c r="L10" s="199"/>
      <c r="M10" s="141" t="str">
        <f t="shared" si="4"/>
        <v xml:space="preserve">Essential Utilities Inc.        </v>
      </c>
      <c r="N10" s="223">
        <v>5528.1310000000003</v>
      </c>
      <c r="O10" s="223">
        <v>0</v>
      </c>
      <c r="P10" s="223">
        <v>12519.142599999999</v>
      </c>
      <c r="Q10" s="223">
        <f t="shared" si="5"/>
        <v>18047.2736</v>
      </c>
      <c r="R10" s="223">
        <v>11130.946</v>
      </c>
      <c r="S10" s="223">
        <f t="shared" si="6"/>
        <v>1.6213602689295232</v>
      </c>
    </row>
    <row r="11" spans="1:20" x14ac:dyDescent="0.35">
      <c r="A11" s="141" t="s">
        <v>719</v>
      </c>
      <c r="C11" s="234">
        <f t="shared" si="0"/>
        <v>1.8347069309576545</v>
      </c>
      <c r="D11" s="152"/>
      <c r="E11" s="150" t="str">
        <f t="shared" si="1"/>
        <v>Middlesex Water Company</v>
      </c>
      <c r="F11" s="229">
        <f>306.52+6.731-98.828+107.781</f>
        <v>322.20399999999995</v>
      </c>
      <c r="G11" s="229">
        <v>2.0840000000000001</v>
      </c>
      <c r="H11" s="229">
        <v>2104.8908999999999</v>
      </c>
      <c r="I11" s="229">
        <f t="shared" si="2"/>
        <v>2429.1788999999999</v>
      </c>
      <c r="J11" s="230">
        <v>865.36800000000005</v>
      </c>
      <c r="K11" s="229">
        <f t="shared" si="3"/>
        <v>2.8071050697506723</v>
      </c>
      <c r="L11" s="199"/>
      <c r="M11" s="141" t="str">
        <f t="shared" si="4"/>
        <v>Middlesex Water Company</v>
      </c>
      <c r="N11" s="233">
        <f>290.28+17.462-147.269+138.756</f>
        <v>299.22899999999993</v>
      </c>
      <c r="O11" s="229">
        <v>2.0840000000000001</v>
      </c>
      <c r="P11" s="223">
        <v>1387.6283000000001</v>
      </c>
      <c r="Q11" s="223">
        <f t="shared" si="5"/>
        <v>1688.9413</v>
      </c>
      <c r="R11" s="223">
        <v>920.55100000000004</v>
      </c>
      <c r="S11" s="223">
        <f t="shared" si="6"/>
        <v>1.8347069309576545</v>
      </c>
      <c r="T11" s="190" t="s">
        <v>977</v>
      </c>
    </row>
    <row r="12" spans="1:20" x14ac:dyDescent="0.35">
      <c r="A12" s="141" t="s">
        <v>720</v>
      </c>
      <c r="C12" s="228">
        <f t="shared" si="0"/>
        <v>1.4279568964501237</v>
      </c>
      <c r="D12" s="221"/>
      <c r="E12" s="150" t="str">
        <f t="shared" si="1"/>
        <v xml:space="preserve">SJW Group           </v>
      </c>
      <c r="F12" s="229">
        <v>1651.825</v>
      </c>
      <c r="G12" s="229">
        <v>0</v>
      </c>
      <c r="H12" s="229">
        <v>2183.2802999999999</v>
      </c>
      <c r="I12" s="229">
        <f t="shared" si="2"/>
        <v>3835.1053000000002</v>
      </c>
      <c r="J12" s="230">
        <v>2497.4989999999998</v>
      </c>
      <c r="K12" s="229">
        <f t="shared" si="3"/>
        <v>1.5355783125438691</v>
      </c>
      <c r="L12" s="199"/>
      <c r="M12" s="141" t="str">
        <f t="shared" si="4"/>
        <v xml:space="preserve">SJW Group           </v>
      </c>
      <c r="N12" s="223">
        <v>1294.354</v>
      </c>
      <c r="O12" s="223">
        <v>0</v>
      </c>
      <c r="P12" s="223">
        <v>2461.6253000000002</v>
      </c>
      <c r="Q12" s="223">
        <f t="shared" si="5"/>
        <v>3755.9793</v>
      </c>
      <c r="R12" s="223">
        <v>2630.317</v>
      </c>
      <c r="S12" s="223">
        <f t="shared" si="6"/>
        <v>1.4279568964501237</v>
      </c>
    </row>
    <row r="13" spans="1:20" x14ac:dyDescent="0.35">
      <c r="C13" s="155"/>
      <c r="D13" s="155"/>
      <c r="E13" s="156"/>
    </row>
    <row r="14" spans="1:20" ht="14.6" thickBot="1" x14ac:dyDescent="0.4">
      <c r="A14" s="141" t="s">
        <v>721</v>
      </c>
      <c r="C14" s="157">
        <f>AVERAGE(C7:C12)</f>
        <v>1.6850106658577462</v>
      </c>
      <c r="D14" s="222"/>
      <c r="E14" s="156"/>
    </row>
    <row r="15" spans="1:20" ht="15" thickTop="1" x14ac:dyDescent="0.4">
      <c r="C15" s="158"/>
      <c r="D15" s="158"/>
      <c r="E15"/>
      <c r="F15"/>
      <c r="G15"/>
      <c r="H15"/>
      <c r="I15"/>
      <c r="J15"/>
      <c r="K15"/>
      <c r="L15"/>
      <c r="M15"/>
    </row>
    <row r="16" spans="1:20" ht="15" thickBot="1" x14ac:dyDescent="0.45">
      <c r="A16" s="141" t="s">
        <v>723</v>
      </c>
      <c r="C16" s="157">
        <f>MEDIAN(C7:C12)</f>
        <v>1.6243606365532084</v>
      </c>
      <c r="D16" s="222"/>
      <c r="E16"/>
      <c r="F16"/>
      <c r="G16"/>
      <c r="H16"/>
      <c r="I16"/>
      <c r="J16"/>
      <c r="K16"/>
      <c r="L16"/>
      <c r="M16"/>
    </row>
    <row r="17" spans="1:13" ht="15" thickTop="1" x14ac:dyDescent="0.4">
      <c r="C17" s="158"/>
      <c r="D17" s="158"/>
      <c r="E17"/>
      <c r="F17"/>
      <c r="G17"/>
      <c r="H17"/>
      <c r="I17"/>
      <c r="J17"/>
      <c r="K17"/>
      <c r="L17"/>
      <c r="M17"/>
    </row>
    <row r="18" spans="1:13" ht="15" thickBot="1" x14ac:dyDescent="0.45">
      <c r="A18" s="141" t="s">
        <v>724</v>
      </c>
      <c r="C18" s="157">
        <f>MIN(C7:C12)</f>
        <v>1.4063214193476676</v>
      </c>
      <c r="D18" s="222"/>
      <c r="E18"/>
      <c r="F18"/>
      <c r="G18"/>
      <c r="H18"/>
      <c r="I18"/>
      <c r="J18"/>
      <c r="K18"/>
      <c r="L18"/>
      <c r="M18"/>
    </row>
    <row r="19" spans="1:13" ht="15" thickTop="1" x14ac:dyDescent="0.4">
      <c r="C19" s="158"/>
      <c r="D19" s="158"/>
      <c r="E19"/>
      <c r="F19"/>
      <c r="G19"/>
      <c r="H19"/>
      <c r="I19"/>
      <c r="J19"/>
      <c r="K19"/>
      <c r="L19"/>
      <c r="M19"/>
    </row>
    <row r="20" spans="1:13" ht="15" thickBot="1" x14ac:dyDescent="0.45">
      <c r="A20" s="141" t="s">
        <v>725</v>
      </c>
      <c r="C20" s="157">
        <f>MAX(C7:C12)</f>
        <v>2.192357475284616</v>
      </c>
      <c r="D20" s="222"/>
      <c r="E20"/>
      <c r="F20"/>
      <c r="G20"/>
      <c r="H20"/>
      <c r="I20"/>
      <c r="J20"/>
      <c r="K20"/>
      <c r="L20"/>
      <c r="M20"/>
    </row>
    <row r="21" spans="1:13" ht="15" thickTop="1" x14ac:dyDescent="0.4">
      <c r="E21"/>
      <c r="F21"/>
      <c r="G21"/>
      <c r="H21"/>
      <c r="I21"/>
      <c r="J21"/>
      <c r="K21"/>
      <c r="L21"/>
      <c r="M21"/>
    </row>
    <row r="22" spans="1:13" ht="14.6" x14ac:dyDescent="0.4">
      <c r="E22"/>
      <c r="F22"/>
      <c r="G22"/>
      <c r="H22"/>
      <c r="I22"/>
      <c r="J22"/>
      <c r="K22"/>
      <c r="L22"/>
      <c r="M22"/>
    </row>
    <row r="23" spans="1:13" ht="14.6" x14ac:dyDescent="0.4">
      <c r="A23" s="141" t="s">
        <v>726</v>
      </c>
      <c r="E23"/>
      <c r="F23"/>
      <c r="G23"/>
      <c r="H23"/>
      <c r="I23"/>
      <c r="J23"/>
      <c r="K23"/>
      <c r="L23"/>
      <c r="M23"/>
    </row>
    <row r="24" spans="1:13" x14ac:dyDescent="0.35">
      <c r="E24" s="156"/>
    </row>
    <row r="25" spans="1:13" x14ac:dyDescent="0.35">
      <c r="E25" s="156"/>
    </row>
    <row r="26" spans="1:13" x14ac:dyDescent="0.35">
      <c r="E26" s="156"/>
    </row>
    <row r="27" spans="1:13" x14ac:dyDescent="0.35">
      <c r="E27" s="156"/>
    </row>
    <row r="28" spans="1:13" x14ac:dyDescent="0.35">
      <c r="E28" s="156"/>
    </row>
    <row r="29" spans="1:13" x14ac:dyDescent="0.35">
      <c r="E29" s="156"/>
    </row>
    <row r="30" spans="1:13" x14ac:dyDescent="0.35">
      <c r="E30" s="156"/>
    </row>
    <row r="31" spans="1:13" x14ac:dyDescent="0.35">
      <c r="E31" s="156"/>
    </row>
    <row r="32" spans="1:13" x14ac:dyDescent="0.35">
      <c r="E32" s="156"/>
    </row>
    <row r="33" spans="5:5" x14ac:dyDescent="0.35">
      <c r="E33" s="156"/>
    </row>
    <row r="34" spans="5:5" x14ac:dyDescent="0.35">
      <c r="E34" s="156"/>
    </row>
    <row r="35" spans="5:5" x14ac:dyDescent="0.35">
      <c r="E35" s="156"/>
    </row>
    <row r="36" spans="5:5" x14ac:dyDescent="0.35">
      <c r="E36" s="156"/>
    </row>
    <row r="37" spans="5:5" x14ac:dyDescent="0.35">
      <c r="E37" s="156"/>
    </row>
    <row r="38" spans="5:5" x14ac:dyDescent="0.35">
      <c r="E38" s="156"/>
    </row>
    <row r="39" spans="5:5" x14ac:dyDescent="0.35">
      <c r="E39" s="156"/>
    </row>
    <row r="40" spans="5:5" x14ac:dyDescent="0.35">
      <c r="E40" s="156"/>
    </row>
    <row r="41" spans="5:5" x14ac:dyDescent="0.35">
      <c r="E41" s="156"/>
    </row>
    <row r="42" spans="5:5" x14ac:dyDescent="0.35">
      <c r="E42" s="156"/>
    </row>
    <row r="43" spans="5:5" x14ac:dyDescent="0.35">
      <c r="E43" s="156"/>
    </row>
    <row r="44" spans="5:5" x14ac:dyDescent="0.35">
      <c r="E44" s="156"/>
    </row>
    <row r="45" spans="5:5" x14ac:dyDescent="0.35">
      <c r="E45" s="156"/>
    </row>
    <row r="46" spans="5:5" x14ac:dyDescent="0.35">
      <c r="E46" s="156"/>
    </row>
    <row r="47" spans="5:5" x14ac:dyDescent="0.35">
      <c r="E47" s="156"/>
    </row>
    <row r="48" spans="5:5" x14ac:dyDescent="0.35">
      <c r="E48" s="156"/>
    </row>
    <row r="49" spans="5:5" x14ac:dyDescent="0.35">
      <c r="E49" s="156"/>
    </row>
    <row r="50" spans="5:5" x14ac:dyDescent="0.35">
      <c r="E50" s="156"/>
    </row>
    <row r="51" spans="5:5" x14ac:dyDescent="0.35">
      <c r="E51" s="156"/>
    </row>
    <row r="52" spans="5:5" x14ac:dyDescent="0.35">
      <c r="E52" s="156"/>
    </row>
    <row r="53" spans="5:5" x14ac:dyDescent="0.35">
      <c r="E53" s="156"/>
    </row>
    <row r="54" spans="5:5" x14ac:dyDescent="0.35">
      <c r="E54" s="156"/>
    </row>
    <row r="55" spans="5:5" x14ac:dyDescent="0.35">
      <c r="E55" s="156"/>
    </row>
    <row r="56" spans="5:5" x14ac:dyDescent="0.35">
      <c r="E56" s="156"/>
    </row>
    <row r="57" spans="5:5" x14ac:dyDescent="0.35">
      <c r="E57" s="156"/>
    </row>
    <row r="58" spans="5:5" x14ac:dyDescent="0.35">
      <c r="E58" s="156"/>
    </row>
    <row r="59" spans="5:5" x14ac:dyDescent="0.35">
      <c r="E59" s="156"/>
    </row>
    <row r="60" spans="5:5" x14ac:dyDescent="0.35">
      <c r="E60" s="156"/>
    </row>
    <row r="61" spans="5:5" x14ac:dyDescent="0.35">
      <c r="E61" s="156"/>
    </row>
    <row r="62" spans="5:5" x14ac:dyDescent="0.35">
      <c r="E62" s="156"/>
    </row>
    <row r="63" spans="5:5" x14ac:dyDescent="0.35">
      <c r="E63" s="156"/>
    </row>
    <row r="64" spans="5:5" x14ac:dyDescent="0.35">
      <c r="E64" s="156"/>
    </row>
    <row r="65" spans="5:5" x14ac:dyDescent="0.35">
      <c r="E65" s="156"/>
    </row>
    <row r="66" spans="5:5" x14ac:dyDescent="0.35">
      <c r="E66" s="156"/>
    </row>
    <row r="67" spans="5:5" x14ac:dyDescent="0.35">
      <c r="E67" s="156"/>
    </row>
    <row r="68" spans="5:5" x14ac:dyDescent="0.35">
      <c r="E68" s="156"/>
    </row>
    <row r="69" spans="5:5" x14ac:dyDescent="0.35">
      <c r="E69" s="156"/>
    </row>
    <row r="70" spans="5:5" x14ac:dyDescent="0.35">
      <c r="E70" s="156"/>
    </row>
    <row r="71" spans="5:5" x14ac:dyDescent="0.35">
      <c r="E71" s="156"/>
    </row>
    <row r="72" spans="5:5" x14ac:dyDescent="0.35">
      <c r="E72" s="156"/>
    </row>
    <row r="73" spans="5:5" x14ac:dyDescent="0.35">
      <c r="E73" s="156"/>
    </row>
    <row r="74" spans="5:5" x14ac:dyDescent="0.35">
      <c r="E74" s="156"/>
    </row>
    <row r="75" spans="5:5" x14ac:dyDescent="0.35">
      <c r="E75" s="156"/>
    </row>
    <row r="76" spans="5:5" x14ac:dyDescent="0.35">
      <c r="E76" s="156"/>
    </row>
    <row r="77" spans="5:5" x14ac:dyDescent="0.35">
      <c r="E77" s="156"/>
    </row>
    <row r="78" spans="5:5" x14ac:dyDescent="0.35">
      <c r="E78" s="156"/>
    </row>
    <row r="79" spans="5:5" x14ac:dyDescent="0.35">
      <c r="E79" s="156"/>
    </row>
    <row r="80" spans="5:5" x14ac:dyDescent="0.35">
      <c r="E80" s="156"/>
    </row>
    <row r="81" spans="5:5" x14ac:dyDescent="0.35">
      <c r="E81" s="156"/>
    </row>
    <row r="82" spans="5:5" x14ac:dyDescent="0.35">
      <c r="E82" s="156"/>
    </row>
    <row r="83" spans="5:5" x14ac:dyDescent="0.35">
      <c r="E83" s="156"/>
    </row>
    <row r="84" spans="5:5" x14ac:dyDescent="0.35">
      <c r="E84" s="156"/>
    </row>
    <row r="85" spans="5:5" x14ac:dyDescent="0.35">
      <c r="E85" s="156"/>
    </row>
    <row r="86" spans="5:5" x14ac:dyDescent="0.35">
      <c r="E86" s="156"/>
    </row>
    <row r="87" spans="5:5" x14ac:dyDescent="0.35">
      <c r="E87" s="156"/>
    </row>
    <row r="88" spans="5:5" x14ac:dyDescent="0.35">
      <c r="E88" s="156"/>
    </row>
    <row r="89" spans="5:5" x14ac:dyDescent="0.35">
      <c r="E89" s="156"/>
    </row>
    <row r="90" spans="5:5" x14ac:dyDescent="0.35">
      <c r="E90" s="156"/>
    </row>
    <row r="91" spans="5:5" x14ac:dyDescent="0.35">
      <c r="E91" s="156"/>
    </row>
    <row r="92" spans="5:5" x14ac:dyDescent="0.35">
      <c r="E92" s="156"/>
    </row>
    <row r="93" spans="5:5" x14ac:dyDescent="0.35">
      <c r="E93" s="156"/>
    </row>
    <row r="94" spans="5:5" x14ac:dyDescent="0.35">
      <c r="E94" s="156"/>
    </row>
    <row r="95" spans="5:5" x14ac:dyDescent="0.35">
      <c r="E95" s="156"/>
    </row>
    <row r="96" spans="5:5" x14ac:dyDescent="0.35">
      <c r="E96" s="156"/>
    </row>
    <row r="97" spans="5:5" x14ac:dyDescent="0.35">
      <c r="E97" s="156"/>
    </row>
    <row r="98" spans="5:5" x14ac:dyDescent="0.35">
      <c r="E98" s="156"/>
    </row>
    <row r="99" spans="5:5" x14ac:dyDescent="0.35">
      <c r="E99" s="156"/>
    </row>
    <row r="100" spans="5:5" x14ac:dyDescent="0.35">
      <c r="E100" s="156"/>
    </row>
    <row r="101" spans="5:5" x14ac:dyDescent="0.35">
      <c r="E101" s="156"/>
    </row>
    <row r="102" spans="5:5" x14ac:dyDescent="0.35">
      <c r="E102" s="156"/>
    </row>
    <row r="103" spans="5:5" x14ac:dyDescent="0.35">
      <c r="E103" s="156"/>
    </row>
    <row r="104" spans="5:5" x14ac:dyDescent="0.35">
      <c r="E104" s="156"/>
    </row>
    <row r="105" spans="5:5" x14ac:dyDescent="0.35">
      <c r="E105" s="156"/>
    </row>
    <row r="106" spans="5:5" x14ac:dyDescent="0.35">
      <c r="E106" s="156"/>
    </row>
    <row r="107" spans="5:5" x14ac:dyDescent="0.35">
      <c r="E107" s="156"/>
    </row>
    <row r="108" spans="5:5" x14ac:dyDescent="0.35">
      <c r="E108" s="156"/>
    </row>
    <row r="109" spans="5:5" x14ac:dyDescent="0.35">
      <c r="E109" s="156"/>
    </row>
    <row r="110" spans="5:5" x14ac:dyDescent="0.35">
      <c r="E110" s="156"/>
    </row>
    <row r="111" spans="5:5" x14ac:dyDescent="0.35">
      <c r="E111" s="156"/>
    </row>
    <row r="112" spans="5:5" x14ac:dyDescent="0.35">
      <c r="E112" s="156"/>
    </row>
    <row r="113" spans="5:5" x14ac:dyDescent="0.35">
      <c r="E113" s="156"/>
    </row>
    <row r="114" spans="5:5" x14ac:dyDescent="0.35">
      <c r="E114" s="156"/>
    </row>
    <row r="115" spans="5:5" x14ac:dyDescent="0.35">
      <c r="E115" s="156"/>
    </row>
    <row r="116" spans="5:5" x14ac:dyDescent="0.35">
      <c r="E116" s="156"/>
    </row>
    <row r="117" spans="5:5" x14ac:dyDescent="0.35">
      <c r="E117" s="156"/>
    </row>
    <row r="118" spans="5:5" x14ac:dyDescent="0.35">
      <c r="E118" s="156"/>
    </row>
    <row r="119" spans="5:5" x14ac:dyDescent="0.35">
      <c r="E119" s="156"/>
    </row>
    <row r="120" spans="5:5" x14ac:dyDescent="0.35">
      <c r="E120" s="156"/>
    </row>
    <row r="121" spans="5:5" x14ac:dyDescent="0.35">
      <c r="E121" s="156"/>
    </row>
    <row r="122" spans="5:5" x14ac:dyDescent="0.35">
      <c r="E122" s="156"/>
    </row>
    <row r="123" spans="5:5" x14ac:dyDescent="0.35">
      <c r="E123" s="156"/>
    </row>
    <row r="124" spans="5:5" x14ac:dyDescent="0.35">
      <c r="E124" s="156"/>
    </row>
    <row r="125" spans="5:5" x14ac:dyDescent="0.35">
      <c r="E125" s="156"/>
    </row>
    <row r="126" spans="5:5" x14ac:dyDescent="0.35">
      <c r="E126" s="156"/>
    </row>
    <row r="127" spans="5:5" x14ac:dyDescent="0.35">
      <c r="E127" s="156"/>
    </row>
    <row r="128" spans="5:5" x14ac:dyDescent="0.35">
      <c r="E128" s="156"/>
    </row>
    <row r="129" spans="5:5" x14ac:dyDescent="0.35">
      <c r="E129" s="156"/>
    </row>
    <row r="130" spans="5:5" x14ac:dyDescent="0.35">
      <c r="E130" s="156"/>
    </row>
    <row r="131" spans="5:5" x14ac:dyDescent="0.35">
      <c r="E131" s="156"/>
    </row>
    <row r="132" spans="5:5" x14ac:dyDescent="0.35">
      <c r="E132" s="156"/>
    </row>
    <row r="133" spans="5:5" x14ac:dyDescent="0.35">
      <c r="E133" s="156"/>
    </row>
    <row r="134" spans="5:5" x14ac:dyDescent="0.35">
      <c r="E134" s="156"/>
    </row>
    <row r="135" spans="5:5" x14ac:dyDescent="0.35">
      <c r="E135" s="156"/>
    </row>
    <row r="136" spans="5:5" x14ac:dyDescent="0.35">
      <c r="E136" s="156"/>
    </row>
    <row r="137" spans="5:5" x14ac:dyDescent="0.35">
      <c r="E137" s="156"/>
    </row>
    <row r="138" spans="5:5" x14ac:dyDescent="0.35">
      <c r="E138" s="156"/>
    </row>
    <row r="139" spans="5:5" x14ac:dyDescent="0.35">
      <c r="E139" s="156"/>
    </row>
    <row r="140" spans="5:5" x14ac:dyDescent="0.35">
      <c r="E140" s="156"/>
    </row>
    <row r="141" spans="5:5" x14ac:dyDescent="0.35">
      <c r="E141" s="156"/>
    </row>
    <row r="142" spans="5:5" x14ac:dyDescent="0.35">
      <c r="E142" s="156"/>
    </row>
    <row r="143" spans="5:5" x14ac:dyDescent="0.35">
      <c r="E143" s="156"/>
    </row>
    <row r="144" spans="5:5" x14ac:dyDescent="0.35">
      <c r="E144" s="156"/>
    </row>
    <row r="145" spans="5:5" x14ac:dyDescent="0.35">
      <c r="E145" s="156"/>
    </row>
    <row r="146" spans="5:5" x14ac:dyDescent="0.35">
      <c r="E146" s="156"/>
    </row>
    <row r="147" spans="5:5" x14ac:dyDescent="0.35">
      <c r="E147" s="156"/>
    </row>
    <row r="148" spans="5:5" x14ac:dyDescent="0.35">
      <c r="E148" s="156"/>
    </row>
    <row r="149" spans="5:5" x14ac:dyDescent="0.35">
      <c r="E149" s="156"/>
    </row>
    <row r="150" spans="5:5" x14ac:dyDescent="0.35">
      <c r="E150" s="156"/>
    </row>
    <row r="151" spans="5:5" x14ac:dyDescent="0.35">
      <c r="E151" s="156"/>
    </row>
    <row r="152" spans="5:5" x14ac:dyDescent="0.35">
      <c r="E152" s="156"/>
    </row>
    <row r="153" spans="5:5" x14ac:dyDescent="0.35">
      <c r="E153" s="156"/>
    </row>
    <row r="154" spans="5:5" x14ac:dyDescent="0.35">
      <c r="E154" s="156"/>
    </row>
    <row r="155" spans="5:5" x14ac:dyDescent="0.35">
      <c r="E155" s="156"/>
    </row>
    <row r="156" spans="5:5" x14ac:dyDescent="0.35">
      <c r="E156" s="156"/>
    </row>
    <row r="157" spans="5:5" x14ac:dyDescent="0.35">
      <c r="E157" s="156"/>
    </row>
    <row r="158" spans="5:5" x14ac:dyDescent="0.35">
      <c r="E158" s="156"/>
    </row>
    <row r="159" spans="5:5" x14ac:dyDescent="0.35">
      <c r="E159" s="156"/>
    </row>
    <row r="160" spans="5:5" x14ac:dyDescent="0.35">
      <c r="E160" s="156"/>
    </row>
    <row r="161" spans="5:5" x14ac:dyDescent="0.35">
      <c r="E161" s="156"/>
    </row>
    <row r="162" spans="5:5" x14ac:dyDescent="0.35">
      <c r="E162" s="156"/>
    </row>
    <row r="163" spans="5:5" x14ac:dyDescent="0.35">
      <c r="E163" s="156"/>
    </row>
    <row r="164" spans="5:5" x14ac:dyDescent="0.35">
      <c r="E164" s="156"/>
    </row>
    <row r="165" spans="5:5" x14ac:dyDescent="0.35">
      <c r="E165" s="156"/>
    </row>
    <row r="166" spans="5:5" x14ac:dyDescent="0.35">
      <c r="E166" s="156"/>
    </row>
    <row r="167" spans="5:5" x14ac:dyDescent="0.35">
      <c r="E167" s="156"/>
    </row>
    <row r="168" spans="5:5" x14ac:dyDescent="0.35">
      <c r="E168" s="156"/>
    </row>
    <row r="169" spans="5:5" x14ac:dyDescent="0.35">
      <c r="E169" s="156"/>
    </row>
    <row r="170" spans="5:5" x14ac:dyDescent="0.35">
      <c r="E170" s="156"/>
    </row>
    <row r="171" spans="5:5" x14ac:dyDescent="0.35">
      <c r="E171" s="156"/>
    </row>
    <row r="172" spans="5:5" x14ac:dyDescent="0.35">
      <c r="E172" s="156"/>
    </row>
    <row r="173" spans="5:5" x14ac:dyDescent="0.35">
      <c r="E173" s="156"/>
    </row>
    <row r="174" spans="5:5" x14ac:dyDescent="0.35">
      <c r="E174" s="156"/>
    </row>
    <row r="175" spans="5:5" x14ac:dyDescent="0.35">
      <c r="E175" s="156"/>
    </row>
    <row r="176" spans="5:5" x14ac:dyDescent="0.35">
      <c r="E176" s="156"/>
    </row>
    <row r="177" spans="5:5" x14ac:dyDescent="0.35">
      <c r="E177" s="156"/>
    </row>
    <row r="178" spans="5:5" x14ac:dyDescent="0.35">
      <c r="E178" s="156"/>
    </row>
    <row r="179" spans="5:5" x14ac:dyDescent="0.35">
      <c r="E179" s="156"/>
    </row>
    <row r="180" spans="5:5" x14ac:dyDescent="0.35">
      <c r="E180" s="156"/>
    </row>
    <row r="181" spans="5:5" x14ac:dyDescent="0.35">
      <c r="E181" s="156"/>
    </row>
    <row r="182" spans="5:5" x14ac:dyDescent="0.35">
      <c r="E182" s="156"/>
    </row>
    <row r="183" spans="5:5" x14ac:dyDescent="0.35">
      <c r="E183" s="156"/>
    </row>
    <row r="184" spans="5:5" x14ac:dyDescent="0.35">
      <c r="E184" s="156"/>
    </row>
    <row r="185" spans="5:5" x14ac:dyDescent="0.35">
      <c r="E185" s="156"/>
    </row>
    <row r="186" spans="5:5" x14ac:dyDescent="0.35">
      <c r="E186" s="156"/>
    </row>
    <row r="187" spans="5:5" x14ac:dyDescent="0.35">
      <c r="E187" s="156"/>
    </row>
    <row r="188" spans="5:5" x14ac:dyDescent="0.35">
      <c r="E188" s="156"/>
    </row>
    <row r="189" spans="5:5" x14ac:dyDescent="0.35">
      <c r="E189" s="156"/>
    </row>
    <row r="190" spans="5:5" x14ac:dyDescent="0.35">
      <c r="E190" s="156"/>
    </row>
    <row r="191" spans="5:5" x14ac:dyDescent="0.35">
      <c r="E191" s="156"/>
    </row>
    <row r="192" spans="5:5" x14ac:dyDescent="0.35">
      <c r="E192" s="156"/>
    </row>
    <row r="193" spans="5:5" x14ac:dyDescent="0.35">
      <c r="E193" s="156"/>
    </row>
    <row r="194" spans="5:5" x14ac:dyDescent="0.35">
      <c r="E194" s="156"/>
    </row>
    <row r="195" spans="5:5" x14ac:dyDescent="0.35">
      <c r="E195" s="156"/>
    </row>
    <row r="196" spans="5:5" x14ac:dyDescent="0.35">
      <c r="E196" s="156"/>
    </row>
    <row r="197" spans="5:5" x14ac:dyDescent="0.35">
      <c r="E197" s="156"/>
    </row>
    <row r="198" spans="5:5" x14ac:dyDescent="0.35">
      <c r="E198" s="156"/>
    </row>
    <row r="199" spans="5:5" x14ac:dyDescent="0.35">
      <c r="E199" s="156"/>
    </row>
    <row r="200" spans="5:5" x14ac:dyDescent="0.35">
      <c r="E200" s="156"/>
    </row>
    <row r="201" spans="5:5" x14ac:dyDescent="0.35">
      <c r="E201" s="156"/>
    </row>
    <row r="202" spans="5:5" x14ac:dyDescent="0.35">
      <c r="E202" s="156"/>
    </row>
    <row r="203" spans="5:5" x14ac:dyDescent="0.35">
      <c r="E203" s="156"/>
    </row>
    <row r="204" spans="5:5" x14ac:dyDescent="0.35">
      <c r="E204" s="156"/>
    </row>
    <row r="205" spans="5:5" x14ac:dyDescent="0.35">
      <c r="E205" s="156"/>
    </row>
    <row r="206" spans="5:5" x14ac:dyDescent="0.35">
      <c r="E206" s="156"/>
    </row>
    <row r="207" spans="5:5" x14ac:dyDescent="0.35">
      <c r="E207" s="156"/>
    </row>
    <row r="208" spans="5:5" x14ac:dyDescent="0.35">
      <c r="E208" s="156"/>
    </row>
    <row r="209" spans="5:5" x14ac:dyDescent="0.35">
      <c r="E209" s="156"/>
    </row>
    <row r="210" spans="5:5" x14ac:dyDescent="0.35">
      <c r="E210" s="156"/>
    </row>
    <row r="211" spans="5:5" x14ac:dyDescent="0.35">
      <c r="E211" s="156"/>
    </row>
  </sheetData>
  <mergeCells count="3">
    <mergeCell ref="A1:C1"/>
    <mergeCell ref="A2:C2"/>
    <mergeCell ref="A3:C3"/>
  </mergeCells>
  <printOptions horizontalCentered="1"/>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76862-628E-4405-877F-3F941BD36371}">
  <dimension ref="A1:E21"/>
  <sheetViews>
    <sheetView view="pageBreakPreview" zoomScaleNormal="100" zoomScaleSheetLayoutView="100" workbookViewId="0">
      <selection sqref="A1:C1"/>
    </sheetView>
  </sheetViews>
  <sheetFormatPr defaultColWidth="9.15234375" defaultRowHeight="14.15" x14ac:dyDescent="0.35"/>
  <cols>
    <col min="1" max="1" width="46" style="141" customWidth="1"/>
    <col min="2" max="2" width="9.15234375" style="141"/>
    <col min="3" max="3" width="19.15234375" style="141" customWidth="1"/>
    <col min="4" max="4" width="9.15234375" style="141"/>
    <col min="5" max="5" width="17" style="141" bestFit="1" customWidth="1"/>
    <col min="6" max="16384" width="9.15234375" style="141"/>
  </cols>
  <sheetData>
    <row r="1" spans="1:5" x14ac:dyDescent="0.35">
      <c r="A1" s="868" t="str">
        <f>Summary!A1</f>
        <v>City of Ansonia</v>
      </c>
      <c r="B1" s="868"/>
      <c r="C1" s="868"/>
    </row>
    <row r="2" spans="1:5" x14ac:dyDescent="0.35">
      <c r="A2" s="870" t="s">
        <v>727</v>
      </c>
      <c r="B2" s="870"/>
      <c r="C2" s="870"/>
    </row>
    <row r="3" spans="1:5" x14ac:dyDescent="0.35">
      <c r="A3" s="871" t="str">
        <f>"Net Sewer Plant of the "&amp;Summary!A1</f>
        <v>Net Sewer Plant of the City of Ansonia</v>
      </c>
      <c r="B3" s="871"/>
      <c r="C3" s="871"/>
    </row>
    <row r="4" spans="1:5" x14ac:dyDescent="0.35">
      <c r="A4" s="142"/>
      <c r="B4" s="142"/>
      <c r="C4" s="142"/>
    </row>
    <row r="5" spans="1:5" x14ac:dyDescent="0.35">
      <c r="C5" s="145" t="s">
        <v>728</v>
      </c>
    </row>
    <row r="7" spans="1:5" x14ac:dyDescent="0.35">
      <c r="A7" s="159" t="s">
        <v>728</v>
      </c>
      <c r="C7" s="146">
        <f>'1.1 Cost Approach Summary'!C17</f>
        <v>38716226.810466692</v>
      </c>
    </row>
    <row r="8" spans="1:5" x14ac:dyDescent="0.35">
      <c r="A8" s="159"/>
    </row>
    <row r="9" spans="1:5" ht="28.3" x14ac:dyDescent="0.35">
      <c r="A9" s="159" t="s">
        <v>729</v>
      </c>
      <c r="C9" s="155">
        <f>'2.2 MVIC to Net Plant Ratio'!C14</f>
        <v>1.6850106658577462</v>
      </c>
    </row>
    <row r="10" spans="1:5" x14ac:dyDescent="0.35">
      <c r="A10" s="159"/>
      <c r="C10" s="155"/>
    </row>
    <row r="11" spans="1:5" ht="28.3" x14ac:dyDescent="0.35">
      <c r="A11" s="159" t="s">
        <v>730</v>
      </c>
      <c r="C11" s="155">
        <f>'2.2 MVIC to Net Plant Ratio'!C20</f>
        <v>2.192357475284616</v>
      </c>
    </row>
    <row r="12" spans="1:5" x14ac:dyDescent="0.35">
      <c r="A12" s="159"/>
      <c r="C12" s="155"/>
    </row>
    <row r="13" spans="1:5" ht="28.3" x14ac:dyDescent="0.35">
      <c r="A13" s="159" t="s">
        <v>731</v>
      </c>
      <c r="C13" s="160">
        <f>'2.2 MVIC to Net Plant Ratio'!C18</f>
        <v>1.4063214193476676</v>
      </c>
    </row>
    <row r="14" spans="1:5" x14ac:dyDescent="0.35">
      <c r="A14" s="159"/>
    </row>
    <row r="15" spans="1:5" ht="42.9" thickBot="1" x14ac:dyDescent="0.4">
      <c r="A15" s="159" t="s">
        <v>732</v>
      </c>
      <c r="C15" s="161">
        <f>C$7*C9</f>
        <v>65237255.117404006</v>
      </c>
    </row>
    <row r="16" spans="1:5" ht="14.6" thickTop="1" x14ac:dyDescent="0.35">
      <c r="A16" s="159"/>
      <c r="C16" s="146"/>
      <c r="E16" s="162"/>
    </row>
    <row r="17" spans="1:5" ht="28.75" thickBot="1" x14ac:dyDescent="0.4">
      <c r="A17" s="159" t="s">
        <v>733</v>
      </c>
      <c r="C17" s="161">
        <f>C$7*C11</f>
        <v>84879809.262741312</v>
      </c>
      <c r="E17" s="162"/>
    </row>
    <row r="18" spans="1:5" ht="14.6" thickTop="1" x14ac:dyDescent="0.35">
      <c r="A18" s="159"/>
      <c r="C18" s="146"/>
      <c r="E18" s="162"/>
    </row>
    <row r="19" spans="1:5" ht="28.75" thickBot="1" x14ac:dyDescent="0.4">
      <c r="A19" s="159" t="s">
        <v>734</v>
      </c>
      <c r="C19" s="161">
        <f>C$7*C13</f>
        <v>54447459.039881743</v>
      </c>
      <c r="E19" s="163"/>
    </row>
    <row r="20" spans="1:5" ht="14.6" thickTop="1" x14ac:dyDescent="0.35">
      <c r="C20" s="146"/>
    </row>
    <row r="21" spans="1:5" x14ac:dyDescent="0.35">
      <c r="A21" s="164"/>
      <c r="C21" s="146"/>
    </row>
  </sheetData>
  <mergeCells count="3">
    <mergeCell ref="A1:C1"/>
    <mergeCell ref="A2:C2"/>
    <mergeCell ref="A3:C3"/>
  </mergeCells>
  <printOptions horizontalCentered="1"/>
  <pageMargins left="0.7" right="0.7" top="0.75" bottom="0.75" header="0.3" footer="0.3"/>
  <pageSetup orientation="portrait" horizontalDpi="1200" verticalDpi="1200"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D3C7-D366-4259-8C41-1984759B321D}">
  <dimension ref="A1:N199"/>
  <sheetViews>
    <sheetView view="pageBreakPreview" zoomScale="85" zoomScaleNormal="115" zoomScaleSheetLayoutView="85" workbookViewId="0">
      <pane xSplit="1" ySplit="5" topLeftCell="B6" activePane="bottomRight" state="frozen"/>
      <selection sqref="A1:C1"/>
      <selection pane="topRight" sqref="A1:C1"/>
      <selection pane="bottomLeft" sqref="A1:C1"/>
      <selection pane="bottomRight" activeCell="B6" sqref="B6"/>
    </sheetView>
  </sheetViews>
  <sheetFormatPr defaultColWidth="9.15234375" defaultRowHeight="14.15" x14ac:dyDescent="0.35"/>
  <cols>
    <col min="1" max="1" width="11.15234375" style="141" bestFit="1" customWidth="1"/>
    <col min="2" max="2" width="53.3828125" style="141" customWidth="1"/>
    <col min="3" max="3" width="44.53515625" style="141" customWidth="1"/>
    <col min="4" max="5" width="12.69140625" style="141" customWidth="1"/>
    <col min="6" max="7" width="19.84375" style="141" customWidth="1"/>
    <col min="8" max="8" width="16.15234375" style="156" customWidth="1"/>
    <col min="9" max="9" width="15" style="141" customWidth="1"/>
    <col min="10" max="10" width="11.15234375" style="141" bestFit="1" customWidth="1"/>
    <col min="11" max="11" width="9.15234375" style="141"/>
    <col min="12" max="12" width="14.53515625" style="141" customWidth="1"/>
    <col min="13" max="13" width="13" style="141" bestFit="1" customWidth="1"/>
    <col min="14" max="16384" width="9.15234375" style="141"/>
  </cols>
  <sheetData>
    <row r="1" spans="1:14" x14ac:dyDescent="0.35">
      <c r="A1" s="868" t="str">
        <f>Summary!A1</f>
        <v>City of Ansonia</v>
      </c>
      <c r="B1" s="868"/>
      <c r="C1" s="868"/>
      <c r="D1" s="868"/>
      <c r="E1" s="868"/>
      <c r="F1" s="868"/>
      <c r="G1" s="868"/>
      <c r="H1" s="868"/>
    </row>
    <row r="2" spans="1:14" x14ac:dyDescent="0.35">
      <c r="A2" s="872" t="s">
        <v>735</v>
      </c>
      <c r="B2" s="872"/>
      <c r="C2" s="872"/>
      <c r="D2" s="872"/>
      <c r="E2" s="872"/>
      <c r="F2" s="872"/>
      <c r="G2" s="872"/>
      <c r="H2" s="872"/>
    </row>
    <row r="3" spans="1:14" x14ac:dyDescent="0.35">
      <c r="A3" s="868" t="s">
        <v>736</v>
      </c>
      <c r="B3" s="868"/>
      <c r="C3" s="868"/>
      <c r="D3" s="868"/>
      <c r="E3" s="868"/>
      <c r="F3" s="868"/>
      <c r="G3" s="868"/>
      <c r="H3" s="868"/>
    </row>
    <row r="5" spans="1:14" ht="42.45" x14ac:dyDescent="0.35">
      <c r="A5" s="143" t="s">
        <v>737</v>
      </c>
      <c r="B5" s="143" t="s">
        <v>738</v>
      </c>
      <c r="C5" s="143" t="s">
        <v>739</v>
      </c>
      <c r="D5" s="143" t="s">
        <v>740</v>
      </c>
      <c r="E5" s="143" t="s">
        <v>741</v>
      </c>
      <c r="F5" s="143" t="s">
        <v>742</v>
      </c>
      <c r="G5" s="143" t="s">
        <v>743</v>
      </c>
      <c r="H5" s="143" t="s">
        <v>744</v>
      </c>
      <c r="I5" s="143"/>
    </row>
    <row r="6" spans="1:14" x14ac:dyDescent="0.35">
      <c r="A6" s="165" t="s">
        <v>745</v>
      </c>
      <c r="B6" s="165" t="s">
        <v>746</v>
      </c>
      <c r="C6" s="165" t="s">
        <v>747</v>
      </c>
      <c r="D6" s="153">
        <v>3868</v>
      </c>
      <c r="E6" s="153"/>
      <c r="F6" s="153">
        <v>16800</v>
      </c>
      <c r="G6" s="166">
        <f>(F6)/(D6+E6)</f>
        <v>4.3433298862461216</v>
      </c>
      <c r="H6" s="167">
        <v>42373</v>
      </c>
      <c r="K6" s="162"/>
      <c r="N6" s="162"/>
    </row>
    <row r="7" spans="1:14" x14ac:dyDescent="0.35">
      <c r="A7" s="165" t="s">
        <v>748</v>
      </c>
      <c r="B7" s="165" t="s">
        <v>749</v>
      </c>
      <c r="C7" s="165" t="s">
        <v>750</v>
      </c>
      <c r="D7" s="153">
        <v>150</v>
      </c>
      <c r="E7" s="153"/>
      <c r="F7" s="153">
        <v>1075</v>
      </c>
      <c r="G7" s="166">
        <f t="shared" ref="G7:G70" si="0">(F7)/(D7+E7)</f>
        <v>7.166666666666667</v>
      </c>
      <c r="H7" s="167">
        <v>42395</v>
      </c>
      <c r="K7" s="162"/>
      <c r="N7" s="162"/>
    </row>
    <row r="8" spans="1:14" x14ac:dyDescent="0.35">
      <c r="A8" s="165" t="s">
        <v>751</v>
      </c>
      <c r="B8" s="168" t="s">
        <v>752</v>
      </c>
      <c r="C8" s="165" t="s">
        <v>753</v>
      </c>
      <c r="D8" s="169">
        <v>20</v>
      </c>
      <c r="E8" s="153"/>
      <c r="F8" s="153">
        <v>80</v>
      </c>
      <c r="G8" s="166">
        <f t="shared" si="0"/>
        <v>4</v>
      </c>
      <c r="H8" s="170">
        <v>42471</v>
      </c>
      <c r="K8" s="162"/>
      <c r="N8" s="162"/>
    </row>
    <row r="9" spans="1:14" x14ac:dyDescent="0.35">
      <c r="A9" s="165" t="s">
        <v>748</v>
      </c>
      <c r="B9" s="165" t="s">
        <v>754</v>
      </c>
      <c r="C9" s="165" t="s">
        <v>750</v>
      </c>
      <c r="D9" s="153">
        <v>170</v>
      </c>
      <c r="E9" s="153"/>
      <c r="F9" s="153">
        <v>175</v>
      </c>
      <c r="G9" s="166">
        <f t="shared" si="0"/>
        <v>1.0294117647058822</v>
      </c>
      <c r="H9" s="167">
        <v>42486</v>
      </c>
      <c r="K9" s="162"/>
      <c r="N9" s="162"/>
    </row>
    <row r="10" spans="1:14" x14ac:dyDescent="0.35">
      <c r="A10" s="165" t="s">
        <v>745</v>
      </c>
      <c r="B10" s="165" t="s">
        <v>755</v>
      </c>
      <c r="C10" s="165" t="s">
        <v>756</v>
      </c>
      <c r="D10" s="153"/>
      <c r="E10" s="153">
        <v>800</v>
      </c>
      <c r="F10" s="153">
        <v>5500</v>
      </c>
      <c r="G10" s="166">
        <f t="shared" si="0"/>
        <v>6.875</v>
      </c>
      <c r="H10" s="167">
        <v>42490</v>
      </c>
      <c r="K10" s="162"/>
      <c r="N10" s="162"/>
    </row>
    <row r="11" spans="1:14" x14ac:dyDescent="0.35">
      <c r="A11" s="165" t="s">
        <v>745</v>
      </c>
      <c r="B11" s="165" t="s">
        <v>757</v>
      </c>
      <c r="C11" s="165" t="s">
        <v>758</v>
      </c>
      <c r="D11" s="153"/>
      <c r="E11" s="153">
        <v>3100</v>
      </c>
      <c r="F11" s="153">
        <v>23000</v>
      </c>
      <c r="G11" s="166">
        <f t="shared" si="0"/>
        <v>7.419354838709677</v>
      </c>
      <c r="H11" s="167">
        <v>42495</v>
      </c>
      <c r="K11" s="162"/>
      <c r="N11" s="162"/>
    </row>
    <row r="12" spans="1:14" x14ac:dyDescent="0.35">
      <c r="A12" s="165" t="s">
        <v>759</v>
      </c>
      <c r="B12" s="165" t="s">
        <v>760</v>
      </c>
      <c r="C12" s="165" t="s">
        <v>761</v>
      </c>
      <c r="D12" s="153">
        <v>1600</v>
      </c>
      <c r="E12" s="153"/>
      <c r="F12" s="153">
        <v>2270</v>
      </c>
      <c r="G12" s="166">
        <f t="shared" si="0"/>
        <v>1.41875</v>
      </c>
      <c r="H12" s="171">
        <v>42499</v>
      </c>
      <c r="K12" s="162"/>
      <c r="N12" s="162"/>
    </row>
    <row r="13" spans="1:14" x14ac:dyDescent="0.35">
      <c r="A13" s="165" t="s">
        <v>751</v>
      </c>
      <c r="B13" s="165" t="s">
        <v>762</v>
      </c>
      <c r="C13" s="165" t="s">
        <v>763</v>
      </c>
      <c r="D13" s="169">
        <v>207</v>
      </c>
      <c r="E13" s="153"/>
      <c r="F13" s="153">
        <v>50</v>
      </c>
      <c r="G13" s="166">
        <f t="shared" si="0"/>
        <v>0.24154589371980675</v>
      </c>
      <c r="H13" s="172">
        <v>42538</v>
      </c>
      <c r="K13" s="162"/>
      <c r="N13" s="162"/>
    </row>
    <row r="14" spans="1:14" x14ac:dyDescent="0.35">
      <c r="A14" s="165" t="s">
        <v>764</v>
      </c>
      <c r="B14" s="165" t="s">
        <v>765</v>
      </c>
      <c r="C14" s="165" t="s">
        <v>766</v>
      </c>
      <c r="D14" s="153">
        <v>52</v>
      </c>
      <c r="E14" s="153"/>
      <c r="F14" s="153">
        <v>10</v>
      </c>
      <c r="G14" s="166">
        <f t="shared" si="0"/>
        <v>0.19230769230769232</v>
      </c>
      <c r="H14" s="167">
        <v>42552</v>
      </c>
      <c r="K14" s="162"/>
      <c r="N14" s="162"/>
    </row>
    <row r="15" spans="1:14" x14ac:dyDescent="0.35">
      <c r="A15" s="165" t="s">
        <v>751</v>
      </c>
      <c r="B15" s="165" t="s">
        <v>767</v>
      </c>
      <c r="C15" s="165" t="s">
        <v>768</v>
      </c>
      <c r="D15" s="169">
        <v>420</v>
      </c>
      <c r="E15" s="153"/>
      <c r="F15" s="153">
        <v>3000</v>
      </c>
      <c r="G15" s="166">
        <f t="shared" si="0"/>
        <v>7.1428571428571432</v>
      </c>
      <c r="H15" s="167">
        <v>42556</v>
      </c>
      <c r="K15" s="162"/>
      <c r="N15" s="162"/>
    </row>
    <row r="16" spans="1:14" ht="13.5" customHeight="1" x14ac:dyDescent="0.35">
      <c r="A16" s="165" t="s">
        <v>764</v>
      </c>
      <c r="B16" s="165" t="s">
        <v>769</v>
      </c>
      <c r="C16" s="165" t="s">
        <v>766</v>
      </c>
      <c r="D16" s="153">
        <v>216</v>
      </c>
      <c r="E16" s="153"/>
      <c r="F16" s="153">
        <v>210</v>
      </c>
      <c r="G16" s="166">
        <f t="shared" si="0"/>
        <v>0.97222222222222221</v>
      </c>
      <c r="H16" s="167">
        <v>42562</v>
      </c>
      <c r="K16" s="162"/>
      <c r="N16" s="162"/>
    </row>
    <row r="17" spans="1:14" x14ac:dyDescent="0.35">
      <c r="A17" s="165" t="s">
        <v>745</v>
      </c>
      <c r="B17" s="165" t="s">
        <v>770</v>
      </c>
      <c r="C17" s="165" t="s">
        <v>758</v>
      </c>
      <c r="D17" s="153"/>
      <c r="E17" s="153">
        <v>22000</v>
      </c>
      <c r="F17" s="153">
        <v>159000</v>
      </c>
      <c r="G17" s="166">
        <f t="shared" si="0"/>
        <v>7.2272727272727275</v>
      </c>
      <c r="H17" s="167">
        <v>42622</v>
      </c>
      <c r="K17" s="162"/>
      <c r="N17" s="162"/>
    </row>
    <row r="18" spans="1:14" x14ac:dyDescent="0.35">
      <c r="A18" s="165" t="s">
        <v>745</v>
      </c>
      <c r="B18" s="165" t="s">
        <v>771</v>
      </c>
      <c r="C18" s="165" t="s">
        <v>758</v>
      </c>
      <c r="D18" s="153"/>
      <c r="E18" s="153">
        <v>31000</v>
      </c>
      <c r="F18" s="153">
        <v>195000</v>
      </c>
      <c r="G18" s="166">
        <f t="shared" si="0"/>
        <v>6.290322580645161</v>
      </c>
      <c r="H18" s="167">
        <v>42733</v>
      </c>
      <c r="K18" s="162"/>
      <c r="N18" s="162"/>
    </row>
    <row r="19" spans="1:14" x14ac:dyDescent="0.35">
      <c r="A19" s="165" t="s">
        <v>772</v>
      </c>
      <c r="B19" s="165" t="s">
        <v>773</v>
      </c>
      <c r="C19" s="165" t="s">
        <v>774</v>
      </c>
      <c r="D19" s="153">
        <v>4700</v>
      </c>
      <c r="E19" s="153">
        <v>3000</v>
      </c>
      <c r="F19" s="153">
        <v>20700</v>
      </c>
      <c r="G19" s="166">
        <f t="shared" si="0"/>
        <v>2.6883116883116882</v>
      </c>
      <c r="H19" s="167">
        <v>42793</v>
      </c>
      <c r="K19" s="162"/>
      <c r="N19" s="162"/>
    </row>
    <row r="20" spans="1:14" x14ac:dyDescent="0.35">
      <c r="A20" s="165" t="s">
        <v>775</v>
      </c>
      <c r="B20" s="165" t="s">
        <v>776</v>
      </c>
      <c r="C20" s="165" t="s">
        <v>777</v>
      </c>
      <c r="D20" s="153">
        <v>11000</v>
      </c>
      <c r="E20" s="153"/>
      <c r="F20" s="153">
        <v>33000</v>
      </c>
      <c r="G20" s="166">
        <f t="shared" si="0"/>
        <v>3</v>
      </c>
      <c r="H20" s="167">
        <v>42828</v>
      </c>
      <c r="K20" s="162"/>
      <c r="N20" s="162"/>
    </row>
    <row r="21" spans="1:14" x14ac:dyDescent="0.35">
      <c r="A21" s="168" t="s">
        <v>751</v>
      </c>
      <c r="B21" s="168" t="s">
        <v>778</v>
      </c>
      <c r="C21" s="168" t="s">
        <v>779</v>
      </c>
      <c r="D21" s="153">
        <v>690</v>
      </c>
      <c r="E21" s="153"/>
      <c r="F21" s="153">
        <v>897</v>
      </c>
      <c r="G21" s="166">
        <f t="shared" si="0"/>
        <v>1.3</v>
      </c>
      <c r="H21" s="171">
        <v>42845</v>
      </c>
      <c r="K21" s="162"/>
      <c r="N21" s="162"/>
    </row>
    <row r="22" spans="1:14" x14ac:dyDescent="0.35">
      <c r="A22" s="165" t="s">
        <v>780</v>
      </c>
      <c r="B22" s="165" t="s">
        <v>781</v>
      </c>
      <c r="C22" s="165" t="s">
        <v>782</v>
      </c>
      <c r="D22" s="153">
        <v>475</v>
      </c>
      <c r="E22" s="153">
        <v>406</v>
      </c>
      <c r="F22" s="153">
        <v>2750.0030000000002</v>
      </c>
      <c r="G22" s="166">
        <f t="shared" si="0"/>
        <v>3.1214562996594779</v>
      </c>
      <c r="H22" s="167">
        <v>42878</v>
      </c>
      <c r="K22" s="162"/>
      <c r="N22" s="162"/>
    </row>
    <row r="23" spans="1:14" x14ac:dyDescent="0.35">
      <c r="A23" s="165" t="s">
        <v>745</v>
      </c>
      <c r="B23" s="165" t="s">
        <v>783</v>
      </c>
      <c r="C23" s="165" t="s">
        <v>756</v>
      </c>
      <c r="D23" s="153"/>
      <c r="E23" s="153">
        <v>2100</v>
      </c>
      <c r="F23" s="153">
        <v>29500</v>
      </c>
      <c r="G23" s="166">
        <f t="shared" si="0"/>
        <v>14.047619047619047</v>
      </c>
      <c r="H23" s="167">
        <v>42900</v>
      </c>
      <c r="K23" s="162"/>
      <c r="N23" s="162"/>
    </row>
    <row r="24" spans="1:14" x14ac:dyDescent="0.35">
      <c r="A24" s="165" t="s">
        <v>772</v>
      </c>
      <c r="B24" s="165" t="s">
        <v>784</v>
      </c>
      <c r="C24" s="165" t="s">
        <v>774</v>
      </c>
      <c r="D24" s="153">
        <v>4800</v>
      </c>
      <c r="E24" s="153"/>
      <c r="F24" s="153">
        <v>40100</v>
      </c>
      <c r="G24" s="166">
        <f t="shared" si="0"/>
        <v>8.3541666666666661</v>
      </c>
      <c r="H24" s="167">
        <v>42923</v>
      </c>
      <c r="K24" s="162"/>
      <c r="N24" s="162"/>
    </row>
    <row r="25" spans="1:14" x14ac:dyDescent="0.35">
      <c r="A25" s="168" t="s">
        <v>748</v>
      </c>
      <c r="B25" s="168" t="s">
        <v>785</v>
      </c>
      <c r="C25" s="165" t="s">
        <v>750</v>
      </c>
      <c r="D25" s="153"/>
      <c r="E25" s="153">
        <v>120</v>
      </c>
      <c r="F25" s="153">
        <v>60</v>
      </c>
      <c r="G25" s="166">
        <f t="shared" si="0"/>
        <v>0.5</v>
      </c>
      <c r="H25" s="171">
        <v>42972</v>
      </c>
      <c r="K25" s="162"/>
      <c r="N25" s="162"/>
    </row>
    <row r="26" spans="1:14" x14ac:dyDescent="0.35">
      <c r="A26" s="168" t="s">
        <v>764</v>
      </c>
      <c r="B26" s="168" t="s">
        <v>786</v>
      </c>
      <c r="C26" s="168" t="s">
        <v>787</v>
      </c>
      <c r="D26" s="153">
        <v>1300</v>
      </c>
      <c r="E26" s="153"/>
      <c r="F26" s="153">
        <v>6400</v>
      </c>
      <c r="G26" s="166">
        <f t="shared" si="0"/>
        <v>4.9230769230769234</v>
      </c>
      <c r="H26" s="171">
        <v>43054</v>
      </c>
      <c r="K26" s="162"/>
      <c r="N26" s="162"/>
    </row>
    <row r="27" spans="1:14" x14ac:dyDescent="0.35">
      <c r="A27" s="168" t="s">
        <v>772</v>
      </c>
      <c r="B27" s="168" t="s">
        <v>788</v>
      </c>
      <c r="C27" s="168" t="s">
        <v>789</v>
      </c>
      <c r="D27" s="153">
        <v>226000</v>
      </c>
      <c r="E27" s="153"/>
      <c r="F27" s="153">
        <v>1675000</v>
      </c>
      <c r="G27" s="166">
        <f t="shared" si="0"/>
        <v>7.4115044247787614</v>
      </c>
      <c r="H27" s="171">
        <v>43073</v>
      </c>
      <c r="K27" s="162"/>
      <c r="N27" s="162"/>
    </row>
    <row r="28" spans="1:14" x14ac:dyDescent="0.35">
      <c r="A28" s="168" t="s">
        <v>751</v>
      </c>
      <c r="B28" s="168" t="s">
        <v>790</v>
      </c>
      <c r="C28" s="168" t="s">
        <v>791</v>
      </c>
      <c r="D28" s="153">
        <v>756</v>
      </c>
      <c r="E28" s="153"/>
      <c r="F28" s="153">
        <v>2700</v>
      </c>
      <c r="G28" s="166">
        <f t="shared" si="0"/>
        <v>3.5714285714285716</v>
      </c>
      <c r="H28" s="171">
        <v>43089</v>
      </c>
      <c r="K28" s="162"/>
      <c r="N28" s="162"/>
    </row>
    <row r="29" spans="1:14" x14ac:dyDescent="0.35">
      <c r="A29" s="165" t="s">
        <v>751</v>
      </c>
      <c r="B29" s="165" t="s">
        <v>792</v>
      </c>
      <c r="C29" s="165" t="s">
        <v>793</v>
      </c>
      <c r="D29" s="169">
        <v>46</v>
      </c>
      <c r="E29" s="153"/>
      <c r="F29" s="153">
        <v>55.2</v>
      </c>
      <c r="G29" s="166">
        <f t="shared" si="0"/>
        <v>1.2</v>
      </c>
      <c r="H29" s="172">
        <v>43103</v>
      </c>
      <c r="K29" s="162"/>
      <c r="N29" s="162"/>
    </row>
    <row r="30" spans="1:14" x14ac:dyDescent="0.35">
      <c r="A30" s="165" t="s">
        <v>794</v>
      </c>
      <c r="B30" s="165" t="s">
        <v>795</v>
      </c>
      <c r="C30" s="165" t="s">
        <v>796</v>
      </c>
      <c r="D30" s="153">
        <v>610</v>
      </c>
      <c r="E30" s="153"/>
      <c r="F30" s="153">
        <v>770</v>
      </c>
      <c r="G30" s="166">
        <f t="shared" si="0"/>
        <v>1.2622950819672132</v>
      </c>
      <c r="H30" s="167">
        <v>43119</v>
      </c>
      <c r="K30" s="162"/>
      <c r="N30" s="162"/>
    </row>
    <row r="31" spans="1:14" x14ac:dyDescent="0.35">
      <c r="A31" s="168" t="s">
        <v>764</v>
      </c>
      <c r="B31" s="168" t="s">
        <v>797</v>
      </c>
      <c r="C31" s="165" t="s">
        <v>787</v>
      </c>
      <c r="D31" s="153">
        <v>1261</v>
      </c>
      <c r="E31" s="153">
        <v>1233</v>
      </c>
      <c r="F31" s="153">
        <v>10750</v>
      </c>
      <c r="G31" s="166">
        <f t="shared" si="0"/>
        <v>4.3103448275862073</v>
      </c>
      <c r="H31" s="171">
        <v>43147</v>
      </c>
      <c r="K31" s="162"/>
      <c r="N31" s="162"/>
    </row>
    <row r="32" spans="1:14" x14ac:dyDescent="0.35">
      <c r="A32" s="165" t="s">
        <v>764</v>
      </c>
      <c r="B32" s="165" t="s">
        <v>798</v>
      </c>
      <c r="C32" s="165" t="s">
        <v>787</v>
      </c>
      <c r="D32" s="153">
        <v>2900</v>
      </c>
      <c r="E32" s="153"/>
      <c r="F32" s="153">
        <v>13403.710999999999</v>
      </c>
      <c r="G32" s="166">
        <f t="shared" si="0"/>
        <v>4.6219693103448272</v>
      </c>
      <c r="H32" s="167">
        <v>43173</v>
      </c>
      <c r="K32" s="162"/>
      <c r="N32" s="162"/>
    </row>
    <row r="33" spans="1:14" x14ac:dyDescent="0.35">
      <c r="A33" s="168" t="s">
        <v>748</v>
      </c>
      <c r="B33" s="168" t="s">
        <v>799</v>
      </c>
      <c r="C33" s="165" t="s">
        <v>750</v>
      </c>
      <c r="D33" s="153">
        <v>1125</v>
      </c>
      <c r="E33" s="153"/>
      <c r="F33" s="153">
        <v>3750</v>
      </c>
      <c r="G33" s="166">
        <f t="shared" si="0"/>
        <v>3.3333333333333335</v>
      </c>
      <c r="H33" s="171">
        <v>43180</v>
      </c>
      <c r="K33" s="162"/>
      <c r="N33" s="162"/>
    </row>
    <row r="34" spans="1:14" x14ac:dyDescent="0.35">
      <c r="A34" s="168" t="s">
        <v>748</v>
      </c>
      <c r="B34" s="168" t="s">
        <v>800</v>
      </c>
      <c r="C34" s="165" t="s">
        <v>750</v>
      </c>
      <c r="D34" s="153">
        <v>850</v>
      </c>
      <c r="E34" s="153"/>
      <c r="F34" s="153">
        <v>6800</v>
      </c>
      <c r="G34" s="166">
        <f t="shared" si="0"/>
        <v>8</v>
      </c>
      <c r="H34" s="171">
        <v>43187</v>
      </c>
      <c r="K34" s="162"/>
      <c r="N34" s="162"/>
    </row>
    <row r="35" spans="1:14" x14ac:dyDescent="0.35">
      <c r="A35" s="168" t="s">
        <v>748</v>
      </c>
      <c r="B35" s="168" t="s">
        <v>801</v>
      </c>
      <c r="C35" s="165" t="s">
        <v>750</v>
      </c>
      <c r="D35" s="153"/>
      <c r="E35" s="153">
        <v>23000</v>
      </c>
      <c r="F35" s="153">
        <v>53800</v>
      </c>
      <c r="G35" s="166">
        <f t="shared" si="0"/>
        <v>2.3391304347826085</v>
      </c>
      <c r="H35" s="171">
        <v>43203</v>
      </c>
      <c r="K35" s="162"/>
      <c r="N35" s="162"/>
    </row>
    <row r="36" spans="1:14" x14ac:dyDescent="0.35">
      <c r="A36" s="168" t="s">
        <v>748</v>
      </c>
      <c r="B36" s="168" t="s">
        <v>802</v>
      </c>
      <c r="C36" s="165" t="s">
        <v>750</v>
      </c>
      <c r="D36" s="153">
        <v>475</v>
      </c>
      <c r="E36" s="153">
        <v>1415</v>
      </c>
      <c r="F36" s="153">
        <v>2000</v>
      </c>
      <c r="G36" s="166">
        <f t="shared" si="0"/>
        <v>1.0582010582010581</v>
      </c>
      <c r="H36" s="171">
        <v>43222</v>
      </c>
      <c r="K36" s="162"/>
      <c r="N36" s="162"/>
    </row>
    <row r="37" spans="1:14" x14ac:dyDescent="0.35">
      <c r="A37" s="168" t="s">
        <v>751</v>
      </c>
      <c r="B37" s="168" t="s">
        <v>803</v>
      </c>
      <c r="C37" s="168" t="s">
        <v>804</v>
      </c>
      <c r="D37" s="153">
        <v>550</v>
      </c>
      <c r="E37" s="153"/>
      <c r="F37" s="153">
        <v>900</v>
      </c>
      <c r="G37" s="166">
        <f t="shared" si="0"/>
        <v>1.6363636363636365</v>
      </c>
      <c r="H37" s="171">
        <v>43259</v>
      </c>
      <c r="K37" s="162"/>
      <c r="N37" s="162"/>
    </row>
    <row r="38" spans="1:14" x14ac:dyDescent="0.35">
      <c r="A38" s="168" t="s">
        <v>751</v>
      </c>
      <c r="B38" s="168" t="s">
        <v>805</v>
      </c>
      <c r="C38" s="168" t="s">
        <v>806</v>
      </c>
      <c r="D38" s="153">
        <v>79</v>
      </c>
      <c r="E38" s="153"/>
      <c r="F38" s="153">
        <v>50</v>
      </c>
      <c r="G38" s="166">
        <f t="shared" si="0"/>
        <v>0.63291139240506333</v>
      </c>
      <c r="H38" s="171">
        <v>43283</v>
      </c>
      <c r="K38" s="162"/>
      <c r="N38" s="162"/>
    </row>
    <row r="39" spans="1:14" x14ac:dyDescent="0.35">
      <c r="A39" s="168" t="s">
        <v>745</v>
      </c>
      <c r="B39" s="168" t="s">
        <v>807</v>
      </c>
      <c r="C39" s="165" t="s">
        <v>756</v>
      </c>
      <c r="D39" s="153"/>
      <c r="E39" s="153">
        <v>10500</v>
      </c>
      <c r="F39" s="153">
        <v>50250</v>
      </c>
      <c r="G39" s="166">
        <f t="shared" si="0"/>
        <v>4.7857142857142856</v>
      </c>
      <c r="H39" s="171">
        <v>43285</v>
      </c>
      <c r="K39" s="162"/>
      <c r="N39" s="162"/>
    </row>
    <row r="40" spans="1:14" x14ac:dyDescent="0.35">
      <c r="A40" s="168" t="s">
        <v>748</v>
      </c>
      <c r="B40" s="168" t="s">
        <v>808</v>
      </c>
      <c r="C40" s="165" t="s">
        <v>809</v>
      </c>
      <c r="D40" s="153"/>
      <c r="E40" s="153">
        <v>3800</v>
      </c>
      <c r="F40" s="153">
        <v>25000</v>
      </c>
      <c r="G40" s="166">
        <f t="shared" si="0"/>
        <v>6.5789473684210522</v>
      </c>
      <c r="H40" s="171">
        <v>43286</v>
      </c>
      <c r="K40" s="162"/>
      <c r="N40" s="162"/>
    </row>
    <row r="41" spans="1:14" x14ac:dyDescent="0.35">
      <c r="A41" s="165" t="s">
        <v>751</v>
      </c>
      <c r="B41" s="168" t="s">
        <v>810</v>
      </c>
      <c r="C41" s="168" t="s">
        <v>811</v>
      </c>
      <c r="D41" s="153">
        <v>533</v>
      </c>
      <c r="E41" s="153">
        <v>333</v>
      </c>
      <c r="F41" s="153">
        <v>1485</v>
      </c>
      <c r="G41" s="166">
        <f t="shared" si="0"/>
        <v>1.7147806004618937</v>
      </c>
      <c r="H41" s="171">
        <v>43299</v>
      </c>
      <c r="K41" s="162"/>
      <c r="N41" s="162"/>
    </row>
    <row r="42" spans="1:14" x14ac:dyDescent="0.35">
      <c r="A42" s="165" t="s">
        <v>751</v>
      </c>
      <c r="B42" s="168" t="s">
        <v>812</v>
      </c>
      <c r="C42" s="165" t="s">
        <v>753</v>
      </c>
      <c r="D42" s="153">
        <v>17</v>
      </c>
      <c r="E42" s="153"/>
      <c r="F42" s="153">
        <v>100</v>
      </c>
      <c r="G42" s="166">
        <f t="shared" si="0"/>
        <v>5.882352941176471</v>
      </c>
      <c r="H42" s="171">
        <v>43305</v>
      </c>
      <c r="K42" s="162"/>
      <c r="N42" s="162"/>
    </row>
    <row r="43" spans="1:14" x14ac:dyDescent="0.35">
      <c r="A43" s="165" t="s">
        <v>751</v>
      </c>
      <c r="B43" s="165" t="s">
        <v>813</v>
      </c>
      <c r="C43" s="165" t="s">
        <v>814</v>
      </c>
      <c r="D43" s="169">
        <v>57</v>
      </c>
      <c r="E43" s="153"/>
      <c r="F43" s="153">
        <v>45</v>
      </c>
      <c r="G43" s="166">
        <f t="shared" si="0"/>
        <v>0.78947368421052633</v>
      </c>
      <c r="H43" s="167">
        <v>43306</v>
      </c>
      <c r="K43" s="162"/>
      <c r="N43" s="162"/>
    </row>
    <row r="44" spans="1:14" x14ac:dyDescent="0.35">
      <c r="A44" s="165" t="s">
        <v>751</v>
      </c>
      <c r="B44" s="165" t="s">
        <v>763</v>
      </c>
      <c r="C44" s="165" t="s">
        <v>815</v>
      </c>
      <c r="D44" s="169">
        <v>269</v>
      </c>
      <c r="E44" s="153"/>
      <c r="F44" s="173">
        <v>397.5</v>
      </c>
      <c r="G44" s="166">
        <f t="shared" si="0"/>
        <v>1.4776951672862453</v>
      </c>
      <c r="H44" s="172">
        <v>43314</v>
      </c>
      <c r="K44" s="162"/>
      <c r="N44" s="162"/>
    </row>
    <row r="45" spans="1:14" x14ac:dyDescent="0.35">
      <c r="A45" s="165" t="s">
        <v>772</v>
      </c>
      <c r="B45" s="165" t="s">
        <v>816</v>
      </c>
      <c r="C45" s="165" t="s">
        <v>817</v>
      </c>
      <c r="D45" s="153">
        <v>139574</v>
      </c>
      <c r="E45" s="153">
        <v>3000</v>
      </c>
      <c r="F45" s="153">
        <v>1100000</v>
      </c>
      <c r="G45" s="166">
        <f t="shared" si="0"/>
        <v>7.7152917081655845</v>
      </c>
      <c r="H45" s="167">
        <v>43317</v>
      </c>
      <c r="K45" s="162"/>
      <c r="N45" s="162"/>
    </row>
    <row r="46" spans="1:14" x14ac:dyDescent="0.35">
      <c r="A46" s="165" t="s">
        <v>745</v>
      </c>
      <c r="B46" s="165" t="s">
        <v>818</v>
      </c>
      <c r="C46" s="165" t="s">
        <v>756</v>
      </c>
      <c r="D46" s="153"/>
      <c r="E46" s="153">
        <v>5400</v>
      </c>
      <c r="F46" s="153">
        <v>75100</v>
      </c>
      <c r="G46" s="166">
        <f t="shared" si="0"/>
        <v>13.907407407407407</v>
      </c>
      <c r="H46" s="167">
        <v>43320</v>
      </c>
      <c r="K46" s="162"/>
      <c r="N46" s="162"/>
    </row>
    <row r="47" spans="1:14" x14ac:dyDescent="0.35">
      <c r="A47" s="168" t="s">
        <v>780</v>
      </c>
      <c r="B47" s="168" t="s">
        <v>819</v>
      </c>
      <c r="C47" s="165" t="s">
        <v>782</v>
      </c>
      <c r="D47" s="153">
        <v>968</v>
      </c>
      <c r="E47" s="153">
        <v>913</v>
      </c>
      <c r="F47" s="153">
        <v>4000</v>
      </c>
      <c r="G47" s="166">
        <f t="shared" si="0"/>
        <v>2.126528442317916</v>
      </c>
      <c r="H47" s="171">
        <v>43339</v>
      </c>
      <c r="K47" s="162"/>
      <c r="N47" s="162"/>
    </row>
    <row r="48" spans="1:14" x14ac:dyDescent="0.35">
      <c r="A48" s="168" t="s">
        <v>745</v>
      </c>
      <c r="B48" s="168" t="s">
        <v>820</v>
      </c>
      <c r="C48" s="165" t="s">
        <v>758</v>
      </c>
      <c r="D48" s="153"/>
      <c r="E48" s="153">
        <v>40</v>
      </c>
      <c r="F48" s="153">
        <v>61.7</v>
      </c>
      <c r="G48" s="166">
        <f t="shared" si="0"/>
        <v>1.5425</v>
      </c>
      <c r="H48" s="171">
        <v>43362</v>
      </c>
      <c r="K48" s="162"/>
      <c r="N48" s="162"/>
    </row>
    <row r="49" spans="1:14" x14ac:dyDescent="0.35">
      <c r="A49" s="165" t="s">
        <v>751</v>
      </c>
      <c r="B49" s="168" t="s">
        <v>821</v>
      </c>
      <c r="C49" s="165" t="s">
        <v>822</v>
      </c>
      <c r="D49" s="153">
        <v>34</v>
      </c>
      <c r="E49" s="153"/>
      <c r="F49" s="153">
        <v>12</v>
      </c>
      <c r="G49" s="166">
        <f t="shared" si="0"/>
        <v>0.35294117647058826</v>
      </c>
      <c r="H49" s="167">
        <v>43362</v>
      </c>
      <c r="K49" s="162"/>
      <c r="N49" s="162"/>
    </row>
    <row r="50" spans="1:14" x14ac:dyDescent="0.35">
      <c r="A50" s="168" t="s">
        <v>748</v>
      </c>
      <c r="B50" s="168" t="s">
        <v>823</v>
      </c>
      <c r="C50" s="165" t="s">
        <v>809</v>
      </c>
      <c r="D50" s="153">
        <v>3000</v>
      </c>
      <c r="E50" s="153"/>
      <c r="F50" s="153">
        <v>12300</v>
      </c>
      <c r="G50" s="166">
        <f t="shared" si="0"/>
        <v>4.0999999999999996</v>
      </c>
      <c r="H50" s="171">
        <v>43375</v>
      </c>
      <c r="K50" s="162"/>
      <c r="N50" s="162"/>
    </row>
    <row r="51" spans="1:14" x14ac:dyDescent="0.35">
      <c r="A51" s="165" t="s">
        <v>751</v>
      </c>
      <c r="B51" s="165" t="s">
        <v>824</v>
      </c>
      <c r="C51" s="165" t="s">
        <v>825</v>
      </c>
      <c r="D51" s="169">
        <v>119</v>
      </c>
      <c r="E51" s="153"/>
      <c r="F51" s="153">
        <v>90</v>
      </c>
      <c r="G51" s="166">
        <f t="shared" si="0"/>
        <v>0.75630252100840334</v>
      </c>
      <c r="H51" s="172">
        <v>43413</v>
      </c>
      <c r="K51" s="162"/>
      <c r="N51" s="162"/>
    </row>
    <row r="52" spans="1:14" x14ac:dyDescent="0.35">
      <c r="A52" s="168" t="s">
        <v>745</v>
      </c>
      <c r="B52" s="168" t="s">
        <v>826</v>
      </c>
      <c r="C52" s="165" t="s">
        <v>756</v>
      </c>
      <c r="D52" s="153"/>
      <c r="E52" s="153">
        <v>4950</v>
      </c>
      <c r="F52" s="153">
        <v>21000</v>
      </c>
      <c r="G52" s="166">
        <f t="shared" si="0"/>
        <v>4.2424242424242422</v>
      </c>
      <c r="H52" s="171">
        <v>43417</v>
      </c>
      <c r="K52" s="162"/>
      <c r="N52" s="162"/>
    </row>
    <row r="53" spans="1:14" x14ac:dyDescent="0.35">
      <c r="A53" s="168" t="s">
        <v>827</v>
      </c>
      <c r="B53" s="168" t="s">
        <v>828</v>
      </c>
      <c r="C53" s="165" t="s">
        <v>829</v>
      </c>
      <c r="D53" s="153">
        <v>4200</v>
      </c>
      <c r="E53" s="153"/>
      <c r="F53" s="153">
        <v>10000</v>
      </c>
      <c r="G53" s="166">
        <f t="shared" si="0"/>
        <v>2.3809523809523809</v>
      </c>
      <c r="H53" s="171">
        <v>43444</v>
      </c>
      <c r="K53" s="162"/>
      <c r="N53" s="162"/>
    </row>
    <row r="54" spans="1:14" x14ac:dyDescent="0.35">
      <c r="A54" s="168" t="s">
        <v>745</v>
      </c>
      <c r="B54" s="168" t="s">
        <v>830</v>
      </c>
      <c r="C54" s="165" t="s">
        <v>756</v>
      </c>
      <c r="D54" s="153"/>
      <c r="E54" s="153">
        <v>1250</v>
      </c>
      <c r="F54" s="153">
        <v>5000</v>
      </c>
      <c r="G54" s="166">
        <f t="shared" si="0"/>
        <v>4</v>
      </c>
      <c r="H54" s="171">
        <v>43447</v>
      </c>
      <c r="K54" s="162"/>
      <c r="N54" s="162"/>
    </row>
    <row r="55" spans="1:14" x14ac:dyDescent="0.35">
      <c r="A55" s="165" t="s">
        <v>751</v>
      </c>
      <c r="B55" s="165" t="s">
        <v>831</v>
      </c>
      <c r="C55" s="165" t="s">
        <v>832</v>
      </c>
      <c r="D55" s="169">
        <v>332</v>
      </c>
      <c r="E55" s="153"/>
      <c r="F55" s="173">
        <v>1345</v>
      </c>
      <c r="G55" s="166">
        <f t="shared" si="0"/>
        <v>4.0512048192771086</v>
      </c>
      <c r="H55" s="167">
        <v>43511</v>
      </c>
      <c r="K55" s="162"/>
      <c r="N55" s="162"/>
    </row>
    <row r="56" spans="1:14" x14ac:dyDescent="0.35">
      <c r="A56" s="165" t="s">
        <v>751</v>
      </c>
      <c r="B56" s="165" t="s">
        <v>833</v>
      </c>
      <c r="C56" s="165" t="s">
        <v>834</v>
      </c>
      <c r="D56" s="169">
        <v>47</v>
      </c>
      <c r="E56" s="153"/>
      <c r="F56" s="173">
        <v>35</v>
      </c>
      <c r="G56" s="166">
        <f t="shared" si="0"/>
        <v>0.74468085106382975</v>
      </c>
      <c r="H56" s="167">
        <v>43511</v>
      </c>
      <c r="K56" s="162"/>
      <c r="N56" s="162"/>
    </row>
    <row r="57" spans="1:14" x14ac:dyDescent="0.35">
      <c r="A57" s="168" t="s">
        <v>745</v>
      </c>
      <c r="B57" s="168" t="s">
        <v>835</v>
      </c>
      <c r="C57" s="165" t="s">
        <v>758</v>
      </c>
      <c r="D57" s="153"/>
      <c r="E57" s="153">
        <v>1000</v>
      </c>
      <c r="F57" s="153">
        <v>8600</v>
      </c>
      <c r="G57" s="166">
        <f t="shared" si="0"/>
        <v>8.6</v>
      </c>
      <c r="H57" s="171">
        <v>43531</v>
      </c>
      <c r="K57" s="162"/>
      <c r="N57" s="162"/>
    </row>
    <row r="58" spans="1:14" x14ac:dyDescent="0.35">
      <c r="A58" s="168" t="s">
        <v>745</v>
      </c>
      <c r="B58" s="168" t="s">
        <v>836</v>
      </c>
      <c r="C58" s="165" t="s">
        <v>837</v>
      </c>
      <c r="D58" s="153">
        <v>1200</v>
      </c>
      <c r="E58" s="153"/>
      <c r="F58" s="153">
        <v>9500</v>
      </c>
      <c r="G58" s="166">
        <f t="shared" si="0"/>
        <v>7.916666666666667</v>
      </c>
      <c r="H58" s="171">
        <v>43558</v>
      </c>
      <c r="K58" s="162"/>
      <c r="N58" s="162"/>
    </row>
    <row r="59" spans="1:14" x14ac:dyDescent="0.35">
      <c r="A59" s="168" t="s">
        <v>751</v>
      </c>
      <c r="B59" s="168" t="s">
        <v>838</v>
      </c>
      <c r="C59" s="168" t="s">
        <v>839</v>
      </c>
      <c r="D59" s="153">
        <v>269</v>
      </c>
      <c r="E59" s="153"/>
      <c r="F59" s="153">
        <v>750</v>
      </c>
      <c r="G59" s="166">
        <f t="shared" si="0"/>
        <v>2.7881040892193307</v>
      </c>
      <c r="H59" s="171">
        <v>43563</v>
      </c>
      <c r="K59" s="162"/>
      <c r="N59" s="162"/>
    </row>
    <row r="60" spans="1:14" x14ac:dyDescent="0.35">
      <c r="A60" s="168" t="s">
        <v>775</v>
      </c>
      <c r="B60" s="168" t="s">
        <v>840</v>
      </c>
      <c r="C60" s="165" t="s">
        <v>777</v>
      </c>
      <c r="D60" s="153"/>
      <c r="E60" s="153">
        <v>1800</v>
      </c>
      <c r="F60" s="153">
        <v>1400</v>
      </c>
      <c r="G60" s="166">
        <f t="shared" si="0"/>
        <v>0.77777777777777779</v>
      </c>
      <c r="H60" s="171">
        <v>43649</v>
      </c>
      <c r="K60" s="162"/>
      <c r="N60" s="162"/>
    </row>
    <row r="61" spans="1:14" x14ac:dyDescent="0.35">
      <c r="A61" s="165" t="s">
        <v>751</v>
      </c>
      <c r="B61" s="165" t="s">
        <v>841</v>
      </c>
      <c r="C61" s="165" t="s">
        <v>842</v>
      </c>
      <c r="D61" s="169">
        <v>50</v>
      </c>
      <c r="E61" s="153"/>
      <c r="F61" s="173">
        <v>112.5</v>
      </c>
      <c r="G61" s="166">
        <f t="shared" si="0"/>
        <v>2.25</v>
      </c>
      <c r="H61" s="167">
        <v>43655</v>
      </c>
      <c r="K61" s="162"/>
      <c r="N61" s="162"/>
    </row>
    <row r="62" spans="1:14" x14ac:dyDescent="0.35">
      <c r="A62" s="165" t="s">
        <v>751</v>
      </c>
      <c r="B62" s="168" t="s">
        <v>843</v>
      </c>
      <c r="C62" s="165" t="s">
        <v>844</v>
      </c>
      <c r="D62" s="153">
        <v>200</v>
      </c>
      <c r="E62" s="153">
        <v>200</v>
      </c>
      <c r="F62" s="153">
        <v>2000</v>
      </c>
      <c r="G62" s="166">
        <f t="shared" si="0"/>
        <v>5</v>
      </c>
      <c r="H62" s="171">
        <v>43670</v>
      </c>
      <c r="K62" s="162"/>
      <c r="N62" s="162"/>
    </row>
    <row r="63" spans="1:14" x14ac:dyDescent="0.35">
      <c r="A63" s="165" t="s">
        <v>745</v>
      </c>
      <c r="B63" s="165" t="s">
        <v>845</v>
      </c>
      <c r="C63" s="165" t="s">
        <v>758</v>
      </c>
      <c r="D63" s="153">
        <v>320</v>
      </c>
      <c r="E63" s="153">
        <v>290</v>
      </c>
      <c r="F63" s="153">
        <v>1000</v>
      </c>
      <c r="G63" s="166">
        <f t="shared" si="0"/>
        <v>1.639344262295082</v>
      </c>
      <c r="H63" s="167">
        <v>43671</v>
      </c>
      <c r="K63" s="162"/>
      <c r="N63" s="162"/>
    </row>
    <row r="64" spans="1:14" x14ac:dyDescent="0.35">
      <c r="A64" s="168" t="s">
        <v>846</v>
      </c>
      <c r="B64" s="168" t="s">
        <v>847</v>
      </c>
      <c r="C64" s="165" t="s">
        <v>848</v>
      </c>
      <c r="D64" s="153">
        <v>3200</v>
      </c>
      <c r="E64" s="153"/>
      <c r="F64" s="153">
        <v>7500</v>
      </c>
      <c r="G64" s="166">
        <f t="shared" si="0"/>
        <v>2.34375</v>
      </c>
      <c r="H64" s="171">
        <v>43682</v>
      </c>
      <c r="K64" s="162"/>
      <c r="N64" s="162"/>
    </row>
    <row r="65" spans="1:14" x14ac:dyDescent="0.35">
      <c r="A65" s="168" t="s">
        <v>849</v>
      </c>
      <c r="B65" s="168" t="s">
        <v>850</v>
      </c>
      <c r="C65" s="165" t="s">
        <v>851</v>
      </c>
      <c r="D65" s="153">
        <v>470</v>
      </c>
      <c r="E65" s="153"/>
      <c r="F65" s="153">
        <v>115</v>
      </c>
      <c r="G65" s="166">
        <f t="shared" si="0"/>
        <v>0.24468085106382978</v>
      </c>
      <c r="H65" s="171">
        <v>43685</v>
      </c>
      <c r="K65" s="162"/>
      <c r="N65" s="162"/>
    </row>
    <row r="66" spans="1:14" x14ac:dyDescent="0.35">
      <c r="A66" s="168" t="s">
        <v>849</v>
      </c>
      <c r="B66" s="168" t="s">
        <v>852</v>
      </c>
      <c r="C66" s="165" t="s">
        <v>851</v>
      </c>
      <c r="D66" s="153">
        <v>300</v>
      </c>
      <c r="E66" s="153"/>
      <c r="F66" s="153">
        <v>200</v>
      </c>
      <c r="G66" s="166">
        <f t="shared" si="0"/>
        <v>0.66666666666666663</v>
      </c>
      <c r="H66" s="171">
        <v>43714</v>
      </c>
      <c r="K66" s="162"/>
      <c r="N66" s="162"/>
    </row>
    <row r="67" spans="1:14" x14ac:dyDescent="0.35">
      <c r="A67" s="168" t="s">
        <v>745</v>
      </c>
      <c r="B67" s="168" t="s">
        <v>853</v>
      </c>
      <c r="C67" s="165" t="s">
        <v>756</v>
      </c>
      <c r="D67" s="153"/>
      <c r="E67" s="153">
        <v>165000</v>
      </c>
      <c r="F67" s="153">
        <v>276500</v>
      </c>
      <c r="G67" s="166">
        <f t="shared" si="0"/>
        <v>1.6757575757575758</v>
      </c>
      <c r="H67" s="171">
        <v>43725</v>
      </c>
      <c r="K67" s="162"/>
      <c r="N67" s="162"/>
    </row>
    <row r="68" spans="1:14" x14ac:dyDescent="0.35">
      <c r="A68" s="168" t="s">
        <v>748</v>
      </c>
      <c r="B68" s="168" t="s">
        <v>854</v>
      </c>
      <c r="C68" s="165" t="s">
        <v>750</v>
      </c>
      <c r="D68" s="153">
        <v>492</v>
      </c>
      <c r="E68" s="153">
        <v>482</v>
      </c>
      <c r="F68" s="153">
        <v>1900</v>
      </c>
      <c r="G68" s="166">
        <f t="shared" si="0"/>
        <v>1.9507186858316221</v>
      </c>
      <c r="H68" s="171">
        <v>43727</v>
      </c>
      <c r="K68" s="162"/>
      <c r="N68" s="162"/>
    </row>
    <row r="69" spans="1:14" x14ac:dyDescent="0.35">
      <c r="A69" s="168" t="s">
        <v>748</v>
      </c>
      <c r="B69" s="168" t="s">
        <v>855</v>
      </c>
      <c r="C69" s="165" t="s">
        <v>750</v>
      </c>
      <c r="D69" s="153"/>
      <c r="E69" s="153">
        <v>6200</v>
      </c>
      <c r="F69" s="153">
        <v>13550</v>
      </c>
      <c r="G69" s="166">
        <f t="shared" si="0"/>
        <v>2.185483870967742</v>
      </c>
      <c r="H69" s="171">
        <v>43740</v>
      </c>
      <c r="K69" s="162"/>
      <c r="N69" s="162"/>
    </row>
    <row r="70" spans="1:14" x14ac:dyDescent="0.35">
      <c r="A70" s="168" t="s">
        <v>745</v>
      </c>
      <c r="B70" s="168" t="s">
        <v>856</v>
      </c>
      <c r="C70" s="165" t="s">
        <v>758</v>
      </c>
      <c r="D70" s="153">
        <v>2400</v>
      </c>
      <c r="E70" s="153"/>
      <c r="F70" s="153">
        <v>21750</v>
      </c>
      <c r="G70" s="166">
        <f t="shared" si="0"/>
        <v>9.0625</v>
      </c>
      <c r="H70" s="171">
        <v>43747</v>
      </c>
      <c r="K70" s="162"/>
      <c r="N70" s="162"/>
    </row>
    <row r="71" spans="1:14" x14ac:dyDescent="0.35">
      <c r="A71" s="165" t="s">
        <v>751</v>
      </c>
      <c r="B71" s="165" t="s">
        <v>857</v>
      </c>
      <c r="C71" s="165" t="s">
        <v>858</v>
      </c>
      <c r="D71" s="169">
        <v>507</v>
      </c>
      <c r="E71" s="153"/>
      <c r="F71" s="173">
        <v>500</v>
      </c>
      <c r="G71" s="166">
        <f t="shared" ref="G71:G134" si="1">(F71)/(D71+E71)</f>
        <v>0.98619329388560162</v>
      </c>
      <c r="H71" s="167">
        <v>43748</v>
      </c>
      <c r="K71" s="162"/>
      <c r="N71" s="162"/>
    </row>
    <row r="72" spans="1:14" x14ac:dyDescent="0.35">
      <c r="A72" s="168" t="s">
        <v>764</v>
      </c>
      <c r="B72" s="168" t="s">
        <v>859</v>
      </c>
      <c r="C72" s="165" t="s">
        <v>787</v>
      </c>
      <c r="D72" s="153">
        <v>3270</v>
      </c>
      <c r="E72" s="153"/>
      <c r="F72" s="153">
        <v>20680</v>
      </c>
      <c r="G72" s="166">
        <f t="shared" si="1"/>
        <v>6.3241590214067278</v>
      </c>
      <c r="H72" s="171">
        <v>43760</v>
      </c>
      <c r="K72" s="162"/>
      <c r="N72" s="162"/>
    </row>
    <row r="73" spans="1:14" x14ac:dyDescent="0.35">
      <c r="A73" s="165" t="s">
        <v>751</v>
      </c>
      <c r="B73" s="165" t="s">
        <v>860</v>
      </c>
      <c r="C73" s="165" t="s">
        <v>861</v>
      </c>
      <c r="D73" s="169">
        <v>66</v>
      </c>
      <c r="E73" s="153"/>
      <c r="F73" s="173">
        <v>968.34799999999996</v>
      </c>
      <c r="G73" s="166">
        <f t="shared" si="1"/>
        <v>14.671939393939393</v>
      </c>
      <c r="H73" s="167">
        <v>43761</v>
      </c>
      <c r="K73" s="162"/>
      <c r="N73" s="162"/>
    </row>
    <row r="74" spans="1:14" x14ac:dyDescent="0.35">
      <c r="A74" s="165" t="s">
        <v>745</v>
      </c>
      <c r="B74" s="165" t="s">
        <v>862</v>
      </c>
      <c r="C74" s="165" t="s">
        <v>758</v>
      </c>
      <c r="D74" s="153"/>
      <c r="E74" s="153">
        <v>9000</v>
      </c>
      <c r="F74" s="153">
        <v>93500</v>
      </c>
      <c r="G74" s="166">
        <f t="shared" si="1"/>
        <v>10.388888888888889</v>
      </c>
      <c r="H74" s="167">
        <v>43762</v>
      </c>
      <c r="K74" s="162"/>
      <c r="N74" s="162"/>
    </row>
    <row r="75" spans="1:14" x14ac:dyDescent="0.35">
      <c r="A75" s="168" t="s">
        <v>748</v>
      </c>
      <c r="B75" s="168" t="s">
        <v>863</v>
      </c>
      <c r="C75" s="165" t="s">
        <v>809</v>
      </c>
      <c r="D75" s="153">
        <v>376</v>
      </c>
      <c r="E75" s="153">
        <v>376</v>
      </c>
      <c r="F75" s="153">
        <v>3500</v>
      </c>
      <c r="G75" s="166">
        <f t="shared" si="1"/>
        <v>4.6542553191489358</v>
      </c>
      <c r="H75" s="171">
        <v>43770</v>
      </c>
      <c r="K75" s="162"/>
      <c r="N75" s="162"/>
    </row>
    <row r="76" spans="1:14" x14ac:dyDescent="0.35">
      <c r="A76" s="165" t="s">
        <v>751</v>
      </c>
      <c r="B76" s="165" t="s">
        <v>864</v>
      </c>
      <c r="C76" s="165" t="s">
        <v>865</v>
      </c>
      <c r="D76" s="169">
        <v>183</v>
      </c>
      <c r="E76" s="153"/>
      <c r="F76" s="173">
        <v>200</v>
      </c>
      <c r="G76" s="166">
        <f t="shared" si="1"/>
        <v>1.0928961748633881</v>
      </c>
      <c r="H76" s="170">
        <v>43775</v>
      </c>
      <c r="K76" s="162"/>
      <c r="N76" s="162"/>
    </row>
    <row r="77" spans="1:14" x14ac:dyDescent="0.35">
      <c r="A77" s="168" t="s">
        <v>745</v>
      </c>
      <c r="B77" s="168" t="s">
        <v>866</v>
      </c>
      <c r="C77" s="165" t="s">
        <v>758</v>
      </c>
      <c r="D77" s="153"/>
      <c r="E77" s="153">
        <v>2100</v>
      </c>
      <c r="F77" s="153">
        <v>17500</v>
      </c>
      <c r="G77" s="166">
        <f t="shared" si="1"/>
        <v>8.3333333333333339</v>
      </c>
      <c r="H77" s="171">
        <v>43783</v>
      </c>
      <c r="K77" s="162"/>
      <c r="N77" s="162"/>
    </row>
    <row r="78" spans="1:14" x14ac:dyDescent="0.35">
      <c r="A78" s="168" t="s">
        <v>751</v>
      </c>
      <c r="B78" s="168" t="s">
        <v>867</v>
      </c>
      <c r="C78" s="168" t="s">
        <v>791</v>
      </c>
      <c r="D78" s="153">
        <v>230</v>
      </c>
      <c r="E78" s="153"/>
      <c r="F78" s="153">
        <v>1500</v>
      </c>
      <c r="G78" s="166">
        <f t="shared" si="1"/>
        <v>6.5217391304347823</v>
      </c>
      <c r="H78" s="171">
        <v>43784</v>
      </c>
      <c r="K78" s="162"/>
      <c r="N78" s="162"/>
    </row>
    <row r="79" spans="1:14" x14ac:dyDescent="0.35">
      <c r="A79" s="168" t="s">
        <v>868</v>
      </c>
      <c r="B79" s="168" t="s">
        <v>869</v>
      </c>
      <c r="C79" s="165" t="s">
        <v>870</v>
      </c>
      <c r="D79" s="153">
        <v>125000</v>
      </c>
      <c r="E79" s="153"/>
      <c r="F79" s="153">
        <v>608000</v>
      </c>
      <c r="G79" s="166">
        <f t="shared" si="1"/>
        <v>4.8639999999999999</v>
      </c>
      <c r="H79" s="171">
        <v>43789</v>
      </c>
      <c r="K79" s="162"/>
      <c r="N79" s="162"/>
    </row>
    <row r="80" spans="1:14" x14ac:dyDescent="0.35">
      <c r="A80" s="165" t="s">
        <v>751</v>
      </c>
      <c r="B80" s="165" t="s">
        <v>871</v>
      </c>
      <c r="C80" s="165" t="s">
        <v>872</v>
      </c>
      <c r="D80" s="169">
        <v>92</v>
      </c>
      <c r="E80" s="153"/>
      <c r="F80" s="173">
        <v>210</v>
      </c>
      <c r="G80" s="166">
        <f t="shared" si="1"/>
        <v>2.2826086956521738</v>
      </c>
      <c r="H80" s="167">
        <v>43791</v>
      </c>
      <c r="K80" s="162"/>
      <c r="N80" s="162"/>
    </row>
    <row r="81" spans="1:14" x14ac:dyDescent="0.35">
      <c r="A81" s="168" t="s">
        <v>748</v>
      </c>
      <c r="B81" s="168" t="s">
        <v>873</v>
      </c>
      <c r="C81" s="165" t="s">
        <v>809</v>
      </c>
      <c r="D81" s="153"/>
      <c r="E81" s="153">
        <v>540</v>
      </c>
      <c r="F81" s="153">
        <v>2300</v>
      </c>
      <c r="G81" s="166">
        <f t="shared" si="1"/>
        <v>4.2592592592592595</v>
      </c>
      <c r="H81" s="171">
        <v>43800</v>
      </c>
      <c r="K81" s="162"/>
      <c r="N81" s="162"/>
    </row>
    <row r="82" spans="1:14" x14ac:dyDescent="0.35">
      <c r="A82" s="168" t="s">
        <v>745</v>
      </c>
      <c r="B82" s="168" t="s">
        <v>874</v>
      </c>
      <c r="C82" s="165" t="s">
        <v>756</v>
      </c>
      <c r="D82" s="153">
        <v>535</v>
      </c>
      <c r="E82" s="153"/>
      <c r="F82" s="153">
        <v>3500</v>
      </c>
      <c r="G82" s="166">
        <f t="shared" si="1"/>
        <v>6.5420560747663554</v>
      </c>
      <c r="H82" s="171">
        <v>43803</v>
      </c>
      <c r="K82" s="162"/>
      <c r="N82" s="162"/>
    </row>
    <row r="83" spans="1:14" x14ac:dyDescent="0.35">
      <c r="A83" s="165" t="s">
        <v>751</v>
      </c>
      <c r="B83" s="165" t="s">
        <v>875</v>
      </c>
      <c r="C83" s="168" t="s">
        <v>876</v>
      </c>
      <c r="D83" s="169">
        <v>153</v>
      </c>
      <c r="E83" s="153"/>
      <c r="F83" s="173">
        <v>75</v>
      </c>
      <c r="G83" s="166">
        <f t="shared" si="1"/>
        <v>0.49019607843137253</v>
      </c>
      <c r="H83" s="167">
        <v>43810</v>
      </c>
      <c r="K83" s="162"/>
      <c r="N83" s="162"/>
    </row>
    <row r="84" spans="1:14" x14ac:dyDescent="0.35">
      <c r="A84" s="168" t="s">
        <v>745</v>
      </c>
      <c r="B84" s="168" t="s">
        <v>877</v>
      </c>
      <c r="C84" s="165" t="s">
        <v>758</v>
      </c>
      <c r="D84" s="153"/>
      <c r="E84" s="153">
        <v>1600</v>
      </c>
      <c r="F84" s="153">
        <v>13000</v>
      </c>
      <c r="G84" s="166">
        <f t="shared" si="1"/>
        <v>8.125</v>
      </c>
      <c r="H84" s="171">
        <v>43817</v>
      </c>
      <c r="K84" s="162"/>
      <c r="N84" s="162"/>
    </row>
    <row r="85" spans="1:14" x14ac:dyDescent="0.35">
      <c r="A85" s="168" t="s">
        <v>745</v>
      </c>
      <c r="B85" s="168" t="s">
        <v>878</v>
      </c>
      <c r="C85" s="165" t="s">
        <v>758</v>
      </c>
      <c r="D85" s="153">
        <v>1700</v>
      </c>
      <c r="E85" s="153">
        <v>3100</v>
      </c>
      <c r="F85" s="153">
        <v>21275</v>
      </c>
      <c r="G85" s="166">
        <f t="shared" si="1"/>
        <v>4.432291666666667</v>
      </c>
      <c r="H85" s="171">
        <v>43817</v>
      </c>
      <c r="K85" s="162"/>
      <c r="N85" s="162"/>
    </row>
    <row r="86" spans="1:14" x14ac:dyDescent="0.35">
      <c r="A86" s="168" t="s">
        <v>748</v>
      </c>
      <c r="B86" s="168" t="s">
        <v>879</v>
      </c>
      <c r="C86" s="165" t="s">
        <v>750</v>
      </c>
      <c r="D86" s="153">
        <v>4100</v>
      </c>
      <c r="E86" s="153">
        <v>4100</v>
      </c>
      <c r="F86" s="153">
        <v>43250</v>
      </c>
      <c r="G86" s="166">
        <f t="shared" si="1"/>
        <v>5.274390243902439</v>
      </c>
      <c r="H86" s="171">
        <v>43819</v>
      </c>
      <c r="K86" s="162"/>
      <c r="N86" s="162"/>
    </row>
    <row r="87" spans="1:14" x14ac:dyDescent="0.35">
      <c r="A87" s="168" t="s">
        <v>748</v>
      </c>
      <c r="B87" s="168" t="s">
        <v>880</v>
      </c>
      <c r="C87" s="165" t="s">
        <v>750</v>
      </c>
      <c r="D87" s="153"/>
      <c r="E87" s="153">
        <v>12500</v>
      </c>
      <c r="F87" s="153">
        <v>18000</v>
      </c>
      <c r="G87" s="166">
        <f t="shared" si="1"/>
        <v>1.44</v>
      </c>
      <c r="H87" s="171">
        <v>43825</v>
      </c>
      <c r="K87" s="162"/>
      <c r="N87" s="162"/>
    </row>
    <row r="88" spans="1:14" x14ac:dyDescent="0.35">
      <c r="A88" s="168" t="s">
        <v>775</v>
      </c>
      <c r="B88" s="168" t="s">
        <v>881</v>
      </c>
      <c r="C88" s="165" t="s">
        <v>777</v>
      </c>
      <c r="D88" s="153"/>
      <c r="E88" s="153">
        <v>2800</v>
      </c>
      <c r="F88" s="153">
        <v>12700</v>
      </c>
      <c r="G88" s="166">
        <f t="shared" si="1"/>
        <v>4.5357142857142856</v>
      </c>
      <c r="H88" s="171">
        <v>43832</v>
      </c>
      <c r="K88" s="162"/>
      <c r="N88" s="162"/>
    </row>
    <row r="89" spans="1:14" x14ac:dyDescent="0.35">
      <c r="A89" s="168" t="s">
        <v>882</v>
      </c>
      <c r="B89" s="168" t="s">
        <v>883</v>
      </c>
      <c r="C89" s="168" t="s">
        <v>884</v>
      </c>
      <c r="D89" s="153">
        <v>4800</v>
      </c>
      <c r="E89" s="153"/>
      <c r="F89" s="153">
        <v>20750</v>
      </c>
      <c r="G89" s="166">
        <f t="shared" si="1"/>
        <v>4.322916666666667</v>
      </c>
      <c r="H89" s="171">
        <v>43866</v>
      </c>
      <c r="K89" s="162"/>
      <c r="N89" s="162"/>
    </row>
    <row r="90" spans="1:14" x14ac:dyDescent="0.35">
      <c r="A90" s="165" t="s">
        <v>751</v>
      </c>
      <c r="B90" s="165" t="s">
        <v>885</v>
      </c>
      <c r="C90" s="165" t="s">
        <v>886</v>
      </c>
      <c r="D90" s="153">
        <v>18</v>
      </c>
      <c r="E90" s="153">
        <v>15</v>
      </c>
      <c r="F90" s="153">
        <v>70</v>
      </c>
      <c r="G90" s="166">
        <f t="shared" si="1"/>
        <v>2.1212121212121211</v>
      </c>
      <c r="H90" s="167">
        <v>43924</v>
      </c>
      <c r="K90" s="162"/>
      <c r="N90" s="162"/>
    </row>
    <row r="91" spans="1:14" x14ac:dyDescent="0.35">
      <c r="A91" s="168" t="s">
        <v>887</v>
      </c>
      <c r="B91" s="168" t="s">
        <v>888</v>
      </c>
      <c r="C91" s="168" t="s">
        <v>889</v>
      </c>
      <c r="D91" s="153">
        <v>350</v>
      </c>
      <c r="E91" s="153"/>
      <c r="F91" s="153">
        <v>3600</v>
      </c>
      <c r="G91" s="166">
        <f t="shared" si="1"/>
        <v>10.285714285714286</v>
      </c>
      <c r="H91" s="171">
        <v>43935</v>
      </c>
      <c r="K91" s="162"/>
      <c r="N91" s="162"/>
    </row>
    <row r="92" spans="1:14" x14ac:dyDescent="0.35">
      <c r="A92" s="174" t="s">
        <v>748</v>
      </c>
      <c r="B92" s="174" t="s">
        <v>890</v>
      </c>
      <c r="C92" s="174" t="s">
        <v>750</v>
      </c>
      <c r="D92" s="153">
        <v>560</v>
      </c>
      <c r="E92" s="153"/>
      <c r="F92" s="153">
        <v>2300</v>
      </c>
      <c r="G92" s="166">
        <f t="shared" si="1"/>
        <v>4.1071428571428568</v>
      </c>
      <c r="H92" s="175">
        <v>43938</v>
      </c>
    </row>
    <row r="93" spans="1:14" x14ac:dyDescent="0.35">
      <c r="A93" s="174" t="s">
        <v>748</v>
      </c>
      <c r="B93" s="174" t="s">
        <v>891</v>
      </c>
      <c r="C93" s="174" t="s">
        <v>750</v>
      </c>
      <c r="D93" s="153">
        <v>68</v>
      </c>
      <c r="E93" s="153"/>
      <c r="F93" s="153">
        <v>100</v>
      </c>
      <c r="G93" s="166">
        <f t="shared" si="1"/>
        <v>1.4705882352941178</v>
      </c>
      <c r="H93" s="175">
        <v>43943</v>
      </c>
    </row>
    <row r="94" spans="1:14" x14ac:dyDescent="0.35">
      <c r="A94" s="168" t="s">
        <v>745</v>
      </c>
      <c r="B94" s="168" t="s">
        <v>892</v>
      </c>
      <c r="C94" s="168" t="s">
        <v>758</v>
      </c>
      <c r="D94" s="153"/>
      <c r="E94" s="153">
        <v>1600</v>
      </c>
      <c r="F94" s="153">
        <v>13750</v>
      </c>
      <c r="G94" s="166">
        <f t="shared" si="1"/>
        <v>8.59375</v>
      </c>
      <c r="H94" s="171">
        <v>43949</v>
      </c>
    </row>
    <row r="95" spans="1:14" x14ac:dyDescent="0.35">
      <c r="A95" s="174" t="s">
        <v>748</v>
      </c>
      <c r="B95" s="174" t="s">
        <v>893</v>
      </c>
      <c r="C95" s="174" t="s">
        <v>750</v>
      </c>
      <c r="D95" s="153"/>
      <c r="E95" s="153">
        <v>1515</v>
      </c>
      <c r="F95" s="153">
        <v>3600</v>
      </c>
      <c r="G95" s="166">
        <f t="shared" si="1"/>
        <v>2.3762376237623761</v>
      </c>
      <c r="H95" s="175">
        <v>43966</v>
      </c>
    </row>
    <row r="96" spans="1:14" x14ac:dyDescent="0.35">
      <c r="A96" s="168" t="s">
        <v>748</v>
      </c>
      <c r="B96" s="168" t="s">
        <v>894</v>
      </c>
      <c r="C96" s="168" t="s">
        <v>750</v>
      </c>
      <c r="D96" s="153">
        <v>480</v>
      </c>
      <c r="E96" s="153">
        <v>480</v>
      </c>
      <c r="F96" s="153">
        <v>3300</v>
      </c>
      <c r="G96" s="166">
        <f t="shared" si="1"/>
        <v>3.4375</v>
      </c>
      <c r="H96" s="171">
        <v>43978</v>
      </c>
    </row>
    <row r="97" spans="1:8" x14ac:dyDescent="0.35">
      <c r="A97" s="168" t="s">
        <v>748</v>
      </c>
      <c r="B97" s="168" t="s">
        <v>895</v>
      </c>
      <c r="C97" s="165" t="s">
        <v>750</v>
      </c>
      <c r="D97" s="153"/>
      <c r="E97" s="153">
        <v>377</v>
      </c>
      <c r="F97" s="153">
        <v>600</v>
      </c>
      <c r="G97" s="166">
        <f t="shared" si="1"/>
        <v>1.5915119363395225</v>
      </c>
      <c r="H97" s="171">
        <v>43980</v>
      </c>
    </row>
    <row r="98" spans="1:8" x14ac:dyDescent="0.35">
      <c r="A98" s="174" t="s">
        <v>896</v>
      </c>
      <c r="B98" s="174" t="s">
        <v>897</v>
      </c>
      <c r="C98" s="176" t="s">
        <v>898</v>
      </c>
      <c r="D98" s="153">
        <v>3600</v>
      </c>
      <c r="E98" s="153">
        <v>3100</v>
      </c>
      <c r="F98" s="153">
        <v>29300</v>
      </c>
      <c r="G98" s="166">
        <f t="shared" si="1"/>
        <v>4.3731343283582094</v>
      </c>
      <c r="H98" s="175">
        <v>44011</v>
      </c>
    </row>
    <row r="99" spans="1:8" x14ac:dyDescent="0.35">
      <c r="A99" s="168" t="s">
        <v>751</v>
      </c>
      <c r="B99" s="168" t="s">
        <v>899</v>
      </c>
      <c r="C99" s="168" t="s">
        <v>763</v>
      </c>
      <c r="D99" s="153">
        <v>992</v>
      </c>
      <c r="E99" s="153"/>
      <c r="F99" s="153">
        <v>4000</v>
      </c>
      <c r="G99" s="166">
        <f t="shared" si="1"/>
        <v>4.032258064516129</v>
      </c>
      <c r="H99" s="171">
        <v>44046</v>
      </c>
    </row>
    <row r="100" spans="1:8" x14ac:dyDescent="0.35">
      <c r="A100" s="168" t="s">
        <v>887</v>
      </c>
      <c r="B100" s="168" t="s">
        <v>900</v>
      </c>
      <c r="C100" s="168" t="s">
        <v>889</v>
      </c>
      <c r="D100" s="153">
        <v>800</v>
      </c>
      <c r="E100" s="153"/>
      <c r="F100" s="153">
        <v>2100</v>
      </c>
      <c r="G100" s="166">
        <f t="shared" si="1"/>
        <v>2.625</v>
      </c>
      <c r="H100" s="171">
        <v>44050</v>
      </c>
    </row>
    <row r="101" spans="1:8" x14ac:dyDescent="0.35">
      <c r="A101" s="168" t="s">
        <v>745</v>
      </c>
      <c r="B101" s="168" t="s">
        <v>901</v>
      </c>
      <c r="C101" s="168" t="s">
        <v>756</v>
      </c>
      <c r="D101" s="153"/>
      <c r="E101" s="153">
        <v>11000</v>
      </c>
      <c r="F101" s="153">
        <v>53000</v>
      </c>
      <c r="G101" s="166">
        <f t="shared" si="1"/>
        <v>4.8181818181818183</v>
      </c>
      <c r="H101" s="171">
        <v>44098</v>
      </c>
    </row>
    <row r="102" spans="1:8" x14ac:dyDescent="0.35">
      <c r="A102" s="168" t="s">
        <v>745</v>
      </c>
      <c r="B102" s="168" t="s">
        <v>902</v>
      </c>
      <c r="C102" s="168" t="s">
        <v>758</v>
      </c>
      <c r="D102" s="153"/>
      <c r="E102" s="153">
        <v>4100</v>
      </c>
      <c r="F102" s="153">
        <v>19000</v>
      </c>
      <c r="G102" s="166">
        <f t="shared" si="1"/>
        <v>4.6341463414634143</v>
      </c>
      <c r="H102" s="171">
        <v>44173</v>
      </c>
    </row>
    <row r="103" spans="1:8" x14ac:dyDescent="0.35">
      <c r="A103" s="168" t="s">
        <v>903</v>
      </c>
      <c r="B103" s="168" t="s">
        <v>904</v>
      </c>
      <c r="C103" s="168" t="s">
        <v>905</v>
      </c>
      <c r="D103" s="153">
        <v>600</v>
      </c>
      <c r="E103" s="153"/>
      <c r="F103" s="153">
        <v>2400</v>
      </c>
      <c r="G103" s="166">
        <f t="shared" si="1"/>
        <v>4</v>
      </c>
      <c r="H103" s="171">
        <v>44196</v>
      </c>
    </row>
    <row r="104" spans="1:8" x14ac:dyDescent="0.35">
      <c r="A104" s="168" t="s">
        <v>745</v>
      </c>
      <c r="B104" s="168" t="s">
        <v>906</v>
      </c>
      <c r="C104" s="168" t="s">
        <v>756</v>
      </c>
      <c r="D104" s="153"/>
      <c r="E104" s="153">
        <v>8200</v>
      </c>
      <c r="F104" s="153">
        <v>55000</v>
      </c>
      <c r="G104" s="166">
        <f t="shared" si="1"/>
        <v>6.7073170731707314</v>
      </c>
      <c r="H104" s="171">
        <v>44209</v>
      </c>
    </row>
    <row r="105" spans="1:8" x14ac:dyDescent="0.35">
      <c r="A105" s="168" t="s">
        <v>745</v>
      </c>
      <c r="B105" s="168" t="s">
        <v>907</v>
      </c>
      <c r="C105" s="168" t="s">
        <v>908</v>
      </c>
      <c r="D105" s="153"/>
      <c r="E105" s="153">
        <v>45000</v>
      </c>
      <c r="F105" s="153">
        <v>235000</v>
      </c>
      <c r="G105" s="166">
        <f t="shared" si="1"/>
        <v>5.2222222222222223</v>
      </c>
      <c r="H105" s="171">
        <v>44216</v>
      </c>
    </row>
    <row r="106" spans="1:8" x14ac:dyDescent="0.35">
      <c r="A106" s="168" t="s">
        <v>745</v>
      </c>
      <c r="B106" s="168" t="s">
        <v>909</v>
      </c>
      <c r="C106" s="168" t="s">
        <v>756</v>
      </c>
      <c r="D106" s="153"/>
      <c r="E106" s="153">
        <v>2300</v>
      </c>
      <c r="F106" s="153">
        <v>17500</v>
      </c>
      <c r="G106" s="166">
        <f t="shared" si="1"/>
        <v>7.6086956521739131</v>
      </c>
      <c r="H106" s="171">
        <v>44227</v>
      </c>
    </row>
    <row r="107" spans="1:8" x14ac:dyDescent="0.35">
      <c r="A107" s="168" t="s">
        <v>849</v>
      </c>
      <c r="B107" s="168" t="s">
        <v>910</v>
      </c>
      <c r="C107" s="168" t="s">
        <v>851</v>
      </c>
      <c r="D107" s="153">
        <v>400</v>
      </c>
      <c r="E107" s="153"/>
      <c r="F107" s="153">
        <v>760</v>
      </c>
      <c r="G107" s="166">
        <f t="shared" si="1"/>
        <v>1.9</v>
      </c>
      <c r="H107" s="171">
        <v>44230</v>
      </c>
    </row>
    <row r="108" spans="1:8" x14ac:dyDescent="0.35">
      <c r="A108" s="168" t="s">
        <v>748</v>
      </c>
      <c r="B108" s="168" t="s">
        <v>911</v>
      </c>
      <c r="C108" s="168" t="s">
        <v>912</v>
      </c>
      <c r="D108" s="153">
        <v>150</v>
      </c>
      <c r="E108" s="153"/>
      <c r="F108" s="153">
        <v>1700</v>
      </c>
      <c r="G108" s="166">
        <f t="shared" si="1"/>
        <v>11.333333333333334</v>
      </c>
      <c r="H108" s="171">
        <v>44238</v>
      </c>
    </row>
    <row r="109" spans="1:8" x14ac:dyDescent="0.35">
      <c r="A109" s="168" t="s">
        <v>775</v>
      </c>
      <c r="B109" s="168" t="s">
        <v>913</v>
      </c>
      <c r="C109" s="168" t="s">
        <v>777</v>
      </c>
      <c r="D109" s="153">
        <v>1500</v>
      </c>
      <c r="E109" s="153">
        <v>1500</v>
      </c>
      <c r="F109" s="153">
        <v>21800</v>
      </c>
      <c r="G109" s="166">
        <f t="shared" si="1"/>
        <v>7.2666666666666666</v>
      </c>
      <c r="H109" s="171">
        <v>44284</v>
      </c>
    </row>
    <row r="110" spans="1:8" x14ac:dyDescent="0.35">
      <c r="A110" s="168" t="s">
        <v>772</v>
      </c>
      <c r="B110" s="168" t="s">
        <v>914</v>
      </c>
      <c r="C110" s="168" t="s">
        <v>788</v>
      </c>
      <c r="D110" s="153">
        <v>10000</v>
      </c>
      <c r="E110" s="153"/>
      <c r="F110" s="153">
        <v>40500</v>
      </c>
      <c r="G110" s="166">
        <f t="shared" si="1"/>
        <v>4.05</v>
      </c>
      <c r="H110" s="171">
        <v>44294</v>
      </c>
    </row>
    <row r="111" spans="1:8" x14ac:dyDescent="0.35">
      <c r="A111" s="168" t="s">
        <v>764</v>
      </c>
      <c r="B111" s="168" t="s">
        <v>915</v>
      </c>
      <c r="C111" s="168" t="s">
        <v>787</v>
      </c>
      <c r="D111" s="153">
        <v>100</v>
      </c>
      <c r="E111" s="153">
        <v>80</v>
      </c>
      <c r="F111" s="153">
        <v>420</v>
      </c>
      <c r="G111" s="166">
        <f t="shared" si="1"/>
        <v>2.3333333333333335</v>
      </c>
      <c r="H111" s="171">
        <v>44420</v>
      </c>
    </row>
    <row r="112" spans="1:8" x14ac:dyDescent="0.35">
      <c r="A112" s="168" t="s">
        <v>748</v>
      </c>
      <c r="B112" s="168" t="s">
        <v>916</v>
      </c>
      <c r="C112" s="168" t="s">
        <v>809</v>
      </c>
      <c r="D112" s="153"/>
      <c r="E112" s="153">
        <v>6500</v>
      </c>
      <c r="F112" s="153">
        <v>32100</v>
      </c>
      <c r="G112" s="166">
        <f t="shared" si="1"/>
        <v>4.9384615384615387</v>
      </c>
      <c r="H112" s="171">
        <v>44459</v>
      </c>
    </row>
    <row r="113" spans="1:8" x14ac:dyDescent="0.35">
      <c r="A113" s="168" t="s">
        <v>882</v>
      </c>
      <c r="B113" s="168" t="s">
        <v>917</v>
      </c>
      <c r="C113" s="168" t="s">
        <v>884</v>
      </c>
      <c r="D113" s="153">
        <v>3000</v>
      </c>
      <c r="E113" s="153"/>
      <c r="F113" s="153">
        <v>34000</v>
      </c>
      <c r="G113" s="166">
        <f t="shared" si="1"/>
        <v>11.333333333333334</v>
      </c>
      <c r="H113" s="171">
        <v>44461</v>
      </c>
    </row>
    <row r="114" spans="1:8" x14ac:dyDescent="0.35">
      <c r="A114" s="168" t="s">
        <v>745</v>
      </c>
      <c r="B114" s="168" t="s">
        <v>918</v>
      </c>
      <c r="C114" s="168" t="s">
        <v>756</v>
      </c>
      <c r="D114" s="153"/>
      <c r="E114" s="153">
        <v>7600</v>
      </c>
      <c r="F114" s="153">
        <v>41250</v>
      </c>
      <c r="G114" s="166">
        <f t="shared" si="1"/>
        <v>5.4276315789473681</v>
      </c>
      <c r="H114" s="171">
        <v>44490</v>
      </c>
    </row>
    <row r="115" spans="1:8" x14ac:dyDescent="0.35">
      <c r="A115" s="168" t="s">
        <v>764</v>
      </c>
      <c r="B115" s="168" t="s">
        <v>919</v>
      </c>
      <c r="C115" s="168" t="s">
        <v>920</v>
      </c>
      <c r="D115" s="177">
        <v>4000</v>
      </c>
      <c r="E115" s="177"/>
      <c r="F115" s="177">
        <v>24500</v>
      </c>
      <c r="G115" s="166">
        <f t="shared" si="1"/>
        <v>6.125</v>
      </c>
      <c r="H115" s="171">
        <v>44558</v>
      </c>
    </row>
    <row r="116" spans="1:8" x14ac:dyDescent="0.35">
      <c r="A116" s="168" t="s">
        <v>775</v>
      </c>
      <c r="B116" s="168" t="s">
        <v>921</v>
      </c>
      <c r="C116" s="168" t="s">
        <v>777</v>
      </c>
      <c r="D116" s="177"/>
      <c r="E116" s="177">
        <v>2900</v>
      </c>
      <c r="F116" s="177">
        <v>5000</v>
      </c>
      <c r="G116" s="166">
        <f t="shared" si="1"/>
        <v>1.7241379310344827</v>
      </c>
      <c r="H116" s="171">
        <v>44607</v>
      </c>
    </row>
    <row r="117" spans="1:8" x14ac:dyDescent="0.35">
      <c r="A117" s="168" t="s">
        <v>922</v>
      </c>
      <c r="B117" s="168" t="s">
        <v>923</v>
      </c>
      <c r="C117" s="168" t="s">
        <v>924</v>
      </c>
      <c r="D117" s="177">
        <v>5000</v>
      </c>
      <c r="E117" s="177"/>
      <c r="F117" s="177">
        <v>6000</v>
      </c>
      <c r="G117" s="166">
        <f t="shared" si="1"/>
        <v>1.2</v>
      </c>
      <c r="H117" s="171">
        <v>44596</v>
      </c>
    </row>
    <row r="118" spans="1:8" x14ac:dyDescent="0.35">
      <c r="A118" s="168" t="s">
        <v>751</v>
      </c>
      <c r="B118" s="168" t="s">
        <v>925</v>
      </c>
      <c r="C118" s="168" t="s">
        <v>763</v>
      </c>
      <c r="D118" s="177">
        <v>740</v>
      </c>
      <c r="E118" s="177"/>
      <c r="F118" s="177">
        <v>3330</v>
      </c>
      <c r="G118" s="166">
        <f t="shared" si="1"/>
        <v>4.5</v>
      </c>
      <c r="H118" s="171">
        <v>44599</v>
      </c>
    </row>
    <row r="119" spans="1:8" x14ac:dyDescent="0.35">
      <c r="A119" s="168" t="s">
        <v>745</v>
      </c>
      <c r="B119" s="168" t="s">
        <v>901</v>
      </c>
      <c r="C119" s="168" t="s">
        <v>756</v>
      </c>
      <c r="D119" s="153"/>
      <c r="E119" s="153">
        <v>11000</v>
      </c>
      <c r="F119" s="153">
        <v>53000</v>
      </c>
      <c r="G119" s="166">
        <f t="shared" si="1"/>
        <v>4.8181818181818183</v>
      </c>
      <c r="H119" s="171">
        <v>44624</v>
      </c>
    </row>
    <row r="120" spans="1:8" x14ac:dyDescent="0.35">
      <c r="A120" s="168" t="s">
        <v>926</v>
      </c>
      <c r="B120" s="168" t="s">
        <v>927</v>
      </c>
      <c r="C120" s="168" t="s">
        <v>928</v>
      </c>
      <c r="D120" s="177">
        <v>905</v>
      </c>
      <c r="E120" s="177"/>
      <c r="F120" s="177">
        <v>2200</v>
      </c>
      <c r="G120" s="166">
        <f t="shared" si="1"/>
        <v>2.430939226519337</v>
      </c>
      <c r="H120" s="171">
        <v>44698</v>
      </c>
    </row>
    <row r="121" spans="1:8" x14ac:dyDescent="0.35">
      <c r="A121" s="168" t="s">
        <v>887</v>
      </c>
      <c r="B121" s="168" t="s">
        <v>1148</v>
      </c>
      <c r="C121" s="168" t="s">
        <v>889</v>
      </c>
      <c r="D121" s="177">
        <v>1500</v>
      </c>
      <c r="E121" s="177"/>
      <c r="F121" s="177">
        <v>5000</v>
      </c>
      <c r="G121" s="166">
        <f t="shared" si="1"/>
        <v>3.3333333333333335</v>
      </c>
      <c r="H121" s="171">
        <v>44707</v>
      </c>
    </row>
    <row r="122" spans="1:8" x14ac:dyDescent="0.35">
      <c r="A122" s="168" t="s">
        <v>748</v>
      </c>
      <c r="B122" s="168" t="s">
        <v>929</v>
      </c>
      <c r="C122" s="168" t="s">
        <v>912</v>
      </c>
      <c r="D122" s="177">
        <v>435</v>
      </c>
      <c r="E122" s="177">
        <v>405</v>
      </c>
      <c r="F122" s="177">
        <v>3300</v>
      </c>
      <c r="G122" s="166">
        <f t="shared" si="1"/>
        <v>3.9285714285714284</v>
      </c>
      <c r="H122" s="171">
        <v>44719</v>
      </c>
    </row>
    <row r="123" spans="1:8" x14ac:dyDescent="0.35">
      <c r="A123" s="168" t="s">
        <v>930</v>
      </c>
      <c r="B123" s="168" t="s">
        <v>931</v>
      </c>
      <c r="C123" s="165" t="s">
        <v>851</v>
      </c>
      <c r="D123" s="177">
        <v>1989</v>
      </c>
      <c r="E123" s="177">
        <v>1989</v>
      </c>
      <c r="F123" s="177">
        <v>30000</v>
      </c>
      <c r="G123" s="166">
        <f t="shared" si="1"/>
        <v>7.5414781297134237</v>
      </c>
      <c r="H123" s="171">
        <v>44769</v>
      </c>
    </row>
    <row r="124" spans="1:8" x14ac:dyDescent="0.35">
      <c r="A124" s="168" t="s">
        <v>748</v>
      </c>
      <c r="B124" s="168" t="s">
        <v>932</v>
      </c>
      <c r="C124" s="168" t="s">
        <v>809</v>
      </c>
      <c r="D124" s="153">
        <v>711</v>
      </c>
      <c r="E124" s="153"/>
      <c r="F124" s="177">
        <v>1400</v>
      </c>
      <c r="G124" s="166">
        <f t="shared" si="1"/>
        <v>1.969057665260197</v>
      </c>
      <c r="H124" s="171">
        <v>44776</v>
      </c>
    </row>
    <row r="125" spans="1:8" x14ac:dyDescent="0.35">
      <c r="A125" s="168" t="s">
        <v>882</v>
      </c>
      <c r="B125" s="168" t="s">
        <v>933</v>
      </c>
      <c r="C125" s="165" t="s">
        <v>934</v>
      </c>
      <c r="D125" s="153">
        <v>4000</v>
      </c>
      <c r="E125" s="153">
        <v>4000</v>
      </c>
      <c r="F125" s="177">
        <v>28000</v>
      </c>
      <c r="G125" s="166">
        <f t="shared" si="1"/>
        <v>3.5</v>
      </c>
      <c r="H125" s="171">
        <v>44777</v>
      </c>
    </row>
    <row r="126" spans="1:8" x14ac:dyDescent="0.35">
      <c r="A126" s="168" t="s">
        <v>748</v>
      </c>
      <c r="B126" s="168" t="s">
        <v>1149</v>
      </c>
      <c r="C126" s="168" t="s">
        <v>912</v>
      </c>
      <c r="D126" s="177">
        <v>1489</v>
      </c>
      <c r="E126" s="177">
        <v>1069</v>
      </c>
      <c r="F126" s="177">
        <v>11000</v>
      </c>
      <c r="G126" s="166">
        <f t="shared" si="1"/>
        <v>4.3002345582486319</v>
      </c>
      <c r="H126" s="171">
        <v>44826</v>
      </c>
    </row>
    <row r="127" spans="1:8" x14ac:dyDescent="0.35">
      <c r="A127" s="168" t="s">
        <v>772</v>
      </c>
      <c r="B127" s="168" t="s">
        <v>935</v>
      </c>
      <c r="C127" s="168" t="s">
        <v>788</v>
      </c>
      <c r="D127" s="177">
        <v>10100</v>
      </c>
      <c r="E127" s="177"/>
      <c r="F127" s="177">
        <v>86400</v>
      </c>
      <c r="G127" s="166">
        <f t="shared" si="1"/>
        <v>8.5544554455445549</v>
      </c>
      <c r="H127" s="171">
        <v>44838</v>
      </c>
    </row>
    <row r="128" spans="1:8" x14ac:dyDescent="0.35">
      <c r="A128" s="168" t="s">
        <v>745</v>
      </c>
      <c r="B128" s="168" t="s">
        <v>936</v>
      </c>
      <c r="C128" s="168" t="s">
        <v>937</v>
      </c>
      <c r="D128" s="177"/>
      <c r="E128" s="177">
        <v>23000</v>
      </c>
      <c r="F128" s="177">
        <v>231500</v>
      </c>
      <c r="G128" s="166">
        <f t="shared" si="1"/>
        <v>10.065217391304348</v>
      </c>
      <c r="H128" s="171">
        <v>44845</v>
      </c>
    </row>
    <row r="129" spans="1:8" x14ac:dyDescent="0.35">
      <c r="A129" s="168" t="s">
        <v>882</v>
      </c>
      <c r="B129" s="168" t="s">
        <v>1150</v>
      </c>
      <c r="C129" s="168" t="s">
        <v>884</v>
      </c>
      <c r="D129" s="177">
        <v>1800</v>
      </c>
      <c r="E129" s="177"/>
      <c r="F129" s="177">
        <v>17000</v>
      </c>
      <c r="G129" s="166">
        <f t="shared" si="1"/>
        <v>9.4444444444444446</v>
      </c>
      <c r="H129" s="171">
        <v>44868</v>
      </c>
    </row>
    <row r="130" spans="1:8" x14ac:dyDescent="0.35">
      <c r="A130" s="168" t="s">
        <v>930</v>
      </c>
      <c r="B130" s="168" t="s">
        <v>938</v>
      </c>
      <c r="C130" s="168" t="s">
        <v>939</v>
      </c>
      <c r="D130" s="177"/>
      <c r="E130" s="177">
        <v>750</v>
      </c>
      <c r="F130" s="177">
        <v>2000</v>
      </c>
      <c r="G130" s="166">
        <f t="shared" si="1"/>
        <v>2.6666666666666665</v>
      </c>
      <c r="H130" s="171">
        <v>44860</v>
      </c>
    </row>
    <row r="131" spans="1:8" x14ac:dyDescent="0.35">
      <c r="A131" s="168" t="s">
        <v>745</v>
      </c>
      <c r="B131" s="168" t="s">
        <v>940</v>
      </c>
      <c r="C131" s="168" t="s">
        <v>937</v>
      </c>
      <c r="D131" s="177"/>
      <c r="E131" s="177">
        <v>525</v>
      </c>
      <c r="F131" s="177">
        <v>3750</v>
      </c>
      <c r="G131" s="166">
        <f t="shared" si="1"/>
        <v>7.1428571428571432</v>
      </c>
      <c r="H131" s="171">
        <v>44861</v>
      </c>
    </row>
    <row r="132" spans="1:8" x14ac:dyDescent="0.35">
      <c r="A132" s="168" t="s">
        <v>748</v>
      </c>
      <c r="B132" s="168" t="s">
        <v>941</v>
      </c>
      <c r="C132" s="168" t="s">
        <v>809</v>
      </c>
      <c r="D132" s="177"/>
      <c r="E132" s="177">
        <v>4000</v>
      </c>
      <c r="F132" s="177">
        <v>12500</v>
      </c>
      <c r="G132" s="166">
        <f t="shared" si="1"/>
        <v>3.125</v>
      </c>
      <c r="H132" s="171">
        <v>44863</v>
      </c>
    </row>
    <row r="133" spans="1:8" x14ac:dyDescent="0.35">
      <c r="A133" s="168" t="s">
        <v>882</v>
      </c>
      <c r="B133" s="168" t="s">
        <v>942</v>
      </c>
      <c r="C133" s="168" t="s">
        <v>884</v>
      </c>
      <c r="D133" s="177">
        <v>1800</v>
      </c>
      <c r="E133" s="177"/>
      <c r="F133" s="177">
        <v>17000</v>
      </c>
      <c r="G133" s="166">
        <f t="shared" si="1"/>
        <v>9.4444444444444446</v>
      </c>
      <c r="H133" s="171">
        <v>44894</v>
      </c>
    </row>
    <row r="134" spans="1:8" x14ac:dyDescent="0.35">
      <c r="A134" s="168" t="s">
        <v>764</v>
      </c>
      <c r="B134" s="168" t="s">
        <v>1045</v>
      </c>
      <c r="C134" s="168" t="s">
        <v>920</v>
      </c>
      <c r="D134" s="177">
        <v>150</v>
      </c>
      <c r="E134" s="177"/>
      <c r="F134" s="177">
        <v>700</v>
      </c>
      <c r="G134" s="166">
        <f t="shared" si="1"/>
        <v>4.666666666666667</v>
      </c>
      <c r="H134" s="171">
        <v>45013</v>
      </c>
    </row>
    <row r="135" spans="1:8" x14ac:dyDescent="0.35">
      <c r="A135" s="168" t="s">
        <v>745</v>
      </c>
      <c r="B135" s="168" t="s">
        <v>1151</v>
      </c>
      <c r="C135" s="168" t="s">
        <v>756</v>
      </c>
      <c r="D135" s="177"/>
      <c r="E135" s="177">
        <v>4000</v>
      </c>
      <c r="F135" s="177">
        <v>18000</v>
      </c>
      <c r="G135" s="166">
        <f t="shared" ref="G135:G144" si="2">(F135)/(D135+E135)</f>
        <v>4.5</v>
      </c>
      <c r="H135" s="171">
        <v>45047</v>
      </c>
    </row>
    <row r="136" spans="1:8" x14ac:dyDescent="0.35">
      <c r="A136" s="168" t="s">
        <v>748</v>
      </c>
      <c r="B136" s="168" t="s">
        <v>1046</v>
      </c>
      <c r="C136" s="168" t="s">
        <v>912</v>
      </c>
      <c r="D136" s="177">
        <v>1295</v>
      </c>
      <c r="E136" s="177">
        <v>1254</v>
      </c>
      <c r="F136" s="177">
        <v>9416</v>
      </c>
      <c r="G136" s="166">
        <f t="shared" si="2"/>
        <v>3.6939976461357396</v>
      </c>
      <c r="H136" s="171">
        <v>45097</v>
      </c>
    </row>
    <row r="137" spans="1:8" x14ac:dyDescent="0.35">
      <c r="A137" s="168" t="s">
        <v>745</v>
      </c>
      <c r="B137" s="168" t="s">
        <v>1048</v>
      </c>
      <c r="C137" s="168" t="s">
        <v>937</v>
      </c>
      <c r="D137" s="177">
        <v>508.5</v>
      </c>
      <c r="E137" s="177">
        <v>508.5</v>
      </c>
      <c r="F137" s="177">
        <v>5545</v>
      </c>
      <c r="G137" s="166">
        <f t="shared" si="2"/>
        <v>5.4523107177974435</v>
      </c>
      <c r="H137" s="171">
        <v>45099</v>
      </c>
    </row>
    <row r="138" spans="1:8" x14ac:dyDescent="0.35">
      <c r="A138" s="168" t="s">
        <v>745</v>
      </c>
      <c r="B138" s="168" t="s">
        <v>1152</v>
      </c>
      <c r="C138" s="168" t="s">
        <v>937</v>
      </c>
      <c r="D138" s="177">
        <v>85</v>
      </c>
      <c r="E138" s="177"/>
      <c r="F138" s="177">
        <v>151.572</v>
      </c>
      <c r="G138" s="166">
        <f t="shared" si="2"/>
        <v>1.7832000000000001</v>
      </c>
      <c r="H138" s="171">
        <v>45103</v>
      </c>
    </row>
    <row r="139" spans="1:8" x14ac:dyDescent="0.35">
      <c r="A139" s="168" t="s">
        <v>846</v>
      </c>
      <c r="B139" s="168" t="s">
        <v>1047</v>
      </c>
      <c r="C139" s="168" t="s">
        <v>848</v>
      </c>
      <c r="D139" s="177"/>
      <c r="E139" s="177">
        <v>5300</v>
      </c>
      <c r="F139" s="177">
        <v>25500</v>
      </c>
      <c r="G139" s="166">
        <f t="shared" si="2"/>
        <v>4.8113207547169807</v>
      </c>
      <c r="H139" s="171">
        <v>45117</v>
      </c>
    </row>
    <row r="140" spans="1:8" x14ac:dyDescent="0.35">
      <c r="A140" s="168" t="s">
        <v>745</v>
      </c>
      <c r="B140" s="168" t="s">
        <v>1153</v>
      </c>
      <c r="C140" s="168" t="s">
        <v>937</v>
      </c>
      <c r="D140" s="153">
        <v>1600</v>
      </c>
      <c r="E140" s="153"/>
      <c r="F140" s="153">
        <v>5000</v>
      </c>
      <c r="G140" s="166">
        <f t="shared" si="2"/>
        <v>3.125</v>
      </c>
      <c r="H140" s="171">
        <v>45131</v>
      </c>
    </row>
    <row r="141" spans="1:8" x14ac:dyDescent="0.35">
      <c r="A141" s="168" t="s">
        <v>745</v>
      </c>
      <c r="B141" s="168" t="s">
        <v>1154</v>
      </c>
      <c r="C141" s="168" t="s">
        <v>756</v>
      </c>
      <c r="D141" s="153">
        <v>3000</v>
      </c>
      <c r="E141" s="153"/>
      <c r="F141" s="153">
        <v>12000</v>
      </c>
      <c r="G141" s="166">
        <f t="shared" si="2"/>
        <v>4</v>
      </c>
      <c r="H141" s="171">
        <v>45134</v>
      </c>
    </row>
    <row r="142" spans="1:8" x14ac:dyDescent="0.35">
      <c r="A142" s="168" t="s">
        <v>748</v>
      </c>
      <c r="B142" s="168" t="s">
        <v>3214</v>
      </c>
      <c r="C142" s="168" t="s">
        <v>3215</v>
      </c>
      <c r="D142" s="153">
        <v>155</v>
      </c>
      <c r="E142" s="153"/>
      <c r="F142" s="153">
        <v>425</v>
      </c>
      <c r="G142" s="166">
        <f t="shared" si="2"/>
        <v>2.7419354838709675</v>
      </c>
      <c r="H142" s="171">
        <v>45160</v>
      </c>
    </row>
    <row r="143" spans="1:8" x14ac:dyDescent="0.35">
      <c r="A143" s="168" t="s">
        <v>745</v>
      </c>
      <c r="B143" s="168" t="s">
        <v>3216</v>
      </c>
      <c r="C143" s="168" t="s">
        <v>937</v>
      </c>
      <c r="D143" s="153">
        <v>2900</v>
      </c>
      <c r="E143" s="153"/>
      <c r="F143" s="153">
        <v>8000</v>
      </c>
      <c r="G143" s="166">
        <f t="shared" si="2"/>
        <v>2.7586206896551726</v>
      </c>
      <c r="H143" s="171">
        <v>45190</v>
      </c>
    </row>
    <row r="144" spans="1:8" x14ac:dyDescent="0.35">
      <c r="A144" s="168" t="s">
        <v>772</v>
      </c>
      <c r="B144" s="168" t="s">
        <v>3309</v>
      </c>
      <c r="C144" s="168" t="s">
        <v>3310</v>
      </c>
      <c r="D144" s="177">
        <v>579</v>
      </c>
      <c r="E144" s="177">
        <v>326</v>
      </c>
      <c r="F144" s="177">
        <v>8000</v>
      </c>
      <c r="G144" s="166">
        <f t="shared" si="2"/>
        <v>8.8397790055248624</v>
      </c>
      <c r="H144" s="171">
        <v>45205</v>
      </c>
    </row>
    <row r="145" spans="1:14" x14ac:dyDescent="0.35">
      <c r="A145" s="168"/>
      <c r="B145" s="168"/>
      <c r="C145" s="168"/>
      <c r="D145" s="177"/>
      <c r="E145" s="177"/>
      <c r="F145" s="177"/>
      <c r="G145" s="178"/>
      <c r="H145" s="171"/>
    </row>
    <row r="146" spans="1:14" x14ac:dyDescent="0.35">
      <c r="B146" s="168"/>
      <c r="C146" s="168"/>
      <c r="D146" s="177"/>
      <c r="E146" s="177"/>
      <c r="F146" s="177"/>
      <c r="G146" s="179" t="s">
        <v>721</v>
      </c>
      <c r="H146" s="171"/>
    </row>
    <row r="147" spans="1:14" x14ac:dyDescent="0.35">
      <c r="A147" s="168">
        <f>COUNTA(A6:A144)</f>
        <v>139</v>
      </c>
      <c r="D147" s="180"/>
      <c r="F147" s="181" t="s">
        <v>943</v>
      </c>
      <c r="G147" s="154">
        <f>AVERAGE(G6:G144)</f>
        <v>4.4186896591047615</v>
      </c>
      <c r="I147" s="182"/>
      <c r="J147" s="180"/>
      <c r="K147" s="162"/>
      <c r="M147" s="180"/>
      <c r="N147" s="162"/>
    </row>
    <row r="148" spans="1:14" x14ac:dyDescent="0.35">
      <c r="A148" s="168"/>
      <c r="D148" s="180"/>
      <c r="F148" s="181" t="s">
        <v>1119</v>
      </c>
      <c r="G148" s="154">
        <f>AVERAGEIF(A6:A144,A153,G6:G144)</f>
        <v>6.8019298484274442</v>
      </c>
      <c r="I148" s="182"/>
      <c r="J148" s="180"/>
      <c r="K148" s="162"/>
      <c r="M148" s="180"/>
      <c r="N148" s="162"/>
    </row>
    <row r="149" spans="1:14" x14ac:dyDescent="0.35">
      <c r="A149" s="168"/>
      <c r="D149" s="180"/>
      <c r="F149" s="181"/>
      <c r="G149" s="154"/>
      <c r="I149" s="182"/>
      <c r="J149" s="180"/>
      <c r="K149" s="162"/>
      <c r="M149" s="180"/>
      <c r="N149" s="162"/>
    </row>
    <row r="150" spans="1:14" x14ac:dyDescent="0.35">
      <c r="F150" s="181"/>
      <c r="G150" s="154"/>
      <c r="I150" s="182"/>
    </row>
    <row r="151" spans="1:14" ht="57.75" customHeight="1" x14ac:dyDescent="0.35">
      <c r="A151" s="143" t="s">
        <v>737</v>
      </c>
      <c r="B151" s="143" t="s">
        <v>738</v>
      </c>
      <c r="C151" s="143"/>
      <c r="D151" s="143" t="s">
        <v>740</v>
      </c>
      <c r="E151" s="143" t="s">
        <v>741</v>
      </c>
      <c r="F151" s="143" t="s">
        <v>944</v>
      </c>
      <c r="G151" s="143" t="s">
        <v>1120</v>
      </c>
      <c r="H151" s="143" t="s">
        <v>1121</v>
      </c>
      <c r="I151" s="182"/>
    </row>
    <row r="153" spans="1:14" x14ac:dyDescent="0.35">
      <c r="A153" s="141" t="s">
        <v>772</v>
      </c>
      <c r="B153" s="141" t="str">
        <f>Summary!A1</f>
        <v>City of Ansonia</v>
      </c>
      <c r="D153" s="153"/>
      <c r="E153" s="153">
        <f>F180</f>
        <v>7035.8620689655172</v>
      </c>
      <c r="F153" s="183">
        <f>(D153+E153)*G$147</f>
        <v>31089.290967025365</v>
      </c>
      <c r="G153" s="183">
        <f>(D153+E153)*G$148</f>
        <v>47857.440216315023</v>
      </c>
      <c r="H153" s="183">
        <f>AVERAGE(F153:G153)</f>
        <v>39473.365591670197</v>
      </c>
    </row>
    <row r="156" spans="1:14" x14ac:dyDescent="0.35">
      <c r="A156" s="141">
        <f>COUNTIF(A6:A144,A153)</f>
        <v>7</v>
      </c>
    </row>
    <row r="157" spans="1:14" x14ac:dyDescent="0.35">
      <c r="C157" s="326"/>
      <c r="D157" s="181"/>
      <c r="E157" s="186"/>
      <c r="H157" s="187"/>
    </row>
    <row r="158" spans="1:14" x14ac:dyDescent="0.35">
      <c r="C158" s="326" t="s">
        <v>1134</v>
      </c>
      <c r="D158" s="181"/>
      <c r="E158" s="186"/>
      <c r="H158" s="187"/>
    </row>
    <row r="159" spans="1:14" x14ac:dyDescent="0.35">
      <c r="C159" s="326" t="s">
        <v>1135</v>
      </c>
      <c r="D159" s="181"/>
      <c r="E159" s="186"/>
      <c r="G159" s="181"/>
      <c r="H159" s="189"/>
    </row>
    <row r="160" spans="1:14" x14ac:dyDescent="0.35">
      <c r="C160" s="326"/>
      <c r="D160" s="181"/>
      <c r="E160" s="186"/>
      <c r="G160" s="181"/>
      <c r="H160" s="189"/>
    </row>
    <row r="161" spans="3:8" x14ac:dyDescent="0.35">
      <c r="C161" s="326"/>
      <c r="D161" s="181"/>
      <c r="E161" s="186"/>
      <c r="G161" s="181"/>
      <c r="H161" s="189"/>
    </row>
    <row r="162" spans="3:8" x14ac:dyDescent="0.35">
      <c r="C162" s="326" t="s">
        <v>1138</v>
      </c>
      <c r="D162" s="181"/>
      <c r="E162" s="186"/>
      <c r="G162" s="181"/>
      <c r="H162" s="189"/>
    </row>
    <row r="163" spans="3:8" x14ac:dyDescent="0.35">
      <c r="C163" s="326" t="s">
        <v>1137</v>
      </c>
      <c r="D163" s="181"/>
      <c r="E163" s="186"/>
      <c r="G163" s="181"/>
      <c r="H163" s="189"/>
    </row>
    <row r="164" spans="3:8" x14ac:dyDescent="0.35">
      <c r="C164" s="326" t="s">
        <v>1139</v>
      </c>
      <c r="D164" s="181"/>
      <c r="E164" s="186"/>
      <c r="G164" s="181"/>
      <c r="H164" s="189"/>
    </row>
    <row r="165" spans="3:8" x14ac:dyDescent="0.35">
      <c r="C165" s="326" t="s">
        <v>1140</v>
      </c>
      <c r="D165" s="181"/>
      <c r="E165" s="186"/>
      <c r="G165" s="181"/>
      <c r="H165" s="189"/>
    </row>
    <row r="166" spans="3:8" x14ac:dyDescent="0.35">
      <c r="C166" s="326" t="s">
        <v>1141</v>
      </c>
      <c r="D166" s="181"/>
      <c r="E166" s="186"/>
      <c r="G166" s="181"/>
      <c r="H166" s="189"/>
    </row>
    <row r="167" spans="3:8" x14ac:dyDescent="0.35">
      <c r="C167" s="326"/>
      <c r="D167" s="181"/>
      <c r="E167" s="186"/>
      <c r="G167" s="181"/>
      <c r="H167" s="189"/>
    </row>
    <row r="168" spans="3:8" x14ac:dyDescent="0.35">
      <c r="D168" s="181"/>
      <c r="E168" s="186"/>
      <c r="G168" s="181"/>
      <c r="H168" s="189"/>
    </row>
    <row r="169" spans="3:8" x14ac:dyDescent="0.35">
      <c r="C169" s="141" t="s">
        <v>3311</v>
      </c>
      <c r="D169" s="181"/>
      <c r="E169" s="186"/>
      <c r="F169" s="339">
        <v>55000000</v>
      </c>
      <c r="G169" s="181"/>
      <c r="H169" s="189"/>
    </row>
    <row r="170" spans="3:8" x14ac:dyDescent="0.35">
      <c r="D170" s="181"/>
      <c r="E170" s="186"/>
      <c r="G170" s="181"/>
      <c r="H170" s="189"/>
    </row>
    <row r="171" spans="3:8" x14ac:dyDescent="0.35">
      <c r="C171" s="141" t="s">
        <v>1136</v>
      </c>
      <c r="D171" s="339">
        <v>5101</v>
      </c>
      <c r="E171" s="186"/>
      <c r="F171" s="186">
        <f>D171</f>
        <v>5101</v>
      </c>
      <c r="G171" s="181"/>
      <c r="H171" s="189"/>
    </row>
    <row r="172" spans="3:8" x14ac:dyDescent="0.35">
      <c r="C172" s="141" t="s">
        <v>1142</v>
      </c>
      <c r="D172" s="339">
        <v>42375000</v>
      </c>
      <c r="F172" s="339">
        <f>G172*F169</f>
        <v>39875000</v>
      </c>
      <c r="G172" s="851">
        <v>0.72499999999999998</v>
      </c>
      <c r="H172" s="187" t="str">
        <f>C172</f>
        <v>Residential Consumption</v>
      </c>
    </row>
    <row r="173" spans="3:8" x14ac:dyDescent="0.35">
      <c r="C173" s="141" t="s">
        <v>1143</v>
      </c>
      <c r="D173" s="339">
        <f>D172/D171</f>
        <v>8307.1946677122141</v>
      </c>
      <c r="E173" s="186"/>
      <c r="F173" s="339">
        <f>F172/F171</f>
        <v>7817.0946873162129</v>
      </c>
      <c r="H173" s="187"/>
    </row>
    <row r="174" spans="3:8" x14ac:dyDescent="0.35">
      <c r="D174" s="181"/>
      <c r="E174" s="186"/>
      <c r="H174" s="187"/>
    </row>
    <row r="175" spans="3:8" x14ac:dyDescent="0.35">
      <c r="C175" s="141" t="s">
        <v>1144</v>
      </c>
      <c r="D175" s="339">
        <v>272</v>
      </c>
      <c r="E175" s="186"/>
      <c r="H175" s="187"/>
    </row>
    <row r="176" spans="3:8" x14ac:dyDescent="0.35">
      <c r="C176" s="141" t="s">
        <v>1145</v>
      </c>
      <c r="D176" s="339">
        <v>8140000</v>
      </c>
      <c r="F176" s="339">
        <f>G176*F169</f>
        <v>15125000.000000002</v>
      </c>
      <c r="G176" s="851">
        <f>1-G172</f>
        <v>0.27500000000000002</v>
      </c>
      <c r="H176" s="187" t="str">
        <f>C176</f>
        <v>Commercial Consumption</v>
      </c>
    </row>
    <row r="177" spans="3:10" x14ac:dyDescent="0.35">
      <c r="C177" s="141" t="s">
        <v>1146</v>
      </c>
      <c r="D177" s="339">
        <f>D176/D173</f>
        <v>979.87351032448373</v>
      </c>
      <c r="E177" s="186"/>
      <c r="F177" s="339">
        <f>F176/F173</f>
        <v>1934.8620689655174</v>
      </c>
      <c r="G177" s="181"/>
      <c r="H177" s="189"/>
    </row>
    <row r="178" spans="3:10" x14ac:dyDescent="0.35">
      <c r="D178" s="181"/>
      <c r="E178" s="186"/>
      <c r="G178" s="181"/>
      <c r="H178" s="189"/>
    </row>
    <row r="179" spans="3:10" x14ac:dyDescent="0.35">
      <c r="H179" s="187"/>
    </row>
    <row r="180" spans="3:10" x14ac:dyDescent="0.35">
      <c r="C180" s="141" t="s">
        <v>1147</v>
      </c>
      <c r="D180" s="186">
        <f>D171+D177</f>
        <v>6080.8735103244835</v>
      </c>
      <c r="F180" s="186">
        <f>F171+F177</f>
        <v>7035.8620689655172</v>
      </c>
      <c r="H180" s="187"/>
    </row>
    <row r="181" spans="3:10" x14ac:dyDescent="0.35">
      <c r="D181" s="184"/>
      <c r="E181" s="185"/>
      <c r="H181" s="191"/>
    </row>
    <row r="182" spans="3:10" x14ac:dyDescent="0.35">
      <c r="D182" s="181"/>
      <c r="E182" s="186"/>
      <c r="G182" s="181"/>
      <c r="H182" s="186"/>
      <c r="J182" s="306"/>
    </row>
    <row r="183" spans="3:10" x14ac:dyDescent="0.35">
      <c r="D183" s="181"/>
      <c r="E183" s="186"/>
      <c r="G183" s="181"/>
      <c r="H183" s="189"/>
    </row>
    <row r="184" spans="3:10" x14ac:dyDescent="0.35">
      <c r="D184" s="181"/>
      <c r="E184" s="186"/>
      <c r="H184" s="186"/>
    </row>
    <row r="185" spans="3:10" x14ac:dyDescent="0.35">
      <c r="H185" s="187"/>
    </row>
    <row r="186" spans="3:10" x14ac:dyDescent="0.35">
      <c r="H186" s="187"/>
    </row>
    <row r="187" spans="3:10" x14ac:dyDescent="0.35">
      <c r="D187" s="184"/>
      <c r="E187" s="192"/>
      <c r="G187" s="193"/>
      <c r="H187" s="194"/>
    </row>
    <row r="188" spans="3:10" x14ac:dyDescent="0.35">
      <c r="D188" s="181"/>
      <c r="E188" s="195"/>
      <c r="F188" s="164"/>
      <c r="G188" s="186"/>
      <c r="H188" s="188"/>
      <c r="I188" s="186"/>
    </row>
    <row r="189" spans="3:10" x14ac:dyDescent="0.35">
      <c r="D189" s="181"/>
      <c r="E189" s="195"/>
      <c r="F189" s="164"/>
      <c r="G189" s="186"/>
      <c r="H189" s="188"/>
      <c r="I189" s="186"/>
    </row>
    <row r="190" spans="3:10" x14ac:dyDescent="0.35">
      <c r="D190" s="181"/>
      <c r="E190" s="186"/>
      <c r="F190" s="164"/>
      <c r="G190" s="196"/>
      <c r="H190" s="196"/>
    </row>
    <row r="191" spans="3:10" x14ac:dyDescent="0.35">
      <c r="D191" s="181"/>
      <c r="E191" s="186"/>
      <c r="F191" s="164"/>
      <c r="G191" s="181"/>
      <c r="H191" s="189"/>
    </row>
    <row r="192" spans="3:10" x14ac:dyDescent="0.35">
      <c r="D192" s="181"/>
      <c r="E192" s="186"/>
      <c r="G192" s="181"/>
      <c r="H192" s="189"/>
    </row>
    <row r="193" spans="7:9" x14ac:dyDescent="0.35">
      <c r="G193" s="181"/>
      <c r="H193" s="189"/>
    </row>
    <row r="194" spans="7:9" x14ac:dyDescent="0.35">
      <c r="H194" s="141"/>
    </row>
    <row r="195" spans="7:9" x14ac:dyDescent="0.35">
      <c r="H195" s="141"/>
    </row>
    <row r="196" spans="7:9" x14ac:dyDescent="0.35">
      <c r="H196" s="141"/>
    </row>
    <row r="197" spans="7:9" x14ac:dyDescent="0.35">
      <c r="H197" s="141"/>
    </row>
    <row r="199" spans="7:9" x14ac:dyDescent="0.35">
      <c r="I199" s="307"/>
    </row>
  </sheetData>
  <mergeCells count="3">
    <mergeCell ref="A1:H1"/>
    <mergeCell ref="A2:H2"/>
    <mergeCell ref="A3:H3"/>
  </mergeCells>
  <printOptions horizontalCentered="1"/>
  <pageMargins left="0.7" right="0.7" top="0.75" bottom="0.75" header="0.3" footer="0.3"/>
  <pageSetup scale="60" orientation="landscape" horizontalDpi="1200" verticalDpi="1200" r:id="rId1"/>
  <rowBreaks count="1" manualBreakCount="1">
    <brk id="105"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A80A1-5064-4BAD-8A7C-D43E74F51936}">
  <dimension ref="A1:AO69"/>
  <sheetViews>
    <sheetView view="pageBreakPreview" zoomScale="90" zoomScaleNormal="110" zoomScaleSheetLayoutView="90" workbookViewId="0">
      <pane xSplit="1" ySplit="15" topLeftCell="B16" activePane="bottomRight" state="frozen"/>
      <selection activeCell="B9" sqref="B9"/>
      <selection pane="topRight" activeCell="B9" sqref="B9"/>
      <selection pane="bottomLeft" activeCell="B9" sqref="B9"/>
      <selection pane="bottomRight" activeCell="B16" sqref="B16"/>
    </sheetView>
  </sheetViews>
  <sheetFormatPr defaultColWidth="9" defaultRowHeight="12.45" outlineLevelRow="1" x14ac:dyDescent="0.3"/>
  <cols>
    <col min="1" max="1" width="28.61328125" style="299" customWidth="1"/>
    <col min="2" max="2" width="8" style="299" customWidth="1"/>
    <col min="3" max="3" width="13.69140625" style="299" customWidth="1"/>
    <col min="4" max="4" width="6.4609375" style="299" bestFit="1" customWidth="1"/>
    <col min="5" max="5" width="13.69140625" style="299" customWidth="1"/>
    <col min="6" max="6" width="7.53515625" style="299" bestFit="1" customWidth="1"/>
    <col min="7" max="7" width="13.69140625" style="299" customWidth="1"/>
    <col min="8" max="8" width="7.53515625" style="299" bestFit="1" customWidth="1"/>
    <col min="9" max="9" width="13.69140625" style="299" customWidth="1"/>
    <col min="10" max="10" width="6.4609375" style="299" bestFit="1" customWidth="1"/>
    <col min="11" max="11" width="13.69140625" style="299" customWidth="1"/>
    <col min="12" max="12" width="6.4609375" style="299" bestFit="1" customWidth="1"/>
    <col min="13" max="13" width="13.69140625" style="299" customWidth="1"/>
    <col min="14" max="40" width="14.69140625" style="299" customWidth="1"/>
    <col min="41" max="16384" width="9" style="299"/>
  </cols>
  <sheetData>
    <row r="1" spans="1:40" x14ac:dyDescent="0.3">
      <c r="A1" s="200" t="str">
        <f>Summary!A1</f>
        <v>City of Ansonia</v>
      </c>
      <c r="B1" s="200"/>
      <c r="C1" s="200"/>
      <c r="D1" s="200"/>
      <c r="E1" s="200"/>
      <c r="F1" s="200"/>
      <c r="G1" s="200"/>
      <c r="H1" s="200"/>
    </row>
    <row r="2" spans="1:40" x14ac:dyDescent="0.3">
      <c r="A2" s="200" t="s">
        <v>945</v>
      </c>
      <c r="B2" s="200"/>
      <c r="C2" s="200"/>
      <c r="D2" s="200"/>
      <c r="E2" s="200"/>
      <c r="F2" s="200"/>
      <c r="G2" s="200"/>
      <c r="H2" s="200"/>
    </row>
    <row r="3" spans="1:40" x14ac:dyDescent="0.3">
      <c r="A3" s="200" t="s">
        <v>3225</v>
      </c>
      <c r="B3" s="200"/>
      <c r="C3" s="200"/>
      <c r="D3" s="200"/>
      <c r="E3" s="200"/>
      <c r="F3" s="200"/>
      <c r="G3" s="200"/>
      <c r="H3" s="200"/>
      <c r="O3" s="300"/>
    </row>
    <row r="4" spans="1:40" x14ac:dyDescent="0.3">
      <c r="A4" s="200" t="s">
        <v>3224</v>
      </c>
      <c r="B4" s="200"/>
      <c r="C4" s="200"/>
      <c r="D4" s="200"/>
      <c r="E4" s="200"/>
      <c r="F4" s="200"/>
      <c r="G4" s="200"/>
      <c r="H4" s="200"/>
    </row>
    <row r="5" spans="1:40" x14ac:dyDescent="0.3">
      <c r="A5" s="200"/>
      <c r="B5" s="200"/>
      <c r="C5" s="200"/>
      <c r="D5" s="200"/>
      <c r="E5" s="200"/>
      <c r="F5" s="200"/>
      <c r="G5" s="200"/>
      <c r="H5" s="200"/>
    </row>
    <row r="6" spans="1:40" x14ac:dyDescent="0.3">
      <c r="A6" s="299" t="s">
        <v>946</v>
      </c>
      <c r="G6" s="214"/>
    </row>
    <row r="7" spans="1:40" x14ac:dyDescent="0.3">
      <c r="A7" s="299" t="s">
        <v>947</v>
      </c>
      <c r="B7" s="301">
        <f>'1.1 Recommended Cap Structure'!H10</f>
        <v>7.6819999999999999E-2</v>
      </c>
      <c r="C7" s="301"/>
      <c r="D7" s="301"/>
      <c r="E7" s="301"/>
      <c r="F7" s="301"/>
      <c r="G7" s="857"/>
      <c r="H7" s="301"/>
    </row>
    <row r="8" spans="1:40" x14ac:dyDescent="0.3">
      <c r="A8" s="299" t="s">
        <v>948</v>
      </c>
      <c r="B8" s="201">
        <f>AVERAGE(2.2,2.2)/100</f>
        <v>2.2000000000000002E-2</v>
      </c>
      <c r="C8" s="201"/>
      <c r="D8" s="201"/>
      <c r="E8" s="201"/>
      <c r="F8" s="201"/>
      <c r="G8" s="201"/>
      <c r="H8" s="201"/>
    </row>
    <row r="9" spans="1:40" x14ac:dyDescent="0.3">
      <c r="A9" s="299" t="s">
        <v>3212</v>
      </c>
      <c r="B9" s="201">
        <v>6.1800000000000001E-2</v>
      </c>
      <c r="C9" s="201"/>
      <c r="D9" s="201"/>
      <c r="E9" s="201"/>
      <c r="F9" s="201"/>
      <c r="G9" s="201"/>
      <c r="H9" s="201"/>
    </row>
    <row r="10" spans="1:40" x14ac:dyDescent="0.3">
      <c r="A10" s="299" t="s">
        <v>3213</v>
      </c>
      <c r="B10" s="201">
        <v>0.06</v>
      </c>
      <c r="C10" s="201"/>
      <c r="D10" s="201"/>
      <c r="E10" s="201"/>
      <c r="F10" s="201"/>
      <c r="G10" s="201"/>
      <c r="H10" s="201"/>
    </row>
    <row r="11" spans="1:40" x14ac:dyDescent="0.3">
      <c r="B11" s="201"/>
      <c r="C11" s="201"/>
      <c r="D11" s="201"/>
      <c r="E11" s="201"/>
      <c r="F11" s="201"/>
      <c r="G11" s="201"/>
      <c r="H11" s="201"/>
    </row>
    <row r="12" spans="1:40" x14ac:dyDescent="0.3">
      <c r="B12" s="858"/>
      <c r="C12" s="858"/>
      <c r="D12" s="858"/>
      <c r="E12" s="858"/>
      <c r="F12" s="858"/>
      <c r="G12" s="858"/>
      <c r="H12" s="858"/>
      <c r="I12" s="859"/>
      <c r="J12" s="240"/>
      <c r="K12" s="859"/>
      <c r="L12" s="859"/>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row>
    <row r="13" spans="1:40" x14ac:dyDescent="0.3">
      <c r="C13" s="202" t="s">
        <v>950</v>
      </c>
      <c r="E13" s="202" t="s">
        <v>950</v>
      </c>
      <c r="F13" s="202"/>
      <c r="G13" s="202" t="s">
        <v>950</v>
      </c>
      <c r="I13" s="202" t="s">
        <v>950</v>
      </c>
      <c r="J13" s="202"/>
      <c r="K13" s="202" t="s">
        <v>950</v>
      </c>
      <c r="L13" s="202"/>
      <c r="M13" s="202" t="s">
        <v>951</v>
      </c>
      <c r="N13" s="202" t="s">
        <v>951</v>
      </c>
      <c r="O13" s="202" t="s">
        <v>951</v>
      </c>
      <c r="P13" s="202" t="s">
        <v>951</v>
      </c>
      <c r="Q13" s="202" t="s">
        <v>951</v>
      </c>
      <c r="R13" s="202" t="s">
        <v>951</v>
      </c>
      <c r="S13" s="202" t="s">
        <v>951</v>
      </c>
      <c r="T13" s="202" t="s">
        <v>951</v>
      </c>
      <c r="U13" s="202" t="s">
        <v>951</v>
      </c>
      <c r="V13" s="202" t="s">
        <v>951</v>
      </c>
      <c r="W13" s="202" t="s">
        <v>951</v>
      </c>
      <c r="X13" s="202" t="s">
        <v>951</v>
      </c>
      <c r="Y13" s="202" t="s">
        <v>951</v>
      </c>
      <c r="Z13" s="202" t="s">
        <v>951</v>
      </c>
      <c r="AA13" s="202" t="s">
        <v>951</v>
      </c>
      <c r="AB13" s="202" t="s">
        <v>951</v>
      </c>
      <c r="AC13" s="202" t="s">
        <v>951</v>
      </c>
      <c r="AD13" s="202" t="s">
        <v>951</v>
      </c>
      <c r="AE13" s="202" t="s">
        <v>951</v>
      </c>
      <c r="AF13" s="202" t="s">
        <v>951</v>
      </c>
      <c r="AG13" s="202" t="s">
        <v>951</v>
      </c>
      <c r="AH13" s="202" t="s">
        <v>951</v>
      </c>
      <c r="AI13" s="202" t="s">
        <v>951</v>
      </c>
      <c r="AJ13" s="202" t="s">
        <v>951</v>
      </c>
      <c r="AK13" s="202" t="s">
        <v>951</v>
      </c>
      <c r="AL13" s="202" t="s">
        <v>951</v>
      </c>
      <c r="AM13" s="202" t="s">
        <v>951</v>
      </c>
      <c r="AN13" s="202" t="s">
        <v>951</v>
      </c>
    </row>
    <row r="14" spans="1:40" x14ac:dyDescent="0.3">
      <c r="A14" s="200"/>
      <c r="B14" s="200"/>
      <c r="C14" s="302">
        <v>2018</v>
      </c>
      <c r="D14" s="200"/>
      <c r="E14" s="302">
        <v>2019</v>
      </c>
      <c r="F14" s="302"/>
      <c r="G14" s="302">
        <v>2020</v>
      </c>
      <c r="H14" s="200"/>
      <c r="I14" s="302">
        <v>2021</v>
      </c>
      <c r="J14" s="302"/>
      <c r="K14" s="302">
        <f>I14+1</f>
        <v>2022</v>
      </c>
      <c r="L14" s="302"/>
      <c r="M14" s="302">
        <f>K14+1</f>
        <v>2023</v>
      </c>
      <c r="N14" s="302">
        <f t="shared" ref="N14:AM14" si="0">M14+1</f>
        <v>2024</v>
      </c>
      <c r="O14" s="302">
        <f t="shared" si="0"/>
        <v>2025</v>
      </c>
      <c r="P14" s="302">
        <f t="shared" si="0"/>
        <v>2026</v>
      </c>
      <c r="Q14" s="302">
        <f t="shared" si="0"/>
        <v>2027</v>
      </c>
      <c r="R14" s="302">
        <f t="shared" si="0"/>
        <v>2028</v>
      </c>
      <c r="S14" s="302">
        <f t="shared" si="0"/>
        <v>2029</v>
      </c>
      <c r="T14" s="302">
        <f t="shared" si="0"/>
        <v>2030</v>
      </c>
      <c r="U14" s="302">
        <f t="shared" si="0"/>
        <v>2031</v>
      </c>
      <c r="V14" s="302">
        <f t="shared" si="0"/>
        <v>2032</v>
      </c>
      <c r="W14" s="302">
        <f t="shared" si="0"/>
        <v>2033</v>
      </c>
      <c r="X14" s="302">
        <f t="shared" si="0"/>
        <v>2034</v>
      </c>
      <c r="Y14" s="302">
        <f t="shared" si="0"/>
        <v>2035</v>
      </c>
      <c r="Z14" s="302">
        <f t="shared" si="0"/>
        <v>2036</v>
      </c>
      <c r="AA14" s="302">
        <f t="shared" si="0"/>
        <v>2037</v>
      </c>
      <c r="AB14" s="302">
        <f t="shared" si="0"/>
        <v>2038</v>
      </c>
      <c r="AC14" s="302">
        <f t="shared" si="0"/>
        <v>2039</v>
      </c>
      <c r="AD14" s="302">
        <f t="shared" si="0"/>
        <v>2040</v>
      </c>
      <c r="AE14" s="302">
        <f t="shared" si="0"/>
        <v>2041</v>
      </c>
      <c r="AF14" s="302">
        <f t="shared" si="0"/>
        <v>2042</v>
      </c>
      <c r="AG14" s="302">
        <f t="shared" si="0"/>
        <v>2043</v>
      </c>
      <c r="AH14" s="302">
        <f t="shared" si="0"/>
        <v>2044</v>
      </c>
      <c r="AI14" s="302">
        <f t="shared" si="0"/>
        <v>2045</v>
      </c>
      <c r="AJ14" s="302">
        <f t="shared" si="0"/>
        <v>2046</v>
      </c>
      <c r="AK14" s="302">
        <f t="shared" si="0"/>
        <v>2047</v>
      </c>
      <c r="AL14" s="302">
        <f t="shared" si="0"/>
        <v>2048</v>
      </c>
      <c r="AM14" s="302">
        <f t="shared" si="0"/>
        <v>2049</v>
      </c>
      <c r="AN14" s="302" t="s">
        <v>952</v>
      </c>
    </row>
    <row r="15" spans="1:40" s="302" customFormat="1" x14ac:dyDescent="0.3">
      <c r="M15" s="302" t="s">
        <v>949</v>
      </c>
      <c r="N15" s="302" t="s">
        <v>949</v>
      </c>
      <c r="O15" s="302" t="s">
        <v>949</v>
      </c>
      <c r="P15" s="302" t="s">
        <v>949</v>
      </c>
      <c r="Q15" s="302" t="s">
        <v>949</v>
      </c>
      <c r="R15" s="302" t="s">
        <v>949</v>
      </c>
      <c r="S15" s="302" t="s">
        <v>949</v>
      </c>
      <c r="T15" s="302" t="s">
        <v>949</v>
      </c>
      <c r="U15" s="302" t="s">
        <v>949</v>
      </c>
      <c r="V15" s="302" t="s">
        <v>949</v>
      </c>
      <c r="W15" s="302" t="s">
        <v>949</v>
      </c>
      <c r="X15" s="302" t="s">
        <v>949</v>
      </c>
      <c r="Y15" s="302" t="s">
        <v>949</v>
      </c>
      <c r="Z15" s="302" t="s">
        <v>949</v>
      </c>
      <c r="AA15" s="302" t="s">
        <v>949</v>
      </c>
      <c r="AB15" s="302" t="s">
        <v>949</v>
      </c>
      <c r="AC15" s="302" t="s">
        <v>949</v>
      </c>
      <c r="AD15" s="302" t="s">
        <v>949</v>
      </c>
      <c r="AE15" s="302" t="s">
        <v>949</v>
      </c>
      <c r="AF15" s="302" t="s">
        <v>949</v>
      </c>
      <c r="AG15" s="302" t="s">
        <v>949</v>
      </c>
      <c r="AH15" s="302" t="s">
        <v>949</v>
      </c>
      <c r="AI15" s="302" t="s">
        <v>949</v>
      </c>
      <c r="AJ15" s="302" t="s">
        <v>949</v>
      </c>
      <c r="AK15" s="302" t="s">
        <v>949</v>
      </c>
      <c r="AL15" s="302" t="s">
        <v>949</v>
      </c>
      <c r="AM15" s="302" t="s">
        <v>949</v>
      </c>
      <c r="AN15" s="302" t="s">
        <v>949</v>
      </c>
    </row>
    <row r="16" spans="1:40" x14ac:dyDescent="0.3">
      <c r="A16" s="299" t="s">
        <v>953</v>
      </c>
    </row>
    <row r="17" spans="1:41" ht="12.9" x14ac:dyDescent="0.35">
      <c r="A17" s="860" t="str">
        <f>'WP Income Common Size'!A8</f>
        <v>Charges for Services</v>
      </c>
      <c r="C17" s="203">
        <f>'WP Income Common Size'!C8</f>
        <v>1742428</v>
      </c>
      <c r="D17" s="204"/>
      <c r="E17" s="203">
        <f>'WP Income Common Size'!E8</f>
        <v>1697876</v>
      </c>
      <c r="F17" s="204"/>
      <c r="G17" s="203">
        <f>'WP Income Common Size'!G8</f>
        <v>1624216</v>
      </c>
      <c r="H17" s="204"/>
      <c r="I17" s="203">
        <f>'WP Income Common Size'!I8</f>
        <v>2069545</v>
      </c>
      <c r="J17" s="204"/>
      <c r="K17" s="203">
        <f>'WP Income Common Size'!K8</f>
        <v>2295656</v>
      </c>
      <c r="L17" s="204"/>
      <c r="M17" s="203">
        <f>K17*(1+$B$9)</f>
        <v>2437527.5408000001</v>
      </c>
      <c r="N17" s="203">
        <f>M17*(1+$B$10)</f>
        <v>2583779.193248</v>
      </c>
      <c r="O17" s="203">
        <f t="shared" ref="O17:AN17" si="1">N17*(1+$B$10)</f>
        <v>2738805.9448428801</v>
      </c>
      <c r="P17" s="203">
        <f t="shared" si="1"/>
        <v>2903134.3015334532</v>
      </c>
      <c r="Q17" s="203">
        <f t="shared" si="1"/>
        <v>3077322.3596254606</v>
      </c>
      <c r="R17" s="203">
        <f t="shared" si="1"/>
        <v>3261961.7012029882</v>
      </c>
      <c r="S17" s="203">
        <f t="shared" si="1"/>
        <v>3457679.4032751676</v>
      </c>
      <c r="T17" s="203">
        <f t="shared" si="1"/>
        <v>3665140.167471678</v>
      </c>
      <c r="U17" s="203">
        <f t="shared" si="1"/>
        <v>3885048.5775199789</v>
      </c>
      <c r="V17" s="203">
        <f t="shared" si="1"/>
        <v>4118151.4921711776</v>
      </c>
      <c r="W17" s="203">
        <f t="shared" si="1"/>
        <v>4365240.5817014482</v>
      </c>
      <c r="X17" s="203">
        <f t="shared" si="1"/>
        <v>4627155.016603535</v>
      </c>
      <c r="Y17" s="203">
        <f t="shared" si="1"/>
        <v>4904784.3175997473</v>
      </c>
      <c r="Z17" s="203">
        <f t="shared" si="1"/>
        <v>5199071.3766557323</v>
      </c>
      <c r="AA17" s="203">
        <f t="shared" si="1"/>
        <v>5511015.6592550762</v>
      </c>
      <c r="AB17" s="203">
        <f t="shared" si="1"/>
        <v>5841676.5988103813</v>
      </c>
      <c r="AC17" s="203">
        <f t="shared" si="1"/>
        <v>6192177.1947390046</v>
      </c>
      <c r="AD17" s="203">
        <f t="shared" si="1"/>
        <v>6563707.8264233451</v>
      </c>
      <c r="AE17" s="203">
        <f t="shared" si="1"/>
        <v>6957530.2960087461</v>
      </c>
      <c r="AF17" s="203">
        <f t="shared" si="1"/>
        <v>7374982.1137692714</v>
      </c>
      <c r="AG17" s="203">
        <f t="shared" si="1"/>
        <v>7817481.0405954281</v>
      </c>
      <c r="AH17" s="203">
        <f t="shared" si="1"/>
        <v>8286529.9030311545</v>
      </c>
      <c r="AI17" s="203">
        <f t="shared" si="1"/>
        <v>8783721.6972130239</v>
      </c>
      <c r="AJ17" s="203">
        <f t="shared" si="1"/>
        <v>9310744.999045806</v>
      </c>
      <c r="AK17" s="203">
        <f t="shared" si="1"/>
        <v>9869389.698988555</v>
      </c>
      <c r="AL17" s="203">
        <f t="shared" si="1"/>
        <v>10461553.080927869</v>
      </c>
      <c r="AM17" s="203">
        <f t="shared" si="1"/>
        <v>11089246.265783543</v>
      </c>
      <c r="AN17" s="203">
        <f t="shared" si="1"/>
        <v>11754601.041730557</v>
      </c>
    </row>
    <row r="18" spans="1:41" x14ac:dyDescent="0.3">
      <c r="J18" s="203"/>
      <c r="L18" s="203"/>
      <c r="M18" s="203"/>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row>
    <row r="19" spans="1:41" x14ac:dyDescent="0.3">
      <c r="A19" s="299" t="s">
        <v>954</v>
      </c>
      <c r="C19" s="203">
        <f>SUM(C17:C17)</f>
        <v>1742428</v>
      </c>
      <c r="E19" s="203">
        <f>SUM(E17:E17)</f>
        <v>1697876</v>
      </c>
      <c r="G19" s="203">
        <f>SUM(G17:G17)</f>
        <v>1624216</v>
      </c>
      <c r="I19" s="203">
        <f>SUM(I17:I17)</f>
        <v>2069545</v>
      </c>
      <c r="J19" s="203"/>
      <c r="K19" s="203">
        <f>SUM(K17:K17)</f>
        <v>2295656</v>
      </c>
      <c r="L19" s="203"/>
      <c r="M19" s="203">
        <f t="shared" ref="M19:AN19" si="2">SUM(M17:M17)</f>
        <v>2437527.5408000001</v>
      </c>
      <c r="N19" s="203">
        <f t="shared" si="2"/>
        <v>2583779.193248</v>
      </c>
      <c r="O19" s="203">
        <f t="shared" si="2"/>
        <v>2738805.9448428801</v>
      </c>
      <c r="P19" s="203">
        <f t="shared" si="2"/>
        <v>2903134.3015334532</v>
      </c>
      <c r="Q19" s="203">
        <f t="shared" si="2"/>
        <v>3077322.3596254606</v>
      </c>
      <c r="R19" s="203">
        <f t="shared" si="2"/>
        <v>3261961.7012029882</v>
      </c>
      <c r="S19" s="203">
        <f t="shared" si="2"/>
        <v>3457679.4032751676</v>
      </c>
      <c r="T19" s="203">
        <f t="shared" si="2"/>
        <v>3665140.167471678</v>
      </c>
      <c r="U19" s="203">
        <f t="shared" si="2"/>
        <v>3885048.5775199789</v>
      </c>
      <c r="V19" s="203">
        <f t="shared" si="2"/>
        <v>4118151.4921711776</v>
      </c>
      <c r="W19" s="203">
        <f t="shared" si="2"/>
        <v>4365240.5817014482</v>
      </c>
      <c r="X19" s="203">
        <f t="shared" si="2"/>
        <v>4627155.016603535</v>
      </c>
      <c r="Y19" s="203">
        <f t="shared" si="2"/>
        <v>4904784.3175997473</v>
      </c>
      <c r="Z19" s="203">
        <f t="shared" si="2"/>
        <v>5199071.3766557323</v>
      </c>
      <c r="AA19" s="203">
        <f t="shared" si="2"/>
        <v>5511015.6592550762</v>
      </c>
      <c r="AB19" s="203">
        <f t="shared" si="2"/>
        <v>5841676.5988103813</v>
      </c>
      <c r="AC19" s="203">
        <f t="shared" si="2"/>
        <v>6192177.1947390046</v>
      </c>
      <c r="AD19" s="203">
        <f t="shared" si="2"/>
        <v>6563707.8264233451</v>
      </c>
      <c r="AE19" s="203">
        <f t="shared" si="2"/>
        <v>6957530.2960087461</v>
      </c>
      <c r="AF19" s="203">
        <f t="shared" si="2"/>
        <v>7374982.1137692714</v>
      </c>
      <c r="AG19" s="203">
        <f t="shared" si="2"/>
        <v>7817481.0405954281</v>
      </c>
      <c r="AH19" s="203">
        <f t="shared" si="2"/>
        <v>8286529.9030311545</v>
      </c>
      <c r="AI19" s="203">
        <f t="shared" si="2"/>
        <v>8783721.6972130239</v>
      </c>
      <c r="AJ19" s="203">
        <f t="shared" si="2"/>
        <v>9310744.999045806</v>
      </c>
      <c r="AK19" s="203">
        <f t="shared" si="2"/>
        <v>9869389.698988555</v>
      </c>
      <c r="AL19" s="203">
        <f t="shared" si="2"/>
        <v>10461553.080927869</v>
      </c>
      <c r="AM19" s="203">
        <f t="shared" si="2"/>
        <v>11089246.265783543</v>
      </c>
      <c r="AN19" s="203">
        <f t="shared" si="2"/>
        <v>11754601.041730557</v>
      </c>
      <c r="AO19" s="203"/>
    </row>
    <row r="20" spans="1:41" x14ac:dyDescent="0.3">
      <c r="J20" s="203"/>
      <c r="L20" s="203"/>
      <c r="M20" s="203"/>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row>
    <row r="21" spans="1:41" x14ac:dyDescent="0.3">
      <c r="A21" s="299" t="s">
        <v>955</v>
      </c>
      <c r="J21" s="203"/>
      <c r="L21" s="203"/>
      <c r="M21" s="203"/>
      <c r="N21" s="203"/>
      <c r="O21" s="203"/>
      <c r="P21" s="203"/>
      <c r="Q21" s="203"/>
      <c r="R21" s="203"/>
      <c r="S21" s="203"/>
      <c r="T21" s="203"/>
      <c r="U21" s="203"/>
      <c r="V21" s="203"/>
      <c r="W21" s="203"/>
      <c r="X21" s="203"/>
      <c r="Y21" s="203"/>
      <c r="Z21" s="203"/>
      <c r="AA21" s="203"/>
      <c r="AB21" s="203"/>
      <c r="AC21" s="203"/>
      <c r="AD21" s="203"/>
      <c r="AE21" s="203"/>
      <c r="AF21" s="203"/>
      <c r="AG21" s="203"/>
      <c r="AH21" s="203"/>
      <c r="AI21" s="203"/>
      <c r="AJ21" s="203"/>
      <c r="AK21" s="203"/>
      <c r="AL21" s="203"/>
      <c r="AM21" s="203"/>
      <c r="AN21" s="203"/>
      <c r="AO21" s="203"/>
    </row>
    <row r="22" spans="1:41" ht="12.9" x14ac:dyDescent="0.35">
      <c r="A22" s="861" t="str">
        <f>'WP Income Common Size'!A15</f>
        <v>Salaries, benefits and claims</v>
      </c>
      <c r="C22" s="203">
        <f>'WP Income Common Size'!C15</f>
        <v>695743</v>
      </c>
      <c r="D22" s="204">
        <f>C22/C$28</f>
        <v>0.41532952991327987</v>
      </c>
      <c r="E22" s="203">
        <f>'WP Income Common Size'!E15</f>
        <v>732226</v>
      </c>
      <c r="F22" s="204">
        <f>E22/E$28</f>
        <v>0.25287496050048264</v>
      </c>
      <c r="G22" s="203">
        <f>'WP Income Common Size'!G15</f>
        <v>756649</v>
      </c>
      <c r="H22" s="204">
        <f>G22/G$28</f>
        <v>0.39392286046735614</v>
      </c>
      <c r="I22" s="203">
        <f>'WP Income Common Size'!I15</f>
        <v>786725</v>
      </c>
      <c r="J22" s="204">
        <f>I22/I$28</f>
        <v>0.40075727320518201</v>
      </c>
      <c r="K22" s="203">
        <f>'WP Income Common Size'!K15</f>
        <v>629059</v>
      </c>
      <c r="L22" s="204">
        <f>K22/K$28</f>
        <v>0.34764801425388969</v>
      </c>
      <c r="M22" s="203">
        <f>K22*(1+$B$8)</f>
        <v>642898.29800000007</v>
      </c>
      <c r="N22" s="203">
        <v>710000</v>
      </c>
      <c r="O22" s="203">
        <f t="shared" ref="O22:AN26" si="3">N22*(1+$B$8)</f>
        <v>725620</v>
      </c>
      <c r="P22" s="203">
        <f t="shared" si="3"/>
        <v>741583.64</v>
      </c>
      <c r="Q22" s="203">
        <f t="shared" si="3"/>
        <v>757898.48008000001</v>
      </c>
      <c r="R22" s="203">
        <f t="shared" si="3"/>
        <v>774572.24664175999</v>
      </c>
      <c r="S22" s="203">
        <f t="shared" si="3"/>
        <v>791612.83606787876</v>
      </c>
      <c r="T22" s="203">
        <f t="shared" si="3"/>
        <v>809028.31846137205</v>
      </c>
      <c r="U22" s="203">
        <f t="shared" si="3"/>
        <v>826826.94146752229</v>
      </c>
      <c r="V22" s="203">
        <f t="shared" si="3"/>
        <v>845017.13417980785</v>
      </c>
      <c r="W22" s="203">
        <f t="shared" si="3"/>
        <v>863607.51113176369</v>
      </c>
      <c r="X22" s="203">
        <f t="shared" si="3"/>
        <v>882606.87637666252</v>
      </c>
      <c r="Y22" s="203">
        <f t="shared" si="3"/>
        <v>902024.22765694908</v>
      </c>
      <c r="Z22" s="203">
        <f t="shared" si="3"/>
        <v>921868.76066540193</v>
      </c>
      <c r="AA22" s="203">
        <f t="shared" si="3"/>
        <v>942149.87340004079</v>
      </c>
      <c r="AB22" s="203">
        <f t="shared" si="3"/>
        <v>962877.17061484174</v>
      </c>
      <c r="AC22" s="203">
        <f t="shared" si="3"/>
        <v>984060.46836836822</v>
      </c>
      <c r="AD22" s="203">
        <f t="shared" si="3"/>
        <v>1005709.7986724724</v>
      </c>
      <c r="AE22" s="203">
        <f t="shared" si="3"/>
        <v>1027835.4142432668</v>
      </c>
      <c r="AF22" s="203">
        <f t="shared" si="3"/>
        <v>1050447.7933566186</v>
      </c>
      <c r="AG22" s="203">
        <f t="shared" si="3"/>
        <v>1073557.6448104642</v>
      </c>
      <c r="AH22" s="203">
        <f t="shared" si="3"/>
        <v>1097175.9129962944</v>
      </c>
      <c r="AI22" s="203">
        <f t="shared" si="3"/>
        <v>1121313.783082213</v>
      </c>
      <c r="AJ22" s="203">
        <f t="shared" si="3"/>
        <v>1145982.6863100217</v>
      </c>
      <c r="AK22" s="203">
        <f t="shared" si="3"/>
        <v>1171194.3054088422</v>
      </c>
      <c r="AL22" s="203">
        <f t="shared" si="3"/>
        <v>1196960.5801278367</v>
      </c>
      <c r="AM22" s="203">
        <f t="shared" si="3"/>
        <v>1223293.7128906492</v>
      </c>
      <c r="AN22" s="203">
        <f t="shared" si="3"/>
        <v>1250206.1745742436</v>
      </c>
      <c r="AO22" s="203"/>
    </row>
    <row r="23" spans="1:41" ht="12.9" x14ac:dyDescent="0.35">
      <c r="A23" s="861" t="str">
        <f>'WP Income Common Size'!A16</f>
        <v>Materials and supplies</v>
      </c>
      <c r="C23" s="242">
        <f>'WP Income Common Size'!C16</f>
        <v>340884</v>
      </c>
      <c r="D23" s="204">
        <f t="shared" ref="D23:F26" si="4">C23/C$28</f>
        <v>0.20349351912266239</v>
      </c>
      <c r="E23" s="242">
        <f>'WP Income Common Size'!E16</f>
        <v>1330026</v>
      </c>
      <c r="F23" s="204">
        <f t="shared" si="4"/>
        <v>0.4593257712982261</v>
      </c>
      <c r="G23" s="242">
        <f>'WP Income Common Size'!G16</f>
        <v>444588</v>
      </c>
      <c r="H23" s="204">
        <f>G23/G$28</f>
        <v>0.23145920590585717</v>
      </c>
      <c r="I23" s="242">
        <f>'WP Income Common Size'!I16</f>
        <v>441269</v>
      </c>
      <c r="J23" s="204">
        <f>I23/I$28</f>
        <v>0.22478218080012388</v>
      </c>
      <c r="K23" s="242">
        <f>'WP Income Common Size'!K16</f>
        <v>445012</v>
      </c>
      <c r="L23" s="204">
        <f>K23/K$28</f>
        <v>0.24593486162530376</v>
      </c>
      <c r="M23" s="242">
        <f t="shared" ref="M23:M26" si="5">K23*(1+$B$8)</f>
        <v>454802.26400000002</v>
      </c>
      <c r="N23" s="242">
        <f>M23*(1+$B$8)</f>
        <v>464807.91380800004</v>
      </c>
      <c r="O23" s="242">
        <f t="shared" si="3"/>
        <v>475033.68791177607</v>
      </c>
      <c r="P23" s="242">
        <f t="shared" si="3"/>
        <v>485484.42904583516</v>
      </c>
      <c r="Q23" s="242">
        <f t="shared" si="3"/>
        <v>496165.08648484352</v>
      </c>
      <c r="R23" s="242">
        <f t="shared" si="3"/>
        <v>507080.7183875101</v>
      </c>
      <c r="S23" s="242">
        <f t="shared" si="3"/>
        <v>518236.49419203534</v>
      </c>
      <c r="T23" s="242">
        <f t="shared" si="3"/>
        <v>529637.69706426014</v>
      </c>
      <c r="U23" s="242">
        <f t="shared" si="3"/>
        <v>541289.72639967385</v>
      </c>
      <c r="V23" s="242">
        <f t="shared" si="3"/>
        <v>553198.10038046667</v>
      </c>
      <c r="W23" s="242">
        <f t="shared" si="3"/>
        <v>565368.45858883695</v>
      </c>
      <c r="X23" s="242">
        <f t="shared" si="3"/>
        <v>577806.56467779132</v>
      </c>
      <c r="Y23" s="242">
        <f t="shared" si="3"/>
        <v>590518.30910070275</v>
      </c>
      <c r="Z23" s="242">
        <f t="shared" si="3"/>
        <v>603509.71190091828</v>
      </c>
      <c r="AA23" s="242">
        <f t="shared" si="3"/>
        <v>616786.92556273844</v>
      </c>
      <c r="AB23" s="242">
        <f t="shared" si="3"/>
        <v>630356.23792511865</v>
      </c>
      <c r="AC23" s="242">
        <f t="shared" si="3"/>
        <v>644224.07515947125</v>
      </c>
      <c r="AD23" s="242">
        <f t="shared" si="3"/>
        <v>658397.00481297961</v>
      </c>
      <c r="AE23" s="242">
        <f t="shared" si="3"/>
        <v>672881.73891886522</v>
      </c>
      <c r="AF23" s="242">
        <f t="shared" si="3"/>
        <v>687685.13717508025</v>
      </c>
      <c r="AG23" s="242">
        <f t="shared" si="3"/>
        <v>702814.21019293205</v>
      </c>
      <c r="AH23" s="242">
        <f t="shared" si="3"/>
        <v>718276.12281717651</v>
      </c>
      <c r="AI23" s="242">
        <f t="shared" si="3"/>
        <v>734078.1975191544</v>
      </c>
      <c r="AJ23" s="242">
        <f t="shared" si="3"/>
        <v>750227.91786457587</v>
      </c>
      <c r="AK23" s="242">
        <f t="shared" si="3"/>
        <v>766732.93205759651</v>
      </c>
      <c r="AL23" s="242">
        <f t="shared" si="3"/>
        <v>783601.05656286364</v>
      </c>
      <c r="AM23" s="242">
        <f t="shared" si="3"/>
        <v>800840.27980724664</v>
      </c>
      <c r="AN23" s="242">
        <f t="shared" si="3"/>
        <v>818458.76596300607</v>
      </c>
      <c r="AO23" s="203"/>
    </row>
    <row r="24" spans="1:41" ht="12.9" x14ac:dyDescent="0.35">
      <c r="A24" s="861" t="str">
        <f>'WP Income Common Size'!A17</f>
        <v>Utilities</v>
      </c>
      <c r="C24" s="242">
        <f>'WP Income Common Size'!C17</f>
        <v>413448</v>
      </c>
      <c r="D24" s="204">
        <f t="shared" si="4"/>
        <v>0.24681119822058681</v>
      </c>
      <c r="E24" s="242">
        <f>'WP Income Common Size'!E17</f>
        <v>401732</v>
      </c>
      <c r="F24" s="204">
        <f t="shared" si="4"/>
        <v>0.13873853650618784</v>
      </c>
      <c r="G24" s="242">
        <f>'WP Income Common Size'!G17</f>
        <v>427790</v>
      </c>
      <c r="H24" s="204">
        <f>G24/G$28</f>
        <v>0.22271391421825745</v>
      </c>
      <c r="I24" s="242">
        <f>'WP Income Common Size'!I17</f>
        <v>451716</v>
      </c>
      <c r="J24" s="204">
        <f>I24/I$28</f>
        <v>0.23010387673348628</v>
      </c>
      <c r="K24" s="242">
        <f>'WP Income Common Size'!K17</f>
        <v>421944</v>
      </c>
      <c r="L24" s="204">
        <f>K24/K$28</f>
        <v>0.23318638430789992</v>
      </c>
      <c r="M24" s="242">
        <f t="shared" si="5"/>
        <v>431226.76799999998</v>
      </c>
      <c r="N24" s="242">
        <f t="shared" ref="N24:AC26" si="6">M24*(1+$B$8)</f>
        <v>440713.75689600001</v>
      </c>
      <c r="O24" s="242">
        <f t="shared" si="6"/>
        <v>450409.459547712</v>
      </c>
      <c r="P24" s="242">
        <f t="shared" si="6"/>
        <v>460318.46765776165</v>
      </c>
      <c r="Q24" s="242">
        <f t="shared" si="6"/>
        <v>470445.47394623241</v>
      </c>
      <c r="R24" s="242">
        <f t="shared" si="6"/>
        <v>480795.27437304956</v>
      </c>
      <c r="S24" s="242">
        <f t="shared" si="6"/>
        <v>491372.77040925663</v>
      </c>
      <c r="T24" s="242">
        <f t="shared" si="6"/>
        <v>502182.97135826026</v>
      </c>
      <c r="U24" s="242">
        <f t="shared" si="6"/>
        <v>513230.99672814197</v>
      </c>
      <c r="V24" s="242">
        <f t="shared" si="6"/>
        <v>524522.07865616109</v>
      </c>
      <c r="W24" s="242">
        <f t="shared" si="6"/>
        <v>536061.56438659667</v>
      </c>
      <c r="X24" s="242">
        <f t="shared" si="6"/>
        <v>547854.91880310175</v>
      </c>
      <c r="Y24" s="242">
        <f t="shared" si="6"/>
        <v>559907.72701677005</v>
      </c>
      <c r="Z24" s="242">
        <f t="shared" si="6"/>
        <v>572225.69701113901</v>
      </c>
      <c r="AA24" s="242">
        <f t="shared" si="6"/>
        <v>584814.66234538413</v>
      </c>
      <c r="AB24" s="242">
        <f t="shared" si="6"/>
        <v>597680.58491698257</v>
      </c>
      <c r="AC24" s="242">
        <f t="shared" si="6"/>
        <v>610829.55778515618</v>
      </c>
      <c r="AD24" s="242">
        <f t="shared" si="3"/>
        <v>624267.80805642961</v>
      </c>
      <c r="AE24" s="242">
        <f t="shared" si="3"/>
        <v>638001.6998336711</v>
      </c>
      <c r="AF24" s="242">
        <f t="shared" si="3"/>
        <v>652037.73723001184</v>
      </c>
      <c r="AG24" s="242">
        <f t="shared" si="3"/>
        <v>666382.56744907214</v>
      </c>
      <c r="AH24" s="242">
        <f t="shared" si="3"/>
        <v>681042.9839329517</v>
      </c>
      <c r="AI24" s="242">
        <f t="shared" si="3"/>
        <v>696025.92957947659</v>
      </c>
      <c r="AJ24" s="242">
        <f t="shared" si="3"/>
        <v>711338.50003022514</v>
      </c>
      <c r="AK24" s="242">
        <f t="shared" si="3"/>
        <v>726987.94703089015</v>
      </c>
      <c r="AL24" s="242">
        <f t="shared" si="3"/>
        <v>742981.68186556979</v>
      </c>
      <c r="AM24" s="242">
        <f t="shared" si="3"/>
        <v>759327.27886661235</v>
      </c>
      <c r="AN24" s="242">
        <f t="shared" si="3"/>
        <v>776032.47900167783</v>
      </c>
      <c r="AO24" s="203"/>
    </row>
    <row r="25" spans="1:41" ht="12.9" x14ac:dyDescent="0.35">
      <c r="A25" s="861" t="str">
        <f>'WP Income Common Size'!A18</f>
        <v>Professional and consulting</v>
      </c>
      <c r="C25" s="242">
        <f>'WP Income Common Size'!C18</f>
        <v>45966</v>
      </c>
      <c r="D25" s="204">
        <f t="shared" si="4"/>
        <v>2.7439783328030355E-2</v>
      </c>
      <c r="E25" s="242">
        <f>'WP Income Common Size'!E18</f>
        <v>230096</v>
      </c>
      <c r="F25" s="204">
        <f t="shared" si="4"/>
        <v>7.9463877151752391E-2</v>
      </c>
      <c r="G25" s="242">
        <f>'WP Income Common Size'!G18</f>
        <v>76500</v>
      </c>
      <c r="H25" s="204">
        <f>G25/G$28</f>
        <v>3.9827051678853399E-2</v>
      </c>
      <c r="I25" s="242">
        <f>'WP Income Common Size'!I18</f>
        <v>43802</v>
      </c>
      <c r="J25" s="204">
        <f>I25/I$28</f>
        <v>2.2312714202463863E-2</v>
      </c>
      <c r="K25" s="242">
        <f>'WP Income Common Size'!K18</f>
        <v>54632</v>
      </c>
      <c r="L25" s="204">
        <f>K25/K$28</f>
        <v>3.0192249558019996E-2</v>
      </c>
      <c r="M25" s="242">
        <f t="shared" si="5"/>
        <v>55833.904000000002</v>
      </c>
      <c r="N25" s="242">
        <f t="shared" si="6"/>
        <v>57062.249888000006</v>
      </c>
      <c r="O25" s="242">
        <f t="shared" si="3"/>
        <v>58317.619385536003</v>
      </c>
      <c r="P25" s="242">
        <f t="shared" si="3"/>
        <v>59600.607012017797</v>
      </c>
      <c r="Q25" s="242">
        <f t="shared" si="3"/>
        <v>60911.820366282191</v>
      </c>
      <c r="R25" s="242">
        <f t="shared" si="3"/>
        <v>62251.880414340398</v>
      </c>
      <c r="S25" s="242">
        <f t="shared" si="3"/>
        <v>63621.421783455888</v>
      </c>
      <c r="T25" s="242">
        <f t="shared" si="3"/>
        <v>65021.093062691922</v>
      </c>
      <c r="U25" s="242">
        <f t="shared" si="3"/>
        <v>66451.557110071139</v>
      </c>
      <c r="V25" s="242">
        <f t="shared" si="3"/>
        <v>67913.491366492701</v>
      </c>
      <c r="W25" s="242">
        <f t="shared" si="3"/>
        <v>69407.588176555539</v>
      </c>
      <c r="X25" s="242">
        <f t="shared" si="3"/>
        <v>70934.555116439762</v>
      </c>
      <c r="Y25" s="242">
        <f t="shared" si="3"/>
        <v>72495.115329001434</v>
      </c>
      <c r="Z25" s="242">
        <f t="shared" si="3"/>
        <v>74090.007866239466</v>
      </c>
      <c r="AA25" s="242">
        <f t="shared" si="3"/>
        <v>75719.988039296732</v>
      </c>
      <c r="AB25" s="242">
        <f t="shared" si="3"/>
        <v>77385.827776161255</v>
      </c>
      <c r="AC25" s="242">
        <f t="shared" si="3"/>
        <v>79088.315987236798</v>
      </c>
      <c r="AD25" s="242">
        <f t="shared" si="3"/>
        <v>80828.258938956002</v>
      </c>
      <c r="AE25" s="242">
        <f t="shared" si="3"/>
        <v>82606.480635613028</v>
      </c>
      <c r="AF25" s="242">
        <f t="shared" si="3"/>
        <v>84423.823209596521</v>
      </c>
      <c r="AG25" s="242">
        <f t="shared" si="3"/>
        <v>86281.147320207645</v>
      </c>
      <c r="AH25" s="242">
        <f t="shared" si="3"/>
        <v>88179.332561252217</v>
      </c>
      <c r="AI25" s="242">
        <f t="shared" si="3"/>
        <v>90119.277877599772</v>
      </c>
      <c r="AJ25" s="242">
        <f t="shared" si="3"/>
        <v>92101.901990906976</v>
      </c>
      <c r="AK25" s="242">
        <f t="shared" si="3"/>
        <v>94128.143834706934</v>
      </c>
      <c r="AL25" s="242">
        <f t="shared" si="3"/>
        <v>96198.962999070485</v>
      </c>
      <c r="AM25" s="242">
        <f t="shared" si="3"/>
        <v>98315.340185050038</v>
      </c>
      <c r="AN25" s="242">
        <f t="shared" si="3"/>
        <v>100478.27766912115</v>
      </c>
      <c r="AO25" s="203"/>
    </row>
    <row r="26" spans="1:41" ht="12.9" x14ac:dyDescent="0.35">
      <c r="A26" s="861" t="str">
        <f>'WP Income Common Size'!A19</f>
        <v>Administration and operation</v>
      </c>
      <c r="C26" s="242">
        <f>'WP Income Common Size'!C19</f>
        <v>179118</v>
      </c>
      <c r="D26" s="204">
        <f t="shared" si="4"/>
        <v>0.10692596941544057</v>
      </c>
      <c r="E26" s="242">
        <f>'WP Income Common Size'!E19</f>
        <v>201525</v>
      </c>
      <c r="F26" s="204">
        <f t="shared" si="4"/>
        <v>6.9596854543351044E-2</v>
      </c>
      <c r="G26" s="242">
        <f>'WP Income Common Size'!G19</f>
        <v>215278</v>
      </c>
      <c r="H26" s="204">
        <f>G26/G$28</f>
        <v>0.11207696772967583</v>
      </c>
      <c r="I26" s="242">
        <f>'WP Income Common Size'!I19</f>
        <v>239584</v>
      </c>
      <c r="J26" s="204">
        <f>I26/I$28</f>
        <v>0.12204395505874395</v>
      </c>
      <c r="K26" s="242">
        <f>'WP Income Common Size'!K19</f>
        <v>258824</v>
      </c>
      <c r="L26" s="204">
        <f>K26/K$28</f>
        <v>0.14303849025488666</v>
      </c>
      <c r="M26" s="242">
        <f t="shared" si="5"/>
        <v>264518.12800000003</v>
      </c>
      <c r="N26" s="242">
        <f t="shared" si="6"/>
        <v>270337.52681600006</v>
      </c>
      <c r="O26" s="242">
        <f t="shared" si="3"/>
        <v>276284.95240595203</v>
      </c>
      <c r="P26" s="242">
        <f t="shared" si="3"/>
        <v>282363.22135888296</v>
      </c>
      <c r="Q26" s="242">
        <f t="shared" si="3"/>
        <v>288575.2122287784</v>
      </c>
      <c r="R26" s="242">
        <f t="shared" si="3"/>
        <v>294923.86689781153</v>
      </c>
      <c r="S26" s="242">
        <f t="shared" si="3"/>
        <v>301412.19196956337</v>
      </c>
      <c r="T26" s="242">
        <f t="shared" si="3"/>
        <v>308043.26019289379</v>
      </c>
      <c r="U26" s="242">
        <f t="shared" si="3"/>
        <v>314820.21191713744</v>
      </c>
      <c r="V26" s="242">
        <f t="shared" si="3"/>
        <v>321746.25657931447</v>
      </c>
      <c r="W26" s="242">
        <f t="shared" si="3"/>
        <v>328824.67422405939</v>
      </c>
      <c r="X26" s="242">
        <f t="shared" si="3"/>
        <v>336058.81705698872</v>
      </c>
      <c r="Y26" s="242">
        <f t="shared" si="3"/>
        <v>343452.11103224248</v>
      </c>
      <c r="Z26" s="242">
        <f t="shared" si="3"/>
        <v>351008.05747495184</v>
      </c>
      <c r="AA26" s="242">
        <f t="shared" si="3"/>
        <v>358730.2347394008</v>
      </c>
      <c r="AB26" s="242">
        <f t="shared" si="3"/>
        <v>366622.29990366765</v>
      </c>
      <c r="AC26" s="242">
        <f t="shared" si="3"/>
        <v>374687.99050154834</v>
      </c>
      <c r="AD26" s="242">
        <f t="shared" si="3"/>
        <v>382931.12629258243</v>
      </c>
      <c r="AE26" s="242">
        <f t="shared" si="3"/>
        <v>391355.61107101926</v>
      </c>
      <c r="AF26" s="242">
        <f t="shared" si="3"/>
        <v>399965.43451458169</v>
      </c>
      <c r="AG26" s="242">
        <f t="shared" si="3"/>
        <v>408764.67407390248</v>
      </c>
      <c r="AH26" s="242">
        <f t="shared" si="3"/>
        <v>417757.49690352834</v>
      </c>
      <c r="AI26" s="242">
        <f t="shared" si="3"/>
        <v>426948.16183540598</v>
      </c>
      <c r="AJ26" s="242">
        <f t="shared" si="3"/>
        <v>436341.02139578492</v>
      </c>
      <c r="AK26" s="242">
        <f t="shared" si="3"/>
        <v>445940.52386649221</v>
      </c>
      <c r="AL26" s="242">
        <f t="shared" si="3"/>
        <v>455751.21539155504</v>
      </c>
      <c r="AM26" s="242">
        <f t="shared" si="3"/>
        <v>465777.74213016924</v>
      </c>
      <c r="AN26" s="242">
        <f t="shared" si="3"/>
        <v>476024.85245703295</v>
      </c>
      <c r="AO26" s="203"/>
    </row>
    <row r="27" spans="1:41" x14ac:dyDescent="0.3">
      <c r="J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row>
    <row r="28" spans="1:41" ht="12.9" x14ac:dyDescent="0.35">
      <c r="A28" s="299" t="s">
        <v>956</v>
      </c>
      <c r="C28" s="203">
        <f>SUM(C22:C26)</f>
        <v>1675159</v>
      </c>
      <c r="D28" s="204">
        <f>C28/C$19</f>
        <v>0.96139352673395972</v>
      </c>
      <c r="E28" s="203">
        <f>SUM(E22:E26)</f>
        <v>2895605</v>
      </c>
      <c r="F28" s="204">
        <f>E28/E$19</f>
        <v>1.7054278404312211</v>
      </c>
      <c r="G28" s="203">
        <f>SUM(G22:G26)</f>
        <v>1920805</v>
      </c>
      <c r="H28" s="204">
        <f>G28/G$19</f>
        <v>1.1826044072955815</v>
      </c>
      <c r="I28" s="203">
        <f>SUM(I22:I26)</f>
        <v>1963096</v>
      </c>
      <c r="J28" s="204">
        <f>I28/I$19</f>
        <v>0.94856405635055052</v>
      </c>
      <c r="K28" s="203">
        <f>SUM(K22:K26)</f>
        <v>1809471</v>
      </c>
      <c r="L28" s="204">
        <f>K28/K$19</f>
        <v>0.78821522039887504</v>
      </c>
      <c r="M28" s="203">
        <f>SUM(M22:M26)</f>
        <v>1849279.3620000002</v>
      </c>
      <c r="N28" s="203">
        <f t="shared" ref="N28:AN28" si="7">SUM(N22:N26)</f>
        <v>1942921.4474080002</v>
      </c>
      <c r="O28" s="203">
        <f t="shared" si="7"/>
        <v>1985665.7192509761</v>
      </c>
      <c r="P28" s="203">
        <f t="shared" si="7"/>
        <v>2029350.3650744976</v>
      </c>
      <c r="Q28" s="203">
        <f t="shared" si="7"/>
        <v>2073996.0731061366</v>
      </c>
      <c r="R28" s="203">
        <f t="shared" si="7"/>
        <v>2119623.9867144716</v>
      </c>
      <c r="S28" s="203">
        <f t="shared" si="7"/>
        <v>2166255.7144221901</v>
      </c>
      <c r="T28" s="203">
        <f t="shared" si="7"/>
        <v>2213913.340139478</v>
      </c>
      <c r="U28" s="203">
        <f t="shared" si="7"/>
        <v>2262619.433622547</v>
      </c>
      <c r="V28" s="203">
        <f t="shared" si="7"/>
        <v>2312397.0611622427</v>
      </c>
      <c r="W28" s="203">
        <f t="shared" si="7"/>
        <v>2363269.7965078121</v>
      </c>
      <c r="X28" s="203">
        <f t="shared" si="7"/>
        <v>2415261.732030984</v>
      </c>
      <c r="Y28" s="203">
        <f t="shared" si="7"/>
        <v>2468397.4901356655</v>
      </c>
      <c r="Z28" s="203">
        <f t="shared" si="7"/>
        <v>2522702.2349186502</v>
      </c>
      <c r="AA28" s="203">
        <f t="shared" si="7"/>
        <v>2578201.6840868611</v>
      </c>
      <c r="AB28" s="203">
        <f t="shared" si="7"/>
        <v>2634922.1211367715</v>
      </c>
      <c r="AC28" s="203">
        <f t="shared" si="7"/>
        <v>2692890.4078017808</v>
      </c>
      <c r="AD28" s="203">
        <f t="shared" si="7"/>
        <v>2752133.9967734204</v>
      </c>
      <c r="AE28" s="203">
        <f t="shared" si="7"/>
        <v>2812680.9447024358</v>
      </c>
      <c r="AF28" s="203">
        <f t="shared" si="7"/>
        <v>2874559.9254858885</v>
      </c>
      <c r="AG28" s="203">
        <f t="shared" si="7"/>
        <v>2937800.2438465785</v>
      </c>
      <c r="AH28" s="203">
        <f t="shared" si="7"/>
        <v>3002431.8492112034</v>
      </c>
      <c r="AI28" s="203">
        <f t="shared" si="7"/>
        <v>3068485.3498938503</v>
      </c>
      <c r="AJ28" s="203">
        <f t="shared" si="7"/>
        <v>3135992.0275915144</v>
      </c>
      <c r="AK28" s="203">
        <f t="shared" si="7"/>
        <v>3204983.8521985281</v>
      </c>
      <c r="AL28" s="203">
        <f t="shared" si="7"/>
        <v>3275493.4969468955</v>
      </c>
      <c r="AM28" s="203">
        <f t="shared" si="7"/>
        <v>3347554.3538797274</v>
      </c>
      <c r="AN28" s="203">
        <f t="shared" si="7"/>
        <v>3421200.5496650813</v>
      </c>
      <c r="AO28" s="203"/>
    </row>
    <row r="29" spans="1:41" x14ac:dyDescent="0.3">
      <c r="I29" s="203"/>
      <c r="J29" s="203"/>
      <c r="K29" s="203"/>
      <c r="L29" s="203"/>
      <c r="M29" s="203"/>
      <c r="N29" s="203"/>
      <c r="O29" s="203"/>
      <c r="P29" s="203"/>
      <c r="Q29" s="203"/>
      <c r="R29" s="203"/>
      <c r="S29" s="203"/>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row>
    <row r="30" spans="1:41" x14ac:dyDescent="0.3">
      <c r="A30" s="299" t="s">
        <v>957</v>
      </c>
      <c r="C30" s="203">
        <f>C19-C28</f>
        <v>67269</v>
      </c>
      <c r="E30" s="203">
        <f>E19-E28</f>
        <v>-1197729</v>
      </c>
      <c r="G30" s="203">
        <f>G19-G28</f>
        <v>-296589</v>
      </c>
      <c r="I30" s="203">
        <f>I19-I28</f>
        <v>106449</v>
      </c>
      <c r="J30" s="203"/>
      <c r="K30" s="203">
        <f>K19-K28</f>
        <v>486185</v>
      </c>
      <c r="L30" s="203"/>
      <c r="M30" s="203">
        <f t="shared" ref="M30:AN30" si="8">M19-M28</f>
        <v>588248.17879999988</v>
      </c>
      <c r="N30" s="203">
        <f t="shared" si="8"/>
        <v>640857.74583999976</v>
      </c>
      <c r="O30" s="203">
        <f t="shared" si="8"/>
        <v>753140.22559190402</v>
      </c>
      <c r="P30" s="203">
        <f t="shared" si="8"/>
        <v>873783.93645895552</v>
      </c>
      <c r="Q30" s="203">
        <f t="shared" si="8"/>
        <v>1003326.2865193239</v>
      </c>
      <c r="R30" s="203">
        <f t="shared" si="8"/>
        <v>1142337.7144885166</v>
      </c>
      <c r="S30" s="203">
        <f t="shared" si="8"/>
        <v>1291423.6888529775</v>
      </c>
      <c r="T30" s="203">
        <f t="shared" si="8"/>
        <v>1451226.8273322</v>
      </c>
      <c r="U30" s="203">
        <f t="shared" si="8"/>
        <v>1622429.1438974319</v>
      </c>
      <c r="V30" s="203">
        <f t="shared" si="8"/>
        <v>1805754.431008935</v>
      </c>
      <c r="W30" s="203">
        <f t="shared" si="8"/>
        <v>2001970.7851936361</v>
      </c>
      <c r="X30" s="203">
        <f t="shared" si="8"/>
        <v>2211893.284572551</v>
      </c>
      <c r="Y30" s="203">
        <f t="shared" si="8"/>
        <v>2436386.8274640818</v>
      </c>
      <c r="Z30" s="203">
        <f t="shared" si="8"/>
        <v>2676369.141737082</v>
      </c>
      <c r="AA30" s="203">
        <f t="shared" si="8"/>
        <v>2932813.9751682151</v>
      </c>
      <c r="AB30" s="203">
        <f t="shared" si="8"/>
        <v>3206754.4776736097</v>
      </c>
      <c r="AC30" s="203">
        <f t="shared" si="8"/>
        <v>3499286.7869372237</v>
      </c>
      <c r="AD30" s="203">
        <f t="shared" si="8"/>
        <v>3811573.8296499248</v>
      </c>
      <c r="AE30" s="203">
        <f t="shared" si="8"/>
        <v>4144849.3513063104</v>
      </c>
      <c r="AF30" s="203">
        <f t="shared" si="8"/>
        <v>4500422.1882833829</v>
      </c>
      <c r="AG30" s="203">
        <f t="shared" si="8"/>
        <v>4879680.7967488496</v>
      </c>
      <c r="AH30" s="203">
        <f t="shared" si="8"/>
        <v>5284098.0538199507</v>
      </c>
      <c r="AI30" s="203">
        <f t="shared" si="8"/>
        <v>5715236.3473191736</v>
      </c>
      <c r="AJ30" s="203">
        <f t="shared" si="8"/>
        <v>6174752.9714542916</v>
      </c>
      <c r="AK30" s="203">
        <f t="shared" si="8"/>
        <v>6664405.8467900269</v>
      </c>
      <c r="AL30" s="203">
        <f t="shared" si="8"/>
        <v>7186059.5839809738</v>
      </c>
      <c r="AM30" s="203">
        <f t="shared" si="8"/>
        <v>7741691.9119038153</v>
      </c>
      <c r="AN30" s="203">
        <f t="shared" si="8"/>
        <v>8333400.4920654753</v>
      </c>
      <c r="AO30" s="203"/>
    </row>
    <row r="31" spans="1:41" x14ac:dyDescent="0.3">
      <c r="I31" s="203"/>
      <c r="J31" s="203"/>
      <c r="K31" s="203"/>
      <c r="L31" s="203"/>
      <c r="M31" s="203"/>
      <c r="N31" s="203"/>
      <c r="O31" s="203"/>
      <c r="P31" s="203"/>
      <c r="Q31" s="203"/>
      <c r="R31" s="203"/>
      <c r="S31" s="203"/>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row>
    <row r="32" spans="1:41" x14ac:dyDescent="0.3">
      <c r="A32" s="299" t="s">
        <v>958</v>
      </c>
      <c r="B32" s="207"/>
      <c r="C32" s="203"/>
      <c r="D32" s="207"/>
      <c r="E32" s="203"/>
      <c r="F32" s="207"/>
      <c r="G32" s="203">
        <v>249867</v>
      </c>
      <c r="H32" s="207"/>
      <c r="I32" s="203">
        <v>22771</v>
      </c>
      <c r="J32" s="203"/>
      <c r="K32" s="203">
        <v>73313</v>
      </c>
      <c r="L32" s="203"/>
      <c r="M32" s="203">
        <f ca="1">SUMIF('WP WPCA Budget Report'!$C$4:$D$38,A32,'WP WPCA Budget Report'!$D$4:$D$38)</f>
        <v>350000</v>
      </c>
      <c r="N32" s="203">
        <v>500000</v>
      </c>
      <c r="O32" s="203">
        <v>500000</v>
      </c>
      <c r="P32" s="203">
        <v>500000</v>
      </c>
      <c r="Q32" s="203">
        <v>500000</v>
      </c>
      <c r="R32" s="203">
        <v>300000</v>
      </c>
      <c r="S32" s="203">
        <f t="shared" ref="S32:AN32" si="9">R32*(1+$B$8)</f>
        <v>306600</v>
      </c>
      <c r="T32" s="203">
        <f t="shared" si="9"/>
        <v>313345.2</v>
      </c>
      <c r="U32" s="203">
        <f t="shared" si="9"/>
        <v>320238.79440000001</v>
      </c>
      <c r="V32" s="203">
        <f t="shared" si="9"/>
        <v>327284.0478768</v>
      </c>
      <c r="W32" s="203">
        <f t="shared" si="9"/>
        <v>334484.29693008959</v>
      </c>
      <c r="X32" s="203">
        <f t="shared" si="9"/>
        <v>341842.95146255154</v>
      </c>
      <c r="Y32" s="203">
        <f t="shared" si="9"/>
        <v>349363.49639472767</v>
      </c>
      <c r="Z32" s="203">
        <f t="shared" si="9"/>
        <v>357049.49331541167</v>
      </c>
      <c r="AA32" s="203">
        <f t="shared" si="9"/>
        <v>364904.58216835075</v>
      </c>
      <c r="AB32" s="203">
        <f t="shared" si="9"/>
        <v>372932.48297605448</v>
      </c>
      <c r="AC32" s="203">
        <f t="shared" si="9"/>
        <v>381136.99760152766</v>
      </c>
      <c r="AD32" s="203">
        <f t="shared" si="9"/>
        <v>389522.01154876128</v>
      </c>
      <c r="AE32" s="203">
        <f t="shared" si="9"/>
        <v>398091.49580283405</v>
      </c>
      <c r="AF32" s="203">
        <f t="shared" si="9"/>
        <v>406849.50871049642</v>
      </c>
      <c r="AG32" s="203">
        <f t="shared" si="9"/>
        <v>415800.19790212734</v>
      </c>
      <c r="AH32" s="203">
        <f t="shared" si="9"/>
        <v>424947.80225597415</v>
      </c>
      <c r="AI32" s="203">
        <f t="shared" si="9"/>
        <v>434296.65390560561</v>
      </c>
      <c r="AJ32" s="203">
        <f t="shared" si="9"/>
        <v>443851.18029152893</v>
      </c>
      <c r="AK32" s="203">
        <f t="shared" si="9"/>
        <v>453615.90625794255</v>
      </c>
      <c r="AL32" s="203">
        <f t="shared" si="9"/>
        <v>463595.45619561727</v>
      </c>
      <c r="AM32" s="203">
        <f t="shared" si="9"/>
        <v>473794.55623192084</v>
      </c>
      <c r="AN32" s="203">
        <f t="shared" si="9"/>
        <v>484218.03646902309</v>
      </c>
      <c r="AO32" s="203"/>
    </row>
    <row r="33" spans="1:41" x14ac:dyDescent="0.3">
      <c r="I33" s="203"/>
      <c r="J33" s="203"/>
      <c r="K33" s="203"/>
      <c r="L33" s="203"/>
      <c r="M33" s="203"/>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row>
    <row r="34" spans="1:41" x14ac:dyDescent="0.3">
      <c r="A34" s="299" t="s">
        <v>959</v>
      </c>
      <c r="C34" s="203">
        <f t="shared" ref="C34:K34" si="10">C30-C32</f>
        <v>67269</v>
      </c>
      <c r="E34" s="203">
        <f t="shared" si="10"/>
        <v>-1197729</v>
      </c>
      <c r="G34" s="203">
        <f t="shared" si="10"/>
        <v>-546456</v>
      </c>
      <c r="I34" s="203">
        <f t="shared" si="10"/>
        <v>83678</v>
      </c>
      <c r="J34" s="203"/>
      <c r="K34" s="203">
        <f t="shared" si="10"/>
        <v>412872</v>
      </c>
      <c r="L34" s="203"/>
      <c r="M34" s="203">
        <f ca="1">M30-M32</f>
        <v>238248.17879999988</v>
      </c>
      <c r="N34" s="203">
        <f t="shared" ref="N34:AN34" si="11">N30-N32</f>
        <v>140857.74583999976</v>
      </c>
      <c r="O34" s="203">
        <f t="shared" si="11"/>
        <v>253140.22559190402</v>
      </c>
      <c r="P34" s="203">
        <f t="shared" si="11"/>
        <v>373783.93645895552</v>
      </c>
      <c r="Q34" s="203">
        <f t="shared" si="11"/>
        <v>503326.28651932394</v>
      </c>
      <c r="R34" s="203">
        <f t="shared" si="11"/>
        <v>842337.71448851656</v>
      </c>
      <c r="S34" s="203">
        <f t="shared" si="11"/>
        <v>984823.68885297747</v>
      </c>
      <c r="T34" s="203">
        <f t="shared" si="11"/>
        <v>1137881.6273322001</v>
      </c>
      <c r="U34" s="203">
        <f t="shared" si="11"/>
        <v>1302190.3494974319</v>
      </c>
      <c r="V34" s="203">
        <f t="shared" si="11"/>
        <v>1478470.383132135</v>
      </c>
      <c r="W34" s="203">
        <f t="shared" si="11"/>
        <v>1667486.4882635465</v>
      </c>
      <c r="X34" s="203">
        <f t="shared" si="11"/>
        <v>1870050.3331099995</v>
      </c>
      <c r="Y34" s="203">
        <f t="shared" si="11"/>
        <v>2087023.3310693542</v>
      </c>
      <c r="Z34" s="203">
        <f t="shared" si="11"/>
        <v>2319319.6484216703</v>
      </c>
      <c r="AA34" s="203">
        <f t="shared" si="11"/>
        <v>2567909.3929998642</v>
      </c>
      <c r="AB34" s="203">
        <f t="shared" si="11"/>
        <v>2833821.9946975554</v>
      </c>
      <c r="AC34" s="203">
        <f t="shared" si="11"/>
        <v>3118149.789335696</v>
      </c>
      <c r="AD34" s="203">
        <f t="shared" si="11"/>
        <v>3422051.8181011635</v>
      </c>
      <c r="AE34" s="203">
        <f t="shared" si="11"/>
        <v>3746757.8555034762</v>
      </c>
      <c r="AF34" s="203">
        <f t="shared" si="11"/>
        <v>4093572.6795728863</v>
      </c>
      <c r="AG34" s="203">
        <f t="shared" si="11"/>
        <v>4463880.5988467224</v>
      </c>
      <c r="AH34" s="203">
        <f t="shared" si="11"/>
        <v>4859150.2515639765</v>
      </c>
      <c r="AI34" s="203">
        <f t="shared" si="11"/>
        <v>5280939.6934135677</v>
      </c>
      <c r="AJ34" s="203">
        <f t="shared" si="11"/>
        <v>5730901.7911627628</v>
      </c>
      <c r="AK34" s="203">
        <f t="shared" si="11"/>
        <v>6210789.9405320846</v>
      </c>
      <c r="AL34" s="203">
        <f t="shared" si="11"/>
        <v>6722464.1277853567</v>
      </c>
      <c r="AM34" s="203">
        <f t="shared" si="11"/>
        <v>7267897.3556718947</v>
      </c>
      <c r="AN34" s="203">
        <f t="shared" si="11"/>
        <v>7849182.4555964526</v>
      </c>
      <c r="AO34" s="203"/>
    </row>
    <row r="35" spans="1:41" x14ac:dyDescent="0.3">
      <c r="AN35" s="205">
        <f>AN34/((1+$B$7)-(1+$B$8))</f>
        <v>143181000.64933309</v>
      </c>
    </row>
    <row r="36" spans="1:41" x14ac:dyDescent="0.3">
      <c r="A36" s="299" t="s">
        <v>76</v>
      </c>
      <c r="M36" s="299">
        <v>0.5</v>
      </c>
      <c r="N36" s="299">
        <f t="shared" ref="N36:AN36" si="12">M36+1</f>
        <v>1.5</v>
      </c>
      <c r="O36" s="299">
        <f t="shared" si="12"/>
        <v>2.5</v>
      </c>
      <c r="P36" s="299">
        <f t="shared" si="12"/>
        <v>3.5</v>
      </c>
      <c r="Q36" s="299">
        <f t="shared" si="12"/>
        <v>4.5</v>
      </c>
      <c r="R36" s="299">
        <f t="shared" si="12"/>
        <v>5.5</v>
      </c>
      <c r="S36" s="299">
        <f t="shared" si="12"/>
        <v>6.5</v>
      </c>
      <c r="T36" s="299">
        <f t="shared" si="12"/>
        <v>7.5</v>
      </c>
      <c r="U36" s="299">
        <f t="shared" si="12"/>
        <v>8.5</v>
      </c>
      <c r="V36" s="299">
        <f t="shared" si="12"/>
        <v>9.5</v>
      </c>
      <c r="W36" s="299">
        <f t="shared" si="12"/>
        <v>10.5</v>
      </c>
      <c r="X36" s="299">
        <f t="shared" si="12"/>
        <v>11.5</v>
      </c>
      <c r="Y36" s="299">
        <f t="shared" si="12"/>
        <v>12.5</v>
      </c>
      <c r="Z36" s="299">
        <f t="shared" si="12"/>
        <v>13.5</v>
      </c>
      <c r="AA36" s="299">
        <f t="shared" si="12"/>
        <v>14.5</v>
      </c>
      <c r="AB36" s="299">
        <f t="shared" si="12"/>
        <v>15.5</v>
      </c>
      <c r="AC36" s="299">
        <f t="shared" si="12"/>
        <v>16.5</v>
      </c>
      <c r="AD36" s="299">
        <f t="shared" si="12"/>
        <v>17.5</v>
      </c>
      <c r="AE36" s="299">
        <f t="shared" si="12"/>
        <v>18.5</v>
      </c>
      <c r="AF36" s="299">
        <f t="shared" si="12"/>
        <v>19.5</v>
      </c>
      <c r="AG36" s="299">
        <f t="shared" si="12"/>
        <v>20.5</v>
      </c>
      <c r="AH36" s="299">
        <f t="shared" si="12"/>
        <v>21.5</v>
      </c>
      <c r="AI36" s="299">
        <f t="shared" si="12"/>
        <v>22.5</v>
      </c>
      <c r="AJ36" s="299">
        <f t="shared" si="12"/>
        <v>23.5</v>
      </c>
      <c r="AK36" s="299">
        <f t="shared" si="12"/>
        <v>24.5</v>
      </c>
      <c r="AL36" s="299">
        <f t="shared" si="12"/>
        <v>25.5</v>
      </c>
      <c r="AM36" s="299">
        <f t="shared" si="12"/>
        <v>26.5</v>
      </c>
      <c r="AN36" s="299">
        <f t="shared" si="12"/>
        <v>27.5</v>
      </c>
    </row>
    <row r="37" spans="1:41" x14ac:dyDescent="0.3">
      <c r="A37" s="299" t="s">
        <v>960</v>
      </c>
      <c r="I37" s="303"/>
      <c r="J37" s="303"/>
      <c r="K37" s="303"/>
      <c r="L37" s="303"/>
      <c r="M37" s="303">
        <f t="shared" ref="M37:AN37" si="13">1/((1+$B$7)^M36)</f>
        <v>0.96367023126695917</v>
      </c>
      <c r="N37" s="303">
        <f t="shared" si="13"/>
        <v>0.89492230016804941</v>
      </c>
      <c r="O37" s="303">
        <f t="shared" si="13"/>
        <v>0.83107882484356665</v>
      </c>
      <c r="P37" s="303">
        <f t="shared" si="13"/>
        <v>0.77178992296165239</v>
      </c>
      <c r="Q37" s="303">
        <f t="shared" si="13"/>
        <v>0.71673067268591983</v>
      </c>
      <c r="R37" s="303">
        <f t="shared" si="13"/>
        <v>0.66559933200156007</v>
      </c>
      <c r="S37" s="303">
        <f t="shared" si="13"/>
        <v>0.6181156850741627</v>
      </c>
      <c r="T37" s="303">
        <f t="shared" si="13"/>
        <v>0.57401950657878065</v>
      </c>
      <c r="U37" s="303">
        <f t="shared" si="13"/>
        <v>0.53306913558327362</v>
      </c>
      <c r="V37" s="303">
        <f t="shared" si="13"/>
        <v>0.49504015117036604</v>
      </c>
      <c r="W37" s="303">
        <f t="shared" si="13"/>
        <v>0.45972414254041155</v>
      </c>
      <c r="X37" s="303">
        <f t="shared" si="13"/>
        <v>0.42692756685463817</v>
      </c>
      <c r="Y37" s="303">
        <f t="shared" si="13"/>
        <v>0.39647068855949757</v>
      </c>
      <c r="Z37" s="303">
        <f t="shared" si="13"/>
        <v>0.36818659437928114</v>
      </c>
      <c r="AA37" s="303">
        <f t="shared" si="13"/>
        <v>0.3419202785788536</v>
      </c>
      <c r="AB37" s="303">
        <f t="shared" si="13"/>
        <v>0.31752779348345456</v>
      </c>
      <c r="AC37" s="303">
        <f t="shared" si="13"/>
        <v>0.29487546060015096</v>
      </c>
      <c r="AD37" s="303">
        <f t="shared" si="13"/>
        <v>0.27383913801763604</v>
      </c>
      <c r="AE37" s="303">
        <f t="shared" si="13"/>
        <v>0.25430354006949729</v>
      </c>
      <c r="AF37" s="303">
        <f t="shared" si="13"/>
        <v>0.23616160553249127</v>
      </c>
      <c r="AG37" s="303">
        <f t="shared" si="13"/>
        <v>0.21931391089735633</v>
      </c>
      <c r="AH37" s="303">
        <f t="shared" si="13"/>
        <v>0.20366812549669983</v>
      </c>
      <c r="AI37" s="303">
        <f t="shared" si="13"/>
        <v>0.18913850550389091</v>
      </c>
      <c r="AJ37" s="303">
        <f t="shared" si="13"/>
        <v>0.17564542402991296</v>
      </c>
      <c r="AK37" s="303">
        <f t="shared" si="13"/>
        <v>0.16311493474295888</v>
      </c>
      <c r="AL37" s="303">
        <f t="shared" si="13"/>
        <v>0.15147836661926675</v>
      </c>
      <c r="AM37" s="303">
        <f t="shared" si="13"/>
        <v>0.1406719476043041</v>
      </c>
      <c r="AN37" s="303">
        <f t="shared" si="13"/>
        <v>0.13063645512184402</v>
      </c>
    </row>
    <row r="38" spans="1:41" x14ac:dyDescent="0.3">
      <c r="A38" s="299" t="s">
        <v>961</v>
      </c>
      <c r="I38" s="304"/>
      <c r="J38" s="304"/>
      <c r="K38" s="304"/>
      <c r="L38" s="304"/>
      <c r="M38" s="304">
        <f ca="1">M34*M37</f>
        <v>229592.67756312771</v>
      </c>
      <c r="N38" s="304">
        <f t="shared" ref="N38:AM38" si="14">N34*N37</f>
        <v>126056.73790361907</v>
      </c>
      <c r="O38" s="304">
        <f t="shared" si="14"/>
        <v>210379.48120555494</v>
      </c>
      <c r="P38" s="304">
        <f t="shared" si="14"/>
        <v>288482.67552396044</v>
      </c>
      <c r="Q38" s="304">
        <f t="shared" si="14"/>
        <v>360749.3879175011</v>
      </c>
      <c r="R38" s="304">
        <f t="shared" si="14"/>
        <v>560659.42008327751</v>
      </c>
      <c r="S38" s="304">
        <f t="shared" si="14"/>
        <v>608734.9691126222</v>
      </c>
      <c r="T38" s="304">
        <f t="shared" si="14"/>
        <v>653166.25026628945</v>
      </c>
      <c r="U38" s="304">
        <f t="shared" si="14"/>
        <v>694157.48397147702</v>
      </c>
      <c r="V38" s="304">
        <f t="shared" si="14"/>
        <v>731902.20196664112</v>
      </c>
      <c r="W38" s="304">
        <f t="shared" si="14"/>
        <v>766583.79601468099</v>
      </c>
      <c r="X38" s="304">
        <f t="shared" si="14"/>
        <v>798376.03861035767</v>
      </c>
      <c r="Y38" s="304">
        <f t="shared" si="14"/>
        <v>827443.57710880309</v>
      </c>
      <c r="Z38" s="304">
        <f t="shared" si="14"/>
        <v>853942.40262932645</v>
      </c>
      <c r="AA38" s="304">
        <f t="shared" si="14"/>
        <v>878020.29501976841</v>
      </c>
      <c r="AB38" s="304">
        <f t="shared" si="14"/>
        <v>899817.24510119669</v>
      </c>
      <c r="AC38" s="304">
        <f t="shared" si="14"/>
        <v>919465.8553506271</v>
      </c>
      <c r="AD38" s="304">
        <f t="shared" si="14"/>
        <v>937091.72012050683</v>
      </c>
      <c r="AE38" s="304">
        <f t="shared" si="14"/>
        <v>952813.78643773205</v>
      </c>
      <c r="AF38" s="304">
        <f t="shared" si="14"/>
        <v>966744.69637187524</v>
      </c>
      <c r="AG38" s="304">
        <f t="shared" si="14"/>
        <v>978991.11191190768</v>
      </c>
      <c r="AH38" s="304">
        <f t="shared" si="14"/>
        <v>989654.02324285253</v>
      </c>
      <c r="AI38" s="304">
        <f t="shared" si="14"/>
        <v>998829.04126841808</v>
      </c>
      <c r="AJ38" s="304">
        <f t="shared" si="14"/>
        <v>1006606.6751825712</v>
      </c>
      <c r="AK38" s="304">
        <f t="shared" si="14"/>
        <v>1013072.5958521165</v>
      </c>
      <c r="AL38" s="304">
        <f t="shared" si="14"/>
        <v>1018307.8857335396</v>
      </c>
      <c r="AM38" s="304">
        <f t="shared" si="14"/>
        <v>1022389.2760105371</v>
      </c>
      <c r="AN38" s="304">
        <f>(AN34+AN35)*AN37</f>
        <v>19730047.737231012</v>
      </c>
    </row>
    <row r="39" spans="1:41" outlineLevel="1" x14ac:dyDescent="0.3">
      <c r="A39" s="299" t="s">
        <v>962</v>
      </c>
      <c r="L39" s="206"/>
      <c r="M39" s="206">
        <f ca="1">SUM(M38:AN38)</f>
        <v>40022079.044711903</v>
      </c>
    </row>
    <row r="40" spans="1:41" x14ac:dyDescent="0.3">
      <c r="A40" s="207" t="s">
        <v>3206</v>
      </c>
      <c r="L40" s="304"/>
      <c r="M40" s="304">
        <f ca="1">SUM(M38:AM38)</f>
        <v>20292031.307480887</v>
      </c>
    </row>
    <row r="42" spans="1:41" x14ac:dyDescent="0.3">
      <c r="L42" s="850"/>
    </row>
    <row r="43" spans="1:41" x14ac:dyDescent="0.3">
      <c r="L43" s="850"/>
    </row>
    <row r="45" spans="1:41" x14ac:dyDescent="0.3">
      <c r="G45" s="240"/>
      <c r="H45" s="240"/>
      <c r="I45" s="240"/>
      <c r="J45" s="240"/>
      <c r="K45" s="240"/>
    </row>
    <row r="46" spans="1:41" x14ac:dyDescent="0.3">
      <c r="G46" s="240"/>
      <c r="H46" s="240"/>
      <c r="I46" s="240"/>
      <c r="J46" s="240"/>
      <c r="K46" s="240"/>
      <c r="N46" s="208"/>
      <c r="O46" s="208"/>
      <c r="P46" s="208"/>
      <c r="Q46" s="208"/>
    </row>
    <row r="47" spans="1:41" x14ac:dyDescent="0.3">
      <c r="G47" s="240"/>
      <c r="H47" s="240"/>
      <c r="I47" s="240"/>
      <c r="J47" s="240"/>
      <c r="K47" s="240"/>
    </row>
    <row r="48" spans="1:41" x14ac:dyDescent="0.3">
      <c r="N48" s="302"/>
      <c r="O48" s="849"/>
    </row>
    <row r="49" spans="7:16" x14ac:dyDescent="0.3">
      <c r="G49" s="240"/>
      <c r="H49" s="240"/>
      <c r="I49" s="240"/>
      <c r="J49" s="240"/>
      <c r="K49" s="240"/>
      <c r="L49" s="848"/>
      <c r="M49" s="849"/>
      <c r="N49" s="240"/>
      <c r="O49" s="240"/>
      <c r="P49" s="240"/>
    </row>
    <row r="50" spans="7:16" x14ac:dyDescent="0.3">
      <c r="G50" s="240"/>
      <c r="H50" s="240"/>
      <c r="I50" s="240"/>
      <c r="J50" s="240"/>
      <c r="K50" s="240"/>
      <c r="L50" s="848"/>
      <c r="M50" s="849"/>
      <c r="N50" s="240"/>
      <c r="O50" s="240"/>
      <c r="P50" s="240"/>
    </row>
    <row r="51" spans="7:16" x14ac:dyDescent="0.3">
      <c r="G51" s="240"/>
      <c r="H51" s="240"/>
      <c r="I51" s="240"/>
      <c r="J51" s="240"/>
      <c r="K51" s="240"/>
      <c r="L51" s="848"/>
      <c r="M51" s="849"/>
      <c r="N51" s="240"/>
      <c r="O51" s="240"/>
      <c r="P51" s="240"/>
    </row>
    <row r="52" spans="7:16" x14ac:dyDescent="0.3">
      <c r="G52" s="240"/>
      <c r="H52" s="240"/>
      <c r="I52" s="240"/>
      <c r="J52" s="240"/>
      <c r="K52" s="240"/>
      <c r="L52" s="848"/>
      <c r="M52" s="849"/>
      <c r="N52" s="240"/>
      <c r="O52" s="240"/>
      <c r="P52" s="240"/>
    </row>
    <row r="53" spans="7:16" x14ac:dyDescent="0.3">
      <c r="G53" s="240"/>
      <c r="H53" s="240"/>
      <c r="I53" s="240"/>
      <c r="J53" s="240"/>
      <c r="K53" s="240"/>
      <c r="L53" s="240"/>
      <c r="M53" s="240"/>
      <c r="N53" s="240"/>
      <c r="O53" s="240"/>
      <c r="P53" s="240"/>
    </row>
    <row r="54" spans="7:16" x14ac:dyDescent="0.3">
      <c r="G54" s="240"/>
      <c r="H54" s="240"/>
      <c r="I54" s="240"/>
      <c r="J54" s="240"/>
      <c r="K54" s="240"/>
      <c r="L54" s="240"/>
      <c r="M54" s="240"/>
      <c r="N54" s="240"/>
      <c r="O54" s="240"/>
      <c r="P54" s="240"/>
    </row>
    <row r="55" spans="7:16" x14ac:dyDescent="0.3">
      <c r="G55" s="240"/>
      <c r="H55" s="240"/>
      <c r="I55" s="240"/>
      <c r="J55" s="240"/>
      <c r="K55" s="240"/>
      <c r="L55" s="240"/>
      <c r="M55" s="240"/>
      <c r="N55" s="240"/>
      <c r="O55" s="240"/>
      <c r="P55" s="240"/>
    </row>
    <row r="56" spans="7:16" x14ac:dyDescent="0.3">
      <c r="G56" s="240"/>
      <c r="H56" s="240"/>
      <c r="I56" s="240"/>
      <c r="J56" s="240"/>
      <c r="K56" s="240"/>
      <c r="L56" s="240"/>
      <c r="M56" s="240"/>
      <c r="N56" s="240"/>
      <c r="O56" s="240"/>
      <c r="P56" s="240"/>
    </row>
    <row r="57" spans="7:16" x14ac:dyDescent="0.3">
      <c r="G57" s="240"/>
      <c r="H57" s="240"/>
      <c r="I57" s="240"/>
      <c r="J57" s="240"/>
      <c r="K57" s="240"/>
      <c r="L57" s="240"/>
      <c r="M57" s="240"/>
      <c r="N57" s="240"/>
      <c r="O57" s="240"/>
      <c r="P57" s="240"/>
    </row>
    <row r="58" spans="7:16" x14ac:dyDescent="0.3">
      <c r="G58" s="240"/>
      <c r="H58" s="240"/>
      <c r="I58" s="240"/>
      <c r="J58" s="240"/>
      <c r="K58" s="240"/>
      <c r="L58" s="240"/>
      <c r="M58" s="240"/>
      <c r="N58" s="240"/>
      <c r="O58" s="240"/>
      <c r="P58" s="240"/>
    </row>
    <row r="59" spans="7:16" x14ac:dyDescent="0.3">
      <c r="G59" s="240"/>
      <c r="H59" s="240"/>
      <c r="I59" s="240"/>
      <c r="J59" s="240"/>
      <c r="K59" s="240"/>
      <c r="L59" s="240"/>
      <c r="M59" s="240"/>
      <c r="N59" s="240"/>
      <c r="O59" s="240"/>
      <c r="P59" s="240"/>
    </row>
    <row r="60" spans="7:16" x14ac:dyDescent="0.3">
      <c r="G60" s="240"/>
      <c r="H60" s="240"/>
      <c r="I60" s="240"/>
      <c r="J60" s="240"/>
      <c r="K60" s="240"/>
      <c r="L60" s="240"/>
      <c r="M60" s="240"/>
      <c r="N60" s="240"/>
      <c r="O60" s="240"/>
      <c r="P60" s="240"/>
    </row>
    <row r="61" spans="7:16" x14ac:dyDescent="0.3">
      <c r="G61" s="240"/>
      <c r="H61" s="240"/>
      <c r="I61" s="240"/>
      <c r="J61" s="240"/>
      <c r="K61" s="240"/>
      <c r="L61" s="240"/>
      <c r="M61" s="240"/>
      <c r="N61" s="240"/>
      <c r="O61" s="240"/>
      <c r="P61" s="240"/>
    </row>
    <row r="62" spans="7:16" x14ac:dyDescent="0.3">
      <c r="G62" s="240"/>
      <c r="H62" s="240"/>
      <c r="I62" s="240"/>
      <c r="J62" s="240"/>
      <c r="K62" s="240"/>
      <c r="L62" s="240"/>
      <c r="M62" s="240"/>
      <c r="N62" s="240"/>
      <c r="O62" s="240"/>
      <c r="P62" s="240"/>
    </row>
    <row r="63" spans="7:16" x14ac:dyDescent="0.3">
      <c r="G63" s="240"/>
      <c r="H63" s="240"/>
      <c r="I63" s="240"/>
      <c r="J63" s="240"/>
      <c r="K63" s="240"/>
      <c r="L63" s="240"/>
      <c r="M63" s="240"/>
      <c r="N63" s="240"/>
      <c r="O63" s="240"/>
      <c r="P63" s="240"/>
    </row>
    <row r="64" spans="7:16" x14ac:dyDescent="0.3">
      <c r="G64" s="240"/>
      <c r="H64" s="240"/>
      <c r="I64" s="240"/>
      <c r="J64" s="240"/>
      <c r="K64" s="240"/>
      <c r="L64" s="240"/>
      <c r="M64" s="240"/>
      <c r="N64" s="240"/>
      <c r="O64" s="240"/>
      <c r="P64" s="240"/>
    </row>
    <row r="65" spans="7:16" x14ac:dyDescent="0.3">
      <c r="G65" s="240"/>
      <c r="H65" s="240"/>
      <c r="I65" s="240"/>
      <c r="J65" s="240"/>
      <c r="K65" s="240"/>
      <c r="L65" s="240"/>
      <c r="M65" s="240"/>
      <c r="N65" s="240"/>
      <c r="O65" s="240"/>
      <c r="P65" s="240"/>
    </row>
    <row r="66" spans="7:16" x14ac:dyDescent="0.3">
      <c r="G66" s="240"/>
      <c r="H66" s="240"/>
      <c r="I66" s="240"/>
      <c r="J66" s="240"/>
      <c r="K66" s="240"/>
      <c r="L66" s="240"/>
      <c r="M66" s="240"/>
      <c r="N66" s="240"/>
      <c r="O66" s="240"/>
      <c r="P66" s="240"/>
    </row>
    <row r="67" spans="7:16" x14ac:dyDescent="0.3">
      <c r="G67" s="240"/>
      <c r="H67" s="240"/>
      <c r="I67" s="240"/>
      <c r="J67" s="240"/>
      <c r="K67" s="240"/>
      <c r="L67" s="240"/>
      <c r="M67" s="240"/>
      <c r="N67" s="240"/>
      <c r="O67" s="240"/>
      <c r="P67" s="240"/>
    </row>
    <row r="68" spans="7:16" x14ac:dyDescent="0.3">
      <c r="G68" s="240"/>
      <c r="H68" s="240"/>
      <c r="I68" s="240"/>
      <c r="J68" s="240"/>
      <c r="K68" s="240"/>
      <c r="L68" s="240"/>
      <c r="M68" s="240"/>
      <c r="N68" s="240"/>
      <c r="O68" s="240"/>
      <c r="P68" s="240"/>
    </row>
    <row r="69" spans="7:16" x14ac:dyDescent="0.3">
      <c r="I69" s="209"/>
      <c r="J69" s="209"/>
      <c r="K69" s="305"/>
      <c r="L69" s="305"/>
    </row>
  </sheetData>
  <pageMargins left="0.7" right="0.7" top="0.75" bottom="0.75" header="0.3" footer="0.3"/>
  <pageSetup scale="68" fitToWidth="4" orientation="landscape" horizontalDpi="1200" verticalDpi="1200" r:id="rId1"/>
  <colBreaks count="1" manualBreakCount="1">
    <brk id="13" max="3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FE754-9A16-4D9A-B38D-ED23787B2C6A}">
  <dimension ref="A1:L38"/>
  <sheetViews>
    <sheetView zoomScaleNormal="100" workbookViewId="0"/>
  </sheetViews>
  <sheetFormatPr defaultRowHeight="14.6" x14ac:dyDescent="0.4"/>
  <cols>
    <col min="1" max="1" width="33.3828125" customWidth="1"/>
    <col min="2" max="2" width="25.3046875" customWidth="1"/>
    <col min="3" max="3" width="26.69140625" bestFit="1" customWidth="1"/>
    <col min="4" max="4" width="15" style="852" customWidth="1"/>
    <col min="5" max="5" width="16.69140625" style="852" customWidth="1"/>
    <col min="6" max="6" width="13.53515625" customWidth="1"/>
    <col min="7" max="7" width="13.3828125" style="852" customWidth="1"/>
    <col min="8" max="8" width="12.3046875" customWidth="1"/>
    <col min="9" max="9" width="11" customWidth="1"/>
    <col min="10" max="10" width="13" customWidth="1"/>
    <col min="11" max="11" width="15.69140625" customWidth="1"/>
    <col min="12" max="12" width="9.84375" style="853" customWidth="1"/>
  </cols>
  <sheetData>
    <row r="1" spans="1:12" x14ac:dyDescent="0.4">
      <c r="A1" s="210" t="s">
        <v>3226</v>
      </c>
      <c r="E1"/>
      <c r="G1" t="s">
        <v>3227</v>
      </c>
      <c r="J1" t="s">
        <v>3228</v>
      </c>
    </row>
    <row r="2" spans="1:12" x14ac:dyDescent="0.4">
      <c r="A2" t="s">
        <v>3229</v>
      </c>
      <c r="E2"/>
      <c r="G2"/>
    </row>
    <row r="3" spans="1:12" x14ac:dyDescent="0.4">
      <c r="E3"/>
      <c r="G3"/>
    </row>
    <row r="4" spans="1:12" x14ac:dyDescent="0.4">
      <c r="A4" s="854" t="s">
        <v>3230</v>
      </c>
      <c r="B4" s="854" t="s">
        <v>63</v>
      </c>
      <c r="C4" s="854" t="s">
        <v>3308</v>
      </c>
      <c r="D4" s="855" t="s">
        <v>3231</v>
      </c>
      <c r="E4" s="854" t="s">
        <v>3232</v>
      </c>
      <c r="F4" s="854" t="s">
        <v>3233</v>
      </c>
      <c r="G4" s="854" t="s">
        <v>3234</v>
      </c>
      <c r="H4" s="854" t="s">
        <v>3235</v>
      </c>
      <c r="I4" s="854" t="s">
        <v>3236</v>
      </c>
      <c r="J4" s="854" t="s">
        <v>3237</v>
      </c>
      <c r="K4" s="854" t="s">
        <v>3238</v>
      </c>
      <c r="L4" s="856" t="s">
        <v>3239</v>
      </c>
    </row>
    <row r="5" spans="1:12" x14ac:dyDescent="0.4">
      <c r="A5" t="s">
        <v>3240</v>
      </c>
      <c r="B5" t="s">
        <v>3241</v>
      </c>
      <c r="C5" t="s">
        <v>1129</v>
      </c>
      <c r="D5" s="852">
        <v>84000</v>
      </c>
      <c r="E5" s="852">
        <v>0</v>
      </c>
      <c r="F5" s="852">
        <f t="shared" ref="F5:F28" si="0">D5</f>
        <v>84000</v>
      </c>
      <c r="G5" s="852">
        <v>0</v>
      </c>
      <c r="H5" s="852">
        <v>7000</v>
      </c>
      <c r="I5" s="852">
        <f t="shared" ref="I5:I38" si="1">F5-H5</f>
        <v>77000</v>
      </c>
      <c r="J5" s="852">
        <v>0</v>
      </c>
      <c r="K5" s="852">
        <f t="shared" ref="K5:K38" si="2">I5-J5</f>
        <v>77000</v>
      </c>
      <c r="L5" s="853">
        <v>0.91669999999999996</v>
      </c>
    </row>
    <row r="6" spans="1:12" x14ac:dyDescent="0.4">
      <c r="A6" t="s">
        <v>3242</v>
      </c>
      <c r="B6" t="s">
        <v>3243</v>
      </c>
      <c r="C6" t="s">
        <v>1129</v>
      </c>
      <c r="D6" s="852">
        <v>3000</v>
      </c>
      <c r="E6" s="852">
        <v>0</v>
      </c>
      <c r="F6" s="852">
        <f t="shared" si="0"/>
        <v>3000</v>
      </c>
      <c r="G6" s="852">
        <v>0</v>
      </c>
      <c r="H6" s="852">
        <v>0</v>
      </c>
      <c r="I6" s="852">
        <f t="shared" si="1"/>
        <v>3000</v>
      </c>
      <c r="J6" s="852">
        <v>0</v>
      </c>
      <c r="K6" s="852">
        <f t="shared" si="2"/>
        <v>3000</v>
      </c>
      <c r="L6" s="853">
        <v>1</v>
      </c>
    </row>
    <row r="7" spans="1:12" x14ac:dyDescent="0.4">
      <c r="A7" t="s">
        <v>3244</v>
      </c>
      <c r="B7" t="s">
        <v>3245</v>
      </c>
      <c r="C7" t="s">
        <v>1129</v>
      </c>
      <c r="D7" s="852">
        <v>2000</v>
      </c>
      <c r="E7" s="852">
        <v>0</v>
      </c>
      <c r="F7" s="852">
        <f t="shared" si="0"/>
        <v>2000</v>
      </c>
      <c r="G7" s="852">
        <v>0</v>
      </c>
      <c r="H7" s="852">
        <v>0</v>
      </c>
      <c r="I7" s="852">
        <f t="shared" si="1"/>
        <v>2000</v>
      </c>
      <c r="J7" s="852">
        <v>119</v>
      </c>
      <c r="K7" s="852">
        <f t="shared" si="2"/>
        <v>1881</v>
      </c>
      <c r="L7" s="853">
        <v>0.9405</v>
      </c>
    </row>
    <row r="8" spans="1:12" x14ac:dyDescent="0.4">
      <c r="A8" t="s">
        <v>3246</v>
      </c>
      <c r="B8" t="s">
        <v>3247</v>
      </c>
      <c r="C8" t="s">
        <v>1129</v>
      </c>
      <c r="D8" s="852">
        <v>15000</v>
      </c>
      <c r="E8" s="852">
        <v>0</v>
      </c>
      <c r="F8" s="852">
        <f t="shared" si="0"/>
        <v>15000</v>
      </c>
      <c r="G8" s="852">
        <v>0</v>
      </c>
      <c r="H8" s="852">
        <v>0</v>
      </c>
      <c r="I8" s="852">
        <f t="shared" si="1"/>
        <v>15000</v>
      </c>
      <c r="J8" s="852">
        <v>3776.02</v>
      </c>
      <c r="K8" s="852">
        <f t="shared" si="2"/>
        <v>11223.98</v>
      </c>
      <c r="L8" s="853">
        <v>0.74829999999999997</v>
      </c>
    </row>
    <row r="9" spans="1:12" x14ac:dyDescent="0.4">
      <c r="A9" t="s">
        <v>3248</v>
      </c>
      <c r="B9" t="s">
        <v>3249</v>
      </c>
      <c r="C9" t="s">
        <v>1129</v>
      </c>
      <c r="D9" s="852">
        <v>6000</v>
      </c>
      <c r="E9" s="852">
        <v>0</v>
      </c>
      <c r="F9" s="852">
        <f t="shared" si="0"/>
        <v>6000</v>
      </c>
      <c r="G9" s="852">
        <v>0</v>
      </c>
      <c r="H9" s="852">
        <v>0</v>
      </c>
      <c r="I9" s="852">
        <f t="shared" si="1"/>
        <v>6000</v>
      </c>
      <c r="J9" s="852">
        <v>0</v>
      </c>
      <c r="K9" s="852">
        <f t="shared" si="2"/>
        <v>6000</v>
      </c>
      <c r="L9" s="853">
        <v>1</v>
      </c>
    </row>
    <row r="10" spans="1:12" x14ac:dyDescent="0.4">
      <c r="A10" t="s">
        <v>3250</v>
      </c>
      <c r="B10" t="s">
        <v>3251</v>
      </c>
      <c r="C10" t="s">
        <v>1129</v>
      </c>
      <c r="D10" s="852">
        <v>3500</v>
      </c>
      <c r="E10" s="852">
        <v>0</v>
      </c>
      <c r="F10" s="852">
        <f t="shared" si="0"/>
        <v>3500</v>
      </c>
      <c r="G10" s="852">
        <v>0</v>
      </c>
      <c r="H10" s="852">
        <v>0</v>
      </c>
      <c r="I10" s="852">
        <f t="shared" si="1"/>
        <v>3500</v>
      </c>
      <c r="J10" s="852">
        <v>0</v>
      </c>
      <c r="K10" s="852">
        <f t="shared" si="2"/>
        <v>3500</v>
      </c>
      <c r="L10" s="853">
        <v>1</v>
      </c>
    </row>
    <row r="11" spans="1:12" x14ac:dyDescent="0.4">
      <c r="A11" t="s">
        <v>3252</v>
      </c>
      <c r="B11" t="s">
        <v>3253</v>
      </c>
      <c r="C11" t="s">
        <v>1129</v>
      </c>
      <c r="D11" s="852">
        <v>12000</v>
      </c>
      <c r="E11" s="852">
        <v>0</v>
      </c>
      <c r="F11" s="852">
        <f t="shared" si="0"/>
        <v>12000</v>
      </c>
      <c r="G11" s="852">
        <v>0</v>
      </c>
      <c r="H11" s="852">
        <v>216</v>
      </c>
      <c r="I11" s="852">
        <f t="shared" si="1"/>
        <v>11784</v>
      </c>
      <c r="J11" s="852">
        <v>493.92</v>
      </c>
      <c r="K11" s="852">
        <f t="shared" si="2"/>
        <v>11290.08</v>
      </c>
      <c r="L11" s="853">
        <v>0.94079999999999997</v>
      </c>
    </row>
    <row r="12" spans="1:12" x14ac:dyDescent="0.4">
      <c r="A12" t="s">
        <v>3254</v>
      </c>
      <c r="B12" t="s">
        <v>3255</v>
      </c>
      <c r="C12" t="s">
        <v>958</v>
      </c>
      <c r="D12" s="852">
        <v>25000</v>
      </c>
      <c r="E12" s="852">
        <v>0</v>
      </c>
      <c r="F12" s="852">
        <f t="shared" si="0"/>
        <v>25000</v>
      </c>
      <c r="G12" s="852">
        <v>1342</v>
      </c>
      <c r="H12" s="852">
        <v>1342</v>
      </c>
      <c r="I12" s="852">
        <f t="shared" si="1"/>
        <v>23658</v>
      </c>
      <c r="J12" s="852">
        <v>4360</v>
      </c>
      <c r="K12" s="852">
        <f t="shared" si="2"/>
        <v>19298</v>
      </c>
      <c r="L12" s="853">
        <v>0.77190000000000003</v>
      </c>
    </row>
    <row r="13" spans="1:12" x14ac:dyDescent="0.4">
      <c r="A13" t="s">
        <v>3256</v>
      </c>
      <c r="B13" t="s">
        <v>3257</v>
      </c>
      <c r="C13" t="s">
        <v>958</v>
      </c>
      <c r="D13" s="852">
        <v>200000</v>
      </c>
      <c r="E13" s="852">
        <v>0</v>
      </c>
      <c r="F13" s="852">
        <f t="shared" si="0"/>
        <v>200000</v>
      </c>
      <c r="G13" s="852">
        <v>0</v>
      </c>
      <c r="H13" s="852">
        <v>0</v>
      </c>
      <c r="I13" s="852">
        <f t="shared" si="1"/>
        <v>200000</v>
      </c>
      <c r="J13" s="852">
        <v>150.44999999999999</v>
      </c>
      <c r="K13" s="852">
        <f t="shared" si="2"/>
        <v>199849.55</v>
      </c>
      <c r="L13" s="853">
        <v>0.99919999999999998</v>
      </c>
    </row>
    <row r="14" spans="1:12" x14ac:dyDescent="0.4">
      <c r="A14" t="s">
        <v>3258</v>
      </c>
      <c r="B14" t="s">
        <v>3259</v>
      </c>
      <c r="C14" t="s">
        <v>958</v>
      </c>
      <c r="D14" s="852">
        <v>75000</v>
      </c>
      <c r="E14" s="852">
        <v>0</v>
      </c>
      <c r="F14" s="852">
        <f t="shared" si="0"/>
        <v>75000</v>
      </c>
      <c r="G14" s="852">
        <v>54.89</v>
      </c>
      <c r="H14" s="852">
        <v>54.89</v>
      </c>
      <c r="I14" s="852">
        <f t="shared" si="1"/>
        <v>74945.11</v>
      </c>
      <c r="J14" s="852">
        <v>7392.35</v>
      </c>
      <c r="K14" s="852">
        <f t="shared" si="2"/>
        <v>67552.759999999995</v>
      </c>
      <c r="L14" s="853">
        <v>0.90069999999999995</v>
      </c>
    </row>
    <row r="15" spans="1:12" x14ac:dyDescent="0.4">
      <c r="A15" t="s">
        <v>3260</v>
      </c>
      <c r="B15" t="s">
        <v>3261</v>
      </c>
      <c r="C15" t="s">
        <v>958</v>
      </c>
      <c r="D15" s="852">
        <v>50000</v>
      </c>
      <c r="E15" s="852">
        <v>0</v>
      </c>
      <c r="F15" s="852">
        <f t="shared" si="0"/>
        <v>50000</v>
      </c>
      <c r="G15" s="852">
        <v>0</v>
      </c>
      <c r="H15" s="852">
        <v>0</v>
      </c>
      <c r="I15" s="852">
        <f t="shared" si="1"/>
        <v>50000</v>
      </c>
      <c r="J15" s="852">
        <v>0</v>
      </c>
      <c r="K15" s="852">
        <f t="shared" si="2"/>
        <v>50000</v>
      </c>
      <c r="L15" s="853">
        <v>1</v>
      </c>
    </row>
    <row r="16" spans="1:12" x14ac:dyDescent="0.4">
      <c r="A16" t="s">
        <v>3262</v>
      </c>
      <c r="B16" t="s">
        <v>3263</v>
      </c>
      <c r="C16" t="s">
        <v>1126</v>
      </c>
      <c r="D16" s="852">
        <v>230000</v>
      </c>
      <c r="E16" s="852">
        <v>0</v>
      </c>
      <c r="F16" s="852">
        <f t="shared" si="0"/>
        <v>230000</v>
      </c>
      <c r="G16" s="852">
        <v>0</v>
      </c>
      <c r="H16" s="852">
        <v>0</v>
      </c>
      <c r="I16" s="852">
        <f t="shared" si="1"/>
        <v>230000</v>
      </c>
      <c r="J16" s="852">
        <v>0</v>
      </c>
      <c r="K16" s="852">
        <f t="shared" si="2"/>
        <v>230000</v>
      </c>
      <c r="L16" s="853">
        <v>1</v>
      </c>
    </row>
    <row r="17" spans="1:12" x14ac:dyDescent="0.4">
      <c r="A17" t="s">
        <v>3264</v>
      </c>
      <c r="B17" t="s">
        <v>3265</v>
      </c>
      <c r="C17" t="s">
        <v>1126</v>
      </c>
      <c r="D17" s="852">
        <v>57500</v>
      </c>
      <c r="E17" s="852">
        <v>0</v>
      </c>
      <c r="F17" s="852">
        <f t="shared" si="0"/>
        <v>57500</v>
      </c>
      <c r="G17" s="852">
        <v>160.36000000000001</v>
      </c>
      <c r="H17" s="852">
        <v>160.36000000000001</v>
      </c>
      <c r="I17" s="852">
        <f t="shared" si="1"/>
        <v>57339.64</v>
      </c>
      <c r="J17" s="852">
        <v>392.86</v>
      </c>
      <c r="K17" s="852">
        <f t="shared" si="2"/>
        <v>56946.78</v>
      </c>
      <c r="L17" s="853">
        <v>0.99039999999999995</v>
      </c>
    </row>
    <row r="18" spans="1:12" x14ac:dyDescent="0.4">
      <c r="A18" t="s">
        <v>3266</v>
      </c>
      <c r="B18" t="s">
        <v>3267</v>
      </c>
      <c r="C18" t="s">
        <v>1126</v>
      </c>
      <c r="D18" s="852">
        <v>6500</v>
      </c>
      <c r="E18" s="852">
        <v>0</v>
      </c>
      <c r="F18" s="852">
        <f t="shared" si="0"/>
        <v>6500</v>
      </c>
      <c r="G18" s="852">
        <v>0</v>
      </c>
      <c r="H18" s="852">
        <v>0</v>
      </c>
      <c r="I18" s="852">
        <f t="shared" si="1"/>
        <v>6500</v>
      </c>
      <c r="J18" s="852">
        <v>0</v>
      </c>
      <c r="K18" s="852">
        <f t="shared" si="2"/>
        <v>6500</v>
      </c>
      <c r="L18" s="853">
        <v>1</v>
      </c>
    </row>
    <row r="19" spans="1:12" x14ac:dyDescent="0.4">
      <c r="A19" t="s">
        <v>3268</v>
      </c>
      <c r="B19" t="s">
        <v>3269</v>
      </c>
      <c r="C19" t="s">
        <v>1126</v>
      </c>
      <c r="D19" s="852">
        <v>20000</v>
      </c>
      <c r="E19" s="852">
        <v>0</v>
      </c>
      <c r="F19" s="852">
        <f t="shared" si="0"/>
        <v>20000</v>
      </c>
      <c r="G19" s="852">
        <v>0</v>
      </c>
      <c r="H19" s="852">
        <v>0</v>
      </c>
      <c r="I19" s="852">
        <f t="shared" si="1"/>
        <v>20000</v>
      </c>
      <c r="J19" s="852">
        <v>0</v>
      </c>
      <c r="K19" s="852">
        <f t="shared" si="2"/>
        <v>20000</v>
      </c>
      <c r="L19" s="853">
        <v>1</v>
      </c>
    </row>
    <row r="20" spans="1:12" x14ac:dyDescent="0.4">
      <c r="A20" t="s">
        <v>3270</v>
      </c>
      <c r="B20" t="s">
        <v>3271</v>
      </c>
      <c r="C20" t="s">
        <v>1126</v>
      </c>
      <c r="D20" s="852">
        <v>18000</v>
      </c>
      <c r="E20" s="852">
        <v>0</v>
      </c>
      <c r="F20" s="852">
        <f t="shared" si="0"/>
        <v>18000</v>
      </c>
      <c r="G20" s="852">
        <v>0</v>
      </c>
      <c r="H20" s="852">
        <v>0</v>
      </c>
      <c r="I20" s="852">
        <f t="shared" si="1"/>
        <v>18000</v>
      </c>
      <c r="J20" s="852">
        <v>0</v>
      </c>
      <c r="K20" s="852">
        <f t="shared" si="2"/>
        <v>18000</v>
      </c>
      <c r="L20" s="853">
        <v>1</v>
      </c>
    </row>
    <row r="21" spans="1:12" x14ac:dyDescent="0.4">
      <c r="A21" t="s">
        <v>3272</v>
      </c>
      <c r="B21" t="s">
        <v>3273</v>
      </c>
      <c r="C21" t="s">
        <v>1126</v>
      </c>
      <c r="D21" s="852">
        <v>3500</v>
      </c>
      <c r="E21" s="852">
        <v>0</v>
      </c>
      <c r="F21" s="852">
        <f t="shared" si="0"/>
        <v>3500</v>
      </c>
      <c r="G21" s="852">
        <v>0</v>
      </c>
      <c r="H21" s="852">
        <v>0</v>
      </c>
      <c r="I21" s="852">
        <f t="shared" si="1"/>
        <v>3500</v>
      </c>
      <c r="J21" s="852">
        <v>0</v>
      </c>
      <c r="K21" s="852">
        <f t="shared" si="2"/>
        <v>3500</v>
      </c>
      <c r="L21" s="853">
        <v>1</v>
      </c>
    </row>
    <row r="22" spans="1:12" x14ac:dyDescent="0.4">
      <c r="A22" t="s">
        <v>3274</v>
      </c>
      <c r="B22" t="s">
        <v>3275</v>
      </c>
      <c r="C22" t="s">
        <v>1128</v>
      </c>
      <c r="D22" s="852">
        <v>20000</v>
      </c>
      <c r="E22" s="852">
        <v>0</v>
      </c>
      <c r="F22" s="852">
        <f t="shared" si="0"/>
        <v>20000</v>
      </c>
      <c r="G22" s="852">
        <v>0</v>
      </c>
      <c r="H22" s="852">
        <v>0</v>
      </c>
      <c r="I22" s="852">
        <f t="shared" si="1"/>
        <v>20000</v>
      </c>
      <c r="J22" s="852">
        <v>0</v>
      </c>
      <c r="K22" s="852">
        <f t="shared" si="2"/>
        <v>20000</v>
      </c>
      <c r="L22" s="853">
        <v>1</v>
      </c>
    </row>
    <row r="23" spans="1:12" x14ac:dyDescent="0.4">
      <c r="A23" t="s">
        <v>3276</v>
      </c>
      <c r="B23" t="s">
        <v>3277</v>
      </c>
      <c r="C23" t="s">
        <v>1128</v>
      </c>
      <c r="D23" s="852">
        <v>18000</v>
      </c>
      <c r="E23" s="852">
        <v>0</v>
      </c>
      <c r="F23" s="852">
        <f t="shared" si="0"/>
        <v>18000</v>
      </c>
      <c r="G23" s="852">
        <v>0</v>
      </c>
      <c r="H23" s="852">
        <v>0</v>
      </c>
      <c r="I23" s="852">
        <f t="shared" si="1"/>
        <v>18000</v>
      </c>
      <c r="J23" s="852">
        <v>0</v>
      </c>
      <c r="K23" s="852">
        <f t="shared" si="2"/>
        <v>18000</v>
      </c>
      <c r="L23" s="853">
        <v>1</v>
      </c>
    </row>
    <row r="24" spans="1:12" x14ac:dyDescent="0.4">
      <c r="A24" t="s">
        <v>3278</v>
      </c>
      <c r="B24" t="s">
        <v>3279</v>
      </c>
      <c r="C24" t="s">
        <v>1128</v>
      </c>
      <c r="D24" s="852">
        <v>45000</v>
      </c>
      <c r="E24" s="852">
        <v>0</v>
      </c>
      <c r="F24" s="852">
        <f t="shared" si="0"/>
        <v>45000</v>
      </c>
      <c r="G24" s="852">
        <v>0</v>
      </c>
      <c r="H24" s="852">
        <v>0</v>
      </c>
      <c r="I24" s="852">
        <f t="shared" si="1"/>
        <v>45000</v>
      </c>
      <c r="J24" s="852">
        <v>2495</v>
      </c>
      <c r="K24" s="852">
        <f t="shared" si="2"/>
        <v>42505</v>
      </c>
      <c r="L24" s="853">
        <v>0.9446</v>
      </c>
    </row>
    <row r="25" spans="1:12" x14ac:dyDescent="0.4">
      <c r="A25" t="s">
        <v>3280</v>
      </c>
      <c r="B25" t="s">
        <v>3281</v>
      </c>
      <c r="C25" t="s">
        <v>1128</v>
      </c>
      <c r="D25" s="852">
        <v>5000</v>
      </c>
      <c r="E25" s="852">
        <v>0</v>
      </c>
      <c r="F25" s="852">
        <f t="shared" si="0"/>
        <v>5000</v>
      </c>
      <c r="G25" s="852">
        <v>0</v>
      </c>
      <c r="H25" s="852">
        <v>0</v>
      </c>
      <c r="I25" s="852">
        <f t="shared" si="1"/>
        <v>5000</v>
      </c>
      <c r="J25" s="852">
        <v>0</v>
      </c>
      <c r="K25" s="852">
        <f t="shared" si="2"/>
        <v>5000</v>
      </c>
      <c r="L25" s="853">
        <v>1</v>
      </c>
    </row>
    <row r="26" spans="1:12" x14ac:dyDescent="0.4">
      <c r="A26" t="s">
        <v>3282</v>
      </c>
      <c r="B26" t="s">
        <v>3283</v>
      </c>
      <c r="C26" t="s">
        <v>1125</v>
      </c>
      <c r="D26" s="852">
        <v>400000</v>
      </c>
      <c r="E26" s="852">
        <v>0</v>
      </c>
      <c r="F26" s="852">
        <f t="shared" si="0"/>
        <v>400000</v>
      </c>
      <c r="G26" s="852">
        <v>0</v>
      </c>
      <c r="H26" s="852">
        <v>13553.65</v>
      </c>
      <c r="I26" s="852">
        <f t="shared" si="1"/>
        <v>386446.35</v>
      </c>
      <c r="J26" s="852">
        <v>0</v>
      </c>
      <c r="K26" s="852">
        <f t="shared" si="2"/>
        <v>386446.35</v>
      </c>
      <c r="L26" s="853">
        <v>0.96609999999999996</v>
      </c>
    </row>
    <row r="27" spans="1:12" x14ac:dyDescent="0.4">
      <c r="A27" t="s">
        <v>3284</v>
      </c>
      <c r="B27" t="s">
        <v>3285</v>
      </c>
      <c r="C27" t="s">
        <v>1125</v>
      </c>
      <c r="D27" s="852">
        <v>155000</v>
      </c>
      <c r="E27" s="852">
        <v>0</v>
      </c>
      <c r="F27" s="852">
        <f t="shared" si="0"/>
        <v>155000</v>
      </c>
      <c r="G27" s="852">
        <v>0</v>
      </c>
      <c r="H27" s="852">
        <v>5539.97</v>
      </c>
      <c r="I27" s="852">
        <f t="shared" si="1"/>
        <v>149460.03</v>
      </c>
      <c r="J27" s="852">
        <v>0</v>
      </c>
      <c r="K27" s="852">
        <f t="shared" si="2"/>
        <v>149460.03</v>
      </c>
      <c r="L27" s="853">
        <v>0.96430000000000005</v>
      </c>
    </row>
    <row r="28" spans="1:12" x14ac:dyDescent="0.4">
      <c r="A28" t="s">
        <v>3286</v>
      </c>
      <c r="B28" t="s">
        <v>3287</v>
      </c>
      <c r="C28" t="s">
        <v>1125</v>
      </c>
      <c r="D28" s="852">
        <v>15000</v>
      </c>
      <c r="E28" s="852">
        <v>0</v>
      </c>
      <c r="F28" s="852">
        <f t="shared" si="0"/>
        <v>15000</v>
      </c>
      <c r="G28" s="852">
        <v>1250</v>
      </c>
      <c r="H28" s="852">
        <v>2500</v>
      </c>
      <c r="I28" s="852">
        <f t="shared" si="1"/>
        <v>12500</v>
      </c>
      <c r="J28" s="852">
        <v>12500</v>
      </c>
      <c r="K28" s="852">
        <f t="shared" si="2"/>
        <v>0</v>
      </c>
      <c r="L28" s="853">
        <v>0</v>
      </c>
    </row>
    <row r="29" spans="1:12" x14ac:dyDescent="0.4">
      <c r="A29" t="s">
        <v>3288</v>
      </c>
      <c r="B29" t="s">
        <v>3289</v>
      </c>
      <c r="C29" t="s">
        <v>1125</v>
      </c>
      <c r="D29" s="852">
        <v>85000</v>
      </c>
      <c r="E29" s="852">
        <v>0</v>
      </c>
      <c r="F29" s="852">
        <v>85000</v>
      </c>
      <c r="G29" s="852">
        <v>0</v>
      </c>
      <c r="H29" s="852">
        <v>4996.3100000000004</v>
      </c>
      <c r="I29" s="852">
        <f t="shared" si="1"/>
        <v>80003.69</v>
      </c>
      <c r="J29" s="852">
        <v>0</v>
      </c>
      <c r="K29" s="852">
        <f t="shared" si="2"/>
        <v>80003.69</v>
      </c>
      <c r="L29" s="853">
        <v>0.94120000000000004</v>
      </c>
    </row>
    <row r="30" spans="1:12" x14ac:dyDescent="0.4">
      <c r="A30" t="s">
        <v>3290</v>
      </c>
      <c r="B30" t="s">
        <v>3291</v>
      </c>
      <c r="C30" t="s">
        <v>1125</v>
      </c>
      <c r="D30" s="852">
        <v>215000</v>
      </c>
      <c r="E30" s="852">
        <v>0</v>
      </c>
      <c r="F30" s="852">
        <f t="shared" ref="F30:F38" si="3">D30</f>
        <v>215000</v>
      </c>
      <c r="G30" s="852">
        <v>0</v>
      </c>
      <c r="H30" s="852">
        <v>13410.37</v>
      </c>
      <c r="I30" s="852">
        <f t="shared" si="1"/>
        <v>201589.63</v>
      </c>
      <c r="J30" s="852">
        <v>0</v>
      </c>
      <c r="K30" s="852">
        <f t="shared" si="2"/>
        <v>201589.63</v>
      </c>
      <c r="L30" s="853">
        <v>0.93759999999999999</v>
      </c>
    </row>
    <row r="31" spans="1:12" x14ac:dyDescent="0.4">
      <c r="A31" t="s">
        <v>3292</v>
      </c>
      <c r="B31" t="s">
        <v>3293</v>
      </c>
      <c r="C31" t="s">
        <v>1125</v>
      </c>
      <c r="D31" s="852">
        <v>100000</v>
      </c>
      <c r="E31" s="852">
        <v>0</v>
      </c>
      <c r="F31" s="852">
        <f t="shared" si="3"/>
        <v>100000</v>
      </c>
      <c r="G31" s="852">
        <v>0</v>
      </c>
      <c r="H31" s="852">
        <v>6807.89</v>
      </c>
      <c r="I31" s="852">
        <f t="shared" si="1"/>
        <v>93192.11</v>
      </c>
      <c r="J31" s="852">
        <v>0</v>
      </c>
      <c r="K31" s="852">
        <f t="shared" si="2"/>
        <v>93192.11</v>
      </c>
      <c r="L31" s="853">
        <v>0.93189999999999995</v>
      </c>
    </row>
    <row r="32" spans="1:12" x14ac:dyDescent="0.4">
      <c r="A32" t="s">
        <v>3294</v>
      </c>
      <c r="B32" t="s">
        <v>3295</v>
      </c>
      <c r="C32" t="s">
        <v>1125</v>
      </c>
      <c r="D32" s="852">
        <v>55000</v>
      </c>
      <c r="E32" s="852">
        <v>0</v>
      </c>
      <c r="F32" s="852">
        <f t="shared" si="3"/>
        <v>55000</v>
      </c>
      <c r="G32" s="852">
        <v>0</v>
      </c>
      <c r="H32" s="852">
        <v>1462.96</v>
      </c>
      <c r="I32" s="852">
        <f t="shared" si="1"/>
        <v>53537.04</v>
      </c>
      <c r="J32" s="852">
        <v>0</v>
      </c>
      <c r="K32" s="852">
        <f t="shared" si="2"/>
        <v>53537.04</v>
      </c>
      <c r="L32" s="853">
        <v>0.97340000000000004</v>
      </c>
    </row>
    <row r="33" spans="1:12" x14ac:dyDescent="0.4">
      <c r="A33" t="s">
        <v>3296</v>
      </c>
      <c r="B33" t="s">
        <v>3297</v>
      </c>
      <c r="C33" t="s">
        <v>1125</v>
      </c>
      <c r="D33" s="852">
        <v>10000</v>
      </c>
      <c r="E33" s="852">
        <v>0</v>
      </c>
      <c r="F33" s="852">
        <f t="shared" si="3"/>
        <v>10000</v>
      </c>
      <c r="G33" s="852">
        <v>0</v>
      </c>
      <c r="H33" s="852">
        <v>394.45</v>
      </c>
      <c r="I33" s="852">
        <f t="shared" si="1"/>
        <v>9605.5499999999993</v>
      </c>
      <c r="J33" s="852">
        <v>0</v>
      </c>
      <c r="K33" s="852">
        <f t="shared" si="2"/>
        <v>9605.5499999999993</v>
      </c>
      <c r="L33" s="853">
        <v>0.69059999999999999</v>
      </c>
    </row>
    <row r="34" spans="1:12" x14ac:dyDescent="0.4">
      <c r="A34" t="s">
        <v>3298</v>
      </c>
      <c r="B34" t="s">
        <v>3299</v>
      </c>
      <c r="C34" t="s">
        <v>1125</v>
      </c>
      <c r="D34" s="852">
        <v>10000</v>
      </c>
      <c r="E34" s="852">
        <v>0</v>
      </c>
      <c r="F34" s="852">
        <f t="shared" si="3"/>
        <v>10000</v>
      </c>
      <c r="G34" s="852">
        <v>0</v>
      </c>
      <c r="H34" s="852">
        <v>0</v>
      </c>
      <c r="I34" s="852">
        <f t="shared" si="1"/>
        <v>10000</v>
      </c>
      <c r="J34" s="852">
        <v>0</v>
      </c>
      <c r="K34" s="852">
        <f t="shared" si="2"/>
        <v>10000</v>
      </c>
      <c r="L34" s="853">
        <v>1</v>
      </c>
    </row>
    <row r="35" spans="1:12" x14ac:dyDescent="0.4">
      <c r="A35" t="s">
        <v>3300</v>
      </c>
      <c r="B35" t="s">
        <v>3301</v>
      </c>
      <c r="C35" t="s">
        <v>1127</v>
      </c>
      <c r="D35" s="852">
        <v>300000</v>
      </c>
      <c r="E35" s="852">
        <v>0</v>
      </c>
      <c r="F35" s="852">
        <f t="shared" si="3"/>
        <v>300000</v>
      </c>
      <c r="G35" s="852">
        <v>0</v>
      </c>
      <c r="H35" s="852">
        <v>0</v>
      </c>
      <c r="I35" s="852">
        <f t="shared" si="1"/>
        <v>300000</v>
      </c>
      <c r="J35" s="852">
        <v>0</v>
      </c>
      <c r="K35" s="852">
        <f t="shared" si="2"/>
        <v>300000</v>
      </c>
      <c r="L35" s="853">
        <v>1</v>
      </c>
    </row>
    <row r="36" spans="1:12" x14ac:dyDescent="0.4">
      <c r="A36" t="s">
        <v>3302</v>
      </c>
      <c r="B36" t="s">
        <v>3303</v>
      </c>
      <c r="C36" t="s">
        <v>1127</v>
      </c>
      <c r="D36" s="852">
        <v>2000</v>
      </c>
      <c r="E36" s="852">
        <v>0</v>
      </c>
      <c r="F36" s="852">
        <f t="shared" si="3"/>
        <v>2000</v>
      </c>
      <c r="G36" s="852">
        <v>0</v>
      </c>
      <c r="H36" s="852">
        <v>0</v>
      </c>
      <c r="I36" s="852">
        <f t="shared" si="1"/>
        <v>2000</v>
      </c>
      <c r="J36" s="852">
        <v>79.03</v>
      </c>
      <c r="K36" s="852">
        <f t="shared" si="2"/>
        <v>1920.97</v>
      </c>
      <c r="L36" s="853">
        <v>0.96050000000000002</v>
      </c>
    </row>
    <row r="37" spans="1:12" x14ac:dyDescent="0.4">
      <c r="A37" t="s">
        <v>3304</v>
      </c>
      <c r="B37" t="s">
        <v>3305</v>
      </c>
      <c r="C37" t="s">
        <v>1127</v>
      </c>
      <c r="D37" s="852">
        <v>35000</v>
      </c>
      <c r="E37" s="852">
        <v>0</v>
      </c>
      <c r="F37" s="852">
        <f t="shared" si="3"/>
        <v>35000</v>
      </c>
      <c r="G37" s="852">
        <v>0</v>
      </c>
      <c r="H37" s="852">
        <v>0</v>
      </c>
      <c r="I37" s="852">
        <f t="shared" si="1"/>
        <v>35000</v>
      </c>
      <c r="J37" s="852">
        <v>636.97</v>
      </c>
      <c r="K37" s="852">
        <f t="shared" si="2"/>
        <v>34363.03</v>
      </c>
      <c r="L37" s="853">
        <v>0.98180000000000001</v>
      </c>
    </row>
    <row r="38" spans="1:12" x14ac:dyDescent="0.4">
      <c r="A38" t="s">
        <v>3306</v>
      </c>
      <c r="B38" t="s">
        <v>3307</v>
      </c>
      <c r="C38" t="s">
        <v>1127</v>
      </c>
      <c r="D38" s="852">
        <v>7500</v>
      </c>
      <c r="E38" s="852">
        <v>0</v>
      </c>
      <c r="F38" s="852">
        <f t="shared" si="3"/>
        <v>7500</v>
      </c>
      <c r="G38" s="852">
        <v>0</v>
      </c>
      <c r="H38" s="852">
        <v>0</v>
      </c>
      <c r="I38" s="852">
        <f t="shared" si="1"/>
        <v>7500</v>
      </c>
      <c r="J38" s="852">
        <v>488.77</v>
      </c>
      <c r="K38" s="852">
        <f t="shared" si="2"/>
        <v>7011.23</v>
      </c>
      <c r="L38" s="853">
        <v>0.93479999999999996</v>
      </c>
    </row>
  </sheetData>
  <autoFilter ref="A4:L38" xr:uid="{00000000-0001-0000-0000-000000000000}">
    <sortState xmlns:xlrd2="http://schemas.microsoft.com/office/spreadsheetml/2017/richdata2" ref="A5:L38">
      <sortCondition ref="C4:C3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33</vt:i4>
      </vt:variant>
    </vt:vector>
  </HeadingPairs>
  <TitlesOfParts>
    <vt:vector size="82" baseType="lpstr">
      <vt:lpstr>Summary</vt:lpstr>
      <vt:lpstr>1.1 Cost Approach Summary</vt:lpstr>
      <vt:lpstr>1.2 Cost Asset List</vt:lpstr>
      <vt:lpstr>2.1 Market</vt:lpstr>
      <vt:lpstr>2.2 MVIC to Net Plant Ratio</vt:lpstr>
      <vt:lpstr>2.3 MVIC to NP Applied to NP</vt:lpstr>
      <vt:lpstr>2.4-2.6 Market Comparison</vt:lpstr>
      <vt:lpstr>3.1 Income Approach</vt:lpstr>
      <vt:lpstr>WP WPCA Budget Report</vt:lpstr>
      <vt:lpstr>WP Income Common Size</vt:lpstr>
      <vt:lpstr>WP Cost HW and Useful Life</vt:lpstr>
      <vt:lpstr>WP Cost HW W1</vt:lpstr>
      <vt:lpstr>WP Cost HW M</vt:lpstr>
      <vt:lpstr>WP Population Growth</vt:lpstr>
      <vt:lpstr>WP PPI-Electrical</vt:lpstr>
      <vt:lpstr>WP PPI-Vehicles</vt:lpstr>
      <vt:lpstr>1.1 Recommended Cap Structure</vt:lpstr>
      <vt:lpstr>1.2 LTD Cost</vt:lpstr>
      <vt:lpstr>1.3 Summary of CE Models</vt:lpstr>
      <vt:lpstr>1.4 Capital Str. (Perm Cap)</vt:lpstr>
      <vt:lpstr>1.5 DCF Summary</vt:lpstr>
      <vt:lpstr>1.12 Risk Premium Summary</vt:lpstr>
      <vt:lpstr>1.13 Moody's Bond Yields</vt:lpstr>
      <vt:lpstr>1.14 Bond Ratings</vt:lpstr>
      <vt:lpstr>1.15 MOODY_S&amp;P numbericl</vt:lpstr>
      <vt:lpstr>1.16 ERP Determination</vt:lpstr>
      <vt:lpstr>1.17 Beta Adjusted ERP</vt:lpstr>
      <vt:lpstr>1.20 S&amp;P RPM Study Returns</vt:lpstr>
      <vt:lpstr>1.21 CAPM</vt:lpstr>
      <vt:lpstr>1.22 CAPM Notes</vt:lpstr>
      <vt:lpstr>1.23 Risk Adjustment</vt:lpstr>
      <vt:lpstr>1.24 Market Cap</vt:lpstr>
      <vt:lpstr>Input</vt:lpstr>
      <vt:lpstr>Market Data</vt:lpstr>
      <vt:lpstr>Proxy Data Lookup</vt:lpstr>
      <vt:lpstr>Proxy Price Data</vt:lpstr>
      <vt:lpstr>Proxy Prices</vt:lpstr>
      <vt:lpstr>MRP WP1</vt:lpstr>
      <vt:lpstr>MRP WP2</vt:lpstr>
      <vt:lpstr>MRP WP3</vt:lpstr>
      <vt:lpstr>ERP WP1</vt:lpstr>
      <vt:lpstr>ERP WP2</vt:lpstr>
      <vt:lpstr>MRP ERP WP</vt:lpstr>
      <vt:lpstr>3. AWR</vt:lpstr>
      <vt:lpstr>3. AWK</vt:lpstr>
      <vt:lpstr>3. CWT</vt:lpstr>
      <vt:lpstr>3. WTRG</vt:lpstr>
      <vt:lpstr>3. MSEX</vt:lpstr>
      <vt:lpstr>3. SJW</vt:lpstr>
      <vt:lpstr>'1.1 Cost Approach Summary'!Print_Area</vt:lpstr>
      <vt:lpstr>'1.1 Recommended Cap Structure'!Print_Area</vt:lpstr>
      <vt:lpstr>'1.12 Risk Premium Summary'!Print_Area</vt:lpstr>
      <vt:lpstr>'1.13 Moody''s Bond Yields'!Print_Area</vt:lpstr>
      <vt:lpstr>'1.14 Bond Ratings'!Print_Area</vt:lpstr>
      <vt:lpstr>'1.15 MOODY_S&amp;P numbericl'!Print_Area</vt:lpstr>
      <vt:lpstr>'1.17 Beta Adjusted ERP'!Print_Area</vt:lpstr>
      <vt:lpstr>'1.2 Cost Asset List'!Print_Area</vt:lpstr>
      <vt:lpstr>'1.2 LTD Cost'!Print_Area</vt:lpstr>
      <vt:lpstr>'1.20 S&amp;P RPM Study Returns'!Print_Area</vt:lpstr>
      <vt:lpstr>'1.21 CAPM'!Print_Area</vt:lpstr>
      <vt:lpstr>'1.23 Risk Adjustment'!Print_Area</vt:lpstr>
      <vt:lpstr>'1.24 Market Cap'!Print_Area</vt:lpstr>
      <vt:lpstr>'1.3 Summary of CE Models'!Print_Area</vt:lpstr>
      <vt:lpstr>'1.4 Capital Str. (Perm Cap)'!Print_Area</vt:lpstr>
      <vt:lpstr>'1.5 DCF Summary'!Print_Area</vt:lpstr>
      <vt:lpstr>'2.1 Market'!Print_Area</vt:lpstr>
      <vt:lpstr>'2.2 MVIC to Net Plant Ratio'!Print_Area</vt:lpstr>
      <vt:lpstr>'2.3 MVIC to NP Applied to NP'!Print_Area</vt:lpstr>
      <vt:lpstr>'2.4-2.6 Market Comparison'!Print_Area</vt:lpstr>
      <vt:lpstr>'3. MSEX'!Print_Area</vt:lpstr>
      <vt:lpstr>'3.1 Income Approach'!Print_Area</vt:lpstr>
      <vt:lpstr>Summary!Print_Area</vt:lpstr>
      <vt:lpstr>'WP Cost HW M'!Print_Area</vt:lpstr>
      <vt:lpstr>'WP Cost HW W1'!Print_Area</vt:lpstr>
      <vt:lpstr>'WP Income Common Size'!Print_Area</vt:lpstr>
      <vt:lpstr>'1.17 Beta Adjusted ERP'!Print_Titles</vt:lpstr>
      <vt:lpstr>'1.2 Cost Asset List'!Print_Titles</vt:lpstr>
      <vt:lpstr>'2.4-2.6 Market Comparison'!Print_Titles</vt:lpstr>
      <vt:lpstr>'3.1 Income Approach'!Print_Titles</vt:lpstr>
      <vt:lpstr>'WP Cost HW M'!Print_Titles</vt:lpstr>
      <vt:lpstr>'WP Cost HW W1'!Print_Titles</vt:lpstr>
      <vt:lpstr>'WP Income Common Size'!Print_Titles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Scarinci</dc:creator>
  <cp:lastModifiedBy>Paul Scarinci</cp:lastModifiedBy>
  <cp:lastPrinted>2023-10-25T18:41:57Z</cp:lastPrinted>
  <dcterms:created xsi:type="dcterms:W3CDTF">2023-03-30T16:30:47Z</dcterms:created>
  <dcterms:modified xsi:type="dcterms:W3CDTF">2023-10-26T21:04:09Z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um_blk1_chg" linkTarget="prop_sum_blk1_chg">
    <vt:lpwstr>#REF!</vt:lpwstr>
  </property>
  <property fmtid="{D5CDD505-2E9C-101B-9397-08002B2CF9AE}" pid="3" name="sum_cust_chg" linkTarget="prop_sum_cust_chg">
    <vt:lpwstr>#REF!</vt:lpwstr>
  </property>
  <property fmtid="{D5CDD505-2E9C-101B-9397-08002B2CF9AE}" pid="4" name="win_blk1_chg" linkTarget="prop_win_blk1_chg">
    <vt:lpwstr>#REF!</vt:lpwstr>
  </property>
  <property fmtid="{D5CDD505-2E9C-101B-9397-08002B2CF9AE}" pid="5" name="win_cust_chg" linkTarget="prop_win_cust_chg">
    <vt:lpwstr>#REF!</vt:lpwstr>
  </property>
  <property fmtid="{D5CDD505-2E9C-101B-9397-08002B2CF9AE}" pid="6" name="win_xs_chg" linkTarget="prop_win_xs_chg">
    <vt:lpwstr>#REF!</vt:lpwstr>
  </property>
  <property fmtid="{D5CDD505-2E9C-101B-9397-08002B2CF9AE}" pid="7" name="{A44787D4-0540-4523-9961-78E4036D8C6D}">
    <vt:lpwstr>{3DDC9DA9-D4FF-4E8C-8711-987FD951F350}</vt:lpwstr>
  </property>
</Properties>
</file>